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  <sheet state="visible" name="Analysis" sheetId="2" r:id="rId5"/>
  </sheets>
  <definedNames/>
  <calcPr/>
</workbook>
</file>

<file path=xl/sharedStrings.xml><?xml version="1.0" encoding="utf-8"?>
<sst xmlns="http://schemas.openxmlformats.org/spreadsheetml/2006/main" count="49" uniqueCount="17">
  <si>
    <t>This Week</t>
  </si>
  <si>
    <t>Last Week</t>
  </si>
  <si>
    <t>WoW</t>
  </si>
  <si>
    <t>Beginning</t>
  </si>
  <si>
    <t>Total Roles</t>
  </si>
  <si>
    <t>End</t>
  </si>
  <si>
    <t>Remote</t>
  </si>
  <si>
    <t>Hybrid</t>
  </si>
  <si>
    <t>On-Site</t>
  </si>
  <si>
    <t>0 - 2</t>
  </si>
  <si>
    <t>3 - 5</t>
  </si>
  <si>
    <t>6 - 9</t>
  </si>
  <si>
    <t>10 +</t>
  </si>
  <si>
    <t>Conditions</t>
  </si>
  <si>
    <t>Roles w/ Salary</t>
  </si>
  <si>
    <t>Roles w/ No Salary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</si>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</sst>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1" numFmtId="166" xfId="0" applyFont="1" applyNumberForma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3" fillId="0" fontId="3" numFmtId="0" xfId="0" applyAlignment="1" applyBorder="1" applyFont="1">
      <alignment vertical="bottom"/>
    </xf>
    <xf borderId="4" fillId="0" fontId="5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9" xfId="0" applyAlignment="1" applyFont="1" applyNumberFormat="1">
      <alignment horizontal="center" vertical="bottom"/>
    </xf>
    <xf borderId="5" fillId="0" fontId="3" numFmtId="0" xfId="0" applyAlignment="1" applyBorder="1" applyFont="1">
      <alignment vertical="bottom"/>
    </xf>
    <xf borderId="6" fillId="0" fontId="5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166666666666667"/>
          <c:y val="0.21909254267744827"/>
          <c:w val="0.9399166666666667"/>
          <c:h val="0.7067834681042229"/>
        </c:manualLayout>
      </c:layout>
      <c:barChart>
        <c:barDir val="col"/>
        <c:ser>
          <c:idx val="0"/>
          <c:order val="0"/>
          <c:tx>
            <c:strRef>
              <c:f>Analysis!$F$15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Analysis!$D$16:$D$18</c:f>
            </c:strRef>
          </c:cat>
          <c:val>
            <c:numRef>
              <c:f>Analysis!$F$16:$F$18</c:f>
              <c:numCache/>
            </c:numRef>
          </c:val>
        </c:ser>
        <c:ser>
          <c:idx val="1"/>
          <c:order val="1"/>
          <c:tx>
            <c:strRef>
              <c:f>Analysis!$G$15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Analysis!$D$16:$D$18</c:f>
            </c:strRef>
          </c:cat>
          <c:val>
            <c:numRef>
              <c:f>Analysis!$G$16:$G$18</c:f>
              <c:numCache/>
            </c:numRef>
          </c:val>
        </c:ser>
        <c:axId val="663321129"/>
        <c:axId val="662258578"/>
      </c:barChart>
      <c:catAx>
        <c:axId val="663321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62258578"/>
      </c:catAx>
      <c:valAx>
        <c:axId val="6622585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B2F42"/>
                </a:solidFill>
                <a:latin typeface="+mn-lt"/>
              </a:defRPr>
            </a:pPr>
          </a:p>
        </c:txPr>
        <c:crossAx val="663321129"/>
      </c:valAx>
    </c:plotArea>
    <c:legend>
      <c:legendPos val="r"/>
      <c:layout>
        <c:manualLayout>
          <c:xMode val="edge"/>
          <c:yMode val="edge"/>
          <c:x val="0.28944729975956945"/>
          <c:y val="0.15781671159029648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2B2F42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9166666666666667"/>
          <c:y val="0.21909254267744827"/>
          <c:w val="0.9399166666666667"/>
          <c:h val="0.7067834681042229"/>
        </c:manualLayout>
      </c:layout>
      <c:barChart>
        <c:barDir val="col"/>
        <c:ser>
          <c:idx val="0"/>
          <c:order val="0"/>
          <c:tx>
            <c:strRef>
              <c:f>Analysis!$L$15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Analysis!$J$16:$J$18</c:f>
            </c:strRef>
          </c:cat>
          <c:val>
            <c:numRef>
              <c:f>Analysis!$L$16:$L$18</c:f>
              <c:numCache/>
            </c:numRef>
          </c:val>
        </c:ser>
        <c:ser>
          <c:idx val="1"/>
          <c:order val="1"/>
          <c:tx>
            <c:strRef>
              <c:f>Analysis!$M$15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Analysis!$J$16:$J$18</c:f>
            </c:strRef>
          </c:cat>
          <c:val>
            <c:numRef>
              <c:f>Analysis!$M$16:$M$18</c:f>
              <c:numCache/>
            </c:numRef>
          </c:val>
        </c:ser>
        <c:axId val="1118574799"/>
        <c:axId val="1935599281"/>
      </c:barChart>
      <c:catAx>
        <c:axId val="111857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5599281"/>
      </c:catAx>
      <c:valAx>
        <c:axId val="193559928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B2F42"/>
                </a:solidFill>
                <a:latin typeface="+mn-lt"/>
              </a:defRPr>
            </a:pPr>
          </a:p>
        </c:txPr>
        <c:crossAx val="1118574799"/>
      </c:valAx>
    </c:plotArea>
    <c:legend>
      <c:legendPos val="r"/>
      <c:layout>
        <c:manualLayout>
          <c:xMode val="edge"/>
          <c:yMode val="edge"/>
          <c:x val="0.28944729975956945"/>
          <c:y val="0.15781671159029648"/>
        </c:manualLayout>
      </c:layout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2B2F42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20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osts/falicia-foster-cruz-72502910_analyst-third-party-risk-management-activity-7238947146748583937-DnBo?utm_source=share&amp;utm_medium=member_desktop" TargetMode="External"/><Relationship Id="rId194" Type="http://schemas.openxmlformats.org/officeDocument/2006/relationships/hyperlink" Target="https://www.linkedin.com/posts/jiawei-zhou-50223078_staff-product-analyst-activity-7238910994788364288-UmI_?utm_source=share&amp;utm_medium=member_desktop" TargetMode="External"/><Relationship Id="rId193" Type="http://schemas.openxmlformats.org/officeDocument/2006/relationships/hyperlink" Target="https://www.linkedin.com/posts/donaldeddy_asset-allocation-program-analyst-activity-7238999614471770115-c253?utm_source=share&amp;utm_medium=member_desktop" TargetMode="External"/><Relationship Id="rId192" Type="http://schemas.openxmlformats.org/officeDocument/2006/relationships/hyperlink" Target="https://www.linkedin.com/posts/activity-7238903726164295680-QHah?utm_source=share&amp;utm_medium=member_desktop" TargetMode="External"/><Relationship Id="rId191" Type="http://schemas.openxmlformats.org/officeDocument/2006/relationships/hyperlink" Target="https://www.linkedin.com/posts/erik-jensen_our-team-at-metro-is-hiring-a-policy-analyst-activity-7238911635967340546-sVz5?utm_source=share&amp;utm_medium=member_desktop" TargetMode="External"/><Relationship Id="rId187" Type="http://schemas.openxmlformats.org/officeDocument/2006/relationships/hyperlink" Target="https://www.linkedin.com/posts/ethan-hadaway_we-have-an-exciting-senior-data-engineer-activity-7238970005193707520-JJfM?utm_source=share&amp;utm_medium=member_desktop" TargetMode="External"/><Relationship Id="rId186" Type="http://schemas.openxmlformats.org/officeDocument/2006/relationships/hyperlink" Target="https://www.linkedin.com/posts/lijunzh_data-scientist-iii-activity-7237479147915141122-7stc?utm_source=share&amp;utm_medium=member_desktop" TargetMode="External"/><Relationship Id="rId185" Type="http://schemas.openxmlformats.org/officeDocument/2006/relationships/hyperlink" Target="https://www.linkedin.com/posts/dana-hunsucker-b331195_data-scientist-forecasting-activity-7238943278870487040-mAip?utm_source=share&amp;utm_medium=member_desktop" TargetMode="External"/><Relationship Id="rId184" Type="http://schemas.openxmlformats.org/officeDocument/2006/relationships/hyperlink" Target="https://www.linkedin.com/posts/lloyds_hiring-senioranalyst-datamastery-activity-7238954635875491842-dse0?utm_source=share&amp;utm_medium=member_desktop" TargetMode="External"/><Relationship Id="rId189" Type="http://schemas.openxmlformats.org/officeDocument/2006/relationships/hyperlink" Target="https://www.linkedin.com/posts/manasipuranik_sr-business-analyst-activity-7238757570776027137-EUn6?utm_source=share&amp;utm_medium=member_desktop" TargetMode="External"/><Relationship Id="rId188" Type="http://schemas.openxmlformats.org/officeDocument/2006/relationships/hyperlink" Target="https://www.linkedin.com/posts/chris-merritt-cssr-prc-80441016_data-engineer-python-sql-gcp-activity-7238964820429938689-GQ70?utm_source=share&amp;utm_medium=member_desktop" TargetMode="External"/><Relationship Id="rId183" Type="http://schemas.openxmlformats.org/officeDocument/2006/relationships/hyperlink" Target="https://www.linkedin.com/posts/activity-7238968275857022977-NNZo?utm_source=share&amp;utm_medium=member_desktop" TargetMode="External"/><Relationship Id="rId182" Type="http://schemas.openxmlformats.org/officeDocument/2006/relationships/hyperlink" Target="https://www.linkedin.com/posts/amadeustunis_expert-data-strategist-remote-activity-7238996885225545728-v2ru?utm_source=share&amp;utm_medium=member_desktop" TargetMode="External"/><Relationship Id="rId181" Type="http://schemas.openxmlformats.org/officeDocument/2006/relationships/hyperlink" Target="https://www.linkedin.com/posts/keenan-moukarzel-b8bab9111_looking-for-a-dynamic-reporting-analytics-activity-7238992245155143683--wpm?utm_source=share&amp;utm_medium=member_desktop" TargetMode="External"/><Relationship Id="rId180" Type="http://schemas.openxmlformats.org/officeDocument/2006/relationships/hyperlink" Target="https://www.linkedin.com/posts/kristybortle_director-data-science-hybrid-activity-7237872736356765696-A1x_?utm_source=share&amp;utm_medium=member_desktop" TargetMode="External"/><Relationship Id="rId176" Type="http://schemas.openxmlformats.org/officeDocument/2006/relationships/hyperlink" Target="https://www.linkedin.com/posts/sarah-schmidt-cdr-5204a0198_hiring-generac-activity-7236728854516506624-yJYr?utm_source=share&amp;utm_medium=member_desktop" TargetMode="External"/><Relationship Id="rId175" Type="http://schemas.openxmlformats.org/officeDocument/2006/relationships/hyperlink" Target="https://www.linkedin.com/posts/chippeck_senior-web-analyst-activity-7237133038978023425-n7lo?utm_source=share&amp;utm_medium=member_desktop" TargetMode="External"/><Relationship Id="rId174" Type="http://schemas.openxmlformats.org/officeDocument/2006/relationships/hyperlink" Target="https://www.linkedin.com/posts/allisoneschbach_open-roles-at-cedar-analyst-value-analytics-activity-7238939242767290370-Cf40?utm_source=share&amp;utm_medium=member_desktop" TargetMode="External"/><Relationship Id="rId173" Type="http://schemas.openxmlformats.org/officeDocument/2006/relationships/hyperlink" Target="https://www.linkedin.com/posts/kelseyditto_im-hiring-for-2-roles-on-my-team-at-affirm-activity-7238928138947248129-KgpU?utm_source=share&amp;utm_medium=member_desktop" TargetMode="External"/><Relationship Id="rId179" Type="http://schemas.openxmlformats.org/officeDocument/2006/relationships/hyperlink" Target="https://www.linkedin.com/posts/davidgalipp_hiring-analytics-data-activity-7235007730392952832-ZpJX?utm_source=share&amp;utm_medium=member_desktop" TargetMode="External"/><Relationship Id="rId178" Type="http://schemas.openxmlformats.org/officeDocument/2006/relationships/hyperlink" Target="https://www.linkedin.com/posts/donaldeddy_director-business-analytics-activity-7235964612729339904-GK2G?utm_source=share&amp;utm_medium=member_desktop" TargetMode="External"/><Relationship Id="rId177" Type="http://schemas.openxmlformats.org/officeDocument/2006/relationships/hyperlink" Target="https://www.linkedin.com/posts/shirley-ni_marketing-data-scientist-activity-7235397112073437184-qqw5?utm_source=share&amp;utm_medium=member_desktop" TargetMode="External"/><Relationship Id="rId198" Type="http://schemas.openxmlformats.org/officeDocument/2006/relationships/hyperlink" Target="https://www.linkedin.com/posts/stevensandiford_senior-marketing-analyst-web-and-experimentation-activity-7237984854229860352-Wciu?utm_source=share&amp;utm_medium=member_desktop" TargetMode="External"/><Relationship Id="rId197" Type="http://schemas.openxmlformats.org/officeDocument/2006/relationships/hyperlink" Target="https://www.linkedin.com/posts/irem-yudzhel-05538893_hiring-newyork-financialmarkets-activity-7237912969542537216-IR8l?utm_source=share&amp;utm_medium=member_desktop" TargetMode="External"/><Relationship Id="rId196" Type="http://schemas.openxmlformats.org/officeDocument/2006/relationships/hyperlink" Target="https://www.linkedin.com/posts/benperner_data-scientist-merchandising-walgreens-activity-7238996666022838273-Oob1?utm_source=share&amp;utm_medium=member_desktop" TargetMode="External"/><Relationship Id="rId195" Type="http://schemas.openxmlformats.org/officeDocument/2006/relationships/hyperlink" Target="https://www.linkedin.com/posts/ziqin-liu-a7239196_warby-parker-is-hiring-warby-parker-is-activity-7238944456081625088-wHZP?utm_source=share&amp;utm_medium=member_desktop" TargetMode="External"/><Relationship Id="rId199" Type="http://schemas.openxmlformats.org/officeDocument/2006/relationships/hyperlink" Target="https://www.linkedin.com/posts/dbrauner_data-scientist-activity-7237206885228056578-29Qw?utm_source=share&amp;utm_medium=member_desktop" TargetMode="External"/><Relationship Id="rId150" Type="http://schemas.openxmlformats.org/officeDocument/2006/relationships/hyperlink" Target="https://www.linkedin.com/posts/swarnadipmandal_hiring-fulltimeroles-usajobs-activity-7238894821254258688-7zo6?utm_source=share&amp;utm_medium=member_desktop" TargetMode="External"/><Relationship Id="rId392" Type="http://schemas.openxmlformats.org/officeDocument/2006/relationships/hyperlink" Target="https://www.linkedin.com/posts/nyisha-alexis-98430299_strategic-data-science-lead-activity-7234921277533171712-9HgF?utm_source=share&amp;utm_medium=member_desktop" TargetMode="External"/><Relationship Id="rId391" Type="http://schemas.openxmlformats.org/officeDocument/2006/relationships/hyperlink" Target="https://www.linkedin.com/posts/activity-7234955089344368641-UUte?utm_source=share&amp;utm_medium=member_desktop" TargetMode="External"/><Relationship Id="rId390" Type="http://schemas.openxmlformats.org/officeDocument/2006/relationships/hyperlink" Target="https://www.linkedin.com/posts/elisabeth-mayer-b660b539_nowhiring-remotework-analystjobs-activity-7235045110873268226-bK1y?utm_source=share&amp;utm_medium=member_desktop" TargetMode="External"/><Relationship Id="rId1" Type="http://schemas.openxmlformats.org/officeDocument/2006/relationships/hyperlink" Target="https://www.linkedin.com/posts/elizabeth-stamp-mba-a5b9545a_were-hiring-check-out-this-job-at-cargurus-activity-7240366947937185792-vILp?utm_source=share&amp;utm_medium=member_desktop" TargetMode="External"/><Relationship Id="rId2" Type="http://schemas.openxmlformats.org/officeDocument/2006/relationships/hyperlink" Target="https://www.linkedin.com/posts/whitneybblanton_hilton-hiltonjobs-everyjobmakesthestay-activity-7240344337333567488-bv5f?utm_source=share&amp;utm_medium=member_desktop" TargetMode="External"/><Relationship Id="rId3" Type="http://schemas.openxmlformats.org/officeDocument/2006/relationships/hyperlink" Target="https://www.linkedin.com/posts/damian-ng_were-hiring-a-manager-data-science-ai-activity-7240031664653881346-Q6jp?utm_source=share&amp;utm_medium=member_desktop" TargetMode="External"/><Relationship Id="rId149" Type="http://schemas.openxmlformats.org/officeDocument/2006/relationships/hyperlink" Target="https://www.linkedin.com/posts/sofia-lazcano_hiring-adaptiveplanning-workdayadaptive-activity-7239350081148104705-E5qA?utm_source=share&amp;utm_medium=member_desktop" TargetMode="External"/><Relationship Id="rId4" Type="http://schemas.openxmlformats.org/officeDocument/2006/relationships/hyperlink" Target="https://www.linkedin.com/posts/andrea-kozuch_wearehiring-transportationdata-activity-7240371400635535361-W-_n?utm_source=share&amp;utm_medium=member_desktop" TargetMode="External"/><Relationship Id="rId148" Type="http://schemas.openxmlformats.org/officeDocument/2006/relationships/hyperlink" Target="https://www.linkedin.com/posts/kevinotte_staff-data-scientist-activity-7237132090566164481-pxqq?utm_source=share&amp;utm_medium=member_desktop" TargetMode="External"/><Relationship Id="rId1090" Type="http://schemas.openxmlformats.org/officeDocument/2006/relationships/hyperlink" Target="https://www.linkedin.com/posts/heather-murphy-54b7423_data-science-analyst-ii-data-analytics-activity-7227388632309886977-dSvR?utm_source=share&amp;utm_medium=member_desktop" TargetMode="External"/><Relationship Id="rId1091" Type="http://schemas.openxmlformats.org/officeDocument/2006/relationships/hyperlink" Target="https://www.linkedin.com/posts/ashley-nissen_careers-innovative-captive-strategies-activity-7227342582639443969-v0y-?utm_source=share&amp;utm_medium=member_desktop" TargetMode="External"/><Relationship Id="rId1092" Type="http://schemas.openxmlformats.org/officeDocument/2006/relationships/hyperlink" Target="https://www.linkedin.com/posts/billgrover_were-looking-for-a-sr-compensation-analyst-activity-7227384138251522049-OeZm?utm_source=share&amp;utm_medium=member_desktop" TargetMode="External"/><Relationship Id="rId1093" Type="http://schemas.openxmlformats.org/officeDocument/2006/relationships/hyperlink" Target="https://www.linkedin.com/posts/bgreen1_principal-corporate-development-financial-activity-7227354552797122560-u8Fx?utm_source=share&amp;utm_medium=member_desktop" TargetMode="External"/><Relationship Id="rId1094" Type="http://schemas.openxmlformats.org/officeDocument/2006/relationships/hyperlink" Target="https://www.linkedin.com/posts/christopher-j-madsen_business-analytics-analyst-cargurus-jobs-activity-7227325657704267777-O4kW?utm_source=share&amp;utm_medium=member_desktop" TargetMode="External"/><Relationship Id="rId9" Type="http://schemas.openxmlformats.org/officeDocument/2006/relationships/hyperlink" Target="https://www.linkedin.com/posts/avani-bedi-5807872_financemanager-reporting-analytics-activity-7240237283126231040-TJ0V?utm_source=share&amp;utm_medium=member_desktop" TargetMode="External"/><Relationship Id="rId143" Type="http://schemas.openxmlformats.org/officeDocument/2006/relationships/hyperlink" Target="https://www.linkedin.com/posts/activity-7239360548138536960-d0Oy?utm_source=share&amp;utm_medium=member_desktop" TargetMode="External"/><Relationship Id="rId385" Type="http://schemas.openxmlformats.org/officeDocument/2006/relationships/hyperlink" Target="https://www.linkedin.com/posts/austin-call-finance_fpa-analyst-activity-7234970692318851072-VDbh?utm_source=share&amp;utm_medium=member_desktop" TargetMode="External"/><Relationship Id="rId1095" Type="http://schemas.openxmlformats.org/officeDocument/2006/relationships/hyperlink" Target="https://www.linkedin.com/posts/dj-gustafson-mba-37650441_come-join-a-great-team-check-out-this-job-activity-7227379078385848320-IttF?utm_source=share&amp;utm_medium=member_desktop" TargetMode="External"/><Relationship Id="rId142" Type="http://schemas.openxmlformats.org/officeDocument/2006/relationships/hyperlink" Target="https://www.linkedin.com/posts/irina-summey_sales-operations-analyst-iii-in-remote-georgia-activity-7239347819994656770-XngL?utm_source=share&amp;utm_medium=member_desktop" TargetMode="External"/><Relationship Id="rId384" Type="http://schemas.openxmlformats.org/officeDocument/2006/relationships/hyperlink" Target="https://www.linkedin.com/posts/shelbyrombach_revenue-analytics-data-integration-architect-activity-7235052070955851776-pi2_?utm_source=share&amp;utm_medium=member_desktop" TargetMode="External"/><Relationship Id="rId1096" Type="http://schemas.openxmlformats.org/officeDocument/2006/relationships/hyperlink" Target="https://www.linkedin.com/posts/stephanie-villanueva-942280138_our-team-is-hiring-for-a-new-policy-analyst-activity-7227355577482448896-q8pD?utm_source=share&amp;utm_medium=member_desktop" TargetMode="External"/><Relationship Id="rId141" Type="http://schemas.openxmlformats.org/officeDocument/2006/relationships/hyperlink" Target="https://www.linkedin.com/posts/davidli2_senior-analyst-financial-ii-hybrid-activity-7239304335090675714-TnPi?utm_source=share&amp;utm_medium=member_desktop" TargetMode="External"/><Relationship Id="rId383" Type="http://schemas.openxmlformats.org/officeDocument/2006/relationships/hyperlink" Target="https://www.linkedin.com/posts/schmidtkayla_sr-analyst-financial-planning-analysis-activity-7235237130300506112-4ui3?utm_source=share&amp;utm_medium=member_desktop" TargetMode="External"/><Relationship Id="rId1097" Type="http://schemas.openxmlformats.org/officeDocument/2006/relationships/hyperlink" Target="https://www.linkedin.com/posts/breegroff_newly-created-position-and-exciting-opportunity-activity-7227338716661383168-qBiE?utm_source=share&amp;utm_medium=member_desktop" TargetMode="External"/><Relationship Id="rId140" Type="http://schemas.openxmlformats.org/officeDocument/2006/relationships/hyperlink" Target="https://www.linkedin.com/posts/whitaker-leonhardt-0a07666_financial-analyst-activity-7239337671809015808-LJyy?utm_source=share&amp;utm_medium=member_desktop" TargetMode="External"/><Relationship Id="rId382" Type="http://schemas.openxmlformats.org/officeDocument/2006/relationships/hyperlink" Target="https://www.linkedin.com/posts/diego-crespo-910421107_scientific-data-analyst-activity-7235265854861369344-yM-b?utm_source=share&amp;utm_medium=member_desktop" TargetMode="External"/><Relationship Id="rId1098" Type="http://schemas.openxmlformats.org/officeDocument/2006/relationships/hyperlink" Target="https://www.linkedin.com/posts/vickyyepes_sr-analyst-customer-analytics-in-katy-tx-activity-7227332230631538689-MYuN?utm_source=share&amp;utm_medium=member_desktop" TargetMode="External"/><Relationship Id="rId5" Type="http://schemas.openxmlformats.org/officeDocument/2006/relationships/hyperlink" Target="https://www.linkedin.com/posts/mike-karriker-770a3544_bi-developer-activity-7240050468138225665-tbpW?utm_source=share&amp;utm_medium=member_desktop" TargetMode="External"/><Relationship Id="rId147" Type="http://schemas.openxmlformats.org/officeDocument/2006/relationships/hyperlink" Target="https://www.linkedin.com/posts/candice-weijing-zhang-5187727b_data-scientist-iii-activity-7239085911651602432-oBK5?utm_source=share&amp;utm_medium=member_desktop" TargetMode="External"/><Relationship Id="rId389" Type="http://schemas.openxmlformats.org/officeDocument/2006/relationships/hyperlink" Target="https://www.linkedin.com/posts/shawn-heitz_im-looking-to-hire-an-amazing-sr-financial-activity-7234977370892345344-vAG3?utm_source=share&amp;utm_medium=member_desktop" TargetMode="External"/><Relationship Id="rId1099" Type="http://schemas.openxmlformats.org/officeDocument/2006/relationships/hyperlink" Target="https://www.linkedin.com/posts/lucie-briot-gautier_salesoperations-analyst-cleanpowerresearch-activity-7227343180705193987-qFzb?utm_source=share&amp;utm_medium=member_desktop" TargetMode="External"/><Relationship Id="rId6" Type="http://schemas.openxmlformats.org/officeDocument/2006/relationships/hyperlink" Target="https://www.linkedin.com/posts/patti-k-handley_join-me-on-the-customer-success-operations-activity-7240331327177121792-yxQn?utm_source=share&amp;utm_medium=member_desktop" TargetMode="External"/><Relationship Id="rId146" Type="http://schemas.openxmlformats.org/officeDocument/2006/relationships/hyperlink" Target="https://www.linkedin.com/posts/alyssa-crane-767367185_behavioralhealth-analytics-healthcare-activity-7239352003192143872-d_e3?utm_source=share&amp;utm_medium=member_desktop" TargetMode="External"/><Relationship Id="rId388" Type="http://schemas.openxmlformats.org/officeDocument/2006/relationships/hyperlink" Target="https://www.linkedin.com/posts/jen-rhough-woods_recruitment-activity-7235014756611301376-UqF5?utm_source=share&amp;utm_medium=member_desktop" TargetMode="External"/><Relationship Id="rId7" Type="http://schemas.openxmlformats.org/officeDocument/2006/relationships/hyperlink" Target="https://www.linkedin.com/posts/juanserrato_are-you-interested-in-working-in-healthcare-activity-7240340449897435136-o711?utm_source=share&amp;utm_medium=member_desktop" TargetMode="External"/><Relationship Id="rId145" Type="http://schemas.openxmlformats.org/officeDocument/2006/relationships/hyperlink" Target="https://www.linkedin.com/posts/jen-kane-mba-7085231_hiring-activity-7239351998968475648-0YQP?utm_source=share&amp;utm_medium=member_desktop" TargetMode="External"/><Relationship Id="rId387" Type="http://schemas.openxmlformats.org/officeDocument/2006/relationships/hyperlink" Target="https://www.linkedin.com/posts/samantha-j-bone_evaluation-analyst-activity-7234964084713041920-nnH4?utm_source=share&amp;utm_medium=member_desktop" TargetMode="External"/><Relationship Id="rId8" Type="http://schemas.openxmlformats.org/officeDocument/2006/relationships/hyperlink" Target="https://www.linkedin.com/posts/steven-j-tretter-cpa-mba-02953043_principal-corporate-financial-analyst-activity-7240357452792098817-IYfG?utm_source=share&amp;utm_medium=member_desktop" TargetMode="External"/><Relationship Id="rId144" Type="http://schemas.openxmlformats.org/officeDocument/2006/relationships/hyperlink" Target="https://www.linkedin.com/posts/lauwyna-newsome-1467162_senior-analyst-revenue-management-analytics-activity-7239326034666434560-EzFn?utm_source=share&amp;utm_medium=member_desktop" TargetMode="External"/><Relationship Id="rId386" Type="http://schemas.openxmlformats.org/officeDocument/2006/relationships/hyperlink" Target="https://www.linkedin.com/posts/vani-makkapati-20478b257_check-out-this-exciting-job-at-citadel-credit-activity-7235010390739283968-9Y_D?utm_source=share&amp;utm_medium=member_desktop" TargetMode="External"/><Relationship Id="rId381" Type="http://schemas.openxmlformats.org/officeDocument/2006/relationships/hyperlink" Target="https://www.linkedin.com/posts/donaldrauscher_excited-to-announce-that-the-analytics-team-activity-7235249674536787968-9zQF?utm_source=share&amp;utm_medium=member_desktop" TargetMode="External"/><Relationship Id="rId380" Type="http://schemas.openxmlformats.org/officeDocument/2006/relationships/hyperlink" Target="https://www.linkedin.com/posts/suzanne-proctor-195a7440_usa-principal-data-analyst-activity-7235265302119264256-3gHb?utm_source=share&amp;utm_medium=member_desktop" TargetMode="External"/><Relationship Id="rId139" Type="http://schemas.openxmlformats.org/officeDocument/2006/relationships/hyperlink" Target="https://www.linkedin.com/posts/jacquelinerubino_principal-quantitative-analyst-commercial-activity-7239293827734261765-DjvO?utm_source=share&amp;utm_medium=member_desktop" TargetMode="External"/><Relationship Id="rId138" Type="http://schemas.openxmlformats.org/officeDocument/2006/relationships/hyperlink" Target="https://www.linkedin.com/posts/davidweinman_business-data-analyst-in-redmond-washington-activity-7239346805543518208-iYux?utm_source=share&amp;utm_medium=member_desktop" TargetMode="External"/><Relationship Id="rId137" Type="http://schemas.openxmlformats.org/officeDocument/2006/relationships/hyperlink" Target="https://www.linkedin.com/posts/andrewdbs_staff-data-engineer-activity-7239322307402350592--F3L?utm_source=share&amp;utm_medium=member_desktop" TargetMode="External"/><Relationship Id="rId379" Type="http://schemas.openxmlformats.org/officeDocument/2006/relationships/hyperlink" Target="https://www.linkedin.com/posts/brianshin04_check-out-this-job-at-spacex-retail-sales-activity-7235181989375397888-GjJP?utm_source=share&amp;utm_medium=member_desktop" TargetMode="External"/><Relationship Id="rId1080" Type="http://schemas.openxmlformats.org/officeDocument/2006/relationships/hyperlink" Target="https://www.linkedin.com/posts/robin-werner-cpp-phr-063b845a_check-out-this-job-at-maxor-national-pharmacy-activity-7227645377846337537-MWlS?utm_source=share&amp;utm_medium=member_desktop" TargetMode="External"/><Relationship Id="rId1081" Type="http://schemas.openxmlformats.org/officeDocument/2006/relationships/hyperlink" Target="https://www.linkedin.com/posts/activity-7227697649364131840-iU0G?utm_source=share&amp;utm_medium=member_desktop" TargetMode="External"/><Relationship Id="rId1082" Type="http://schemas.openxmlformats.org/officeDocument/2006/relationships/hyperlink" Target="https://www.linkedin.com/posts/ericihle_analyst-inspection-center-analytics-activity-7227700990932631552-QjsU?utm_source=share&amp;utm_medium=member_desktop" TargetMode="External"/><Relationship Id="rId1083" Type="http://schemas.openxmlformats.org/officeDocument/2006/relationships/hyperlink" Target="https://www.linkedin.com/posts/kateflamini_senior-product-manager-for-data-analytics-activity-7227299568864956416-tLE3?utm_source=share&amp;utm_medium=member_desktop" TargetMode="External"/><Relationship Id="rId132" Type="http://schemas.openxmlformats.org/officeDocument/2006/relationships/hyperlink" Target="https://www.linkedin.com/posts/amii-lang-4218044_im-hiring-for-an-exciting-role-on-our-data-activity-7239639734925344769-TdGp?utm_source=share&amp;utm_medium=member_desktop" TargetMode="External"/><Relationship Id="rId374" Type="http://schemas.openxmlformats.org/officeDocument/2006/relationships/hyperlink" Target="https://www.linkedin.com/posts/cabrunton_aeroflow-is-hiring-if-you-are-passionate-activity-7235013313380728832-lwv8?utm_source=share&amp;utm_medium=member_desktop" TargetMode="External"/><Relationship Id="rId1084" Type="http://schemas.openxmlformats.org/officeDocument/2006/relationships/hyperlink" Target="https://www.linkedin.com/posts/melyndageraghtydevelopmentrecruiter_data-engineer-python-and-gcp-irving-tx-activity-7227318918716010497-ryVR?utm_source=share&amp;utm_medium=member_desktop" TargetMode="External"/><Relationship Id="rId131" Type="http://schemas.openxmlformats.org/officeDocument/2006/relationships/hyperlink" Target="https://www.linkedin.com/posts/sri-bhuvana-99a775187_data-scientist-w2-only-hybrid-il-activity-7239640761661583361-joDS?utm_source=share&amp;utm_medium=member_desktop" TargetMode="External"/><Relationship Id="rId373" Type="http://schemas.openxmlformats.org/officeDocument/2006/relationships/hyperlink" Target="https://www.linkedin.com/posts/caitlin-farrell-3038208b_employee-insights-data-analyst-vice-president-activity-7235305393520848896-9rFZ?utm_source=share&amp;utm_medium=member_desktop" TargetMode="External"/><Relationship Id="rId1085" Type="http://schemas.openxmlformats.org/officeDocument/2006/relationships/hyperlink" Target="https://www.linkedin.com/posts/pseliason_bestow-data-analyst-activity-7227320119125811200-FsK8?utm_source=share&amp;utm_medium=member_ios" TargetMode="External"/><Relationship Id="rId130" Type="http://schemas.openxmlformats.org/officeDocument/2006/relationships/hyperlink" Target="https://www.linkedin.com/posts/nicholas-keith-40a41921_we-continue-to-expand-our-data-analytics-activity-7239452697823760384-u-in?utm_source=share&amp;utm_medium=member_desktop" TargetMode="External"/><Relationship Id="rId372" Type="http://schemas.openxmlformats.org/officeDocument/2006/relationships/hyperlink" Target="https://www.linkedin.com/posts/karina-gilad_our-data-analytics-team-is-growing-we-activity-7235316635559993345-BsrY?utm_source=share&amp;utm_medium=member_desktop" TargetMode="External"/><Relationship Id="rId1086" Type="http://schemas.openxmlformats.org/officeDocument/2006/relationships/hyperlink" Target="https://www.linkedin.com/posts/dylanmuise_if-you-are-looking-to-join-a-fast-paced-team-activity-7227736494591881216-HIGt?utm_source=share&amp;utm_medium=member_ios" TargetMode="External"/><Relationship Id="rId371" Type="http://schemas.openxmlformats.org/officeDocument/2006/relationships/hyperlink" Target="https://www.linkedin.com/posts/niall-firth-467a8217_senior-data-analyst-activity-7235304333888622592-yzfG?utm_source=share&amp;utm_medium=member_desktop" TargetMode="External"/><Relationship Id="rId1087" Type="http://schemas.openxmlformats.org/officeDocument/2006/relationships/hyperlink" Target="https://www.linkedin.com/posts/slcook_hey-all-im-looking-to-hire-a-fpa-analyst-ugcPost-7227448079891750913-XOBg?utm_source=share&amp;utm_medium=member_desktop" TargetMode="External"/><Relationship Id="rId136" Type="http://schemas.openxmlformats.org/officeDocument/2006/relationships/hyperlink" Target="https://www.linkedin.com/posts/justinbrianhines_product-marketing-analyst-in-eagan-minnesota-activity-7239293859854176259-hW8k?utm_source=share&amp;utm_medium=member_desktop" TargetMode="External"/><Relationship Id="rId378" Type="http://schemas.openxmlformats.org/officeDocument/2006/relationships/hyperlink" Target="https://www.linkedin.com/posts/staci-schwartz_cleanenergytransformation-weareprimergy-nowhiring-activity-7235137843180814336-pQlu?utm_source=share&amp;utm_medium=member_desktop" TargetMode="External"/><Relationship Id="rId1088" Type="http://schemas.openxmlformats.org/officeDocument/2006/relationships/hyperlink" Target="https://www.linkedin.com/posts/lindsaymowery_looking-for-a-talented-check-out-this-job-activity-7227298757275443200-dUxz?utm_source=share&amp;utm_medium=member_ios" TargetMode="External"/><Relationship Id="rId135" Type="http://schemas.openxmlformats.org/officeDocument/2006/relationships/hyperlink" Target="https://www.linkedin.com/posts/activity-7239371024247451648-ssn8?utm_source=share&amp;utm_medium=member_desktop" TargetMode="External"/><Relationship Id="rId377" Type="http://schemas.openxmlformats.org/officeDocument/2006/relationships/hyperlink" Target="https://www.linkedin.com/posts/samantha-j-bone_evaluation-analyst-activity-7234964084713041920-nnH4?utm_source=share&amp;utm_medium=member_desktop" TargetMode="External"/><Relationship Id="rId1089" Type="http://schemas.openxmlformats.org/officeDocument/2006/relationships/hyperlink" Target="https://www.linkedin.com/posts/annagolovtsova_sr-analytics-reporting-analyst-activity-7227448165380071424-it3N?utm_source=share&amp;utm_medium=member_ios" TargetMode="External"/><Relationship Id="rId134" Type="http://schemas.openxmlformats.org/officeDocument/2006/relationships/hyperlink" Target="https://www.linkedin.com/posts/tpmiller07_hiring-activity-7239418438564114432-Xxj7?utm_source=share&amp;utm_medium=member_desktop" TargetMode="External"/><Relationship Id="rId376" Type="http://schemas.openxmlformats.org/officeDocument/2006/relationships/hyperlink" Target="https://www.linkedin.com/posts/gabriel-sch%C3%B6n-10812833_hiring-datascience-innovation-activity-7235281692335173634-TFJo?utm_source=share&amp;utm_medium=member_desktop" TargetMode="External"/><Relationship Id="rId133" Type="http://schemas.openxmlformats.org/officeDocument/2006/relationships/hyperlink" Target="https://www.linkedin.com/posts/autumn-hollingshead-13b1a557_careers-activity-7239637176890593280-E9BA?utm_source=share&amp;utm_medium=member_desktop" TargetMode="External"/><Relationship Id="rId375" Type="http://schemas.openxmlformats.org/officeDocument/2006/relationships/hyperlink" Target="https://www.linkedin.com/posts/salwazaikh_hiring-dataengineer-seniordataengineer-activity-7234945317782142978-POy4?utm_source=share&amp;utm_medium=member_desktop" TargetMode="External"/><Relationship Id="rId172" Type="http://schemas.openxmlformats.org/officeDocument/2006/relationships/hyperlink" Target="https://www.linkedin.com/posts/kelseyditto_im-hiring-for-2-roles-on-my-team-at-affirm-activity-7238928138947248129-KgpU?utm_source=share&amp;utm_medium=member_desktop" TargetMode="External"/><Relationship Id="rId171" Type="http://schemas.openxmlformats.org/officeDocument/2006/relationships/hyperlink" Target="https://www.linkedin.com/posts/lindsey-henin-7a952183_data-engineer-remote-in-brentwood-tn-activity-7238912420176371713-FeD8?utm_source=share&amp;utm_medium=member_desktop" TargetMode="External"/><Relationship Id="rId170" Type="http://schemas.openxmlformats.org/officeDocument/2006/relationships/hyperlink" Target="https://www.linkedin.com/posts/javiernunot_were-hiring-are-you-passionate-about-activity-7238726794202292224-E_fG?utm_source=share&amp;utm_medium=member_desktop" TargetMode="External"/><Relationship Id="rId165" Type="http://schemas.openxmlformats.org/officeDocument/2006/relationships/hyperlink" Target="https://www.linkedin.com/posts/lee-mccoin_join-our-team-check-out-this-job-at-goorin-activity-7238919304258232320-40Ha?utm_source=share&amp;utm_medium=member_desktop" TargetMode="External"/><Relationship Id="rId164" Type="http://schemas.openxmlformats.org/officeDocument/2006/relationships/hyperlink" Target="https://www.linkedin.com/posts/william-ward-0b257377_data-engineer-supply-chain-activity-7238921671842107393-rOSI?utm_source=share&amp;utm_medium=member_desktop" TargetMode="External"/><Relationship Id="rId163" Type="http://schemas.openxmlformats.org/officeDocument/2006/relationships/hyperlink" Target="https://www.linkedin.com/posts/emily-ehrnschwender_whoop-business-analyst-ii-growth-product-activity-7239022848898453504-rXtI?utm_source=share&amp;utm_medium=member_desktop" TargetMode="External"/><Relationship Id="rId162" Type="http://schemas.openxmlformats.org/officeDocument/2006/relationships/hyperlink" Target="https://www.linkedin.com/posts/kristi-korsberg-5674922a_senior-data-scientist-analytics-activity-7239273452510072832-DieF?utm_source=share&amp;utm_medium=member_desktop" TargetMode="External"/><Relationship Id="rId169" Type="http://schemas.openxmlformats.org/officeDocument/2006/relationships/hyperlink" Target="https://www.linkedin.com/posts/rachellegleason_rad-power-bikes-inc-senior-data-analytics-activity-7238956193535139841-pFg0?utm_source=share&amp;utm_medium=member_desktop" TargetMode="External"/><Relationship Id="rId168" Type="http://schemas.openxmlformats.org/officeDocument/2006/relationships/hyperlink" Target="https://www.linkedin.com/posts/robertcal_senior-manager-consumer-analytics-kcna-activity-7238979828882817024-fjDH?utm_source=share&amp;utm_medium=member_desktop" TargetMode="External"/><Relationship Id="rId167" Type="http://schemas.openxmlformats.org/officeDocument/2006/relationships/hyperlink" Target="https://www.linkedin.com/posts/damekawilliams-research_im-looking-for-senior-data-analysts-with-activity-7238977445037572096-ffXQ?utm_source=share&amp;utm_medium=member_desktop" TargetMode="External"/><Relationship Id="rId166" Type="http://schemas.openxmlformats.org/officeDocument/2006/relationships/hyperlink" Target="https://www.linkedin.com/posts/dolev-nissani-5ab16a75_director-of-financial-reporting-technical-activity-7238956649242140673-aHjb?utm_source=share&amp;utm_medium=member_desktop" TargetMode="External"/><Relationship Id="rId161" Type="http://schemas.openxmlformats.org/officeDocument/2006/relationships/hyperlink" Target="https://www.linkedin.com/posts/evan-tesei-2877ab100_data-analyst-activity-7239025400100667392-GbFp?utm_source=share&amp;utm_medium=member_desktop" TargetMode="External"/><Relationship Id="rId160" Type="http://schemas.openxmlformats.org/officeDocument/2006/relationships/hyperlink" Target="https://www.linkedin.com/posts/rob-lutin-3b8722b_hiring-for-a-senior-analyst-position-within-activity-7239262901918732288-x4J7?utm_source=share&amp;utm_medium=member_desktop" TargetMode="External"/><Relationship Id="rId159" Type="http://schemas.openxmlformats.org/officeDocument/2006/relationships/hyperlink" Target="https://www.linkedin.com/posts/nate-bek-07625b16b_data-analyst-at-solo-seattle-activity-7239310772391043073-KNTP?utm_source=share&amp;utm_medium=member_desktop" TargetMode="External"/><Relationship Id="rId154" Type="http://schemas.openxmlformats.org/officeDocument/2006/relationships/hyperlink" Target="https://www.linkedin.com/posts/hrakesh_data-strategy-avp-jersey-city-new-jersey-activity-7239333299712593920-FqE9?utm_source=share&amp;utm_medium=member_desktop" TargetMode="External"/><Relationship Id="rId396" Type="http://schemas.openxmlformats.org/officeDocument/2006/relationships/hyperlink" Target="https://www.linkedin.com/posts/andy-yun-0a8a33_digitaltransformation-digitalanalytics-businessintelligence-activity-7234963551323365376-pK9W?utm_source=share&amp;utm_medium=member_desktop" TargetMode="External"/><Relationship Id="rId153" Type="http://schemas.openxmlformats.org/officeDocument/2006/relationships/hyperlink" Target="https://www.linkedin.com/posts/thomas-josephsohn-ph-d-5180b566_data-scientist-activity-7239280599457296384-tciE?utm_source=share&amp;utm_medium=member_desktop" TargetMode="External"/><Relationship Id="rId395" Type="http://schemas.openxmlformats.org/officeDocument/2006/relationships/hyperlink" Target="https://www.linkedin.com/posts/lyrajeter_iamhiring-activity-7232893850355130368-JzFZ?utm_source=share&amp;utm_medium=member_desktop" TargetMode="External"/><Relationship Id="rId152" Type="http://schemas.openxmlformats.org/officeDocument/2006/relationships/hyperlink" Target="https://www.linkedin.com/posts/hkogan_join-the-arinsights-team-activity-7239011510344167424-a0gi?utm_source=share&amp;utm_medium=member_desktop" TargetMode="External"/><Relationship Id="rId394" Type="http://schemas.openxmlformats.org/officeDocument/2006/relationships/hyperlink" Target="https://www.linkedin.com/posts/ndbalten_hiring-datascientist-datascience-activity-7234598762399064066-zKGD?utm_source=share&amp;utm_medium=member_desktop" TargetMode="External"/><Relationship Id="rId151" Type="http://schemas.openxmlformats.org/officeDocument/2006/relationships/hyperlink" Target="https://www.linkedin.com/posts/ivanncabral_excited-to-expand-my-team-hiring-a-pricing-activity-7239104735394328576-nbOH?utm_source=share&amp;utm_medium=member_desktop" TargetMode="External"/><Relationship Id="rId393" Type="http://schemas.openxmlformats.org/officeDocument/2006/relationships/hyperlink" Target="https://www.linkedin.com/posts/kristen-torres-b4886abb_risk-analyst-in-tempe-az-activity-7234951415876493312-Nf9b?utm_source=share&amp;utm_medium=member_desktop" TargetMode="External"/><Relationship Id="rId158" Type="http://schemas.openxmlformats.org/officeDocument/2006/relationships/hyperlink" Target="https://www.linkedin.com/posts/activity-7239315568565047296--FAV?utm_source=share&amp;utm_medium=member_desktop" TargetMode="External"/><Relationship Id="rId157" Type="http://schemas.openxmlformats.org/officeDocument/2006/relationships/hyperlink" Target="https://www.linkedin.com/posts/christian-prezgay-54aa33_financial-analyst-activity-7239329054716313601-Gt3-?utm_source=share&amp;utm_medium=member_desktop" TargetMode="External"/><Relationship Id="rId399" Type="http://schemas.openxmlformats.org/officeDocument/2006/relationships/hyperlink" Target="https://www.linkedin.com/posts/janemerten_were-hiring-im-looking-for-a-data-head-activity-7234993937478815744-TVzd?utm_source=share&amp;utm_medium=member_desktop" TargetMode="External"/><Relationship Id="rId156" Type="http://schemas.openxmlformats.org/officeDocument/2006/relationships/hyperlink" Target="https://www.linkedin.com/posts/randall-rice-432aa2109_data-analyst-ii-cox-communities-activity-7239086724935561217-dqkZ?utm_source=share&amp;utm_medium=member_desktop" TargetMode="External"/><Relationship Id="rId398" Type="http://schemas.openxmlformats.org/officeDocument/2006/relationships/hyperlink" Target="https://www.linkedin.com/posts/amycantwell_hiring-jobopportunity-marketinganalytics-activity-7234974899046391808-LfVV?utm_source=share&amp;utm_medium=member_desktop" TargetMode="External"/><Relationship Id="rId155" Type="http://schemas.openxmlformats.org/officeDocument/2006/relationships/hyperlink" Target="https://www.linkedin.com/posts/chanbulgin_are-you-a-passionate-hands-on-data-scientist-activity-7239253970936897536-WEUI?utm_source=share&amp;utm_medium=member_desktop" TargetMode="External"/><Relationship Id="rId397" Type="http://schemas.openxmlformats.org/officeDocument/2006/relationships/hyperlink" Target="https://www.linkedin.com/posts/amandatherecruiter_digitalmarketing-analytics-pollotropical-activity-7234937044324478976-_ozt?utm_source=share&amp;utm_medium=member_desktop" TargetMode="External"/><Relationship Id="rId808" Type="http://schemas.openxmlformats.org/officeDocument/2006/relationships/hyperlink" Target="https://www.linkedin.com/posts/john-rieger_hiring-activity-7231113299138859009-9F0J?utm_source=share&amp;utm_medium=member_desktop" TargetMode="External"/><Relationship Id="rId807" Type="http://schemas.openxmlformats.org/officeDocument/2006/relationships/hyperlink" Target="https://www.linkedin.com/posts/dianne-malabanan-cpa-mba-cemc-cpc-1967263a_hiring-activity-7231279497730224128-ZLzS?utm_source=share&amp;utm_medium=member_desktop" TargetMode="External"/><Relationship Id="rId806" Type="http://schemas.openxmlformats.org/officeDocument/2006/relationships/hyperlink" Target="https://www.linkedin.com/posts/ashleyschmitz_hiring-activity-7231119663294771200-OuJB?utm_source=share&amp;utm_medium=member_desktop" TargetMode="External"/><Relationship Id="rId805" Type="http://schemas.openxmlformats.org/officeDocument/2006/relationships/hyperlink" Target="https://www.linkedin.com/posts/activity-7230780093881532417-MatY?utm_source=share&amp;utm_medium=member_desktop" TargetMode="External"/><Relationship Id="rId809" Type="http://schemas.openxmlformats.org/officeDocument/2006/relationships/hyperlink" Target="https://www.linkedin.com/posts/tacara-smith_analyst-remote-remotework-activity-7231292677080715264-Y3XL?utm_source=share&amp;utm_medium=member_desktop" TargetMode="External"/><Relationship Id="rId800" Type="http://schemas.openxmlformats.org/officeDocument/2006/relationships/hyperlink" Target="https://www.linkedin.com/posts/kennedy-reid-b7a829162_sr-financial-analyst-in-atlanta-ga-activity-7231287783598833664-xmHM?utm_source=share&amp;utm_medium=member_desktop" TargetMode="External"/><Relationship Id="rId804" Type="http://schemas.openxmlformats.org/officeDocument/2006/relationships/hyperlink" Target="https://www.linkedin.com/posts/dannielle-turner-26aa491b_were-hiring-analytics-business-partner-activity-7231309533615194112-347e?utm_source=share&amp;utm_medium=member_desktop" TargetMode="External"/><Relationship Id="rId803" Type="http://schemas.openxmlformats.org/officeDocument/2006/relationships/hyperlink" Target="https://www.linkedin.com/posts/lyla-welday-cmp-22642632_analyst-revenue-growth-management-activity-7231255752101765120-xXy7?utm_source=share&amp;utm_medium=member_desktop" TargetMode="External"/><Relationship Id="rId802" Type="http://schemas.openxmlformats.org/officeDocument/2006/relationships/hyperlink" Target="https://www.linkedin.com/posts/doughtybradleyj_we-are-hiring-we-are-looking-to-add-a-passionate-activity-7229140372482895875-uON0?utm_source=share&amp;utm_medium=member_desktop" TargetMode="External"/><Relationship Id="rId801" Type="http://schemas.openxmlformats.org/officeDocument/2006/relationships/hyperlink" Target="https://www.linkedin.com/posts/dillerika_seniorcompensationanalyst-totalrewards-chicagojobs-activity-7231351118503567360-j6au?utm_source=share&amp;utm_medium=member_desktop" TargetMode="External"/><Relationship Id="rId40" Type="http://schemas.openxmlformats.org/officeDocument/2006/relationships/hyperlink" Target="https://www.linkedin.com/posts/riis-lampkin-saunders_marketing-intelligence-and-research-analyst-activity-7240049900317499392-fWGI?utm_source=share&amp;utm_medium=member_desktop" TargetMode="External"/><Relationship Id="rId1334" Type="http://schemas.openxmlformats.org/officeDocument/2006/relationships/hyperlink" Target="https://www.linkedin.com/posts/carmelvalencia_hiring-jobopening-financialanalyst-activity-7224813918471254018-QcJo?utm_source=share&amp;utm_medium=member_desktop" TargetMode="External"/><Relationship Id="rId1335" Type="http://schemas.openxmlformats.org/officeDocument/2006/relationships/hyperlink" Target="https://www.linkedin.com/posts/patheiger_were-looking-for-a-senior-data-analyst-to-activity-7224817223167619072-LtfF?utm_source=share&amp;utm_medium=member_desktop" TargetMode="External"/><Relationship Id="rId42" Type="http://schemas.openxmlformats.org/officeDocument/2006/relationships/hyperlink" Target="https://www.linkedin.com/posts/marisa-samuelsen_hiring-activity-7240039235825647616-Kayz?utm_source=share&amp;utm_medium=member_desktop" TargetMode="External"/><Relationship Id="rId1336" Type="http://schemas.openxmlformats.org/officeDocument/2006/relationships/hyperlink" Target="https://www.linkedin.com/posts/rpstevens_wearestryker-hiring-data-activity-7224774481829883904-cINh?utm_source=share&amp;utm_medium=member_desktop" TargetMode="External"/><Relationship Id="rId41" Type="http://schemas.openxmlformats.org/officeDocument/2006/relationships/hyperlink" Target="https://www.linkedin.com/posts/aidan-darragh_data-analytics-analyst-in-washington-dc-activity-7240060171941543940-PEIF?utm_source=share&amp;utm_medium=member_desktop" TargetMode="External"/><Relationship Id="rId1337" Type="http://schemas.openxmlformats.org/officeDocument/2006/relationships/hyperlink" Target="https://www.linkedin.com/posts/emily-white-1b4258139_check-out-this-job-on-my-team-at-progressive-activity-7224818185986830337-2As_?utm_source=share&amp;utm_medium=member_desktop" TargetMode="External"/><Relationship Id="rId44" Type="http://schemas.openxmlformats.org/officeDocument/2006/relationships/hyperlink" Target="https://www.linkedin.com/posts/sethberickson_dataanalytics-hiring-consultant-activity-7240047375958904833-CJpO?utm_source=share&amp;utm_medium=member_desktop" TargetMode="External"/><Relationship Id="rId1338" Type="http://schemas.openxmlformats.org/officeDocument/2006/relationships/hyperlink" Target="https://www.linkedin.com/posts/talialambert_join-our-team-at-arvest-bank-as-a-division-activity-7224772704615247872-zIw2?utm_source=share&amp;utm_medium=member_desktop" TargetMode="External"/><Relationship Id="rId43" Type="http://schemas.openxmlformats.org/officeDocument/2006/relationships/hyperlink" Target="https://www.linkedin.com/posts/karen-b-016930126_fpa-analyst-corporate-activity-7240070064798863362-WSPS?utm_source=share&amp;utm_medium=member_desktop" TargetMode="External"/><Relationship Id="rId1339" Type="http://schemas.openxmlformats.org/officeDocument/2006/relationships/hyperlink" Target="https://www.linkedin.com/posts/laurenmariewalker_experienced-in-media-measurement-and-optimization-activity-7224795419925475330-OVTC?utm_source=share&amp;utm_medium=member_desktop" TargetMode="External"/><Relationship Id="rId46" Type="http://schemas.openxmlformats.org/officeDocument/2006/relationships/hyperlink" Target="https://www.linkedin.com/posts/kevinholub_clover-health-activity-7239660008194420736-g8Ru?utm_source=share&amp;utm_medium=member_desktop" TargetMode="External"/><Relationship Id="rId45" Type="http://schemas.openxmlformats.org/officeDocument/2006/relationships/hyperlink" Target="https://www.linkedin.com/posts/gayathrisanjeev_are-you-passionate-about-data-analytics-activity-7240064484218695682-41Vy?utm_source=share&amp;utm_medium=member_desktop" TargetMode="External"/><Relationship Id="rId509" Type="http://schemas.openxmlformats.org/officeDocument/2006/relationships/hyperlink" Target="https://www.linkedin.com/posts/ashish-upadhyay-3827903_databricks-hiring-joinourteam-ugcPost-7233661842978418688-NE4a?utm_source=share&amp;utm_medium=member_desktop" TargetMode="External"/><Relationship Id="rId508" Type="http://schemas.openxmlformats.org/officeDocument/2006/relationships/hyperlink" Target="https://www.linkedin.com/posts/john-mills-5a86744_senior-financial-analyst-activity-7233931883988860929-alz6?utm_source=share&amp;utm_medium=member_desktop" TargetMode="External"/><Relationship Id="rId503" Type="http://schemas.openxmlformats.org/officeDocument/2006/relationships/hyperlink" Target="https://www.linkedin.com/posts/benholley_senior-financial-analyst-disney-entertainment-activity-7233632507450011649-0lQZ?utm_source=share&amp;utm_medium=member_desktop" TargetMode="External"/><Relationship Id="rId745" Type="http://schemas.openxmlformats.org/officeDocument/2006/relationships/hyperlink" Target="https://www.linkedin.com/posts/karl-roehrig-0249a73a_venteonfinance-jobs-jobsearch-activity-7231684975358574592-F127?utm_source=share&amp;utm_medium=member_desktop" TargetMode="External"/><Relationship Id="rId987" Type="http://schemas.openxmlformats.org/officeDocument/2006/relationships/hyperlink" Target="https://www.linkedin.com/posts/meganmknight_agronomy-data-analyst-kansas-city-missouri-activity-7228794552919154688-9_xH?utm_source=share&amp;utm_medium=member_desktop" TargetMode="External"/><Relationship Id="rId502" Type="http://schemas.openxmlformats.org/officeDocument/2006/relationships/hyperlink" Target="https://www.linkedin.com/posts/brad-gornall-38505b8_check-out-this-job-at-geon-performance-solutions-activity-7233870122984095744-jchi?utm_source=share&amp;utm_medium=member_desktop" TargetMode="External"/><Relationship Id="rId744" Type="http://schemas.openxmlformats.org/officeDocument/2006/relationships/hyperlink" Target="https://www.linkedin.com/posts/karl-roehrig-0249a73a_venteonfinance-jobs-jobsearch-activity-7231684611452354560-bcSW?utm_source=share&amp;utm_medium=member_desktop" TargetMode="External"/><Relationship Id="rId986" Type="http://schemas.openxmlformats.org/officeDocument/2006/relationships/hyperlink" Target="https://www.linkedin.com/posts/matthew-urbanczyk-725535a0_data-innovation-analyst-intermediate-activity-7228740763667345409-F5Nh?utm_source=share&amp;utm_medium=member_desktop" TargetMode="External"/><Relationship Id="rId501" Type="http://schemas.openxmlformats.org/officeDocument/2006/relationships/hyperlink" Target="https://www.linkedin.com/posts/ruthlchu_new-job-coming-in-hot-were-excited-activity-7233958836762468352-q-kn?utm_source=share&amp;utm_medium=member_desktop" TargetMode="External"/><Relationship Id="rId743" Type="http://schemas.openxmlformats.org/officeDocument/2006/relationships/hyperlink" Target="https://www.linkedin.com/posts/venitbhanawat_data-engineer-activity-7231466074112737280-E_40?utm_source=share&amp;utm_medium=member_desktop" TargetMode="External"/><Relationship Id="rId985" Type="http://schemas.openxmlformats.org/officeDocument/2006/relationships/hyperlink" Target="https://www.linkedin.com/posts/danielle-sill-428423125_apply-to-salaried-roles-datavant-activity-7228865653972070400-RSo7?utm_source=share&amp;utm_medium=member_desktop" TargetMode="External"/><Relationship Id="rId500" Type="http://schemas.openxmlformats.org/officeDocument/2006/relationships/hyperlink" Target="https://www.linkedin.com/posts/courtney-cottman-7087a724_exciting-job-alert-check-out-this-job-at-activity-7233884925404352512-R9-W?utm_source=share&amp;utm_medium=member_desktop" TargetMode="External"/><Relationship Id="rId742" Type="http://schemas.openxmlformats.org/officeDocument/2006/relationships/hyperlink" Target="https://www.linkedin.com/posts/blair-barker-thompson-540a2045_hiring-ugcPost-7231364502724759552-zWiG?utm_source=share&amp;utm_medium=member_ios" TargetMode="External"/><Relationship Id="rId984" Type="http://schemas.openxmlformats.org/officeDocument/2006/relationships/hyperlink" Target="https://www.linkedin.com/posts/whitney-olley_we-are-still-hiring-a-senior-data-analyst-activity-7228846986500661249-foYC?utm_source=share&amp;utm_medium=member_desktop" TargetMode="External"/><Relationship Id="rId507" Type="http://schemas.openxmlformats.org/officeDocument/2006/relationships/hyperlink" Target="https://www.linkedin.com/posts/jenna-fiala-53249a7a_looking-for-a-motivated-analyst-who-enjoys-activity-7233921393036275712-B80c?utm_source=share&amp;utm_medium=member_desktop" TargetMode="External"/><Relationship Id="rId749" Type="http://schemas.openxmlformats.org/officeDocument/2006/relationships/hyperlink" Target="https://www.linkedin.com/posts/artoleszczuk_hiring-marketing-jobs-activity-7231605017613344768-rG-1?utm_source=share&amp;utm_medium=member_desktop" TargetMode="External"/><Relationship Id="rId506" Type="http://schemas.openxmlformats.org/officeDocument/2006/relationships/hyperlink" Target="https://www.linkedin.com/posts/tylerhsin_careers-at-homebase-activity-7233657976434081793-KNIV?utm_source=share&amp;utm_medium=member_desktop" TargetMode="External"/><Relationship Id="rId748" Type="http://schemas.openxmlformats.org/officeDocument/2006/relationships/hyperlink" Target="https://www.linkedin.com/posts/jackelyn-lazaro-recruiter_hrdataanalyst-jobopportunity-houstontx-activity-7231631178275909633-3pxN?utm_source=share&amp;utm_medium=member_desktop" TargetMode="External"/><Relationship Id="rId505" Type="http://schemas.openxmlformats.org/officeDocument/2006/relationships/hyperlink" Target="https://www.linkedin.com/posts/schmidtkayla_manager-financial-planning-and-analysis-activity-7233792771684233216-FmTk?utm_source=share&amp;utm_medium=member_desktop" TargetMode="External"/><Relationship Id="rId747" Type="http://schemas.openxmlformats.org/officeDocument/2006/relationships/hyperlink" Target="https://www.linkedin.com/posts/savery_hiring-arrangements-activity-7231423044160827393-jWCQ?utm_source=share&amp;utm_medium=member_desktop" TargetMode="External"/><Relationship Id="rId989" Type="http://schemas.openxmlformats.org/officeDocument/2006/relationships/hyperlink" Target="https://www.linkedin.com/posts/nicholastoma_senior-financial-analyst-operations-remote-activity-7228868563921477633-Td0_?utm_source=share&amp;utm_medium=member_desktop" TargetMode="External"/><Relationship Id="rId504" Type="http://schemas.openxmlformats.org/officeDocument/2006/relationships/hyperlink" Target="https://www.linkedin.com/posts/amina-rokadia-37a1b94_r39420lead-financial-analyst-discover-careers-activity-7232105009016881155-MgSE?utm_source=share&amp;utm_medium=member_desktop" TargetMode="External"/><Relationship Id="rId746" Type="http://schemas.openxmlformats.org/officeDocument/2006/relationships/hyperlink" Target="https://www.linkedin.com/posts/rebekkahssappington_im-hiring-dm-if-you-have-any-referrals-activity-7231648739432538113-df2C?utm_source=share&amp;utm_medium=member_desktop" TargetMode="External"/><Relationship Id="rId988" Type="http://schemas.openxmlformats.org/officeDocument/2006/relationships/hyperlink" Target="https://www.linkedin.com/posts/briana-wolff_director-of-business-intelligence-hr-data-activity-7228791499621122048-JVOA?utm_source=share&amp;utm_medium=member_desktop" TargetMode="External"/><Relationship Id="rId48" Type="http://schemas.openxmlformats.org/officeDocument/2006/relationships/hyperlink" Target="https://www.linkedin.com/posts/jennifersobocinski_senior-data-analyst-current-openings-activity-7240093961489375232-QaDk?utm_source=share&amp;utm_medium=member_desktop" TargetMode="External"/><Relationship Id="rId47" Type="http://schemas.openxmlformats.org/officeDocument/2006/relationships/hyperlink" Target="https://www.linkedin.com/posts/jennifersobocinski_senior-data-analyst-current-openings-activity-7240093961489375232-QaDk?utm_source=share&amp;utm_medium=member_desktop" TargetMode="External"/><Relationship Id="rId49" Type="http://schemas.openxmlformats.org/officeDocument/2006/relationships/hyperlink" Target="https://www.linkedin.com/posts/jennifersobocinski_senior-data-analyst-current-openings-activity-7240093961489375232-QaDk?utm_source=share&amp;utm_medium=member_desktop" TargetMode="External"/><Relationship Id="rId741" Type="http://schemas.openxmlformats.org/officeDocument/2006/relationships/hyperlink" Target="https://www.linkedin.com/posts/ccabrera2_dataanalyst-hiring-palmmedicalcenters-activity-7231616873409228801-S-Yb?utm_source=share&amp;utm_medium=member_ios" TargetMode="External"/><Relationship Id="rId983" Type="http://schemas.openxmlformats.org/officeDocument/2006/relationships/hyperlink" Target="https://www.linkedin.com/posts/deeptibitra_were-hiring-if-you-or-someone-you-know-activity-7228837705105690624-iJI5?utm_source=share&amp;utm_medium=member_desktop" TargetMode="External"/><Relationship Id="rId1330" Type="http://schemas.openxmlformats.org/officeDocument/2006/relationships/hyperlink" Target="https://www.linkedin.com/posts/brandonrapp_senior-pricing-analyst-activity-7224760792842145792-MI3_?utm_source=share&amp;utm_medium=member_desktop" TargetMode="External"/><Relationship Id="rId740" Type="http://schemas.openxmlformats.org/officeDocument/2006/relationships/hyperlink" Target="https://www.linkedin.com/posts/donna-p-rodriguez-76512124_lead-analytics-consultant-activity-7231735143684521985-mkzu?utm_source=share&amp;utm_medium=member_ios" TargetMode="External"/><Relationship Id="rId982" Type="http://schemas.openxmlformats.org/officeDocument/2006/relationships/hyperlink" Target="https://www.linkedin.com/posts/deeptibitra_were-hiring-if-you-or-someone-you-know-activity-7228837705105690624-iJI5?utm_source=share&amp;utm_medium=member_desktop" TargetMode="External"/><Relationship Id="rId1331" Type="http://schemas.openxmlformats.org/officeDocument/2006/relationships/hyperlink" Target="https://www.linkedin.com/posts/activity-7224543660854407168-suCV?utm_source=share&amp;utm_medium=member_desktop" TargetMode="External"/><Relationship Id="rId981" Type="http://schemas.openxmlformats.org/officeDocument/2006/relationships/hyperlink" Target="https://www.linkedin.com/posts/k-mccarthy0_hiring-seniordataanalyst-remotework-activity-7228811702379667456-Ro3P?utm_source=share&amp;utm_medium=member_desktop" TargetMode="External"/><Relationship Id="rId1332" Type="http://schemas.openxmlformats.org/officeDocument/2006/relationships/hyperlink" Target="https://www.linkedin.com/posts/kayla-lechner-32a17b73_hi-folks-im-hiring-for-a-business-analyst-activity-7224605106892103680-4frG?utm_source=share&amp;utm_medium=member_desktop" TargetMode="External"/><Relationship Id="rId980" Type="http://schemas.openxmlformats.org/officeDocument/2006/relationships/hyperlink" Target="https://www.linkedin.com/posts/bryantcovelli_data-analyst-hiring-activity-7228837664467099648-ntEb?utm_source=share&amp;utm_medium=member_desktop" TargetMode="External"/><Relationship Id="rId1333" Type="http://schemas.openxmlformats.org/officeDocument/2006/relationships/hyperlink" Target="https://www.linkedin.com/feed/update/urn:li:activity:7224830023042568193?utm_source=share&amp;utm_medium=member_desktop" TargetMode="External"/><Relationship Id="rId1323" Type="http://schemas.openxmlformats.org/officeDocument/2006/relationships/hyperlink" Target="https://www.linkedin.com/posts/nhpnguyen_my-team-in-dallas-is-actively-looking-for-activity-7224527509810200576-M5Ej?utm_source=share&amp;utm_medium=member_desktop" TargetMode="External"/><Relationship Id="rId1324" Type="http://schemas.openxmlformats.org/officeDocument/2006/relationships/hyperlink" Target="https://www.linkedin.com/posts/nantczak_retail-operations-analyst-and-planner-activity-7224512651576365056-IonB?utm_source=share&amp;utm_medium=member_desktop" TargetMode="External"/><Relationship Id="rId31" Type="http://schemas.openxmlformats.org/officeDocument/2006/relationships/hyperlink" Target="https://www.linkedin.com/posts/ariana-snyder-shrm-cp_senior-data-engineer-activity-7239663995165585410-Z4s0?utm_source=share&amp;utm_medium=member_desktop" TargetMode="External"/><Relationship Id="rId1325" Type="http://schemas.openxmlformats.org/officeDocument/2006/relationships/hyperlink" Target="https://www.linkedin.com/posts/activity-7224523015609311232-MgbP?utm_source=share&amp;utm_medium=member_desktop" TargetMode="External"/><Relationship Id="rId30" Type="http://schemas.openxmlformats.org/officeDocument/2006/relationships/hyperlink" Target="https://www.linkedin.com/posts/parisadionisi_senior-data-engineer-activity-7239682051312947201-Sbpm?utm_source=share&amp;utm_medium=member_desktop" TargetMode="External"/><Relationship Id="rId1326" Type="http://schemas.openxmlformats.org/officeDocument/2006/relationships/hyperlink" Target="https://www.linkedin.com/posts/jwshouston_avelo-airlines-inc-analyst-data-activity-7224433969130323968-xJaz?utm_source=share&amp;utm_medium=member_desktop" TargetMode="External"/><Relationship Id="rId33" Type="http://schemas.openxmlformats.org/officeDocument/2006/relationships/hyperlink" Target="https://www.linkedin.com/posts/deannakneis_business-planning-analyst-ww-channel-sales-activity-7239402583574859778-mKBk?utm_source=share&amp;utm_medium=member_desktop" TargetMode="External"/><Relationship Id="rId1327" Type="http://schemas.openxmlformats.org/officeDocument/2006/relationships/hyperlink" Target="https://www.linkedin.com/posts/activity-7224572605339418624-Ift9?utm_source=share&amp;utm_medium=member_desktop" TargetMode="External"/><Relationship Id="rId32" Type="http://schemas.openxmlformats.org/officeDocument/2006/relationships/hyperlink" Target="https://www.linkedin.com/posts/zachary-maggard_civilgrid-hiring-gis-activity-7239350684549070849-vfbm?utm_source=share&amp;utm_medium=member_desktop" TargetMode="External"/><Relationship Id="rId1328" Type="http://schemas.openxmlformats.org/officeDocument/2006/relationships/hyperlink" Target="https://www.linkedin.com/posts/lindsay-schwinck-56bbbb4_senior-manager-people-insights-analytics-activity-7224834178477875201-BunP?utm_source=share&amp;utm_medium=member_desktop" TargetMode="External"/><Relationship Id="rId35" Type="http://schemas.openxmlformats.org/officeDocument/2006/relationships/hyperlink" Target="https://www.linkedin.com/posts/joe-dunleavy-11833357_senior-data-engineer-activity-7240042851030425600-El5X?utm_source=share&amp;utm_medium=member_desktop" TargetMode="External"/><Relationship Id="rId1329" Type="http://schemas.openxmlformats.org/officeDocument/2006/relationships/hyperlink" Target="https://www.linkedin.com/posts/jjmorris0_finance-hiring-financeanalyst-activity-7224788063502184449-2384?utm_source=share&amp;utm_medium=member_desktop" TargetMode="External"/><Relationship Id="rId34" Type="http://schemas.openxmlformats.org/officeDocument/2006/relationships/hyperlink" Target="https://www.linkedin.com/posts/alex-balazs_bi-engineer-2025-016-activity-7239650961755938817-bP6c?utm_source=share&amp;utm_medium=member_desktop" TargetMode="External"/><Relationship Id="rId739" Type="http://schemas.openxmlformats.org/officeDocument/2006/relationships/hyperlink" Target="https://www.linkedin.com/posts/kayla-argyros_analyst-supply-chain-analytics-in-tempe-activity-7231680776067547137--uQ0?utm_source=share&amp;utm_medium=member_ios" TargetMode="External"/><Relationship Id="rId734" Type="http://schemas.openxmlformats.org/officeDocument/2006/relationships/hyperlink" Target="https://www.linkedin.com/posts/gabrielacardamone_senior-analyst-market-research-activity-7231694104223453184-Bfpj?utm_source=share&amp;utm_medium=member_ios" TargetMode="External"/><Relationship Id="rId976" Type="http://schemas.openxmlformats.org/officeDocument/2006/relationships/hyperlink" Target="https://www.linkedin.com/posts/stelzerchristina_hiring-makeitsnow-data-activity-7229131448916545539-6dei?utm_source=share&amp;utm_medium=member_desktop" TargetMode="External"/><Relationship Id="rId733" Type="http://schemas.openxmlformats.org/officeDocument/2006/relationships/hyperlink" Target="https://www.linkedin.com/posts/chrisnewman2_sales-analyst-strategy-activity-7231484680393437185-xpxU?utm_source=share&amp;utm_medium=member_ios" TargetMode="External"/><Relationship Id="rId975" Type="http://schemas.openxmlformats.org/officeDocument/2006/relationships/hyperlink" Target="https://www.linkedin.com/posts/activity-7229114799014469632-hBpE?utm_source=share&amp;utm_medium=member_desktop" TargetMode="External"/><Relationship Id="rId732" Type="http://schemas.openxmlformats.org/officeDocument/2006/relationships/hyperlink" Target="https://www.linkedin.com/posts/samantha-talbert-msba-01407365_data-quality-analyst-activity-7231732391730462720-YZl_?utm_source=share&amp;utm_medium=member_ios" TargetMode="External"/><Relationship Id="rId974" Type="http://schemas.openxmlformats.org/officeDocument/2006/relationships/hyperlink" Target="https://www.linkedin.com/posts/activity-7229114799014469632-hBpE?utm_source=share&amp;utm_medium=member_desktop" TargetMode="External"/><Relationship Id="rId731" Type="http://schemas.openxmlformats.org/officeDocument/2006/relationships/hyperlink" Target="https://www.linkedin.com/posts/karla-fonseca-salas-a80b4223b_teammoodys-activity-7231763025093894145-pM4L?utm_source=share&amp;utm_medium=member_desktop" TargetMode="External"/><Relationship Id="rId973" Type="http://schemas.openxmlformats.org/officeDocument/2006/relationships/hyperlink" Target="https://www.linkedin.com/posts/caitlin-chodak-479904a2_werehiring-aviationjobs-onetxtavteam-activity-7228782686151045120-GHr0?utm_source=share&amp;utm_medium=member_desktop" TargetMode="External"/><Relationship Id="rId738" Type="http://schemas.openxmlformats.org/officeDocument/2006/relationships/hyperlink" Target="https://www.linkedin.com/posts/maryrosescarbrough_financialanalyst-financejobs-careeropportunity-activity-7231691960284004353-8Vr6?utm_source=share&amp;utm_medium=member_ios" TargetMode="External"/><Relationship Id="rId737" Type="http://schemas.openxmlformats.org/officeDocument/2006/relationships/hyperlink" Target="https://www.linkedin.com/posts/dave-alderson-1630987_join-our-team-im-excited-to-hire-an-fp-activity-7231710751818665987-5uRP?utm_source=share&amp;utm_medium=member_ios" TargetMode="External"/><Relationship Id="rId979" Type="http://schemas.openxmlformats.org/officeDocument/2006/relationships/hyperlink" Target="https://www.linkedin.com/posts/prashantarora88_hiring-for-a-marketing-data-scientist-role-activity-7228822472853221377-SqO7?utm_source=share&amp;utm_medium=member_desktop" TargetMode="External"/><Relationship Id="rId736" Type="http://schemas.openxmlformats.org/officeDocument/2006/relationships/hyperlink" Target="https://www.linkedin.com/posts/activity-7231685138873528321-85Hz?utm_source=share&amp;utm_medium=member_ios" TargetMode="External"/><Relationship Id="rId978" Type="http://schemas.openxmlformats.org/officeDocument/2006/relationships/hyperlink" Target="https://www.linkedin.com/posts/zacharyelewitz_are-you-looking-for-your-next-opportunity-activity-7228871143904940032-tD5g?utm_source=share&amp;utm_medium=member_desktop" TargetMode="External"/><Relationship Id="rId735" Type="http://schemas.openxmlformats.org/officeDocument/2006/relationships/hyperlink" Target="https://www.linkedin.com/posts/aevans18_our-business-operations-team-is-growing-activity-7231661821164765186-j5mH?utm_source=share&amp;utm_medium=member_ios" TargetMode="External"/><Relationship Id="rId977" Type="http://schemas.openxmlformats.org/officeDocument/2006/relationships/hyperlink" Target="https://www.linkedin.com/posts/zacharyelewitz_are-you-looking-for-your-next-opportunity-activity-7228871143904940032-tD5g?utm_source=share&amp;utm_medium=member_desktop" TargetMode="External"/><Relationship Id="rId37" Type="http://schemas.openxmlformats.org/officeDocument/2006/relationships/hyperlink" Target="https://www.linkedin.com/posts/knight2413_job-opening-business-systems-business-analyst-activity-7239950569648398336-pB7U?utm_source=share&amp;utm_medium=member_desktop" TargetMode="External"/><Relationship Id="rId36" Type="http://schemas.openxmlformats.org/officeDocument/2006/relationships/hyperlink" Target="https://www.linkedin.com/posts/hannah-roden_director-fpa-gtm-activity-7240013954716979201-HrZo?utm_source=share&amp;utm_medium=member_desktop" TargetMode="External"/><Relationship Id="rId39" Type="http://schemas.openxmlformats.org/officeDocument/2006/relationships/hyperlink" Target="https://www.linkedin.com/posts/michael-tambe_i-am-hiring-looking-for-a-strong-advanced-activity-7239972688344088576-a7G1?utm_source=share&amp;utm_medium=member_desktop" TargetMode="External"/><Relationship Id="rId38" Type="http://schemas.openxmlformats.org/officeDocument/2006/relationships/hyperlink" Target="https://www.linkedin.com/posts/catherine-condon-3b7375208_senior-analyst-hr-data-visualization-and-activity-7240062996792668161-G7YK?utm_source=share&amp;utm_medium=member_desktop" TargetMode="External"/><Relationship Id="rId730" Type="http://schemas.openxmlformats.org/officeDocument/2006/relationships/hyperlink" Target="https://www.linkedin.com/posts/waltonjoel_it-business-analyst-remote-in-us-activity-7231769459256913920--HQJ?utm_source=share&amp;utm_medium=member_desktop" TargetMode="External"/><Relationship Id="rId972" Type="http://schemas.openxmlformats.org/officeDocument/2006/relationships/hyperlink" Target="https://www.linkedin.com/posts/ericjhilton_senior-clinical-data-analyst-activity-7228878677776744448-ZO21?utm_source=share&amp;utm_medium=member_desktop" TargetMode="External"/><Relationship Id="rId971" Type="http://schemas.openxmlformats.org/officeDocument/2006/relationships/hyperlink" Target="https://www.linkedin.com/posts/tara-jones-722bb9124_check-out-this-job-at-curana-health-revenue-activity-7228931873115156480-P9wB?utm_source=share&amp;utm_medium=member_desktop" TargetMode="External"/><Relationship Id="rId1320" Type="http://schemas.openxmlformats.org/officeDocument/2006/relationships/hyperlink" Target="https://www.linkedin.com/posts/tammy-tominich_health-plan-data-analyst-iii-at-caresource-activity-7224848911700574209-B2NM?utm_source=share&amp;utm_medium=member_desktop" TargetMode="External"/><Relationship Id="rId970" Type="http://schemas.openxmlformats.org/officeDocument/2006/relationships/hyperlink" Target="https://www.linkedin.com/posts/daphneedwards_financial-analyst-in-new-york-ny-activity-7229095102508388352-eDnX?utm_source=share&amp;utm_medium=member_desktop" TargetMode="External"/><Relationship Id="rId1321" Type="http://schemas.openxmlformats.org/officeDocument/2006/relationships/hyperlink" Target="https://www.linkedin.com/posts/sjardeleza_research-assessment-analyst-temporary-activity-7224509795356049409-pwM8?utm_source=share&amp;utm_medium=member_desktop" TargetMode="External"/><Relationship Id="rId1322" Type="http://schemas.openxmlformats.org/officeDocument/2006/relationships/hyperlink" Target="https://www.linkedin.com/posts/nathan-hughes-6a947852_bi-developer-activity-7224976133744668672-URYw?utm_source=share&amp;utm_medium=member_desktop" TargetMode="External"/><Relationship Id="rId1114" Type="http://schemas.openxmlformats.org/officeDocument/2006/relationships/hyperlink" Target="https://www.linkedin.com/posts/activity-7226985264303263745-c6A4?utm_source=share&amp;utm_medium=member_desktop" TargetMode="External"/><Relationship Id="rId1356" Type="http://schemas.openxmlformats.org/officeDocument/2006/relationships/hyperlink" Target="https://www.linkedin.com/posts/barlewis_econorthwest-is-currently-looking-to-hire-activity-7224870032030253056-hRsP?utm_source=share&amp;utm_medium=member_desktop" TargetMode="External"/><Relationship Id="rId1115" Type="http://schemas.openxmlformats.org/officeDocument/2006/relationships/hyperlink" Target="https://www.linkedin.com/posts/activity-7227036402503356416-FqQL?utm_source=share&amp;utm_medium=member_desktop" TargetMode="External"/><Relationship Id="rId1357" Type="http://schemas.openxmlformats.org/officeDocument/2006/relationships/hyperlink" Target="https://www.linkedin.com/posts/samantha-b-a08360124_are-you-passionate-about-leveraging-data-activity-7224846827227865089-zNBE?utm_source=share&amp;utm_medium=member_desktop" TargetMode="External"/><Relationship Id="rId20" Type="http://schemas.openxmlformats.org/officeDocument/2006/relationships/hyperlink" Target="https://www.linkedin.com/posts/activity-7240105075975618561-3GCN?utm_source=share&amp;utm_medium=member_desktop" TargetMode="External"/><Relationship Id="rId1116" Type="http://schemas.openxmlformats.org/officeDocument/2006/relationships/hyperlink" Target="https://www.linkedin.com/posts/maiachang_i-have-an-opening-for-an-insights-analyst-activity-7226670216645165056-ytFA?utm_source=share&amp;utm_medium=member_desktop" TargetMode="External"/><Relationship Id="rId1358" Type="http://schemas.openxmlformats.org/officeDocument/2006/relationships/hyperlink" Target="https://www.linkedin.com/posts/kayla-baviello-0b840b79_exciting-job-opportunity-at-david-yurman-activity-7224937514942279680-3KI4?utm_source=share&amp;utm_medium=member_desktop" TargetMode="External"/><Relationship Id="rId1117" Type="http://schemas.openxmlformats.org/officeDocument/2006/relationships/hyperlink" Target="https://www.linkedin.com/posts/activity-7227019519322394624-YBYz?utm_source=share&amp;utm_medium=member_desktop" TargetMode="External"/><Relationship Id="rId1359" Type="http://schemas.openxmlformats.org/officeDocument/2006/relationships/hyperlink" Target="https://www.linkedin.com/posts/susan-calhoun-shirley-00b48711_hiring-sallybeauty-activity-7224922481151635457-keX_?utm_source=share&amp;utm_medium=member_desktop" TargetMode="External"/><Relationship Id="rId22" Type="http://schemas.openxmlformats.org/officeDocument/2006/relationships/hyperlink" Target="https://www.linkedin.com/posts/zach-mccrum-3b96ab169_jonathan-boo-davis-is-looking-for-a-senior-activity-7239948731490455553-ZUgF?utm_source=share&amp;utm_medium=member_desktop" TargetMode="External"/><Relationship Id="rId1118" Type="http://schemas.openxmlformats.org/officeDocument/2006/relationships/hyperlink" Target="https://www.linkedin.com/posts/kimoliver_hiring-rva-senior-activity-7227043614575525889-pa8x?utm_source=share&amp;utm_medium=member_desktop" TargetMode="External"/><Relationship Id="rId21" Type="http://schemas.openxmlformats.org/officeDocument/2006/relationships/hyperlink" Target="https://www.linkedin.com/posts/activity-7240104631484235776-XLJL?utm_source=share&amp;utm_medium=member_desktop" TargetMode="External"/><Relationship Id="rId1119" Type="http://schemas.openxmlformats.org/officeDocument/2006/relationships/hyperlink" Target="https://www.linkedin.com/posts/johnjamesontalent_im-hiringwe-are-in-search-of-a-marketing-activity-7227053659124068352-MYae?utm_source=share&amp;utm_medium=member_desktop" TargetMode="External"/><Relationship Id="rId24" Type="http://schemas.openxmlformats.org/officeDocument/2006/relationships/hyperlink" Target="https://www.linkedin.com/posts/kevin-graham-16bb0841_principal-sales-operations-analyst-capital-activity-7240074900755943425-P-C6?utm_source=share&amp;utm_medium=member_desktop" TargetMode="External"/><Relationship Id="rId23" Type="http://schemas.openxmlformats.org/officeDocument/2006/relationships/hyperlink" Target="https://www.linkedin.com/posts/chris-barr-39aa6735_come-work-with-us-circana-is-looking-for-activity-7240087752355012609-5bQz?utm_source=share&amp;utm_medium=member_desktop" TargetMode="External"/><Relationship Id="rId525" Type="http://schemas.openxmlformats.org/officeDocument/2006/relationships/hyperlink" Target="https://www.linkedin.com/posts/nina-sorkin-291811220_data-analyst-activity-7229828811243077633-5pOJ?utm_source=share&amp;utm_medium=member_desktop" TargetMode="External"/><Relationship Id="rId767" Type="http://schemas.openxmlformats.org/officeDocument/2006/relationships/hyperlink" Target="https://www.linkedin.com/posts/nicholas-bray-mba-1a04b81a_were-looking-for-a-senior-data-engineer-activity-7231471426338271232-cST2?utm_source=share&amp;utm_medium=member_desktop" TargetMode="External"/><Relationship Id="rId524" Type="http://schemas.openxmlformats.org/officeDocument/2006/relationships/hyperlink" Target="https://www.linkedin.com/posts/jchrysikos_hiring-activity-7233830938290331649-XYjV?utm_source=share&amp;utm_medium=member_desktop" TargetMode="External"/><Relationship Id="rId766" Type="http://schemas.openxmlformats.org/officeDocument/2006/relationships/hyperlink" Target="https://www.linkedin.com/posts/camden-iliff_businessanalyst-dataoperations-opportunity-activity-7231451900137652224-f0Tb?utm_source=share&amp;utm_medium=member_desktop" TargetMode="External"/><Relationship Id="rId523" Type="http://schemas.openxmlformats.org/officeDocument/2006/relationships/hyperlink" Target="https://www.linkedin.com/posts/katmorgan_built-activity-7232392456237916160-N8wi?utm_source=share&amp;utm_medium=member_desktop" TargetMode="External"/><Relationship Id="rId765" Type="http://schemas.openxmlformats.org/officeDocument/2006/relationships/hyperlink" Target="https://www.linkedin.com/posts/brian-barragan_senior-analyst-marketing-analytics-at-disney-activity-7231386791721713664-OPx4?utm_source=share&amp;utm_medium=member_desktop" TargetMode="External"/><Relationship Id="rId522" Type="http://schemas.openxmlformats.org/officeDocument/2006/relationships/hyperlink" Target="https://www.linkedin.com/posts/claresheehan_senior-startup-bd-operations-analyst-gso-activity-7232379490952179714-iQ8i?utm_source=share&amp;utm_medium=member_desktop" TargetMode="External"/><Relationship Id="rId764" Type="http://schemas.openxmlformats.org/officeDocument/2006/relationships/hyperlink" Target="https://www.linkedin.com/posts/rameil-sarkis-3096a329_exciting-times-at-mercury-insurance-as-activity-7231375617290616834-yPG5?utm_source=share&amp;utm_medium=member_desktop" TargetMode="External"/><Relationship Id="rId529" Type="http://schemas.openxmlformats.org/officeDocument/2006/relationships/hyperlink" Target="https://www.linkedin.com/posts/clarissa-mitchell-7761371_hiring-activity-7233619357958840320-EYq2?utm_source=share&amp;utm_medium=member_desktop" TargetMode="External"/><Relationship Id="rId528" Type="http://schemas.openxmlformats.org/officeDocument/2006/relationships/hyperlink" Target="https://www.linkedin.com/posts/richasrivastava1_customer-performance-analyst-activity-7233861898289438723-j30H?utm_source=share&amp;utm_medium=member_desktop" TargetMode="External"/><Relationship Id="rId527" Type="http://schemas.openxmlformats.org/officeDocument/2006/relationships/hyperlink" Target="https://www.linkedin.com/posts/brenda-smith-92b95b95_hiring-citi-citicareers-activity-7232711082115502082-Ek4B?utm_source=share&amp;utm_medium=member_desktop" TargetMode="External"/><Relationship Id="rId769" Type="http://schemas.openxmlformats.org/officeDocument/2006/relationships/hyperlink" Target="https://www.linkedin.com/posts/alanmiegel_data-analyst-all-open-positions-activity-7231377455142293504-U3BC?utm_source=share&amp;utm_medium=member_desktop" TargetMode="External"/><Relationship Id="rId526" Type="http://schemas.openxmlformats.org/officeDocument/2006/relationships/hyperlink" Target="https://www.linkedin.com/posts/ron-j-barber_check-out-this-job-at-americu-credit-union-activity-7233852670132822018-Wj5b?utm_source=share&amp;utm_medium=member_desktop" TargetMode="External"/><Relationship Id="rId768" Type="http://schemas.openxmlformats.org/officeDocument/2006/relationships/hyperlink" Target="https://www.linkedin.com/posts/jim-peshek_marketing-analytics-advisor-medicare-remote-activity-7231435913195630593-1fsg?utm_source=share&amp;utm_medium=member_desktop" TargetMode="External"/><Relationship Id="rId26" Type="http://schemas.openxmlformats.org/officeDocument/2006/relationships/hyperlink" Target="https://www.linkedin.com/posts/ren-boettger_principal-data-scientist-in-md-usa-administrative-activity-7239993809911107587-EkBe?utm_source=share&amp;utm_medium=member_desktop" TargetMode="External"/><Relationship Id="rId25" Type="http://schemas.openxmlformats.org/officeDocument/2006/relationships/hyperlink" Target="https://www.linkedin.com/posts/james-ryan-44140b54_hiring-activity-7240028128100646914-F-5S?utm_source=share&amp;utm_medium=member_desktop" TargetMode="External"/><Relationship Id="rId28" Type="http://schemas.openxmlformats.org/officeDocument/2006/relationships/hyperlink" Target="https://www.linkedin.com/posts/diego-crespo-910421107_scientific-data-analyst-activity-7235265854861369344-yM-b?utm_source=share&amp;utm_medium=member_desktop" TargetMode="External"/><Relationship Id="rId1350" Type="http://schemas.openxmlformats.org/officeDocument/2006/relationships/hyperlink" Target="https://www.linkedin.com/posts/charlie-austin-a4a87a170_calling-all-my-sr-media-analysts-check-activity-7224476557111607298-ECSZ?utm_source=share&amp;utm_medium=member_desktop" TargetMode="External"/><Relationship Id="rId27" Type="http://schemas.openxmlformats.org/officeDocument/2006/relationships/hyperlink" Target="https://www.linkedin.com/posts/lxclinton_im-thrilled-to-announce-thatukg-data-science-activity-7240172963784716289-Niok?utm_source=share&amp;utm_medium=member_desktop" TargetMode="External"/><Relationship Id="rId1351" Type="http://schemas.openxmlformats.org/officeDocument/2006/relationships/hyperlink" Target="https://www.linkedin.com/posts/seantwersky_business-operations-analyst-activity-7224256074730651648-CnI_?utm_source=share&amp;utm_medium=member_desktop" TargetMode="External"/><Relationship Id="rId521" Type="http://schemas.openxmlformats.org/officeDocument/2006/relationships/hyperlink" Target="https://www.linkedin.com/posts/activity-7233873335942586369-h1l2?utm_source=share&amp;utm_medium=member_desktop" TargetMode="External"/><Relationship Id="rId763" Type="http://schemas.openxmlformats.org/officeDocument/2006/relationships/hyperlink" Target="https://www.linkedin.com/posts/benjamin-russell-8580811a_job-details-activity-7231281064936194050-sVds?utm_source=share&amp;utm_medium=member_desktop" TargetMode="External"/><Relationship Id="rId1110" Type="http://schemas.openxmlformats.org/officeDocument/2006/relationships/hyperlink" Target="https://www.linkedin.com/posts/leilaniraedanigelis_hiring-activity-7226984347260588033-zmsy?utm_source=share&amp;utm_medium=member_ios" TargetMode="External"/><Relationship Id="rId1352" Type="http://schemas.openxmlformats.org/officeDocument/2006/relationships/hyperlink" Target="https://www.linkedin.com/posts/chris-pappey-190b98105_hubspot-careers-all-openings-activity-7224445514660904960-v6MQ?utm_source=share&amp;utm_medium=member_desktop" TargetMode="External"/><Relationship Id="rId29" Type="http://schemas.openxmlformats.org/officeDocument/2006/relationships/hyperlink" Target="https://www.linkedin.com/posts/harrison-i-wright_my-team-is-looking-for-a-data-analyst-to-activity-7240042256173264896-oXGb?utm_source=share&amp;utm_medium=member_desktop" TargetMode="External"/><Relationship Id="rId520" Type="http://schemas.openxmlformats.org/officeDocument/2006/relationships/hyperlink" Target="https://www.linkedin.com/posts/christina-iannetta_director-digital-marketing-analytics-activity-7233094309258940416-bH_K?utm_source=share&amp;utm_medium=member_desktop" TargetMode="External"/><Relationship Id="rId762" Type="http://schemas.openxmlformats.org/officeDocument/2006/relationships/hyperlink" Target="https://www.linkedin.com/posts/larissa-rodriguez-73954a142_usa-senior-manager-business-analysis-and-activity-7231300413583454209-LPCX?utm_source=share&amp;utm_medium=member_desktop" TargetMode="External"/><Relationship Id="rId1111" Type="http://schemas.openxmlformats.org/officeDocument/2006/relationships/hyperlink" Target="https://www.linkedin.com/posts/activity-7226951195871862785-6VSc?utm_source=share&amp;utm_medium=member_ios" TargetMode="External"/><Relationship Id="rId1353" Type="http://schemas.openxmlformats.org/officeDocument/2006/relationships/hyperlink" Target="https://www.linkedin.com/posts/tiffany-nguyen-b6346418_we-are-looking-for-financial-analyst-to-join-activity-7224909282310246400-WNTT?utm_source=share&amp;utm_medium=member_desktop" TargetMode="External"/><Relationship Id="rId761" Type="http://schemas.openxmlformats.org/officeDocument/2006/relationships/hyperlink" Target="https://www.linkedin.com/posts/marcwilliamson_talentneuron-senior-people-analytics-consultant-activity-7231378121504006145-GKpO?utm_source=share&amp;utm_medium=member_desktop" TargetMode="External"/><Relationship Id="rId1112" Type="http://schemas.openxmlformats.org/officeDocument/2006/relationships/hyperlink" Target="https://www.linkedin.com/posts/jarod-opheim_check-out-this-job-at-ultra-maritime-senior-activity-7227083119890235392-Cw23?utm_source=share&amp;utm_medium=member_desktop" TargetMode="External"/><Relationship Id="rId1354" Type="http://schemas.openxmlformats.org/officeDocument/2006/relationships/hyperlink" Target="https://www.linkedin.com/posts/alizazaffar_seniorcompensationanalyst-hr-dataanalysis-activity-7224885141616091136-kbw8?utm_source=share&amp;utm_medium=member_desktop" TargetMode="External"/><Relationship Id="rId760" Type="http://schemas.openxmlformats.org/officeDocument/2006/relationships/hyperlink" Target="https://www.linkedin.com/posts/bonny-matles-540289235_hiring-consumerinsights-marketresearch-activity-7231407828412895232-3sxs?utm_source=share&amp;utm_medium=member_desktop" TargetMode="External"/><Relationship Id="rId1113" Type="http://schemas.openxmlformats.org/officeDocument/2006/relationships/hyperlink" Target="https://www.linkedin.com/posts/porterorr01_excited-to-be-growing-our-data-science-team-activity-7226796721387790336-CczI?utm_source=share&amp;utm_medium=member_desktop" TargetMode="External"/><Relationship Id="rId1355" Type="http://schemas.openxmlformats.org/officeDocument/2006/relationships/hyperlink" Target="https://www.linkedin.com/posts/christianlentz_careers-activity-7224917215865716736-KOU9?utm_source=share&amp;utm_medium=member_desktop" TargetMode="External"/><Relationship Id="rId1103" Type="http://schemas.openxmlformats.org/officeDocument/2006/relationships/hyperlink" Target="https://www.linkedin.com/posts/bridgettwood_financial-analyst-activity-7227301848016117761-kZbB?utm_source=share&amp;utm_medium=member_desktop" TargetMode="External"/><Relationship Id="rId1345" Type="http://schemas.openxmlformats.org/officeDocument/2006/relationships/hyperlink" Target="https://www.linkedin.com/posts/activity-7224907715108651009-IL5o?utm_source=share&amp;utm_medium=member_desktop" TargetMode="External"/><Relationship Id="rId1104" Type="http://schemas.openxmlformats.org/officeDocument/2006/relationships/hyperlink" Target="https://www.linkedin.com/posts/gusvillines_business-intelligence-analyst-ii-activity-7227292746284158976-ukrC?utm_source=share&amp;utm_medium=member_desktop" TargetMode="External"/><Relationship Id="rId1346" Type="http://schemas.openxmlformats.org/officeDocument/2006/relationships/hyperlink" Target="https://www.linkedin.com/posts/patryk-krasnicki-crypto-research_research-analyst-activity-7224830420910039040-ho8A?utm_source=share&amp;utm_medium=member_desktop" TargetMode="External"/><Relationship Id="rId1105" Type="http://schemas.openxmlformats.org/officeDocument/2006/relationships/hyperlink" Target="https://www.linkedin.com/posts/rmuhanna_i-am-looking-to-fill-a-senior-financial-analyst-activity-7227277123244150784-_pfR?utm_source=share&amp;utm_medium=member_desktop" TargetMode="External"/><Relationship Id="rId1347" Type="http://schemas.openxmlformats.org/officeDocument/2006/relationships/hyperlink" Target="https://www.linkedin.com/posts/emilybagwell_senior-financial-analyst-dallastexasunited-activity-7224844225555619840-ljX8?utm_source=share&amp;utm_medium=member_desktop" TargetMode="External"/><Relationship Id="rId1106" Type="http://schemas.openxmlformats.org/officeDocument/2006/relationships/hyperlink" Target="https://www.linkedin.com/posts/lauwyna-newsome-1467162_sr-financial-analyst-activity-7227304123715497985-0BR0?utm_source=share&amp;utm_medium=member_desktop" TargetMode="External"/><Relationship Id="rId1348" Type="http://schemas.openxmlformats.org/officeDocument/2006/relationships/hyperlink" Target="https://www.linkedin.com/posts/sienna-mintz-09068230_hiring-activity-7224782334212911104-xMy4?utm_source=share&amp;utm_medium=member_desktop" TargetMode="External"/><Relationship Id="rId11" Type="http://schemas.openxmlformats.org/officeDocument/2006/relationships/hyperlink" Target="https://www.linkedin.com/posts/jillmariem_hot-topic-careers-activity-7239755747444580353-ysGI?utm_source=share&amp;utm_medium=member_desktop" TargetMode="External"/><Relationship Id="rId1107" Type="http://schemas.openxmlformats.org/officeDocument/2006/relationships/hyperlink" Target="https://www.linkedin.com/posts/isabel-cot%C3%A9-9a66414b_check-out-this-job-at-storck-usa-lp-trade-activity-7227306837073649664-aUag?utm_source=share&amp;utm_medium=member_desktop" TargetMode="External"/><Relationship Id="rId1349" Type="http://schemas.openxmlformats.org/officeDocument/2006/relationships/hyperlink" Target="https://www.linkedin.com/posts/rishabhdaga_we-are-hiring-a-senior-risk-analyst-in-our-activity-7224517588469305345-dv1F?utm_source=share&amp;utm_medium=member_desktop" TargetMode="External"/><Relationship Id="rId10" Type="http://schemas.openxmlformats.org/officeDocument/2006/relationships/hyperlink" Target="https://www.linkedin.com/posts/activity-7239992806042132480-DHRu?utm_source=share&amp;utm_medium=member_desktop" TargetMode="External"/><Relationship Id="rId1108" Type="http://schemas.openxmlformats.org/officeDocument/2006/relationships/hyperlink" Target="https://www.linkedin.com/posts/troykachurka_come-join-our-team-seeking-data-driven-activity-7227264755059597312-uqHQ?utm_source=share&amp;utm_medium=member_desktop" TargetMode="External"/><Relationship Id="rId13" Type="http://schemas.openxmlformats.org/officeDocument/2006/relationships/hyperlink" Target="https://www.linkedin.com/posts/dianacragle_senior-compensation-analyst-in-san-francisco-activity-7240078648072904704-cDCm?utm_source=share&amp;utm_medium=member_desktop" TargetMode="External"/><Relationship Id="rId1109" Type="http://schemas.openxmlformats.org/officeDocument/2006/relationships/hyperlink" Target="https://www.linkedin.com/posts/bala-pudota-phd_rd-data-analyst-in-multiple-locations-activity-7227270678020775936-wek6?utm_source=share&amp;utm_medium=member_desktop" TargetMode="External"/><Relationship Id="rId12" Type="http://schemas.openxmlformats.org/officeDocument/2006/relationships/hyperlink" Target="https://www.linkedin.com/posts/sarah-birkner_calling-all-recent-grads-or-someone-looking-activity-7240115753343995904-cknq?utm_source=share&amp;utm_medium=member_desktop" TargetMode="External"/><Relationship Id="rId519" Type="http://schemas.openxmlformats.org/officeDocument/2006/relationships/hyperlink" Target="https://www.linkedin.com/posts/christina-iannetta_senior-analyst-programmatic-activity-7233384219614326784-qy6L?utm_source=share&amp;utm_medium=member_desktop" TargetMode="External"/><Relationship Id="rId514" Type="http://schemas.openxmlformats.org/officeDocument/2006/relationships/hyperlink" Target="https://www.linkedin.com/posts/leah-rothberg_data-scientist-i-launch-program-2025-united-activity-7233866964467601411-YUBw?utm_source=share&amp;utm_medium=member_desktop" TargetMode="External"/><Relationship Id="rId756" Type="http://schemas.openxmlformats.org/officeDocument/2006/relationships/hyperlink" Target="https://www.linkedin.com/posts/raeka-delong-0a1044171_linkedin-activity-7231309075664285698-4NhA?utm_source=share&amp;utm_medium=member_desktop" TargetMode="External"/><Relationship Id="rId998" Type="http://schemas.openxmlformats.org/officeDocument/2006/relationships/hyperlink" Target="https://www.linkedin.com/posts/christinesextonmurphy_job-openings-activity-7228783567093350401-hC20?utm_source=share&amp;utm_medium=member_desktop" TargetMode="External"/><Relationship Id="rId513" Type="http://schemas.openxmlformats.org/officeDocument/2006/relationships/hyperlink" Target="https://www.linkedin.com/posts/christopher-sullivan-21401661_senior-merchandising-operations-analyst-activity-7233815911042854913-TQew?utm_source=share&amp;utm_medium=member_desktop" TargetMode="External"/><Relationship Id="rId755" Type="http://schemas.openxmlformats.org/officeDocument/2006/relationships/hyperlink" Target="https://www.linkedin.com/posts/mvinikow_im-excited-to-share-an-opportunity-to-join-activity-7230261249689669632-SvU5?utm_source=share&amp;utm_medium=member_desktop" TargetMode="External"/><Relationship Id="rId997" Type="http://schemas.openxmlformats.org/officeDocument/2006/relationships/hyperlink" Target="http://viz.ai" TargetMode="External"/><Relationship Id="rId512" Type="http://schemas.openxmlformats.org/officeDocument/2006/relationships/hyperlink" Target="https://www.linkedin.com/posts/iancooper96_analytics-engineer-activity-7233949587068051456-2k1x?utm_source=share&amp;utm_medium=member_desktop" TargetMode="External"/><Relationship Id="rId754" Type="http://schemas.openxmlformats.org/officeDocument/2006/relationships/hyperlink" Target="https://www.linkedin.com/posts/tonypaek_our-team-at-pinterest-is-on-the-lookout-for-activity-7231329704102752256-JVKE?utm_source=share&amp;utm_medium=member_desktop" TargetMode="External"/><Relationship Id="rId996" Type="http://schemas.openxmlformats.org/officeDocument/2006/relationships/hyperlink" Target="https://www.linkedin.com/posts/amygrayta_dallas-hiring-activity-7228878793522692096-eTZ2?utm_source=share&amp;utm_medium=member_desktop" TargetMode="External"/><Relationship Id="rId511" Type="http://schemas.openxmlformats.org/officeDocument/2006/relationships/hyperlink" Target="https://www.linkedin.com/posts/melodyalyssa_product-manager-data-analytics-remote-activity-7233940389143920640-sYlq?utm_source=share&amp;utm_medium=member_desktop" TargetMode="External"/><Relationship Id="rId753" Type="http://schemas.openxmlformats.org/officeDocument/2006/relationships/hyperlink" Target="https://www.linkedin.com/posts/tamsen-haught-7a33b79_association-analytics-analytics-engineer-activity-7231360639766536192-vVTB?utm_source=share&amp;utm_medium=member_desktop" TargetMode="External"/><Relationship Id="rId995" Type="http://schemas.openxmlformats.org/officeDocument/2006/relationships/hyperlink" Target="https://www.linkedin.com/posts/reneesantana_gold-kidney-health-plan-is-growing-and-looking-activity-7228496915988987904-R5cd?utm_source=share&amp;utm_medium=member_desktop" TargetMode="External"/><Relationship Id="rId518" Type="http://schemas.openxmlformats.org/officeDocument/2006/relationships/hyperlink" Target="https://www.linkedin.com/posts/christina-iannetta_analyst-seo-activity-7233819084771979266-Xj0A?utm_source=share&amp;utm_medium=member_desktop" TargetMode="External"/><Relationship Id="rId517" Type="http://schemas.openxmlformats.org/officeDocument/2006/relationships/hyperlink" Target="https://www.linkedin.com/posts/activity-7232803200934756353-Ul-N?utm_source=share&amp;utm_medium=member_desktop" TargetMode="External"/><Relationship Id="rId759" Type="http://schemas.openxmlformats.org/officeDocument/2006/relationships/hyperlink" Target="https://www.linkedin.com/posts/valeriekimura_toyotires-toyotirescareers-toyotiresjob-activity-7230264031704444928-vHcB?utm_source=share&amp;utm_medium=member_desktop" TargetMode="External"/><Relationship Id="rId516" Type="http://schemas.openxmlformats.org/officeDocument/2006/relationships/hyperlink" Target="https://www.linkedin.com/posts/donte-harris-0842bb99_senior-fraud-analyst-in-tampa-florida-activity-7232490039463612419-jpHK?utm_source=share&amp;utm_medium=member_desktop" TargetMode="External"/><Relationship Id="rId758" Type="http://schemas.openxmlformats.org/officeDocument/2006/relationships/hyperlink" Target="https://www.linkedin.com/posts/bradleycine_senior-strategic-financial-analyst-activity-7231276225971785729-wbrY?utm_source=share&amp;utm_medium=member_desktop" TargetMode="External"/><Relationship Id="rId515" Type="http://schemas.openxmlformats.org/officeDocument/2006/relationships/hyperlink" Target="https://www.linkedin.com/posts/princess-posey-093bb9228_opportunity-teamgainwell-apply-activity-7232827697196924928-uuzm?utm_source=share&amp;utm_medium=member_desktop" TargetMode="External"/><Relationship Id="rId757" Type="http://schemas.openxmlformats.org/officeDocument/2006/relationships/hyperlink" Target="https://www.linkedin.com/posts/raeka-delong-0a1044171_linkedin-activity-7231309075664285698-4NhA?utm_source=share&amp;utm_medium=member_desktop" TargetMode="External"/><Relationship Id="rId999" Type="http://schemas.openxmlformats.org/officeDocument/2006/relationships/hyperlink" Target="https://www.linkedin.com/posts/annette-barnard-cscp-13644926_we-are-hiring-check-out-this-job-at-corning-activity-7228465143871913985-jcbk?utm_source=share&amp;utm_medium=member_desktop" TargetMode="External"/><Relationship Id="rId15" Type="http://schemas.openxmlformats.org/officeDocument/2006/relationships/hyperlink" Target="https://www.linkedin.com/posts/luke-moeves-a1b442207_data-reporting-analyst-activity-7240096182541152256-7h2D?utm_source=share&amp;utm_medium=member_desktop" TargetMode="External"/><Relationship Id="rId990" Type="http://schemas.openxmlformats.org/officeDocument/2006/relationships/hyperlink" Target="https://www.linkedin.com/posts/bradleyluzietti_looking-for-someone-with-a-few-years-of-experience-activity-7228811322946117632-iQuN?utm_source=share&amp;utm_medium=member_desktop" TargetMode="External"/><Relationship Id="rId14" Type="http://schemas.openxmlformats.org/officeDocument/2006/relationships/hyperlink" Target="https://www.linkedin.com/posts/ling-shao-218208aa_senior-data-scientist-activity-7240130589008281600-3Qy-?utm_source=share&amp;utm_medium=member_desktop" TargetMode="External"/><Relationship Id="rId17" Type="http://schemas.openxmlformats.org/officeDocument/2006/relationships/hyperlink" Target="https://www.linkedin.com/posts/kyle-lamunyon_revenue-operations-analyst-at-pearl-ai-activity-7240147061390589952--DGc?utm_source=share&amp;utm_medium=member_desktop" TargetMode="External"/><Relationship Id="rId16" Type="http://schemas.openxmlformats.org/officeDocument/2006/relationships/hyperlink" Target="https://www.linkedin.com/posts/mohdamanalvi_hiring-biabrspecialist-businessabrintelligenceabrspecialist-activity-7240029562384924673-JPmr?utm_source=share&amp;utm_medium=member_desktop" TargetMode="External"/><Relationship Id="rId1340" Type="http://schemas.openxmlformats.org/officeDocument/2006/relationships/hyperlink" Target="https://www.linkedin.com/posts/activity-7224915114754260992-b5FY?utm_source=share&amp;utm_medium=member_desktop" TargetMode="External"/><Relationship Id="rId19" Type="http://schemas.openxmlformats.org/officeDocument/2006/relationships/hyperlink" Target="https://www.linkedin.com/posts/tylermaxwellotto_hiring-dataanalyst-jobopportunity-activity-7240150195596894208-hmE_?utm_source=share&amp;utm_medium=member_desktop" TargetMode="External"/><Relationship Id="rId510" Type="http://schemas.openxmlformats.org/officeDocument/2006/relationships/hyperlink" Target="https://www.linkedin.com/posts/michael-crispin-jr-9902_hiring-genai-llm-activity-7233829656259391488-icmk?utm_source=share&amp;utm_medium=member_desktop" TargetMode="External"/><Relationship Id="rId752" Type="http://schemas.openxmlformats.org/officeDocument/2006/relationships/hyperlink" Target="https://www.linkedin.com/posts/matt-kelley-aa6194_associate-director-performance-analytics-activity-7231358443721244675-76kO?utm_source=share&amp;utm_medium=member_desktop" TargetMode="External"/><Relationship Id="rId994" Type="http://schemas.openxmlformats.org/officeDocument/2006/relationships/hyperlink" Target="https://www.linkedin.com/posts/rafaelsanmiguel_hiring-activity-7228787175314591745--N4k?utm_source=share&amp;utm_medium=member_desktop" TargetMode="External"/><Relationship Id="rId1341" Type="http://schemas.openxmlformats.org/officeDocument/2006/relationships/hyperlink" Target="https://www.linkedin.com/posts/marcolopez_manager-customer-analytics-and-insights-activity-7224525623669448706-RV1I?utm_source=share&amp;utm_medium=member_desktop" TargetMode="External"/><Relationship Id="rId18" Type="http://schemas.openxmlformats.org/officeDocument/2006/relationships/hyperlink" Target="https://www.linkedin.com/posts/lisameyersbaltimore_im-hiring-please-reach-out-if-you-are-interested-activity-7239261097675927553-rtbs?utm_source=share&amp;utm_medium=member_desktop" TargetMode="External"/><Relationship Id="rId751" Type="http://schemas.openxmlformats.org/officeDocument/2006/relationships/hyperlink" Target="https://www.linkedin.com/posts/melyndageraghtydevelopmentrecruiter_data-engineer-retail-data-products-sql-activity-7231652517430919169-yO-J?utm_source=share&amp;utm_medium=member_desktop" TargetMode="External"/><Relationship Id="rId993" Type="http://schemas.openxmlformats.org/officeDocument/2006/relationships/hyperlink" Target="https://www.linkedin.com/posts/kortney-griffith-790677188_businessanalyst-erp-acumatica-activity-7228790907645374464--a4H?utm_source=share&amp;utm_medium=member_desktop" TargetMode="External"/><Relationship Id="rId1100" Type="http://schemas.openxmlformats.org/officeDocument/2006/relationships/hyperlink" Target="https://www.linkedin.com/posts/kevinbeltzman_riskadjustment-activity-7227321298081734656-qpIt?utm_source=share&amp;utm_medium=member_desktop" TargetMode="External"/><Relationship Id="rId1342" Type="http://schemas.openxmlformats.org/officeDocument/2006/relationships/hyperlink" Target="https://www.linkedin.com/posts/navin-sivanandam-87925168_the-core-data-science-team-at-airbnb-is-dedicated-activity-7224409783003463682-aO1q?utm_source=share&amp;utm_medium=member_desktop" TargetMode="External"/><Relationship Id="rId750" Type="http://schemas.openxmlformats.org/officeDocument/2006/relationships/hyperlink" Target="https://www.linkedin.com/feed/update/urn:li:activity:7231480391918837760/" TargetMode="External"/><Relationship Id="rId992" Type="http://schemas.openxmlformats.org/officeDocument/2006/relationships/hyperlink" Target="https://www.linkedin.com/posts/jennifer-blank1_digital-technology-manager-advanced-analytics-activity-7228578761976201218-jnPX?utm_source=share&amp;utm_medium=member_desktop" TargetMode="External"/><Relationship Id="rId1101" Type="http://schemas.openxmlformats.org/officeDocument/2006/relationships/hyperlink" Target="https://www.linkedin.com/posts/stephanie-steph-eckstein-0a132969_hiring-activity-7227023374626025472-vX9j?utm_source=share&amp;utm_medium=member_desktop" TargetMode="External"/><Relationship Id="rId1343" Type="http://schemas.openxmlformats.org/officeDocument/2006/relationships/hyperlink" Target="https://www.linkedin.com/posts/krishnashrinivas_hiring-activity-7224894948863569920-UqL2?utm_source=share&amp;utm_medium=member_desktop" TargetMode="External"/><Relationship Id="rId991" Type="http://schemas.openxmlformats.org/officeDocument/2006/relationships/hyperlink" Target="https://www.linkedin.com/posts/firasn_come-and-join-our-partnerships-team-at-honda-activity-7228496180391862272-_MlX?utm_source=share&amp;utm_medium=member_desktop" TargetMode="External"/><Relationship Id="rId1102" Type="http://schemas.openxmlformats.org/officeDocument/2006/relationships/hyperlink" Target="https://www.linkedin.com/posts/branden-sparks-mba-10568818_hranalyst-nevadahealthcenters-joinourteam-activity-7227002996490919936-giBi?utm_source=share&amp;utm_medium=member_desktop" TargetMode="External"/><Relationship Id="rId1344" Type="http://schemas.openxmlformats.org/officeDocument/2006/relationships/hyperlink" Target="https://www.linkedin.com/posts/amanda-machado-ms-b68457156_operational-excellence-analyst-activity-7224636933920931840-2bnY?utm_source=share&amp;utm_medium=member_desktop" TargetMode="External"/><Relationship Id="rId84" Type="http://schemas.openxmlformats.org/officeDocument/2006/relationships/hyperlink" Target="https://www.linkedin.com/posts/rachel-jonkers-50148437_come-join-our-growing-planning-analysis-activity-7239743067115675648-aYFc?utm_source=share&amp;utm_medium=member_desktop" TargetMode="External"/><Relationship Id="rId83" Type="http://schemas.openxmlformats.org/officeDocument/2006/relationships/hyperlink" Target="https://www.linkedin.com/posts/stephen-lindgren-3338a09_we-are-hiring-a-financial-analyst-position-activity-7239447292167012352-EIAp?utm_source=share&amp;utm_medium=member_desktop" TargetMode="External"/><Relationship Id="rId86" Type="http://schemas.openxmlformats.org/officeDocument/2006/relationships/hyperlink" Target="https://www.linkedin.com/posts/activity-7239633851172450305-TqI6?utm_source=share&amp;utm_medium=member_desktop" TargetMode="External"/><Relationship Id="rId85" Type="http://schemas.openxmlformats.org/officeDocument/2006/relationships/hyperlink" Target="https://www.linkedin.com/posts/yanika-limsiri_im-hiring-a-senior-product-analyst-who-is-activity-7239358809062699008-woT3?utm_source=share&amp;utm_medium=member_desktop" TargetMode="External"/><Relationship Id="rId88" Type="http://schemas.openxmlformats.org/officeDocument/2006/relationships/hyperlink" Target="https://www.linkedin.com/posts/activity-7239725154753294337-H0v0?utm_source=share&amp;utm_medium=member_desktop" TargetMode="External"/><Relationship Id="rId87" Type="http://schemas.openxmlformats.org/officeDocument/2006/relationships/hyperlink" Target="https://www.linkedin.com/posts/austin-jarrette-crcr-2b2183150_litigation-budgets-hiring-activity-7239711513207353345-heet?utm_source=share&amp;utm_medium=member_desktop" TargetMode="External"/><Relationship Id="rId89" Type="http://schemas.openxmlformats.org/officeDocument/2006/relationships/hyperlink" Target="https://www.linkedin.com/posts/termeh-djahed_senior-analyst-office-of-safety-operations-activity-7239044952934989825-LukP?utm_source=share&amp;utm_medium=member_desktop" TargetMode="External"/><Relationship Id="rId709" Type="http://schemas.openxmlformats.org/officeDocument/2006/relationships/hyperlink" Target="https://www.linkedin.com/posts/leticia-trevi%C3%B1o_join-our-team-as-a-reporting-analyst-activity-7231727193935032321-L09j?utm_source=share&amp;utm_medium=member_ios" TargetMode="External"/><Relationship Id="rId708" Type="http://schemas.openxmlformats.org/officeDocument/2006/relationships/hyperlink" Target="https://www.linkedin.com/posts/joanne-zih-han-wang_were-hiring-a-crm-analyst-amazing-team-activity-7231843280525611008-6r8M?utm_source=share&amp;utm_medium=member_ios" TargetMode="External"/><Relationship Id="rId707" Type="http://schemas.openxmlformats.org/officeDocument/2006/relationships/hyperlink" Target="https://www.linkedin.com/posts/bpcortez_hiring-lendingclub-hiring-activity-7231793265690222593-5d3y?utm_source=share&amp;utm_medium=member_ios" TargetMode="External"/><Relationship Id="rId949" Type="http://schemas.openxmlformats.org/officeDocument/2006/relationships/hyperlink" Target="https://www.linkedin.com/posts/paige-carder-95730a12b_hot-job-alert-our-marketing-operations-activity-7229195452531752960-uNta?utm_source=share&amp;utm_medium=member_desktop" TargetMode="External"/><Relationship Id="rId706" Type="http://schemas.openxmlformats.org/officeDocument/2006/relationships/hyperlink" Target="https://www.linkedin.com/posts/kelsey-wiggin-89914759_im-hiring-a-couple-remote-friendly-data-activity-7231766375722090496-bjlT?utm_source=share&amp;utm_medium=member_ios" TargetMode="External"/><Relationship Id="rId948" Type="http://schemas.openxmlformats.org/officeDocument/2006/relationships/hyperlink" Target="https://www.linkedin.com/posts/payton-willingham-297510195_senior-specialist-contract-operations-analytics-activity-7229137497157480448-_DPi?utm_source=share&amp;utm_medium=member_desktop" TargetMode="External"/><Relationship Id="rId80" Type="http://schemas.openxmlformats.org/officeDocument/2006/relationships/hyperlink" Target="https://www.linkedin.com/posts/seth-e-clark_staff-data-scientist-collibra-activity-7239747019504852994-lRNt?utm_source=share&amp;utm_medium=member_desktop" TargetMode="External"/><Relationship Id="rId82" Type="http://schemas.openxmlformats.org/officeDocument/2006/relationships/hyperlink" Target="https://www.linkedin.com/posts/avigail-vantu-5119218a_hiring-activity-7239720578759233538-fuVa?utm_source=share&amp;utm_medium=member_desktop" TargetMode="External"/><Relationship Id="rId81" Type="http://schemas.openxmlformats.org/officeDocument/2006/relationships/hyperlink" Target="https://www.linkedin.com/posts/stephso_hiring-activity-7239703573415014400-8m-u?utm_source=share&amp;utm_medium=member_desktop" TargetMode="External"/><Relationship Id="rId701" Type="http://schemas.openxmlformats.org/officeDocument/2006/relationships/hyperlink" Target="https://www.linkedin.com/posts/jgdalzell_excited-to-share-that-i-am-hiring-a-senior-activity-7231808821046775808-_KvO?utm_source=share&amp;utm_medium=member_desktop" TargetMode="External"/><Relationship Id="rId943" Type="http://schemas.openxmlformats.org/officeDocument/2006/relationships/hyperlink" Target="https://www.linkedin.com/posts/mattredinger_im-hiring-i-have-an-open-senior-financial-activity-7229215362670567425-0PsD?utm_source=share&amp;utm_medium=member_desktop" TargetMode="External"/><Relationship Id="rId700" Type="http://schemas.openxmlformats.org/officeDocument/2006/relationships/hyperlink" Target="https://www.linkedin.com/posts/james-flattum_aecoms-corporate-investor-relations-team-activity-7232037757265584128-zXm7?utm_source=share&amp;utm_medium=member_desktop" TargetMode="External"/><Relationship Id="rId942" Type="http://schemas.openxmlformats.org/officeDocument/2006/relationships/hyperlink" Target="https://www.linkedin.com/posts/leahbhughes_consumerinsights-businessintelligence-marketingjobs-activity-7229274967232634880-E4FN?utm_source=share&amp;utm_medium=member_desktop" TargetMode="External"/><Relationship Id="rId941" Type="http://schemas.openxmlformats.org/officeDocument/2006/relationships/hyperlink" Target="https://www.linkedin.com/posts/aprildotenboss_our-finance-and-performance-analytics-team-activity-7229207105369444352-OYnh?utm_source=share&amp;utm_medium=member_ios" TargetMode="External"/><Relationship Id="rId940" Type="http://schemas.openxmlformats.org/officeDocument/2006/relationships/hyperlink" Target="https://www.linkedin.com/posts/activity-7229392021600280576-_vV5?utm_source=share&amp;utm_medium=member_desktop" TargetMode="External"/><Relationship Id="rId705" Type="http://schemas.openxmlformats.org/officeDocument/2006/relationships/hyperlink" Target="https://www.linkedin.com/posts/aleczopf_were-hiring-two-new-customer-facing-data-activity-7231821216448180227-TrFu?utm_source=share&amp;utm_medium=member_ios" TargetMode="External"/><Relationship Id="rId947" Type="http://schemas.openxmlformats.org/officeDocument/2006/relationships/hyperlink" Target="https://www.linkedin.com/posts/megan-dusenbery-7320793a_senior-manager-revenue-operations-and-analytics-activity-7229241628777967616-6rln?utm_source=share&amp;utm_medium=member_desktop" TargetMode="External"/><Relationship Id="rId704" Type="http://schemas.openxmlformats.org/officeDocument/2006/relationships/hyperlink" Target="https://www.linkedin.com/posts/christine-gaffney-b43263a_financial-planning-and-operations-analyst-activity-7231753134849540097-hQ3S?utm_source=share&amp;utm_medium=member_ios" TargetMode="External"/><Relationship Id="rId946" Type="http://schemas.openxmlformats.org/officeDocument/2006/relationships/hyperlink" Target="https://www.linkedin.com/posts/kimberly-mahar-bb2b8331_our-team-is-expanding-and-were-hiring-for-activity-7229186291219775488-oL-x?utm_source=share&amp;utm_medium=member_desktop" TargetMode="External"/><Relationship Id="rId703" Type="http://schemas.openxmlformats.org/officeDocument/2006/relationships/hyperlink" Target="https://www.linkedin.com/posts/activity-7231693735540002816-Orf1?utm_source=share&amp;utm_medium=member_desktop" TargetMode="External"/><Relationship Id="rId945" Type="http://schemas.openxmlformats.org/officeDocument/2006/relationships/hyperlink" Target="https://www.linkedin.com/posts/activity-7229187007971745792-aBUm?utm_source=share&amp;utm_medium=member_desktop" TargetMode="External"/><Relationship Id="rId702" Type="http://schemas.openxmlformats.org/officeDocument/2006/relationships/hyperlink" Target="https://www.linkedin.com/posts/luke-jerrells-435291138_our-analytics-department-at-true-rx-health-activity-7231681964234178563-zcBg?utm_source=share&amp;utm_medium=member_desktop" TargetMode="External"/><Relationship Id="rId944" Type="http://schemas.openxmlformats.org/officeDocument/2006/relationships/hyperlink" Target="https://www.linkedin.com/posts/karmen-perogine-095309193_senior-revenue-operations-analyst-hcss-activity-7229201191027572737-23b0?utm_source=share&amp;utm_medium=member_desktop" TargetMode="External"/><Relationship Id="rId73" Type="http://schemas.openxmlformats.org/officeDocument/2006/relationships/hyperlink" Target="https://www.linkedin.com/posts/aubrey-cirillo_hiring-webanalytics-senioranalyst-ugcPost-7239741698992484353-m-vh?utm_source=share&amp;utm_medium=member_desktop" TargetMode="External"/><Relationship Id="rId72" Type="http://schemas.openxmlformats.org/officeDocument/2006/relationships/hyperlink" Target="https://www.linkedin.com/posts/jerrysagmaquen_aws-snowflake-datanalytics-activity-7239716897393369090-jNTH?utm_source=share&amp;utm_medium=member_desktop" TargetMode="External"/><Relationship Id="rId75" Type="http://schemas.openxmlformats.org/officeDocument/2006/relationships/hyperlink" Target="https://www.linkedin.com/posts/katie-king-00293945_my-team-is-hiring-we-have-an-open-spot-for-activity-7239737685861376000-GcHz?utm_source=share&amp;utm_medium=member_desktop" TargetMode="External"/><Relationship Id="rId74" Type="http://schemas.openxmlformats.org/officeDocument/2006/relationships/hyperlink" Target="https://www.linkedin.com/posts/shannon-monaghan-964184111_adobeanalytics-digitalchannels-webanalytics-activity-7239735563010945026-hhS4?utm_source=share&amp;utm_medium=member_desktop" TargetMode="External"/><Relationship Id="rId77" Type="http://schemas.openxmlformats.org/officeDocument/2006/relationships/hyperlink" Target="https://www.linkedin.com/posts/troy-fite-373903b3_hiring-financialanalyst-healthcarejobs-activity-7239748608491692033-qnI-?utm_source=share&amp;utm_medium=member_desktop" TargetMode="External"/><Relationship Id="rId76" Type="http://schemas.openxmlformats.org/officeDocument/2006/relationships/hyperlink" Target="https://www.linkedin.com/posts/destiny-molter-427b5535_quantitativeanalyst-modelvalidation-datascience-activity-7239725910558486528-aWRB?utm_source=share&amp;utm_medium=member_desktop" TargetMode="External"/><Relationship Id="rId79" Type="http://schemas.openxmlformats.org/officeDocument/2006/relationships/hyperlink" Target="https://www.linkedin.com/posts/david-mackanic_i-am-hiring-we-have-a-number-of-important-activity-7239795868789260288-aWHl?utm_source=share&amp;utm_medium=member_desktop" TargetMode="External"/><Relationship Id="rId78" Type="http://schemas.openxmlformats.org/officeDocument/2006/relationships/hyperlink" Target="https://www.linkedin.com/posts/sarah-guidry-bb3a9b19_data-scientist-activity-7239768570363084801-F7Zh?utm_source=share&amp;utm_medium=member_desktop" TargetMode="External"/><Relationship Id="rId939" Type="http://schemas.openxmlformats.org/officeDocument/2006/relationships/hyperlink" Target="https://www.linkedin.com/posts/bradleyluchene_hiring-jobopening-jobopportunity-activity-7229465140146925569-N-wM?utm_source=share&amp;utm_medium=member_desktop" TargetMode="External"/><Relationship Id="rId938" Type="http://schemas.openxmlformats.org/officeDocument/2006/relationships/hyperlink" Target="https://www.linkedin.com/posts/michelle-schmitt-phl_come-work-at-reinvestment-fund-the-team-activity-7229461874906464256-moTA?utm_source=share&amp;utm_medium=member_desktop" TargetMode="External"/><Relationship Id="rId937" Type="http://schemas.openxmlformats.org/officeDocument/2006/relationships/hyperlink" Target="https://www.linkedin.com/posts/elizabeth-carter-fayers_calling-all-my-nebraska-and-remote-data-analysts-activity-7229335039317000193-PM6X?utm_source=share&amp;utm_medium=member_desktop" TargetMode="External"/><Relationship Id="rId71" Type="http://schemas.openxmlformats.org/officeDocument/2006/relationships/hyperlink" Target="https://www.linkedin.com/posts/victor-xian_my-team-is-growing-we-are-looking-to-hire-activity-7239691872858750977-0-A_?utm_source=share&amp;utm_medium=member_desktop" TargetMode="External"/><Relationship Id="rId70" Type="http://schemas.openxmlformats.org/officeDocument/2006/relationships/hyperlink" Target="https://www.linkedin.com/posts/lisa-mk-brown-2b118213_powerbi-businessintelligence-analytics-activity-7239736827090284544-qviQ?utm_source=share&amp;utm_medium=member_desktop" TargetMode="External"/><Relationship Id="rId932" Type="http://schemas.openxmlformats.org/officeDocument/2006/relationships/hyperlink" Target="https://www.linkedin.com/posts/zackkelley_mercury-is-hiring-for-a-remote-rd-analyst-activity-7229237680172068864-YEBS?utm_source=share&amp;utm_medium=member_desktop" TargetMode="External"/><Relationship Id="rId931" Type="http://schemas.openxmlformats.org/officeDocument/2006/relationships/hyperlink" Target="https://www.linkedin.com/posts/mahfam-wagner_hiring-analytics-data-activity-7229509481880076288-KJ4D?utm_source=share&amp;utm_medium=member_desktop" TargetMode="External"/><Relationship Id="rId930" Type="http://schemas.openxmlformats.org/officeDocument/2006/relationships/hyperlink" Target="https://www.linkedin.com/posts/activity-7229220616845860864-TGZf?utm_source=share&amp;utm_medium=member_desktop" TargetMode="External"/><Relationship Id="rId936" Type="http://schemas.openxmlformats.org/officeDocument/2006/relationships/hyperlink" Target="https://www.linkedin.com/posts/catherine-ettman-phd-0740a136_research-data-analyst-activity-7229174676130799620-DZ9Z?utm_source=share&amp;utm_medium=member_desktop" TargetMode="External"/><Relationship Id="rId935" Type="http://schemas.openxmlformats.org/officeDocument/2006/relationships/hyperlink" Target="https://www.linkedin.com/posts/matthew-childers-07954783_business-analyst-americas-quality-team-activity-7229158284748881922-IOmT?utm_source=share&amp;utm_medium=member_desktop" TargetMode="External"/><Relationship Id="rId934" Type="http://schemas.openxmlformats.org/officeDocument/2006/relationships/hyperlink" Target="https://www.linkedin.com/posts/kimberly-bibbens-mba-623525145_senior-financial-analyst-orlando-florida-activity-7229487858665861120-B3Lr?utm_source=share&amp;utm_medium=member_desktop" TargetMode="External"/><Relationship Id="rId933" Type="http://schemas.openxmlformats.org/officeDocument/2006/relationships/hyperlink" Target="https://www.linkedin.com/posts/randhirv_data-analyst-ii-client-analytics-activity-7229486958534651904-SgiH?utm_source=share&amp;utm_medium=member_desktop" TargetMode="External"/><Relationship Id="rId62" Type="http://schemas.openxmlformats.org/officeDocument/2006/relationships/hyperlink" Target="https://www.linkedin.com/posts/erin-ross-79437b215_hiring-activity-7239964988872830978-q6BF?utm_source=share&amp;utm_medium=member_desktop" TargetMode="External"/><Relationship Id="rId1312" Type="http://schemas.openxmlformats.org/officeDocument/2006/relationships/hyperlink" Target="https://www.linkedin.com/posts/sophie-bair-055607152_were-hiring-for-a-senior-data-analyst-ive-activity-7225182409292402688-LCas?utm_source=share&amp;utm_medium=member_desktop" TargetMode="External"/><Relationship Id="rId61" Type="http://schemas.openxmlformats.org/officeDocument/2006/relationships/hyperlink" Target="https://www.linkedin.com/posts/cinthia-lorenzo004_iworkforce-solutions-business-data-analyst-activity-7239685782934802432-H_Gy?utm_source=share&amp;utm_medium=member_desktop" TargetMode="External"/><Relationship Id="rId1313" Type="http://schemas.openxmlformats.org/officeDocument/2006/relationships/hyperlink" Target="https://www.linkedin.com/posts/mattmulcahyiopsych_hiring-ugcPost-7224911168417492992-Qlso?utm_source=share&amp;utm_medium=member_desktop" TargetMode="External"/><Relationship Id="rId64" Type="http://schemas.openxmlformats.org/officeDocument/2006/relationships/hyperlink" Target="https://www.linkedin.com/posts/williamjko_hiring-a-business-analyst-for-a-fast-growing-activity-7238851361692356610-wstu?utm_source=share&amp;utm_medium=member_desktop" TargetMode="External"/><Relationship Id="rId1314" Type="http://schemas.openxmlformats.org/officeDocument/2006/relationships/hyperlink" Target="https://www.linkedin.com/posts/bridget-pederson_senior-data-analyst-sem-activity-7225231253191467008-kePs?utm_source=share&amp;utm_medium=member_desktop" TargetMode="External"/><Relationship Id="rId63" Type="http://schemas.openxmlformats.org/officeDocument/2006/relationships/hyperlink" Target="https://www.linkedin.com/posts/amanda-theodore-63688ab5_senior-financial-analyst-activity-7240008636977012736-sFzo?utm_source=share&amp;utm_medium=member_desktop" TargetMode="External"/><Relationship Id="rId1315" Type="http://schemas.openxmlformats.org/officeDocument/2006/relationships/hyperlink" Target="https://www.linkedin.com/posts/andreaweissfinancialstrategist_hiring-activity-7225086927438299137-w8iH?utm_source=share&amp;utm_medium=member_desktop" TargetMode="External"/><Relationship Id="rId66" Type="http://schemas.openxmlformats.org/officeDocument/2006/relationships/hyperlink" Target="https://www.linkedin.com/posts/michael-keaton_careers-at-when-i-work-activity-7239005362505326594-oiFM?utm_source=share&amp;utm_medium=member_desktop" TargetMode="External"/><Relationship Id="rId1316" Type="http://schemas.openxmlformats.org/officeDocument/2006/relationships/hyperlink" Target="https://www.linkedin.com/posts/tatianna-noriega-72a56a155_hiring-ballyscareers-itjobs-activity-7224873881080078340-Ya0o?utm_source=share&amp;utm_medium=member_desktop" TargetMode="External"/><Relationship Id="rId65" Type="http://schemas.openxmlformats.org/officeDocument/2006/relationships/hyperlink" Target="https://www.linkedin.com/posts/heather-olsavsky-b41b57144_ready-to-build-data-driven-solutions-that-activity-7238950541098201088-ZOqU?utm_source=share&amp;utm_medium=member_desktop" TargetMode="External"/><Relationship Id="rId1317" Type="http://schemas.openxmlformats.org/officeDocument/2006/relationships/hyperlink" Target="https://www.linkedin.com/posts/carrie-hoerning_el-paso-we-are-looking-for-an-analyst-to-activity-7224413861641080833-V8Wg?utm_source=share&amp;utm_medium=member_desktop" TargetMode="External"/><Relationship Id="rId68" Type="http://schemas.openxmlformats.org/officeDocument/2006/relationships/hyperlink" Target="https://www.linkedin.com/posts/ryan-lafond-60a64512b_senior-manager-network-provider-analytics-activity-7239414706673709057-fWN1?utm_source=share&amp;utm_medium=member_desktop" TargetMode="External"/><Relationship Id="rId1318" Type="http://schemas.openxmlformats.org/officeDocument/2006/relationships/hyperlink" Target="https://www.linkedin.com/posts/cat-brennan-1742aba1_come-join-scalers-nyc-team-we-love-a-sushi-activity-7225192354427641856-xR8u?utm_source=share&amp;utm_medium=member_desktop" TargetMode="External"/><Relationship Id="rId67" Type="http://schemas.openxmlformats.org/officeDocument/2006/relationships/hyperlink" Target="https://www.linkedin.com/posts/evanspaige_sogeti-hiringthebest-activity-7239415540509761537-q9r_?utm_source=share&amp;utm_medium=member_desktop" TargetMode="External"/><Relationship Id="rId1319" Type="http://schemas.openxmlformats.org/officeDocument/2006/relationships/hyperlink" Target="https://www.linkedin.com/posts/jessicalbeaudoin_talentoperations-peopleanalytics-hrprocessimprovement-activity-7225187789183561729-Enq_?utm_source=share&amp;utm_medium=member_desktop" TargetMode="External"/><Relationship Id="rId729" Type="http://schemas.openxmlformats.org/officeDocument/2006/relationships/hyperlink" Target="https://www.linkedin.com/posts/talktotiffney_senior-financial-analyst-ii-remote-in-framingham-activity-7231703407693107202-LVSJ?utm_source=share&amp;utm_medium=member_desktop" TargetMode="External"/><Relationship Id="rId728" Type="http://schemas.openxmlformats.org/officeDocument/2006/relationships/hyperlink" Target="https://www.linkedin.com/posts/pamela-castellana-sphr_nextech-sr-financial-analyst-reporting-activity-7230256390970224640-DjBF?utm_source=share&amp;utm_medium=member_desktop" TargetMode="External"/><Relationship Id="rId60" Type="http://schemas.openxmlformats.org/officeDocument/2006/relationships/hyperlink" Target="https://www.linkedin.com/posts/summer-brenwald-m-a526211_economics-analyst-activity-7240004785435807744-T4UR?utm_source=share&amp;utm_medium=member_desktop" TargetMode="External"/><Relationship Id="rId723" Type="http://schemas.openxmlformats.org/officeDocument/2006/relationships/hyperlink" Target="https://www.linkedin.com/posts/maggiecdavis_exciting-newsour-marketing-operations-team-activity-7231779243033010176-cejl?utm_source=share&amp;utm_medium=member_desktop" TargetMode="External"/><Relationship Id="rId965" Type="http://schemas.openxmlformats.org/officeDocument/2006/relationships/hyperlink" Target="https://www.linkedin.com/posts/deborah-sloan_hiring-activity-7225178233867026432-qsXd?utm_source=share&amp;utm_medium=member_desktop" TargetMode="External"/><Relationship Id="rId722" Type="http://schemas.openxmlformats.org/officeDocument/2006/relationships/hyperlink" Target="https://www.linkedin.com/posts/saraguerriero_sales-director-mid-market-activity-7231729050648522752--rAn?utm_source=share&amp;utm_medium=member_desktop" TargetMode="External"/><Relationship Id="rId964" Type="http://schemas.openxmlformats.org/officeDocument/2006/relationships/hyperlink" Target="https://www.linkedin.com/posts/kimberly-mahar-bb2b8331_our-team-is-expanding-and-were-hiring-for-activity-7229186291219775488-oL-x?utm_source=share&amp;utm_medium=member_desktop" TargetMode="External"/><Relationship Id="rId721" Type="http://schemas.openxmlformats.org/officeDocument/2006/relationships/hyperlink" Target="https://www.linkedin.com/posts/activity-7231755097582489600-AvNR?utm_source=share&amp;utm_medium=member_desktop" TargetMode="External"/><Relationship Id="rId963" Type="http://schemas.openxmlformats.org/officeDocument/2006/relationships/hyperlink" Target="https://www.linkedin.com/posts/activity-7229170931586256898-uQAf?utm_source=share&amp;utm_medium=member_desktop" TargetMode="External"/><Relationship Id="rId720" Type="http://schemas.openxmlformats.org/officeDocument/2006/relationships/hyperlink" Target="https://www.linkedin.com/posts/activity-7231773483934887936-j6fQ?utm_source=share&amp;utm_medium=member_desktop" TargetMode="External"/><Relationship Id="rId962" Type="http://schemas.openxmlformats.org/officeDocument/2006/relationships/hyperlink" Target="https://www.linkedin.com/posts/matthew-hershey_im-currently-looking-for-a-senior-business-activity-7229137790691659776-0QYl?utm_source=share&amp;utm_medium=member_desktop" TargetMode="External"/><Relationship Id="rId727" Type="http://schemas.openxmlformats.org/officeDocument/2006/relationships/hyperlink" Target="https://www.linkedin.com/posts/gmichener_dataplor-hiring-data-quality-manager-in-united-activity-7231724268638650368-i_5b?utm_source=share&amp;utm_medium=member_desktop" TargetMode="External"/><Relationship Id="rId969" Type="http://schemas.openxmlformats.org/officeDocument/2006/relationships/hyperlink" Target="https://www.linkedin.com/posts/paula-wertalik_check-out-this-job-at-freixenet-mionetto-activity-7229164060729094144-Koc5?utm_source=share&amp;utm_medium=member_desktop" TargetMode="External"/><Relationship Id="rId726" Type="http://schemas.openxmlformats.org/officeDocument/2006/relationships/hyperlink" Target="https://www.linkedin.com/posts/gagangothaniya_we-are-looking-to-hire-another-data-scientist-activity-7231724514387095552-cvor?utm_source=share&amp;utm_medium=member_desktop" TargetMode="External"/><Relationship Id="rId968" Type="http://schemas.openxmlformats.org/officeDocument/2006/relationships/hyperlink" Target="https://www.linkedin.com/posts/blairteunissen_wearestryker-healtheconomics-valueanalysis-activity-7229151215215865856-qdB0?utm_source=share&amp;utm_medium=member_desktop" TargetMode="External"/><Relationship Id="rId725" Type="http://schemas.openxmlformats.org/officeDocument/2006/relationships/hyperlink" Target="https://www.linkedin.com/posts/activity-7231776477501923329-lINz?utm_source=share&amp;utm_medium=member_desktop" TargetMode="External"/><Relationship Id="rId967" Type="http://schemas.openxmlformats.org/officeDocument/2006/relationships/hyperlink" Target="https://www.linkedin.com/posts/eaze-up_hiring-activity-7229087853174018049-3uNz?utm_source=share&amp;utm_medium=member_desktop" TargetMode="External"/><Relationship Id="rId724" Type="http://schemas.openxmlformats.org/officeDocument/2006/relationships/hyperlink" Target="https://www.linkedin.com/posts/leslieaolson_senior-business-intelligence-analyst-remote-activity-7231704504700694529-6fm1?utm_source=share&amp;utm_medium=member_desktop" TargetMode="External"/><Relationship Id="rId966" Type="http://schemas.openxmlformats.org/officeDocument/2006/relationships/hyperlink" Target="https://www.linkedin.com/posts/sylviastatler_looking-for-a-rockstar-analyst-to-join-our-activity-7229136204229718016-HvdO?utm_source=share&amp;utm_medium=member_desktop" TargetMode="External"/><Relationship Id="rId69" Type="http://schemas.openxmlformats.org/officeDocument/2006/relationships/hyperlink" Target="https://www.linkedin.com/posts/saquib_were-hiring-join-avaya-as-a-sr-manager-activity-7239742454801780736-tcdx?utm_source=share&amp;utm_medium=member_desktop" TargetMode="External"/><Relationship Id="rId961" Type="http://schemas.openxmlformats.org/officeDocument/2006/relationships/hyperlink" Target="https://www.linkedin.com/posts/alyssadelacruzshrm-cp_were-on-the-lookout-for-a-disaster-recovery-activity-7229193203080384512-Y1f_?utm_source=share&amp;utm_medium=member_desktop" TargetMode="External"/><Relationship Id="rId960" Type="http://schemas.openxmlformats.org/officeDocument/2006/relationships/hyperlink" Target="https://www.linkedin.com/posts/matthew-walter-347177128_were-hiring-a-financial-analyst-for-our-activity-7229150071353741312-jR78?utm_source=share&amp;utm_medium=member_desktop" TargetMode="External"/><Relationship Id="rId1310" Type="http://schemas.openxmlformats.org/officeDocument/2006/relationships/hyperlink" Target="https://www.linkedin.com/posts/hannah-christensen-26296518_makehistory-campbells-pricingstrategy-ugcPost-7224917241715208192-qkC3?utm_source=share&amp;utm_medium=member_desktop" TargetMode="External"/><Relationship Id="rId1311" Type="http://schemas.openxmlformats.org/officeDocument/2006/relationships/hyperlink" Target="https://www.linkedin.com/posts/activity-7225211029264252928-Yuob?utm_source=share&amp;utm_medium=member_desktop" TargetMode="External"/><Relationship Id="rId51" Type="http://schemas.openxmlformats.org/officeDocument/2006/relationships/hyperlink" Target="https://www.linkedin.com/posts/keri-clark-doyle-3234509_hiring-ugcPost-7239800060547407873-FQ63?utm_source=share&amp;utm_medium=member_desktop" TargetMode="External"/><Relationship Id="rId1301" Type="http://schemas.openxmlformats.org/officeDocument/2006/relationships/hyperlink" Target="https://www.linkedin.com/posts/brettwiese_tractorsupply-marketresearch-consumerinsights-ugcPost-7225148606868008962-cAxq?utm_source=share&amp;utm_medium=member_desktop" TargetMode="External"/><Relationship Id="rId50" Type="http://schemas.openxmlformats.org/officeDocument/2006/relationships/hyperlink" Target="https://www.linkedin.com/posts/aswathynair0324_sales-performance-analyst-in-grand-prairie-activity-7240032087058046976-dAfR?utm_source=share&amp;utm_medium=member_desktop" TargetMode="External"/><Relationship Id="rId1302" Type="http://schemas.openxmlformats.org/officeDocument/2006/relationships/hyperlink" Target="https://www.linkedin.com/posts/cameron-brown-phd_senior-hr-data-analyst-activity-7225225611768721408-91ZS?utm_source=share&amp;utm_medium=member_desktop" TargetMode="External"/><Relationship Id="rId53" Type="http://schemas.openxmlformats.org/officeDocument/2006/relationships/hyperlink" Target="https://www.linkedin.com/posts/krist-wongsuphasawat-279b1617_airbnb-comms-team-is-hiring-data-editor-to-activity-7239736999782268929-3UMc?utm_source=share&amp;utm_medium=member_desktop" TargetMode="External"/><Relationship Id="rId1303" Type="http://schemas.openxmlformats.org/officeDocument/2006/relationships/hyperlink" Target="https://www.linkedin.com/posts/mikaylaharrisracr_our-senior-market-sales-office-is-hiring-activity-7225249367539007488-dpLJ?utm_source=share&amp;utm_medium=member_desktop" TargetMode="External"/><Relationship Id="rId52" Type="http://schemas.openxmlformats.org/officeDocument/2006/relationships/hyperlink" Target="https://www.linkedin.com/posts/allison-hench-mba-74462049_our-team-is-growing-come-join-the-fantastic-activity-7240055231911264256-Yng5?utm_source=share&amp;utm_medium=member_desktop" TargetMode="External"/><Relationship Id="rId1304" Type="http://schemas.openxmlformats.org/officeDocument/2006/relationships/hyperlink" Target="https://www.linkedin.com/posts/adriangilbertgonzales_come-work-with-my-team-all-home-is-hiring-activity-7225190923247181824-Lwin?utm_source=share&amp;utm_medium=member_desktop" TargetMode="External"/><Relationship Id="rId55" Type="http://schemas.openxmlformats.org/officeDocument/2006/relationships/hyperlink" Target="https://www.linkedin.com/posts/j88hrv_business-analyst-planning-strategy-amazon-activity-7240013596531834880-i-L-?utm_source=share&amp;utm_medium=member_desktop" TargetMode="External"/><Relationship Id="rId1305" Type="http://schemas.openxmlformats.org/officeDocument/2006/relationships/hyperlink" Target="https://www.linkedin.com/posts/hari-prasad-b447553_great-opportunity-to-join-a-elite-team-activity-7225196214722445313-5Djj?utm_source=share&amp;utm_medium=member_desktop" TargetMode="External"/><Relationship Id="rId54" Type="http://schemas.openxmlformats.org/officeDocument/2006/relationships/hyperlink" Target="https://www.linkedin.com/posts/matthewhagel_sr-financial-analyst-activity-7239987286375890944-qfck?utm_source=share&amp;utm_medium=member_desktop" TargetMode="External"/><Relationship Id="rId1306" Type="http://schemas.openxmlformats.org/officeDocument/2006/relationships/hyperlink" Target="https://www.linkedin.com/posts/nileshmshah_iworkforgm-activity-7225080963217723392-O1ZF?utm_source=share&amp;utm_medium=member_desktop" TargetMode="External"/><Relationship Id="rId57" Type="http://schemas.openxmlformats.org/officeDocument/2006/relationships/hyperlink" Target="https://www.linkedin.com/posts/kayla-argyros_senior-analyst-purchasing-in-tempe-az-activity-7240001387126759426-w5eD?utm_source=share&amp;utm_medium=member_desktop" TargetMode="External"/><Relationship Id="rId1307" Type="http://schemas.openxmlformats.org/officeDocument/2006/relationships/hyperlink" Target="https://www.linkedin.com/posts/activity-7225214457084325888-JHqK?utm_source=share&amp;utm_medium=member_desktop" TargetMode="External"/><Relationship Id="rId56" Type="http://schemas.openxmlformats.org/officeDocument/2006/relationships/hyperlink" Target="https://www.linkedin.com/posts/edwardrobicheaux_credit-risk-review-data-analyst-review-activity-7239997105946173440-18fL?utm_source=share&amp;utm_medium=member_desktop" TargetMode="External"/><Relationship Id="rId1308" Type="http://schemas.openxmlformats.org/officeDocument/2006/relationships/hyperlink" Target="https://www.linkedin.com/posts/chun-schiros-phd-90a16344_data-scientist-activity-7225220810456657920-Cl8t?utm_source=share&amp;utm_medium=member_desktop" TargetMode="External"/><Relationship Id="rId1309" Type="http://schemas.openxmlformats.org/officeDocument/2006/relationships/hyperlink" Target="https://www.linkedin.com/posts/catherinelentzparker_data-analyst-activity-7225174070957408259-ageC?utm_source=share&amp;utm_medium=member_desktop" TargetMode="External"/><Relationship Id="rId719" Type="http://schemas.openxmlformats.org/officeDocument/2006/relationships/hyperlink" Target="https://www.linkedin.com/posts/dessagypalo_dataanalytics-cdo-govtech-activity-7231696979825704960-qDba?utm_source=share&amp;utm_medium=member_desktop" TargetMode="External"/><Relationship Id="rId718" Type="http://schemas.openxmlformats.org/officeDocument/2006/relationships/hyperlink" Target="https://www.linkedin.com/posts/activity-7231790128711540737-t3Sa?utm_source=share&amp;utm_medium=member_desktop" TargetMode="External"/><Relationship Id="rId717" Type="http://schemas.openxmlformats.org/officeDocument/2006/relationships/hyperlink" Target="https://www.linkedin.com/posts/unikochen_hr-data-analytics-insights-product-activity-7231795107388121090-lwmd?utm_source=share&amp;utm_medium=member_desktop" TargetMode="External"/><Relationship Id="rId959" Type="http://schemas.openxmlformats.org/officeDocument/2006/relationships/hyperlink" Target="https://www.linkedin.com/posts/tony-mancini-262358_product-operations-analyst-in-chicago-il-activity-7229214475155861506-X0-q?utm_source=share&amp;utm_medium=member_desktop" TargetMode="External"/><Relationship Id="rId712" Type="http://schemas.openxmlformats.org/officeDocument/2006/relationships/hyperlink" Target="https://www.linkedin.com/posts/michaeldaniello_finops-analyst-grammarly-jobs-activity-7231783889684344832-c2e9?utm_source=share&amp;utm_medium=member_ios" TargetMode="External"/><Relationship Id="rId954" Type="http://schemas.openxmlformats.org/officeDocument/2006/relationships/hyperlink" Target="https://www.linkedin.com/posts/quinnmaclean_looking-to-add-a-data-engineer-to-our-awesome-activity-7229226702101434368-mm5j?utm_source=share&amp;utm_medium=member_desktop" TargetMode="External"/><Relationship Id="rId711" Type="http://schemas.openxmlformats.org/officeDocument/2006/relationships/hyperlink" Target="https://www.linkedin.com/posts/ajkimble_enterprise-customer-engineer-data-analytics-activity-7231706919252422656-HTDf?utm_source=share&amp;utm_medium=member_desktop" TargetMode="External"/><Relationship Id="rId953" Type="http://schemas.openxmlformats.org/officeDocument/2006/relationships/hyperlink" Target="https://www.linkedin.com/posts/mandi-cummings-33828552_batch-activity-7229235585238867968-9SSj?utm_source=share&amp;utm_medium=member_desktop" TargetMode="External"/><Relationship Id="rId710" Type="http://schemas.openxmlformats.org/officeDocument/2006/relationships/hyperlink" Target="https://www.linkedin.com/posts/pamelaaandrews_hiring-digitalmarketing-dataanalyst-activity-7231732802122043394-zwA8?utm_source=share&amp;utm_medium=member_ios" TargetMode="External"/><Relationship Id="rId952" Type="http://schemas.openxmlformats.org/officeDocument/2006/relationships/hyperlink" Target="https://www.linkedin.com/posts/soumyabraganza_hiring-activity-7229188854375759872-PLrL?utm_source=share&amp;utm_medium=member_desktop" TargetMode="External"/><Relationship Id="rId951" Type="http://schemas.openxmlformats.org/officeDocument/2006/relationships/hyperlink" Target="https://www.linkedin.com/posts/natallia-kolas_jobopportunity-hiring-merchandising-activity-7229244639445143554-oVa6?utm_source=share&amp;utm_medium=member_desktop" TargetMode="External"/><Relationship Id="rId716" Type="http://schemas.openxmlformats.org/officeDocument/2006/relationships/hyperlink" Target="https://www.linkedin.com/posts/amanda-kitzberger-bb872720_job-opportunity-at-the-hillman-group-inc-activity-7231686773670658048-0TNF?utm_source=share&amp;utm_medium=member_desktop" TargetMode="External"/><Relationship Id="rId958" Type="http://schemas.openxmlformats.org/officeDocument/2006/relationships/hyperlink" Target="https://www.linkedin.com/posts/william-powell-68988483_i-am-hiring-a-collections-analyst-primarily-activity-7229167529145909248-xiSo?utm_source=share&amp;utm_medium=member_desktop" TargetMode="External"/><Relationship Id="rId715" Type="http://schemas.openxmlformats.org/officeDocument/2006/relationships/hyperlink" Target="https://www.linkedin.com/posts/colincadams_we-are-hiring-for-a-senior-data-analyst-to-ugcPost-7231820098800336897-rp6y?utm_source=share&amp;utm_medium=member_ios" TargetMode="External"/><Relationship Id="rId957" Type="http://schemas.openxmlformats.org/officeDocument/2006/relationships/hyperlink" Target="https://www.linkedin.com/posts/althea-bowen-58b61057_global-financial-intelligence-unit-compliance-activity-7229137960120586241-zWDS?utm_source=share&amp;utm_medium=member_desktop" TargetMode="External"/><Relationship Id="rId714" Type="http://schemas.openxmlformats.org/officeDocument/2006/relationships/hyperlink" Target="https://www.linkedin.com/posts/jason-weinrich-3289ab3_business-analyst-ehr-integrations-evisit-activity-7231728010318471169-69p-?utm_source=share&amp;utm_medium=member_ios" TargetMode="External"/><Relationship Id="rId956" Type="http://schemas.openxmlformats.org/officeDocument/2006/relationships/hyperlink" Target="https://www.linkedin.com/feed/update/urn:li:activity:7229190480637431808?utm_source=share&amp;utm_medium=member_desktop" TargetMode="External"/><Relationship Id="rId713" Type="http://schemas.openxmlformats.org/officeDocument/2006/relationships/hyperlink" Target="https://www.linkedin.com/posts/activity-7231707978473635841-COH4?utm_source=share&amp;utm_medium=member_desktop" TargetMode="External"/><Relationship Id="rId955" Type="http://schemas.openxmlformats.org/officeDocument/2006/relationships/hyperlink" Target="https://www.linkedin.com/posts/schramdavid_data-at-palmetto-is-growing-im-looking-activity-7229195116144398337-sNTQ?utm_source=share&amp;utm_medium=member_desktop" TargetMode="External"/><Relationship Id="rId59" Type="http://schemas.openxmlformats.org/officeDocument/2006/relationships/hyperlink" Target="https://www.linkedin.com/posts/stephanie-shenigo-0803b217_our-global-financial-shared-services-function-activity-7240018586327519232-zbgj?utm_source=share&amp;utm_medium=member_desktop" TargetMode="External"/><Relationship Id="rId58" Type="http://schemas.openxmlformats.org/officeDocument/2006/relationships/hyperlink" Target="https://www.linkedin.com/posts/patrick-fedigan_senior-financial-analyst-fpa-merchandising-activity-7240028635108139008-aLea?utm_source=share&amp;utm_medium=member_desktop" TargetMode="External"/><Relationship Id="rId950" Type="http://schemas.openxmlformats.org/officeDocument/2006/relationships/hyperlink" Target="https://www.linkedin.com/posts/khareamit_manager-market-analytics-and-insights-activity-7229154239959187456-wfJz?utm_source=share&amp;utm_medium=member_desktop" TargetMode="External"/><Relationship Id="rId1300" Type="http://schemas.openxmlformats.org/officeDocument/2006/relationships/hyperlink" Target="https://www.linkedin.com/posts/rishavdash_senior-business-intelligence-analyst-truist-activity-7224762103822254086-zJiv?utm_source=share&amp;utm_medium=member_desktop" TargetMode="External"/><Relationship Id="rId590" Type="http://schemas.openxmlformats.org/officeDocument/2006/relationships/hyperlink" Target="https://www.linkedin.com/posts/phillip-wilson-b891649_were-hiring-looking-to-develop-our-finance-activity-7232461526245199872-r17H?utm_source=share&amp;utm_medium=member_desktop" TargetMode="External"/><Relationship Id="rId107" Type="http://schemas.openxmlformats.org/officeDocument/2006/relationships/hyperlink" Target="https://www.linkedin.com/posts/megan-del-vecchio-62535212a_data-lifeatgartner-activity-7239617442862239745-1chR?utm_source=share&amp;utm_medium=member_desktop" TargetMode="External"/><Relationship Id="rId349" Type="http://schemas.openxmlformats.org/officeDocument/2006/relationships/hyperlink" Target="https://www.linkedin.com/posts/kevin-ghorbani_manager-data-science-careers-at-american-activity-7233948152276418561-7Fnr?utm_source=share&amp;utm_medium=member_desktop" TargetMode="External"/><Relationship Id="rId106" Type="http://schemas.openxmlformats.org/officeDocument/2006/relationships/hyperlink" Target="https://www.linkedin.com/posts/gcontestabile_were-looking-for-an-experienced-technically-activity-7239636347181805569-XIoW?utm_source=share&amp;utm_medium=member_desktop" TargetMode="External"/><Relationship Id="rId348" Type="http://schemas.openxmlformats.org/officeDocument/2006/relationships/hyperlink" Target="https://www.linkedin.com/posts/shirley-ni_marketing-data-scientist-activity-7235397112073437184-qqw5?utm_source=share&amp;utm_medium=member_desktop" TargetMode="External"/><Relationship Id="rId105" Type="http://schemas.openxmlformats.org/officeDocument/2006/relationships/hyperlink" Target="https://www.linkedin.com/posts/nohelymiranda_sravanthi-ramadugu-is-looking-for-a-business-activity-7239328626318417921-Wze3?utm_source=share&amp;utm_medium=member_desktop" TargetMode="External"/><Relationship Id="rId347" Type="http://schemas.openxmlformats.org/officeDocument/2006/relationships/hyperlink" Target="https://www.linkedin.com/posts/shounak-datta_job-details-activity-7235763889425018881-Jyrj?utm_source=share&amp;utm_medium=member_desktop" TargetMode="External"/><Relationship Id="rId589" Type="http://schemas.openxmlformats.org/officeDocument/2006/relationships/hyperlink" Target="https://www.linkedin.com/posts/activity-7232765778482065408-ozmP?utm_source=share&amp;utm_medium=member_desktop" TargetMode="External"/><Relationship Id="rId104" Type="http://schemas.openxmlformats.org/officeDocument/2006/relationships/hyperlink" Target="https://www.linkedin.com/posts/albertinamcdermott_rockstars-financialanalyst-financialplanningandanalysis-activity-7239629657573117952--ySz?utm_source=share&amp;utm_medium=member_desktop" TargetMode="External"/><Relationship Id="rId346" Type="http://schemas.openxmlformats.org/officeDocument/2006/relationships/hyperlink" Target="https://www.linkedin.com/posts/robert-davidson-b0883817_check-out-this-job-at-darden-senior-financial-activity-7235450512567857153-lZlh?utm_source=share&amp;utm_medium=member_desktop" TargetMode="External"/><Relationship Id="rId588" Type="http://schemas.openxmlformats.org/officeDocument/2006/relationships/hyperlink" Target="https://www.linkedin.com/posts/laurie-koehler-73055970_datascience-analytics-marketing-activity-7232785082535534592-REVT?utm_source=share&amp;utm_medium=member_desktop" TargetMode="External"/><Relationship Id="rId109" Type="http://schemas.openxmlformats.org/officeDocument/2006/relationships/hyperlink" Target="https://www.linkedin.com/posts/ashleigh-covello_freeosk-data-insights-analyst-activity-7238909005392175104-XDjN?utm_source=share&amp;utm_medium=member_desktop" TargetMode="External"/><Relationship Id="rId1170" Type="http://schemas.openxmlformats.org/officeDocument/2006/relationships/hyperlink" Target="https://www.linkedin.com/posts/ileanapoole_sr-analyst-transplant-activity-7226942930047946753-hDcA?utm_source=share&amp;utm_medium=member_desktop" TargetMode="External"/><Relationship Id="rId108" Type="http://schemas.openxmlformats.org/officeDocument/2006/relationships/hyperlink" Target="https://www.linkedin.com/posts/vannessa-m-brown-9889462_digital-analyst-in-minneapolis-mn-united-activity-7239473089749606401-_TUf?utm_source=share&amp;utm_medium=member_desktop" TargetMode="External"/><Relationship Id="rId1171" Type="http://schemas.openxmlformats.org/officeDocument/2006/relationships/hyperlink" Target="https://www.linkedin.com/posts/melanie-mccormick-6399a725_hello-linkedin-network-are-you-passionate-activity-7226926483523485696-k17J?utm_source=share&amp;utm_medium=member_desktop" TargetMode="External"/><Relationship Id="rId341" Type="http://schemas.openxmlformats.org/officeDocument/2006/relationships/hyperlink" Target="https://www.linkedin.com/posts/ryan-pettaway-36544b50_open-positions-join-the-protenus-team-activity-7234990621273341954-x9qE?utm_source=share&amp;utm_medium=member_desktop" TargetMode="External"/><Relationship Id="rId583" Type="http://schemas.openxmlformats.org/officeDocument/2006/relationships/hyperlink" Target="https://www.linkedin.com/posts/matttturner_hiring-aledade-healthcareinnovation-ugcPost-7232438235686137856-epVz?utm_source=share&amp;utm_medium=member_desktop" TargetMode="External"/><Relationship Id="rId1172" Type="http://schemas.openxmlformats.org/officeDocument/2006/relationships/hyperlink" Target="https://www.linkedin.com/posts/melanie-mccormick-6399a725_hello-linkedin-network-are-you-passionate-activity-7226926483523485696-k17J?utm_source=share&amp;utm_medium=member_desktop" TargetMode="External"/><Relationship Id="rId340" Type="http://schemas.openxmlformats.org/officeDocument/2006/relationships/hyperlink" Target="https://www.linkedin.com/posts/pidlubny_were-hiring-a-data-engineer-to-join-our-activity-7235295197985685505-aN68?utm_source=share&amp;utm_medium=member_desktop" TargetMode="External"/><Relationship Id="rId582" Type="http://schemas.openxmlformats.org/officeDocument/2006/relationships/hyperlink" Target="https://www.linkedin.com/posts/abhayjacob_hiring-activity-7232824388260151297-yF9D?utm_source=share&amp;utm_medium=member_desktop" TargetMode="External"/><Relationship Id="rId1173" Type="http://schemas.openxmlformats.org/officeDocument/2006/relationships/hyperlink" Target="https://www.linkedin.com/posts/melanie-mccormick-6399a725_hello-linkedin-network-are-you-passionate-activity-7226926483523485696-k17J?utm_source=share&amp;utm_medium=member_desktop" TargetMode="External"/><Relationship Id="rId581" Type="http://schemas.openxmlformats.org/officeDocument/2006/relationships/hyperlink" Target="https://www.linkedin.com/posts/kathleengutierrez_marketing-analytics-manager-financial-services-activity-7232437496997900288-6ktd?utm_source=share&amp;utm_medium=member_desktop" TargetMode="External"/><Relationship Id="rId1174" Type="http://schemas.openxmlformats.org/officeDocument/2006/relationships/hyperlink" Target="https://www.linkedin.com/posts/danielle-taylor-a241ba66_were-hiring-a-business-analyst-please-reach-activity-7226926473645805568-zUYE?utm_source=share&amp;utm_medium=member_desktop" TargetMode="External"/><Relationship Id="rId580" Type="http://schemas.openxmlformats.org/officeDocument/2006/relationships/hyperlink" Target="https://www.linkedin.com/posts/activity-7231444609896214529-RPKl?utm_source=share&amp;utm_medium=member_desktop" TargetMode="External"/><Relationship Id="rId1175" Type="http://schemas.openxmlformats.org/officeDocument/2006/relationships/hyperlink" Target="https://www.linkedin.com/posts/derek-haas-4bb69028_sr-analyst-people-analytics-activity-7226936856771203072-QD_a?utm_source=share&amp;utm_medium=member_desktop" TargetMode="External"/><Relationship Id="rId103" Type="http://schemas.openxmlformats.org/officeDocument/2006/relationships/hyperlink" Target="https://www.linkedin.com/posts/activity-7239343326955544577-fUHj?utm_source=share&amp;utm_medium=member_desktop" TargetMode="External"/><Relationship Id="rId345" Type="http://schemas.openxmlformats.org/officeDocument/2006/relationships/hyperlink" Target="https://www.linkedin.com/posts/unni-radhakrishnan-aa730214_hiring-analytics-marketresearch-activity-7235662365399117824-3E9D?utm_source=share&amp;utm_medium=member_desktop" TargetMode="External"/><Relationship Id="rId587" Type="http://schemas.openxmlformats.org/officeDocument/2006/relationships/hyperlink" Target="https://www.linkedin.com/posts/christina-kelly-589a25b0_hiring-remote-activity-7232812035284123649-p86M?utm_source=share&amp;utm_medium=member_desktop" TargetMode="External"/><Relationship Id="rId1176" Type="http://schemas.openxmlformats.org/officeDocument/2006/relationships/hyperlink" Target="https://www.linkedin.com/posts/anukrishnakumar_im-on-the-lookout-for-a-sales-operations-ugcPost-7226685397089554433-dUV9?utm_source=share&amp;utm_medium=member_desktop" TargetMode="External"/><Relationship Id="rId102" Type="http://schemas.openxmlformats.org/officeDocument/2006/relationships/hyperlink" Target="http://jiffy.com" TargetMode="External"/><Relationship Id="rId344" Type="http://schemas.openxmlformats.org/officeDocument/2006/relationships/hyperlink" Target="https://www.linkedin.com/posts/ericajsimmons_hiring-virgingalactic-activity-7235460581770608641-0tZB?utm_source=share&amp;utm_medium=member_desktop" TargetMode="External"/><Relationship Id="rId586" Type="http://schemas.openxmlformats.org/officeDocument/2006/relationships/hyperlink" Target="https://www.linkedin.com/posts/mike-todd-a9176a112_colleagues-and-friends-were-hiring-activity-7232594112363835392-OMHm?utm_source=share&amp;utm_medium=member_desktop" TargetMode="External"/><Relationship Id="rId1177" Type="http://schemas.openxmlformats.org/officeDocument/2006/relationships/hyperlink" Target="https://www.linkedin.com/posts/sabrina-pickering-91321068_sr-data-platform-business-analyst-in-remote-activity-7226717081390440448-Dw7s?utm_source=share&amp;utm_medium=member_desktop" TargetMode="External"/><Relationship Id="rId101" Type="http://schemas.openxmlformats.org/officeDocument/2006/relationships/hyperlink" Target="https://www.linkedin.com/posts/darussell_lead-analyst-plant-finance-services-activity-7239767554016100353-zYjb?utm_source=share&amp;utm_medium=member_desktop" TargetMode="External"/><Relationship Id="rId343" Type="http://schemas.openxmlformats.org/officeDocument/2006/relationships/hyperlink" Target="https://www.linkedin.com/posts/carymike_im-hiring-a-supply-chain-analyst-at-our-activity-7235675523832541185-rfu0?utm_source=share&amp;utm_medium=member_desktop" TargetMode="External"/><Relationship Id="rId585" Type="http://schemas.openxmlformats.org/officeDocument/2006/relationships/hyperlink" Target="https://www.linkedin.com/posts/linda-hua_director-of-analytics-activity-7232514376044265473-lFvG?utm_source=share&amp;utm_medium=member_desktop" TargetMode="External"/><Relationship Id="rId1178" Type="http://schemas.openxmlformats.org/officeDocument/2006/relationships/hyperlink" Target="https://www.linkedin.com/posts/lindsey-acheson-46b09a5_im-looking-for-a-hungry-math-loving-data-curious-activity-7226315348260646912-r3Kg?utm_source=share&amp;utm_medium=member_desktop" TargetMode="External"/><Relationship Id="rId100" Type="http://schemas.openxmlformats.org/officeDocument/2006/relationships/hyperlink" Target="https://www.linkedin.com/posts/mattlawler_sr-partnership-data-analyst-activity-7239315455708909569-JYxY?utm_source=share&amp;utm_medium=member_desktop" TargetMode="External"/><Relationship Id="rId342" Type="http://schemas.openxmlformats.org/officeDocument/2006/relationships/hyperlink" Target="https://www.linkedin.com/posts/kristenmccain_indianapolis-health-healthcare-activity-7235304718070116352-Rcxu?utm_source=share&amp;utm_medium=member_desktop" TargetMode="External"/><Relationship Id="rId584" Type="http://schemas.openxmlformats.org/officeDocument/2006/relationships/hyperlink" Target="https://www.linkedin.com/posts/matttturner_hiring-aledade-healthcareinnovation-ugcPost-7232438235686137856-epVz?utm_source=share&amp;utm_medium=member_desktop" TargetMode="External"/><Relationship Id="rId1179" Type="http://schemas.openxmlformats.org/officeDocument/2006/relationships/hyperlink" Target="https://www.linkedin.com/posts/mgrace123_looking-for-talented-senior-technical-data-activity-7226234740511498241-3KLQ?utm_source=share&amp;utm_medium=member_desktop" TargetMode="External"/><Relationship Id="rId1169" Type="http://schemas.openxmlformats.org/officeDocument/2006/relationships/hyperlink" Target="https://www.linkedin.com/posts/mike-fechter-cscp-42521b3_join-our-team-we-are-searching-for-an-experienced-activity-7226904462575992833-4mTD?utm_source=share&amp;utm_medium=member_desktop" TargetMode="External"/><Relationship Id="rId338" Type="http://schemas.openxmlformats.org/officeDocument/2006/relationships/hyperlink" Target="https://www.linkedin.com/posts/andrewdbs_staff-data-scientist-product-analytics-activity-7232100628729147392-WEu4?utm_source=share&amp;utm_medium=member_desktop" TargetMode="External"/><Relationship Id="rId337" Type="http://schemas.openxmlformats.org/officeDocument/2006/relationships/hyperlink" Target="https://www.linkedin.com/posts/jrhutson_data-reporting-and-analytics-consultant-iv-activity-7235068015736668160-16kV?utm_source=share&amp;utm_medium=member_desktop" TargetMode="External"/><Relationship Id="rId579" Type="http://schemas.openxmlformats.org/officeDocument/2006/relationships/hyperlink" Target="https://www.linkedin.com/posts/lawrence-callahan-51545bb0_check-out-this-job-at-american-water-supply-activity-7232840979408384000-VB01?utm_source=share&amp;utm_medium=member_desktop" TargetMode="External"/><Relationship Id="rId336" Type="http://schemas.openxmlformats.org/officeDocument/2006/relationships/hyperlink" Target="https://www.linkedin.com/posts/eva-demers-brett-8a43681a9_senior-data-analyst-activity-7236119023120228352-6yo2?utm_source=share&amp;utm_medium=member_ios" TargetMode="External"/><Relationship Id="rId578" Type="http://schemas.openxmlformats.org/officeDocument/2006/relationships/hyperlink" Target="https://www.linkedin.com/posts/kayanlau_senior-data-analyst-tax-activity-7232811921375121408-uciz?utm_source=share&amp;utm_medium=member_desktop" TargetMode="External"/><Relationship Id="rId335" Type="http://schemas.openxmlformats.org/officeDocument/2006/relationships/hyperlink" Target="https://www.linkedin.com/posts/rbrtdvdsn_know-a-great-data-analyst-in-the-cleveland-activity-7236722553132605441-Pu8G?utm_source=share&amp;utm_medium=member_desktop" TargetMode="External"/><Relationship Id="rId577" Type="http://schemas.openxmlformats.org/officeDocument/2006/relationships/hyperlink" Target="https://www.linkedin.com/posts/janette-holmes-8ab74ba_strategic-sales-analyst-activity-7232878592353820674-G01E?utm_source=share&amp;utm_medium=member_desktop" TargetMode="External"/><Relationship Id="rId339" Type="http://schemas.openxmlformats.org/officeDocument/2006/relationships/hyperlink" Target="https://www.linkedin.com/posts/sarah-crockett-2701153a_sr-market-channel-analyst-remote-activity-7235733790545866753-1JR0?utm_source=share&amp;utm_medium=member_desktop" TargetMode="External"/><Relationship Id="rId1160" Type="http://schemas.openxmlformats.org/officeDocument/2006/relationships/hyperlink" Target="https://www.linkedin.com/posts/buck-betten-442a038_the-macarthur-foundation-investment-team-activity-7227006319235362816-p5iP?utm_source=share&amp;utm_medium=member_desktop" TargetMode="External"/><Relationship Id="rId330" Type="http://schemas.openxmlformats.org/officeDocument/2006/relationships/hyperlink" Target="https://www.linkedin.com/posts/ryanstevens3_senior-analytics-engineer-activity-7236448356015747073-b0cM?utm_source=share&amp;utm_medium=member_desktop" TargetMode="External"/><Relationship Id="rId572" Type="http://schemas.openxmlformats.org/officeDocument/2006/relationships/hyperlink" Target="https://www.linkedin.com/posts/drcrystalrentz_educationjobs-remotework-dataanalytics-activity-7232885263411134464-bN-J?utm_source=share&amp;utm_medium=member_desktop" TargetMode="External"/><Relationship Id="rId1161" Type="http://schemas.openxmlformats.org/officeDocument/2006/relationships/hyperlink" Target="https://www.linkedin.com/posts/kasper-garlicki-492b239a_datascience-datasciencejobs-activity-7226973934351458304-pLkp?utm_source=share&amp;utm_medium=member_desktop" TargetMode="External"/><Relationship Id="rId571" Type="http://schemas.openxmlformats.org/officeDocument/2006/relationships/hyperlink" Target="https://www.linkedin.com/posts/claire-allen-b7096054_hiring-financejobs-careergrowth-activity-7232871979391795200-KOaa?utm_source=share&amp;utm_medium=member_desktop" TargetMode="External"/><Relationship Id="rId1162" Type="http://schemas.openxmlformats.org/officeDocument/2006/relationships/hyperlink" Target="https://www.linkedin.com/posts/talialambert_exciting-opportunity-alert-are-you-activity-7226964725148827648-PTru?utm_source=share&amp;utm_medium=member_desktop" TargetMode="External"/><Relationship Id="rId570" Type="http://schemas.openxmlformats.org/officeDocument/2006/relationships/hyperlink" Target="https://www.linkedin.com/posts/kaushalya19_hiring-activity-7232783989508304896-jF23?utm_source=share&amp;utm_medium=member_desktop" TargetMode="External"/><Relationship Id="rId1163" Type="http://schemas.openxmlformats.org/officeDocument/2006/relationships/hyperlink" Target="https://www.linkedin.com/posts/gregoryflicek_healthcare-strategy-analyst-activity-7226924365185994753-mppY?utm_source=share&amp;utm_medium=member_desktop" TargetMode="External"/><Relationship Id="rId1164" Type="http://schemas.openxmlformats.org/officeDocument/2006/relationships/hyperlink" Target="https://www.linkedin.com/posts/gabrielarodriguezv_we-are-hiring-for-a-sales-analyst-latam-activity-7226975887420723201-wTpZ?utm_source=share&amp;utm_medium=member_desktop" TargetMode="External"/><Relationship Id="rId334" Type="http://schemas.openxmlformats.org/officeDocument/2006/relationships/hyperlink" Target="https://www.linkedin.com/posts/isaac-wooten-48a37719_come-join-our-finance-team-feel-free-to-activity-7236735549959462912-yMYT?utm_source=share&amp;utm_medium=member_desktop" TargetMode="External"/><Relationship Id="rId576" Type="http://schemas.openxmlformats.org/officeDocument/2006/relationships/hyperlink" Target="https://www.linkedin.com/posts/tracyliou_analyst-gas-field-operations-activity-7232589403116703746-SkMq?utm_source=share&amp;utm_medium=member_desktop" TargetMode="External"/><Relationship Id="rId1165" Type="http://schemas.openxmlformats.org/officeDocument/2006/relationships/hyperlink" Target="https://www.linkedin.com/posts/jenni-dunlap-85958715_hiring-activity-7226968014468923394-fBeH?utm_source=share&amp;utm_medium=member_desktop" TargetMode="External"/><Relationship Id="rId333" Type="http://schemas.openxmlformats.org/officeDocument/2006/relationships/hyperlink" Target="https://www.linkedin.com/posts/sean-cummins-397b2436_sr-financial-analyst-activity-7236749797343248384-MoET?utm_source=share&amp;utm_medium=member_desktop" TargetMode="External"/><Relationship Id="rId575" Type="http://schemas.openxmlformats.org/officeDocument/2006/relationships/hyperlink" Target="https://www.linkedin.com/posts/elizabeth-hercher-69811452_duolingo-hiring-activity-7232750482706878464-G-Ms?utm_source=share&amp;utm_medium=member_desktop" TargetMode="External"/><Relationship Id="rId1166" Type="http://schemas.openxmlformats.org/officeDocument/2006/relationships/hyperlink" Target="https://www.linkedin.com/posts/barbara-stortz_were-hiring-senior-and-principal-data-activity-7226993849934528512-ubf2?utm_source=share&amp;utm_medium=member_desktop" TargetMode="External"/><Relationship Id="rId332" Type="http://schemas.openxmlformats.org/officeDocument/2006/relationships/hyperlink" Target="https://www.linkedin.com/posts/ulices-zuniga-reyes-94015a27_nowhiring-dataanalytics-customerexperience-activity-7236736328984313857-7IcV?utm_source=share&amp;utm_medium=member_desktop" TargetMode="External"/><Relationship Id="rId574" Type="http://schemas.openxmlformats.org/officeDocument/2006/relationships/hyperlink" Target="https://www.linkedin.com/posts/awkasmer_staff-business-data-analyst-activity-7232886504606351360-U3Zn?utm_source=share&amp;utm_medium=member_desktop" TargetMode="External"/><Relationship Id="rId1167" Type="http://schemas.openxmlformats.org/officeDocument/2006/relationships/hyperlink" Target="https://www.linkedin.com/posts/jacob-strock-data-science_come-join-the-cmd-team-experienced-data-activity-7226943945203744772--NSY?utm_source=share&amp;utm_medium=member_desktop" TargetMode="External"/><Relationship Id="rId331" Type="http://schemas.openxmlformats.org/officeDocument/2006/relationships/hyperlink" Target="https://www.linkedin.com/posts/mattrjames1_hiring-dataanalyst-activity-7236730463229288449-IeCE?utm_source=share&amp;utm_medium=member_desktop" TargetMode="External"/><Relationship Id="rId573" Type="http://schemas.openxmlformats.org/officeDocument/2006/relationships/hyperlink" Target="https://www.linkedin.com/posts/korinnepowell_whopcareers-hiring-datascience-activity-7233070819571044355-yvEj?utm_source=share&amp;utm_medium=member_desktop" TargetMode="External"/><Relationship Id="rId1168" Type="http://schemas.openxmlformats.org/officeDocument/2006/relationships/hyperlink" Target="https://www.linkedin.com/posts/rebecca-brady-shrm-cp-3b138943_industry-analyst-activity-7226863323592425472-ds9s?utm_source=share&amp;utm_medium=member_desktop" TargetMode="External"/><Relationship Id="rId370" Type="http://schemas.openxmlformats.org/officeDocument/2006/relationships/hyperlink" Target="https://www.linkedin.com/posts/minna-hollis-cpa-43241469_hiring-financejobs-remotework-activity-7235309408879026177-sPsG?utm_source=share&amp;utm_medium=member_desktop" TargetMode="External"/><Relationship Id="rId129" Type="http://schemas.openxmlformats.org/officeDocument/2006/relationships/hyperlink" Target="https://www.linkedin.com/posts/activity-7239641613436657667-LL7l?utm_source=share&amp;utm_medium=member_desktop" TargetMode="External"/><Relationship Id="rId128" Type="http://schemas.openxmlformats.org/officeDocument/2006/relationships/hyperlink" Target="https://www.linkedin.com/posts/jessica-bouthillier-8611791_sr-business-operations-analyst-activity-7239352320839340032-4Yi2?utm_source=share&amp;utm_medium=member_desktop" TargetMode="External"/><Relationship Id="rId127" Type="http://schemas.openxmlformats.org/officeDocument/2006/relationships/hyperlink" Target="https://www.linkedin.com/posts/rohith-srr_senior-data-analyst-battery-software-activity-7239424963529596930-yE_r?utm_source=share&amp;utm_medium=member_desktop" TargetMode="External"/><Relationship Id="rId369" Type="http://schemas.openxmlformats.org/officeDocument/2006/relationships/hyperlink" Target="https://www.linkedin.com/posts/caroline-turner-bland-a52369165_hiring-activity-7235298354199449602-2JOS?utm_source=share&amp;utm_medium=member_desktop" TargetMode="External"/><Relationship Id="rId126" Type="http://schemas.openxmlformats.org/officeDocument/2006/relationships/hyperlink" Target="https://www.linkedin.com/posts/kristen-podbelski-a0a2392b_sr-analyst-everyday-pricing-insights-frequency-activity-7239330324990545921-i_YK?utm_source=share&amp;utm_medium=member_desktop" TargetMode="External"/><Relationship Id="rId368" Type="http://schemas.openxmlformats.org/officeDocument/2006/relationships/hyperlink" Target="https://www.linkedin.com/posts/dgaur_hiring-analytics-ecommerce-activity-7235330465954439168-QBXY?utm_source=share&amp;utm_medium=member_desktop" TargetMode="External"/><Relationship Id="rId1190" Type="http://schemas.openxmlformats.org/officeDocument/2006/relationships/hyperlink" Target="https://www.linkedin.com/posts/cleewilliams_product-analyst-broker-research-activity-7225203912784388096-zKwF?utm_source=share&amp;utm_medium=member_desktop" TargetMode="External"/><Relationship Id="rId1191" Type="http://schemas.openxmlformats.org/officeDocument/2006/relationships/hyperlink" Target="https://www.linkedin.com/posts/lourdes-rocha-cir-certified-8b40591a_revenue-financial-analyst-iii-in-los-angeles-activity-7226321811238445057-_HGN?utm_source=share&amp;utm_medium=member_desktop" TargetMode="External"/><Relationship Id="rId1192" Type="http://schemas.openxmlformats.org/officeDocument/2006/relationships/hyperlink" Target="https://www.linkedin.com/posts/dianahughes_looking-for-a-thought-leader-in-f2p-product-ugcPost-7226397512247517184-QvCE?utm_source=share&amp;utm_medium=member_desktop" TargetMode="External"/><Relationship Id="rId1193" Type="http://schemas.openxmlformats.org/officeDocument/2006/relationships/hyperlink" Target="https://www.linkedin.com/posts/daniellebrandon_customer-insights-sr-analyst-in-mooresville-activity-7226297855982907393-hL5i?utm_source=share&amp;utm_medium=member_desktop" TargetMode="External"/><Relationship Id="rId121" Type="http://schemas.openxmlformats.org/officeDocument/2006/relationships/hyperlink" Target="https://www.linkedin.com/posts/karenegypt_data-analyst-activity-7237733400172789760-FrpU?utm_source=share&amp;utm_medium=member_desktop" TargetMode="External"/><Relationship Id="rId363" Type="http://schemas.openxmlformats.org/officeDocument/2006/relationships/hyperlink" Target="https://www.linkedin.com/posts/kate-eckard_hiring-activity-7235271245863276545-DWmL?utm_source=share&amp;utm_medium=member_desktop" TargetMode="External"/><Relationship Id="rId1194" Type="http://schemas.openxmlformats.org/officeDocument/2006/relationships/hyperlink" Target="https://www.linkedin.com/posts/juan-marquez-69410a15_we-are-looking-to-hire-an-experienced-credit-activity-7226639260697735168-g69q?utm_source=share&amp;utm_medium=member_desktop" TargetMode="External"/><Relationship Id="rId120" Type="http://schemas.openxmlformats.org/officeDocument/2006/relationships/hyperlink" Target="https://www.linkedin.com/posts/lashandra-austin-price-6b2a32220_gainwell-hiring-wearehiring-activity-7238910366842339328-KI2l?utm_source=share&amp;utm_medium=member_desktop" TargetMode="External"/><Relationship Id="rId362" Type="http://schemas.openxmlformats.org/officeDocument/2006/relationships/hyperlink" Target="https://www.linkedin.com/posts/sarah-everhart_analyst-people-analytics-in-davidson-nc-800e-activity-7235321509592936448-9C7O?utm_source=share&amp;utm_medium=member_desktop" TargetMode="External"/><Relationship Id="rId1195" Type="http://schemas.openxmlformats.org/officeDocument/2006/relationships/hyperlink" Target="https://www.linkedin.com/posts/ben-rollins-ut_hiring-activity-7226457354953797633-Gnoc?utm_source=share&amp;utm_medium=member_desktop" TargetMode="External"/><Relationship Id="rId361" Type="http://schemas.openxmlformats.org/officeDocument/2006/relationships/hyperlink" Target="https://www.linkedin.com/posts/sunrito-bhattacharya-828a2348_data-product-manager-activity-7235344209812066305-RwRg?utm_source=share&amp;utm_medium=member_desktop" TargetMode="External"/><Relationship Id="rId1196" Type="http://schemas.openxmlformats.org/officeDocument/2006/relationships/hyperlink" Target="https://www.linkedin.com/posts/lou-greisiger-72bb368_analyst-social-intelligence-activity-7226544717415489536-i9qG?utm_source=share&amp;utm_medium=member_desktop" TargetMode="External"/><Relationship Id="rId360" Type="http://schemas.openxmlformats.org/officeDocument/2006/relationships/hyperlink" Target="https://www.linkedin.com/posts/peter-dimov_how-often-do-you-get-the-chance-to-be-the-activity-7235375458006028289-AOg2?utm_source=share&amp;utm_medium=member_desktop" TargetMode="External"/><Relationship Id="rId1197" Type="http://schemas.openxmlformats.org/officeDocument/2006/relationships/hyperlink" Target="https://www.linkedin.com/posts/molly-seymour-19b57764_join-my-team-i-am-looking-for-a-campaign-activity-7226631694651383809-91nn?utm_source=share&amp;utm_medium=member_desktop" TargetMode="External"/><Relationship Id="rId125" Type="http://schemas.openxmlformats.org/officeDocument/2006/relationships/hyperlink" Target="https://www.linkedin.com/posts/hadiamadni_im-hiring-for-a-business-analyst-role-and-activity-7239436522762944512-RfZH?utm_source=share&amp;utm_medium=member_desktop" TargetMode="External"/><Relationship Id="rId367" Type="http://schemas.openxmlformats.org/officeDocument/2006/relationships/hyperlink" Target="https://www.linkedin.com/posts/vishrut-shah_hiring-careeropportunity-joinourteam-activity-7235283458145574914-hSqs?utm_source=share&amp;utm_medium=member_desktop" TargetMode="External"/><Relationship Id="rId1198" Type="http://schemas.openxmlformats.org/officeDocument/2006/relationships/hyperlink" Target="https://www.linkedin.com/posts/activity-7226622374173888513-u5Qb?utm_source=share&amp;utm_medium=member_desktop" TargetMode="External"/><Relationship Id="rId124" Type="http://schemas.openxmlformats.org/officeDocument/2006/relationships/hyperlink" Target="https://www.linkedin.com/posts/donaldeddy_analyst-financial-reporting-activity-7239626240565923840-9nP5?utm_source=share&amp;utm_medium=member_desktop" TargetMode="External"/><Relationship Id="rId366" Type="http://schemas.openxmlformats.org/officeDocument/2006/relationships/hyperlink" Target="https://www.linkedin.com/posts/creativeishu_hiring-datascience-machinelearning-activity-7235354225709400064-fL4h?utm_source=share&amp;utm_medium=member_desktop" TargetMode="External"/><Relationship Id="rId1199" Type="http://schemas.openxmlformats.org/officeDocument/2006/relationships/hyperlink" Target="https://www.linkedin.com/posts/hunterduncantn_jobopening-creditanalyst-logistics-activity-7226564653491900418-p2BT?utm_source=share&amp;utm_medium=member_desktop" TargetMode="External"/><Relationship Id="rId123" Type="http://schemas.openxmlformats.org/officeDocument/2006/relationships/hyperlink" Target="https://www.linkedin.com/posts/paigemahrenholz_we-are-looking-for-a-financial-analyst-to-activity-7239625324487942144-zTP3?utm_source=share&amp;utm_medium=member_desktop" TargetMode="External"/><Relationship Id="rId365" Type="http://schemas.openxmlformats.org/officeDocument/2006/relationships/hyperlink" Target="https://www.linkedin.com/posts/jodie-tadlock_data-scientist-activity-7235243924976476160-ww4y?utm_source=share&amp;utm_medium=member_desktop" TargetMode="External"/><Relationship Id="rId122" Type="http://schemas.openxmlformats.org/officeDocument/2006/relationships/hyperlink" Target="https://www.linkedin.com/posts/drew-mooney-data_data-analytics-hiring-activity-7239656986408067072-99g_?utm_source=share&amp;utm_medium=member_desktop" TargetMode="External"/><Relationship Id="rId364" Type="http://schemas.openxmlformats.org/officeDocument/2006/relationships/hyperlink" Target="https://www.linkedin.com/posts/technicalhiring_staff-data-scientist-remote-strong-engineering-activity-7235387207862136832-lWBs?utm_source=share&amp;utm_medium=member_desktop" TargetMode="External"/><Relationship Id="rId95" Type="http://schemas.openxmlformats.org/officeDocument/2006/relationships/hyperlink" Target="https://www.linkedin.com/posts/sara-mantlik_sr-business-intelligence-analyst-activity-7239754113498914816-IHS-?utm_source=share&amp;utm_medium=member_desktop" TargetMode="External"/><Relationship Id="rId94" Type="http://schemas.openxmlformats.org/officeDocument/2006/relationships/hyperlink" Target="https://www.linkedin.com/posts/katherineabratcher_hey-network-im-hiring-for-a-financial-analyst-activity-7239327908475904000-sHWm?utm_source=share&amp;utm_medium=member_desktop" TargetMode="External"/><Relationship Id="rId97" Type="http://schemas.openxmlformats.org/officeDocument/2006/relationships/hyperlink" Target="https://www.linkedin.com/posts/theresa-sawyer-374398b_come-join-my-analytics-team-looking-for-activity-7239826834882707456-9omD?utm_source=share&amp;utm_medium=member_desktop" TargetMode="External"/><Relationship Id="rId96" Type="http://schemas.openxmlformats.org/officeDocument/2006/relationships/hyperlink" Target="https://www.linkedin.com/posts/katina-wilson-47239b121_senior-financial-strategy-analyst-activity-7239367380705968128-GfXV?utm_source=share&amp;utm_medium=member_desktop" TargetMode="External"/><Relationship Id="rId99" Type="http://schemas.openxmlformats.org/officeDocument/2006/relationships/hyperlink" Target="https://www.linkedin.com/posts/kelly-daly-14910192_im-excited-to-share-that-im-looking-for-activity-7239810397124407296-qboh?utm_source=share&amp;utm_medium=member_desktop" TargetMode="External"/><Relationship Id="rId98" Type="http://schemas.openxmlformats.org/officeDocument/2006/relationships/hyperlink" Target="https://www.linkedin.com/posts/cgehring11_hiringnow-digitalanalytics-dataanalysis-activity-7239662114083151872-W-x7?utm_source=share&amp;utm_medium=member_desktop" TargetMode="External"/><Relationship Id="rId91" Type="http://schemas.openxmlformats.org/officeDocument/2006/relationships/hyperlink" Target="https://www.linkedin.com/posts/david-bremser-5b0b0792_hiring-ugcPost-7239257407703367680-AGQM?utm_source=share&amp;utm_medium=member_desktop" TargetMode="External"/><Relationship Id="rId90" Type="http://schemas.openxmlformats.org/officeDocument/2006/relationships/hyperlink" Target="https://www.linkedin.com/posts/kristyburns_hey-friends-we-are-hiring-for-a-business-activity-7239778213952897024-1T19?utm_source=share&amp;utm_medium=member_desktop" TargetMode="External"/><Relationship Id="rId93" Type="http://schemas.openxmlformats.org/officeDocument/2006/relationships/hyperlink" Target="https://www.linkedin.com/posts/mcucinelli_fpa-analyst-activity-7239743781766385664-csA1?utm_source=share&amp;utm_medium=member_desktop" TargetMode="External"/><Relationship Id="rId92" Type="http://schemas.openxmlformats.org/officeDocument/2006/relationships/hyperlink" Target="https://www.linkedin.com/posts/dennis-peyton-jr-648b6561_health-informatics-data-analyst-i-at-carnival-activity-7239675619062525952-6ZtP?utm_source=share&amp;utm_medium=member_desktop" TargetMode="External"/><Relationship Id="rId118" Type="http://schemas.openxmlformats.org/officeDocument/2006/relationships/hyperlink" Target="https://www.linkedin.com/posts/mjrowell_we-are-hiring-a-data-scientist-to-work-on-activity-7239721065810157568-qad3?utm_source=share&amp;utm_medium=member_desktop" TargetMode="External"/><Relationship Id="rId117" Type="http://schemas.openxmlformats.org/officeDocument/2006/relationships/hyperlink" Target="https://www.linkedin.com/posts/saket-dabi-500835132_hiring-jobopening-businessintelligence-activity-7239747046092460033-XNbX?utm_source=share&amp;utm_medium=member_desktop" TargetMode="External"/><Relationship Id="rId359" Type="http://schemas.openxmlformats.org/officeDocument/2006/relationships/hyperlink" Target="https://www.linkedin.com/posts/audrey-linico_join-our-team-as-a-data-analyst-intern-activity-7235315583532109824-P_Ys?utm_source=share&amp;utm_medium=member_desktop" TargetMode="External"/><Relationship Id="rId116" Type="http://schemas.openxmlformats.org/officeDocument/2006/relationships/hyperlink" Target="https://www.linkedin.com/posts/activity-7239673711069392896-WNe-?utm_source=share&amp;utm_medium=member_desktop" TargetMode="External"/><Relationship Id="rId358" Type="http://schemas.openxmlformats.org/officeDocument/2006/relationships/hyperlink" Target="https://www.linkedin.com/posts/josephhoult_supply-chain-business-analyst-activity-7235370823639810048-hx6z?utm_source=share&amp;utm_medium=member_desktop" TargetMode="External"/><Relationship Id="rId115" Type="http://schemas.openxmlformats.org/officeDocument/2006/relationships/hyperlink" Target="https://www.linkedin.com/posts/genetabach_hiring-remote-datascience-activity-7239763216715694080-KjKO?utm_source=share&amp;utm_medium=member_desktop" TargetMode="External"/><Relationship Id="rId357" Type="http://schemas.openxmlformats.org/officeDocument/2006/relationships/hyperlink" Target="https://www.linkedin.com/posts/ila-woolsey-777b2859_pricing-analyst-1898-activity-7235311267886809090-bvgV?utm_source=share&amp;utm_medium=member_desktop" TargetMode="External"/><Relationship Id="rId599" Type="http://schemas.openxmlformats.org/officeDocument/2006/relationships/hyperlink" Target="https://www.linkedin.com/posts/visnjavarga_hiring-financial-professional-activity-7232382745476300800-Kvhk?utm_source=share&amp;utm_medium=member_desktop" TargetMode="External"/><Relationship Id="rId1180" Type="http://schemas.openxmlformats.org/officeDocument/2006/relationships/hyperlink" Target="https://www.linkedin.com/posts/miguelgtz_hiring-ugcPost-7226376743891206144-i5yz?utm_source=share&amp;utm_medium=member_desktop" TargetMode="External"/><Relationship Id="rId1181" Type="http://schemas.openxmlformats.org/officeDocument/2006/relationships/hyperlink" Target="https://www.linkedin.com/posts/kinley-bays_jobopportunity-financialanalyst-atlantajobs-activity-7226318270012805120-mqRq?utm_source=share&amp;utm_medium=member_desktop" TargetMode="External"/><Relationship Id="rId119" Type="http://schemas.openxmlformats.org/officeDocument/2006/relationships/hyperlink" Target="https://www.linkedin.com/posts/abdoksh_hiring-for-a-business-data-analyst-role-activity-7237818378554384385-F0Xw?utm_source=share&amp;utm_medium=member_desktop" TargetMode="External"/><Relationship Id="rId1182" Type="http://schemas.openxmlformats.org/officeDocument/2006/relationships/hyperlink" Target="https://www.linkedin.com/posts/kendell-whitington-74a6627_sr-financial-analyst-activity-7226323929714319360-Ja13?utm_source=share&amp;utm_medium=member_desktop" TargetMode="External"/><Relationship Id="rId110" Type="http://schemas.openxmlformats.org/officeDocument/2006/relationships/hyperlink" Target="https://www.linkedin.com/posts/earl-shaw_director-business-intelligence-analytics-activity-7239352806430679040-hMmZ?utm_source=share&amp;utm_medium=member_desktop" TargetMode="External"/><Relationship Id="rId352" Type="http://schemas.openxmlformats.org/officeDocument/2006/relationships/hyperlink" Target="https://www.linkedin.com/posts/sabinajia_data-scientist-i-strategy-analytics-life-activity-7234315560191246338-jC4e?utm_source=share&amp;utm_medium=member_desktop" TargetMode="External"/><Relationship Id="rId594" Type="http://schemas.openxmlformats.org/officeDocument/2006/relationships/hyperlink" Target="https://www.linkedin.com/posts/tifanyguevara_hiring-activity-7232827086955057152-7LqZ?utm_source=share&amp;utm_medium=member_desktop" TargetMode="External"/><Relationship Id="rId1183" Type="http://schemas.openxmlformats.org/officeDocument/2006/relationships/hyperlink" Target="https://www.linkedin.com/posts/wade-honeyfield-769b066_my-team-is-hiring-looking-for-a-sr-analyst-activity-7226247037195837442-MWqg?utm_source=share&amp;utm_medium=member_desktop" TargetMode="External"/><Relationship Id="rId351" Type="http://schemas.openxmlformats.org/officeDocument/2006/relationships/hyperlink" Target="https://www.linkedin.com/posts/deep-patel-82ab151b1_we-have-exciting-job-opening-for-remote-sr-activity-7235348940055875584-9r81?utm_source=share&amp;utm_medium=member_desktop" TargetMode="External"/><Relationship Id="rId593" Type="http://schemas.openxmlformats.org/officeDocument/2006/relationships/hyperlink" Target="https://www.linkedin.com/posts/sarah-jones-simmer_director-analytics-new-york-ny-activity-7232068283984723968-oEep?utm_source=share&amp;utm_medium=member_desktop" TargetMode="External"/><Relationship Id="rId1184" Type="http://schemas.openxmlformats.org/officeDocument/2006/relationships/hyperlink" Target="https://www.linkedin.com/posts/tekedlia-everett-195b1368_here-we-grow-again-we-have-an-opening-for-activity-7226381817161879553-o4XH?utm_source=share&amp;utm_medium=member_desktop" TargetMode="External"/><Relationship Id="rId350" Type="http://schemas.openxmlformats.org/officeDocument/2006/relationships/hyperlink" Target="https://www.linkedin.com/posts/shirley-ni_marketing-data-scientist-activity-7235397112073437184-qqw5?utm_source=share&amp;utm_medium=member_desktop" TargetMode="External"/><Relationship Id="rId592" Type="http://schemas.openxmlformats.org/officeDocument/2006/relationships/hyperlink" Target="https://www.linkedin.com/posts/macarenadza_product-analyst-activity-7232785021101580288-ldaa?utm_source=share&amp;utm_medium=member_desktop" TargetMode="External"/><Relationship Id="rId1185" Type="http://schemas.openxmlformats.org/officeDocument/2006/relationships/hyperlink" Target="https://www.linkedin.com/posts/activity-7226335636788592640-GPAx?utm_source=share&amp;utm_medium=member_desktop" TargetMode="External"/><Relationship Id="rId591" Type="http://schemas.openxmlformats.org/officeDocument/2006/relationships/hyperlink" Target="https://www.linkedin.com/posts/sarah-worth-94497347_data-scientist-iii-research-activity-7232179842937413633-PG0o?utm_source=share&amp;utm_medium=member_desktop" TargetMode="External"/><Relationship Id="rId1186" Type="http://schemas.openxmlformats.org/officeDocument/2006/relationships/hyperlink" Target="https://www.linkedin.com/posts/activity-7226294357677477889-JiKZ?utm_source=share&amp;utm_medium=member_desktop" TargetMode="External"/><Relationship Id="rId114" Type="http://schemas.openxmlformats.org/officeDocument/2006/relationships/hyperlink" Target="https://www.linkedin.com/posts/alysia-dupuy_we-are-hiring-for-a-rockstar-staff-analyst-activity-7239347951284670464-6Y-n?utm_source=share&amp;utm_medium=member_desktop" TargetMode="External"/><Relationship Id="rId356" Type="http://schemas.openxmlformats.org/officeDocument/2006/relationships/hyperlink" Target="https://www.linkedin.com/posts/katie-buckis_hiring-activity-7235313370445336576-3bXB?utm_source=share&amp;utm_medium=member_desktop" TargetMode="External"/><Relationship Id="rId598" Type="http://schemas.openxmlformats.org/officeDocument/2006/relationships/hyperlink" Target="https://www.linkedin.com/posts/heather-peterson-mba-aa0709121_creditanalyst-finance-agriculture-activity-7232845765050597378-4ekU?utm_source=share&amp;utm_medium=member_desktop" TargetMode="External"/><Relationship Id="rId1187" Type="http://schemas.openxmlformats.org/officeDocument/2006/relationships/hyperlink" Target="https://www.linkedin.com/posts/romarico-perez_financial-planning-analysis-analyst-activity-7226202792195952640-Lupd?utm_source=share&amp;utm_medium=member_desktop" TargetMode="External"/><Relationship Id="rId113" Type="http://schemas.openxmlformats.org/officeDocument/2006/relationships/hyperlink" Target="https://www.linkedin.com/posts/benharris01_hiring-activity-7239689604554002433-_fsz?utm_source=share&amp;utm_medium=member_desktop" TargetMode="External"/><Relationship Id="rId355" Type="http://schemas.openxmlformats.org/officeDocument/2006/relationships/hyperlink" Target="https://www.linkedin.com/posts/activity-7235397169405403136-bvug?utm_source=share&amp;utm_medium=member_desktop" TargetMode="External"/><Relationship Id="rId597" Type="http://schemas.openxmlformats.org/officeDocument/2006/relationships/hyperlink" Target="https://www.linkedin.com/posts/mathias-weskamp-44908466_privatecapitalforthepublicgood-joinmiga-activity-7232392010190499840-8_AQ?utm_source=share&amp;utm_medium=member_desktop" TargetMode="External"/><Relationship Id="rId1188" Type="http://schemas.openxmlformats.org/officeDocument/2006/relationships/hyperlink" Target="https://www.linkedin.com/posts/activity-7226324791794774016--MT8?utm_source=share&amp;utm_medium=member_desktop" TargetMode="External"/><Relationship Id="rId112" Type="http://schemas.openxmlformats.org/officeDocument/2006/relationships/hyperlink" Target="https://www.linkedin.com/posts/rojitadatta_advanced-analytics-analyst-senior-activity-7239729105967964161-Zfio?utm_source=share&amp;utm_medium=member_desktop" TargetMode="External"/><Relationship Id="rId354" Type="http://schemas.openxmlformats.org/officeDocument/2006/relationships/hyperlink" Target="https://www.linkedin.com/posts/karina-gilad_our-data-analytics-team-is-growing-we-activity-7235316635559993345-BsrY?utm_source=share&amp;utm_medium=member_desktop" TargetMode="External"/><Relationship Id="rId596" Type="http://schemas.openxmlformats.org/officeDocument/2006/relationships/hyperlink" Target="https://www.linkedin.com/posts/rebecca-visconti-aa93567_im-hiring-im-looking-for-a-senior-marketing-activity-7232498746465394689-PcJg?utm_source=share&amp;utm_medium=member_desktop" TargetMode="External"/><Relationship Id="rId1189" Type="http://schemas.openxmlformats.org/officeDocument/2006/relationships/hyperlink" Target="https://www.linkedin.com/posts/idakim_evgo-is-looking-for-senior-analyst-business-activity-7225911793020194817-SEIU?utm_source=share&amp;utm_medium=member_desktop" TargetMode="External"/><Relationship Id="rId111" Type="http://schemas.openxmlformats.org/officeDocument/2006/relationships/hyperlink" Target="https://www.linkedin.com/posts/anna-broussard-a76841a8_hrdata-peopledata-workday-activity-7239636186355351553-aQxo?utm_source=share&amp;utm_medium=member_desktop" TargetMode="External"/><Relationship Id="rId353" Type="http://schemas.openxmlformats.org/officeDocument/2006/relationships/hyperlink" Target="https://www.linkedin.com/posts/mitchell-kaup-70019270_penn-mutual-1847financial-is-hiring-reach-activity-7234954384172818433-BliS?utm_source=share&amp;utm_medium=member_desktop" TargetMode="External"/><Relationship Id="rId595" Type="http://schemas.openxmlformats.org/officeDocument/2006/relationships/hyperlink" Target="https://www.linkedin.com/posts/vickywalton_financialrisk-analystopportunity-joinourteam-activity-7232785051438956544-Vl61?utm_source=share&amp;utm_medium=member_desktop" TargetMode="External"/><Relationship Id="rId1136" Type="http://schemas.openxmlformats.org/officeDocument/2006/relationships/hyperlink" Target="https://www.linkedin.com/posts/brittni-frederiksen-95903b73_womens-health-policy-data-analyst-activity-7226710942934294528-eye4?utm_source=share&amp;utm_medium=member_ios" TargetMode="External"/><Relationship Id="rId1378" Type="http://schemas.openxmlformats.org/officeDocument/2006/relationships/hyperlink" Target="https://www.linkedin.com/posts/letsgoheat_hiring-activity-7224091316140347393-vesQ?utm_source=share&amp;utm_medium=member_desktop" TargetMode="External"/><Relationship Id="rId1137" Type="http://schemas.openxmlformats.org/officeDocument/2006/relationships/hyperlink" Target="https://www.linkedin.com/posts/brandonhilten_analyst-3-dialer-administrator-job-at-comcast-activity-7226648049668816896-XJ7W?utm_source=share&amp;utm_medium=member_ios" TargetMode="External"/><Relationship Id="rId1379" Type="http://schemas.openxmlformats.org/officeDocument/2006/relationships/hyperlink" Target="https://www.linkedin.com/posts/shvetaarora_were-hiring-i-am-looking-for-a-rockstar-activity-7224100720067624960-QBKh?utm_source=share&amp;utm_medium=member_desktop" TargetMode="External"/><Relationship Id="rId1138" Type="http://schemas.openxmlformats.org/officeDocument/2006/relationships/hyperlink" Target="https://www.linkedin.com/posts/aiko-mizumori_my-team-is-hiring-join-the-best-team-for-activity-7226991998413500420-gyII?utm_source=share&amp;utm_medium=member_desktop" TargetMode="External"/><Relationship Id="rId1139" Type="http://schemas.openxmlformats.org/officeDocument/2006/relationships/hyperlink" Target="https://www.linkedin.com/posts/nvrana_sr-business-intelligence-analyst-activity-7226983494881533952-ejqE?utm_source=share&amp;utm_medium=member_desktop" TargetMode="External"/><Relationship Id="rId305" Type="http://schemas.openxmlformats.org/officeDocument/2006/relationships/hyperlink" Target="https://www.linkedin.com/posts/monicawerle_finance-analyst-remotework-activity-7235381600757161985-dYUI?utm_source=share&amp;utm_medium=member_desktop" TargetMode="External"/><Relationship Id="rId547" Type="http://schemas.openxmlformats.org/officeDocument/2006/relationships/hyperlink" Target="https://www.linkedin.com/posts/activity-7233503398656950272-sS3Y?utm_source=share&amp;utm_medium=member_desktop" TargetMode="External"/><Relationship Id="rId789" Type="http://schemas.openxmlformats.org/officeDocument/2006/relationships/hyperlink" Target="https://www.linkedin.com/posts/meredith-lee-1463b3220_operations-analyst-activity-7231320803848437760-PCw1?utm_source=share&amp;utm_medium=member_desktop" TargetMode="External"/><Relationship Id="rId304" Type="http://schemas.openxmlformats.org/officeDocument/2006/relationships/hyperlink" Target="https://www.linkedin.com/posts/brendan-mahoney-aab87322_data-scientist-activity-7236804483769323522-hmx9?utm_source=share&amp;utm_medium=member_desktop" TargetMode="External"/><Relationship Id="rId546" Type="http://schemas.openxmlformats.org/officeDocument/2006/relationships/hyperlink" Target="https://www.linkedin.com/posts/cynthia-page-46b591219_financial-analyst-activity-7233261419754889216-l_Wj?utm_source=share&amp;utm_medium=member_desktop" TargetMode="External"/><Relationship Id="rId788" Type="http://schemas.openxmlformats.org/officeDocument/2006/relationships/hyperlink" Target="https://www.linkedin.com/posts/kaylareinhart_research-and-intelligence-senior-analyst-activity-7231321272033427456-pq80?utm_source=share&amp;utm_medium=member_desktop" TargetMode="External"/><Relationship Id="rId303" Type="http://schemas.openxmlformats.org/officeDocument/2006/relationships/hyperlink" Target="https://www.linkedin.com/posts/anusheel-choudhary-3820288_awesome-opportunity-to-join-the-marketing-activity-7236833879360225280-GPrO?utm_source=share&amp;utm_medium=member_desktop" TargetMode="External"/><Relationship Id="rId545" Type="http://schemas.openxmlformats.org/officeDocument/2006/relationships/hyperlink" Target="https://www.linkedin.com/posts/robertbetz_data-insights-analyst-healthcare-remote-activity-7233787165954973696-wW4q?utm_source=share&amp;utm_medium=member_desktop" TargetMode="External"/><Relationship Id="rId787" Type="http://schemas.openxmlformats.org/officeDocument/2006/relationships/hyperlink" Target="https://www.linkedin.com/posts/kevin-faulkner-b6936456_senior-analyst-corporate-strategy-in-seattle-activity-7231325469168537602-FJtf/?utm_source=share&amp;utm_medium=member_desktop" TargetMode="External"/><Relationship Id="rId302" Type="http://schemas.openxmlformats.org/officeDocument/2006/relationships/hyperlink" Target="https://www.linkedin.com/posts/theresa-k-98742717_hiring-walmart-walmartdataventures-ugcPost-7236734361822208000-IYTv?utm_source=share&amp;utm_medium=member_desktop" TargetMode="External"/><Relationship Id="rId544" Type="http://schemas.openxmlformats.org/officeDocument/2006/relationships/hyperlink" Target="https://www.linkedin.com/posts/shannondias_aledade-senior-product-analyst-data-ingestion-activity-7233792213120376832-YVTL?utm_source=share&amp;utm_medium=member_desktop" TargetMode="External"/><Relationship Id="rId786" Type="http://schemas.openxmlformats.org/officeDocument/2006/relationships/hyperlink" Target="https://www.linkedin.com/posts/julie-j-schullian-cphq-96770869_lead-analyst-health-economics-value-remote-activity-7231343324601696258-FEkG?utm_source=share&amp;utm_medium=member_desktop" TargetMode="External"/><Relationship Id="rId309" Type="http://schemas.openxmlformats.org/officeDocument/2006/relationships/hyperlink" Target="https://www.linkedin.com/posts/brandonstansbury_financejobs-joinunity-hiring-activity-7236812642781126659-gEAJ?utm_source=share&amp;utm_medium=member_desktop" TargetMode="External"/><Relationship Id="rId308" Type="http://schemas.openxmlformats.org/officeDocument/2006/relationships/hyperlink" Target="https://www.linkedin.com/posts/jennifer-stoner-433a527b_yogiteam-activity-7236861670017351680-uY8Y?utm_source=share&amp;utm_medium=member_desktop" TargetMode="External"/><Relationship Id="rId307" Type="http://schemas.openxmlformats.org/officeDocument/2006/relationships/hyperlink" Target="https://www.linkedin.com/posts/chawaine-reid_hey-linkedin-fam-we-are-looking-for-a-senior-activity-7236835883230904323-zeEd?utm_source=share&amp;utm_medium=member_desktop" TargetMode="External"/><Relationship Id="rId549" Type="http://schemas.openxmlformats.org/officeDocument/2006/relationships/hyperlink" Target="https://www.linkedin.com/posts/emily-h-2a578a22b_senior-financial-analyst-activity-7233529141327806464-8Ztg?utm_source=share&amp;utm_medium=member_desktop" TargetMode="External"/><Relationship Id="rId306" Type="http://schemas.openxmlformats.org/officeDocument/2006/relationships/hyperlink" Target="https://www.linkedin.com/posts/activity-7236821055749640193-LlTv?utm_source=share&amp;utm_medium=member_desktop" TargetMode="External"/><Relationship Id="rId548" Type="http://schemas.openxmlformats.org/officeDocument/2006/relationships/hyperlink" Target="https://www.linkedin.com/posts/richard-schneider-66815759_associate-analyst-paid-social-activity-7233311569718206467-YBiq?utm_source=share&amp;utm_medium=member_desktop" TargetMode="External"/><Relationship Id="rId781" Type="http://schemas.openxmlformats.org/officeDocument/2006/relationships/hyperlink" Target="https://www.linkedin.com/posts/joni-bartlett-0245a5_senior-data-scientist-in-ofallon-mo-activity-7231351482053185537-Y8sc/?utm_source=share&amp;utm_medium=member_desktop" TargetMode="External"/><Relationship Id="rId1370" Type="http://schemas.openxmlformats.org/officeDocument/2006/relationships/hyperlink" Target="https://www.linkedin.com/posts/activity-7223920126322950145-PQC1?utm_source=share&amp;utm_medium=member_desktop" TargetMode="External"/><Relationship Id="rId780" Type="http://schemas.openxmlformats.org/officeDocument/2006/relationships/hyperlink" Target="https://www.linkedin.com/posts/john-watkinson-742375a_hiring-data-analytics-activity-7231327001075179520-5fbV?utm_source=share&amp;utm_medium=member_ios" TargetMode="External"/><Relationship Id="rId1371" Type="http://schemas.openxmlformats.org/officeDocument/2006/relationships/hyperlink" Target="https://www.linkedin.com/posts/carly-giraldo-kane-36836268_manager-supply-chain-analytics-in-edgewater-activity-7223723137362726912-noQa?utm_source=share&amp;utm_medium=member_desktop" TargetMode="External"/><Relationship Id="rId1130" Type="http://schemas.openxmlformats.org/officeDocument/2006/relationships/hyperlink" Target="https://www.linkedin.com/posts/nikita-urunkar_hiring-dataanalytics-bi-activity-7227406710179549185-PAWn?utm_source=share&amp;utm_medium=member_ios" TargetMode="External"/><Relationship Id="rId1372" Type="http://schemas.openxmlformats.org/officeDocument/2006/relationships/hyperlink" Target="https://www.linkedin.com/posts/activity-7224069388537053187-cMJR?utm_source=share&amp;utm_medium=member_desktop" TargetMode="External"/><Relationship Id="rId1131" Type="http://schemas.openxmlformats.org/officeDocument/2006/relationships/hyperlink" Target="https://www.linkedin.com/posts/-annie-yang719_were-looking-for-talented-financial-analyst-activity-7226997986969444354-2v8k?utm_source=share&amp;utm_medium=member_desktop" TargetMode="External"/><Relationship Id="rId1373" Type="http://schemas.openxmlformats.org/officeDocument/2006/relationships/hyperlink" Target="https://www.linkedin.com/posts/farrah-bleich-05981359_clinical-research-analyst-remote-activity-7224134038020632576-BvlH?utm_source=share&amp;utm_medium=member_desktop" TargetMode="External"/><Relationship Id="rId301" Type="http://schemas.openxmlformats.org/officeDocument/2006/relationships/hyperlink" Target="https://www.linkedin.com/posts/activity-7236866862871887872-rCPn?utm_source=share&amp;utm_medium=member_desktop" TargetMode="External"/><Relationship Id="rId543" Type="http://schemas.openxmlformats.org/officeDocument/2006/relationships/hyperlink" Target="https://www.linkedin.com/posts/shannondias_aledade-value-based-care-performance-analyst-activity-7233792246528008192-c2_b?utm_source=share&amp;utm_medium=member_desktop" TargetMode="External"/><Relationship Id="rId785" Type="http://schemas.openxmlformats.org/officeDocument/2006/relationships/hyperlink" Target="https://www.linkedin.com/posts/activity-7231337283910606848-ZVN4/?utm_source=share&amp;utm_medium=member_desktop" TargetMode="External"/><Relationship Id="rId1132" Type="http://schemas.openxmlformats.org/officeDocument/2006/relationships/hyperlink" Target="https://www.linkedin.com/posts/nikhil-phadnis-84598721_senior-data-analyst-operations-activity-7227095265424392192-3uJN?utm_source=share&amp;utm_medium=member_desktop" TargetMode="External"/><Relationship Id="rId1374" Type="http://schemas.openxmlformats.org/officeDocument/2006/relationships/hyperlink" Target="https://www.linkedin.com/posts/kaitlyngordon_actuarial-analyst-i-activity-7224079440060817410-x3Cu?utm_source=share&amp;utm_medium=member_desktop" TargetMode="External"/><Relationship Id="rId300" Type="http://schemas.openxmlformats.org/officeDocument/2006/relationships/hyperlink" Target="https://www.linkedin.com/posts/kimberly-touchet-47bb734a_finance-analyst-entry-level-activity-7237106554351591424-v3fu?utm_source=share&amp;utm_medium=member_desktop" TargetMode="External"/><Relationship Id="rId542" Type="http://schemas.openxmlformats.org/officeDocument/2006/relationships/hyperlink" Target="https://www.linkedin.com/posts/alex-bahr_i-am-hiring-looking-for-a-rockstar-ugcPost-7233519212399337472-iK8j?utm_source=share&amp;utm_medium=member_desktop" TargetMode="External"/><Relationship Id="rId784" Type="http://schemas.openxmlformats.org/officeDocument/2006/relationships/hyperlink" Target="https://www.linkedin.com/posts/benrcook_note-this-role-requires-a-us-citizenship-activity-7231357516469669888-TYY6?utm_source=share&amp;utm_medium=member_desktop" TargetMode="External"/><Relationship Id="rId1133" Type="http://schemas.openxmlformats.org/officeDocument/2006/relationships/hyperlink" Target="https://www.linkedin.com/posts/amfenn_my-team-is-growingagain-looking-for-a-activity-7226929060906496001-uL0B?utm_source=share&amp;utm_medium=member_desktop" TargetMode="External"/><Relationship Id="rId1375" Type="http://schemas.openxmlformats.org/officeDocument/2006/relationships/hyperlink" Target="https://www.linkedin.com/posts/anujin-enkh-amgalan_compensation-analyst-activity-7224159302570192896-Jmr0?utm_source=share&amp;utm_medium=member_desktop" TargetMode="External"/><Relationship Id="rId541" Type="http://schemas.openxmlformats.org/officeDocument/2006/relationships/hyperlink" Target="https://www.linkedin.com/posts/pinky50_project-finance-analyst-i-in-atlanta-georgia-activity-7233638308461834240-D4Dp?utm_source=share&amp;utm_medium=member_desktop" TargetMode="External"/><Relationship Id="rId783" Type="http://schemas.openxmlformats.org/officeDocument/2006/relationships/hyperlink" Target="https://www.linkedin.com/posts/pahoran-da-silva-b9766659_were-expanding-our-fpa-team-and-seeking-activity-7231305108179816450-N7EZ?utm_source=share&amp;utm_medium=member_desktop" TargetMode="External"/><Relationship Id="rId1134" Type="http://schemas.openxmlformats.org/officeDocument/2006/relationships/hyperlink" Target="https://www.linkedin.com/posts/samanthascarlett_sr-global-supply-planning-analyst-activity-7226617784103817216-Y-Rb?utm_source=share&amp;utm_medium=member_ios" TargetMode="External"/><Relationship Id="rId1376" Type="http://schemas.openxmlformats.org/officeDocument/2006/relationships/hyperlink" Target="https://www.linkedin.com/posts/tonia-keefer-mba-4b32905b_senior-financial-analyst-activity-7224125782367907841-Be-2?utm_source=share&amp;utm_medium=member_desktop" TargetMode="External"/><Relationship Id="rId540" Type="http://schemas.openxmlformats.org/officeDocument/2006/relationships/hyperlink" Target="https://www.linkedin.com/posts/beth-gonzales-6b192414_finance-financialanalyst-accounting-activity-7233808903484923904-hGoB?utm_source=share&amp;utm_medium=member_desktop" TargetMode="External"/><Relationship Id="rId782" Type="http://schemas.openxmlformats.org/officeDocument/2006/relationships/hyperlink" Target="https://www.linkedin.com/posts/manish-sharma-16a936b_hiring-sas-etl-activity-7231358457927397376-4oPo?utm_source=share&amp;utm_medium=member_desktop" TargetMode="External"/><Relationship Id="rId1135" Type="http://schemas.openxmlformats.org/officeDocument/2006/relationships/hyperlink" Target="https://www.linkedin.com/posts/austinemberlin_sales-analyst-reporting-specialist-remote-activity-7226689014139863040-XH-h?utm_source=share&amp;utm_medium=member_ios" TargetMode="External"/><Relationship Id="rId1377" Type="http://schemas.openxmlformats.org/officeDocument/2006/relationships/hyperlink" Target="https://www.linkedin.com/posts/adrianokf_incident-analyst-trust-and-safety-bay-activity-7224152622180503552-uyS0?utm_source=share&amp;utm_medium=member_desktop" TargetMode="External"/><Relationship Id="rId1125" Type="http://schemas.openxmlformats.org/officeDocument/2006/relationships/hyperlink" Target="https://www.linkedin.com/posts/meredith-flury_joinourteam-hiring-financialanalyst-activity-7227039784517480448-8GVe?utm_source=share&amp;utm_medium=member_ios" TargetMode="External"/><Relationship Id="rId1367" Type="http://schemas.openxmlformats.org/officeDocument/2006/relationships/hyperlink" Target="https://www.linkedin.com/posts/patrick-hedges-b1434593_analyst-strategy-and-analytics-activity-7224458798340448257-0ZC8?utm_source=share&amp;utm_medium=member_desktop" TargetMode="External"/><Relationship Id="rId1126" Type="http://schemas.openxmlformats.org/officeDocument/2006/relationships/hyperlink" Target="https://www.linkedin.com/posts/elizabeth-clark-b09571272_sr-analyst-financial-analysis-reporting-activity-7226995538263519232-0YFx?utm_source=share&amp;utm_medium=member_ios" TargetMode="External"/><Relationship Id="rId1368" Type="http://schemas.openxmlformats.org/officeDocument/2006/relationships/hyperlink" Target="https://www.linkedin.com/posts/michael-box_hiring-hr-compensation-activity-7224407941007687683-DX_Z?utm_source=share&amp;utm_medium=member_desktop" TargetMode="External"/><Relationship Id="rId1127" Type="http://schemas.openxmlformats.org/officeDocument/2006/relationships/hyperlink" Target="https://www.linkedin.com/posts/activity-7227022807589605377--yYO?utm_source=share&amp;utm_medium=member_ios" TargetMode="External"/><Relationship Id="rId1369" Type="http://schemas.openxmlformats.org/officeDocument/2006/relationships/hyperlink" Target="https://www.linkedin.com/posts/sumonigupta_business-intelligence-engineer-marketing-activity-7224421118420389888-Y0sP?utm_source=share&amp;utm_medium=member_desktop" TargetMode="External"/><Relationship Id="rId1128" Type="http://schemas.openxmlformats.org/officeDocument/2006/relationships/hyperlink" Target="https://www.linkedin.com/posts/rianna-greenfield_hiring-for-senior-analytics-associate-remote-activity-7227050912668676097-uWsh?utm_source=share&amp;utm_medium=member_ios" TargetMode="External"/><Relationship Id="rId1129" Type="http://schemas.openxmlformats.org/officeDocument/2006/relationships/hyperlink" Target="https://www.linkedin.com/posts/erinssumner_deleteme-manager-analytics-engineering-activity-7227103207771049984-Ku6W?utm_source=share&amp;utm_medium=member_ios" TargetMode="External"/><Relationship Id="rId536" Type="http://schemas.openxmlformats.org/officeDocument/2006/relationships/hyperlink" Target="https://www.linkedin.com/posts/petr-tsatsin-a259274b_apply-branch-activity-7232466411757953026-Nnuu?utm_source=share&amp;utm_medium=member_desktop" TargetMode="External"/><Relationship Id="rId778" Type="http://schemas.openxmlformats.org/officeDocument/2006/relationships/hyperlink" Target="https://www.linkedin.com/posts/spencermorse_corporatefinance-financialplanningandanalysis-activity-7229150924504522752-h14Y?utm_source=share&amp;utm_medium=member_ios" TargetMode="External"/><Relationship Id="rId535" Type="http://schemas.openxmlformats.org/officeDocument/2006/relationships/hyperlink" Target="https://www.linkedin.com/posts/marcia-smith-6114663_data-scientist-activity-7231404325028212738-CgAD?utm_source=share&amp;utm_medium=member_desktop" TargetMode="External"/><Relationship Id="rId777" Type="http://schemas.openxmlformats.org/officeDocument/2006/relationships/hyperlink" Target="https://www.linkedin.com/posts/kyle-kilduff-9519618a_were-hiring-a-senior-data-analyst-to-join-activity-7231429244419993600-UK7n?utm_source=share&amp;utm_medium=member_desktop" TargetMode="External"/><Relationship Id="rId534" Type="http://schemas.openxmlformats.org/officeDocument/2006/relationships/hyperlink" Target="https://www.linkedin.com/posts/krutarthmehta1996_datascience-forecasting-ml-activity-7231845558548623361-ggF-?utm_source=share&amp;utm_medium=member_desktop" TargetMode="External"/><Relationship Id="rId776" Type="http://schemas.openxmlformats.org/officeDocument/2006/relationships/hyperlink" Target="https://www.linkedin.com/posts/seanpoconnor98_looking-for-a-new-rev-ops-analyst-to-join-ugcPost-7231293370021605376-g51y?utm_source=share&amp;utm_medium=member_desktop" TargetMode="External"/><Relationship Id="rId533" Type="http://schemas.openxmlformats.org/officeDocument/2006/relationships/hyperlink" Target="https://www.linkedin.com/posts/zhi-ouyang-5bb80b9_aiml-sr-data-scientist-aiml-data-careers-activity-7232906602637320192-iGlo?utm_source=share&amp;utm_medium=member_desktop" TargetMode="External"/><Relationship Id="rId775" Type="http://schemas.openxmlformats.org/officeDocument/2006/relationships/hyperlink" Target="https://www.linkedin.com/posts/bryanwelge_hiring-activity-7231433542423994368-RsH6?utm_source=share&amp;utm_medium=member_desktop" TargetMode="External"/><Relationship Id="rId539" Type="http://schemas.openxmlformats.org/officeDocument/2006/relationships/hyperlink" Target="https://www.linkedin.com/posts/tasha-dehmlow-6a97a0192_senior-gameplay-analyst-activity-7233835664109158400-X8jR?utm_source=share&amp;utm_medium=member_desktop" TargetMode="External"/><Relationship Id="rId538" Type="http://schemas.openxmlformats.org/officeDocument/2006/relationships/hyperlink" Target="https://www.linkedin.com/posts/aaeffinger_senior-business-data-analyst-activity-7233832754797240320-xtgN?utm_source=share&amp;utm_medium=member_desktop" TargetMode="External"/><Relationship Id="rId537" Type="http://schemas.openxmlformats.org/officeDocument/2006/relationships/hyperlink" Target="https://www.linkedin.com/posts/anna-pennachi-b46a22142_hiring-datascience-education-activity-7232824133158342656-fQ4k?utm_source=share&amp;utm_medium=member_desktop" TargetMode="External"/><Relationship Id="rId779" Type="http://schemas.openxmlformats.org/officeDocument/2006/relationships/hyperlink" Target="https://www.linkedin.com/posts/binduchellappan_researchanalyst-hiring-corpay-activity-7231378778520743936-3oyz?utm_source=share&amp;utm_medium=member_ios" TargetMode="External"/><Relationship Id="rId770" Type="http://schemas.openxmlformats.org/officeDocument/2006/relationships/hyperlink" Target="https://www.linkedin.com/posts/jimporterarvada_is-business-intelligence-data-architect-activity-7231357932477562882-XUR5?utm_source=share&amp;utm_medium=member_desktop" TargetMode="External"/><Relationship Id="rId1360" Type="http://schemas.openxmlformats.org/officeDocument/2006/relationships/hyperlink" Target="https://www.linkedin.com/posts/rachel-adjami-587176167_data-and-operations-associate-activity-7224863077836488704-GbLb?utm_source=share&amp;utm_medium=member_desktop" TargetMode="External"/><Relationship Id="rId1361" Type="http://schemas.openxmlformats.org/officeDocument/2006/relationships/hyperlink" Target="https://www.linkedin.com/posts/josielouie_midsenior-data-analyst-product-activity-7224788042459312128-YPlh?utm_source=share&amp;utm_medium=member_desktop" TargetMode="External"/><Relationship Id="rId1120" Type="http://schemas.openxmlformats.org/officeDocument/2006/relationships/hyperlink" Target="https://www.linkedin.com/posts/mahua-dandekar-05371b2_senior-financial-analyst-remote-within-the-activity-7226756025150779392-kktT?utm_source=share&amp;utm_medium=member_desktop" TargetMode="External"/><Relationship Id="rId1362" Type="http://schemas.openxmlformats.org/officeDocument/2006/relationships/hyperlink" Target="https://www.linkedin.com/posts/alison-weck_data-analyst-iii-in-memphis-tennessee-fedex-activity-7224729815998681089-KhT6?utm_source=share&amp;utm_medium=member_desktop" TargetMode="External"/><Relationship Id="rId532" Type="http://schemas.openxmlformats.org/officeDocument/2006/relationships/hyperlink" Target="https://www.linkedin.com/posts/josh-huneycutt-8452a012_senior-data-scientist-activity-7231786796383150082-nTK1?utm_source=share&amp;utm_medium=member_desktop" TargetMode="External"/><Relationship Id="rId774" Type="http://schemas.openxmlformats.org/officeDocument/2006/relationships/hyperlink" Target="https://www.linkedin.com/posts/sijia-du98_data-scientist-hybrid-activity-7231397994879729664-yT7d?utm_source=share&amp;utm_medium=member_desktop" TargetMode="External"/><Relationship Id="rId1121" Type="http://schemas.openxmlformats.org/officeDocument/2006/relationships/hyperlink" Target="https://www.linkedin.com/posts/katelyntzavelis_sr-data-analyst-marketing-activity-7226959137299935232-QVov?utm_source=share&amp;utm_medium=member_desktop" TargetMode="External"/><Relationship Id="rId1363" Type="http://schemas.openxmlformats.org/officeDocument/2006/relationships/hyperlink" Target="https://www.linkedin.com/posts/matthewdweber_senior-data-analyst-activity-7224767999306539008-AhOq?utm_source=share&amp;utm_medium=member_desktop" TargetMode="External"/><Relationship Id="rId531" Type="http://schemas.openxmlformats.org/officeDocument/2006/relationships/hyperlink" Target="https://www.linkedin.com/posts/raj-d-natarajan_job-details-atlassian-activity-7232076134945898496-rpN6?utm_source=share&amp;utm_medium=member_desktop" TargetMode="External"/><Relationship Id="rId773" Type="http://schemas.openxmlformats.org/officeDocument/2006/relationships/hyperlink" Target="https://www.linkedin.com/posts/activity-7231387126695608320-T3_p?utm_source=share&amp;utm_medium=member_desktop" TargetMode="External"/><Relationship Id="rId1122" Type="http://schemas.openxmlformats.org/officeDocument/2006/relationships/hyperlink" Target="https://www.linkedin.com/posts/mallorykhan_are-you-passionate-about-digging-deep-into-activity-7226955441908408320-fvUm?utm_source=share&amp;utm_medium=member_desktop" TargetMode="External"/><Relationship Id="rId1364" Type="http://schemas.openxmlformats.org/officeDocument/2006/relationships/hyperlink" Target="https://www.linkedin.com/posts/christopher-sheehey-81222522_sr-data-scientist-activity-7224195185503584257-ki_J?utm_source=share&amp;utm_medium=member_desktop" TargetMode="External"/><Relationship Id="rId530" Type="http://schemas.openxmlformats.org/officeDocument/2006/relationships/hyperlink" Target="https://www.linkedin.com/posts/allison-saile_come-join-the-best-team-ever-we-are-hiring-activity-7233847066274213888-4fi5?utm_source=share&amp;utm_medium=member_desktop" TargetMode="External"/><Relationship Id="rId772" Type="http://schemas.openxmlformats.org/officeDocument/2006/relationships/hyperlink" Target="https://www.linkedin.com/posts/activity-7231380227199803393-wTm8?utm_source=share&amp;utm_medium=member_desktop" TargetMode="External"/><Relationship Id="rId1123" Type="http://schemas.openxmlformats.org/officeDocument/2006/relationships/hyperlink" Target="https://www.linkedin.com/posts/activity-7226719367969824768-qVt7?utm_source=share&amp;utm_medium=member_desktop" TargetMode="External"/><Relationship Id="rId1365" Type="http://schemas.openxmlformats.org/officeDocument/2006/relationships/hyperlink" Target="https://www.linkedin.com/posts/fayettefox_compensation-analyst-activity-7224051115758075904-krrL?utm_source=share&amp;utm_medium=member_desktop" TargetMode="External"/><Relationship Id="rId771" Type="http://schemas.openxmlformats.org/officeDocument/2006/relationships/hyperlink" Target="https://www.linkedin.com/posts/tracey-dacosta_hr-data-analyst-in-fountain-valley-california-activity-7231392041723707393-GP67?utm_source=share&amp;utm_medium=member_desktop" TargetMode="External"/><Relationship Id="rId1124" Type="http://schemas.openxmlformats.org/officeDocument/2006/relationships/hyperlink" Target="https://www.linkedin.com/posts/aparnakhannajain_data-scientist-healthcare-tiger-analytics-activity-7227033334437044226-Xf5t?utm_source=share&amp;utm_medium=member_desktop" TargetMode="External"/><Relationship Id="rId1366" Type="http://schemas.openxmlformats.org/officeDocument/2006/relationships/hyperlink" Target="https://www.linkedin.com/posts/ashleycottrellmba_hiring-activity-7224413196239958016-xrvd?utm_source=share&amp;utm_medium=member_desktop" TargetMode="External"/><Relationship Id="rId1158" Type="http://schemas.openxmlformats.org/officeDocument/2006/relationships/hyperlink" Target="https://www.linkedin.com/posts/mimi-fritz-0a42a018_looking-for-a-job-activity-7227007533549260801-6qkV?utm_source=share&amp;utm_medium=member_desktop" TargetMode="External"/><Relationship Id="rId1159" Type="http://schemas.openxmlformats.org/officeDocument/2006/relationships/hyperlink" Target="https://www.linkedin.com/posts/gina-fryer-97a6b03_check-out-this-job-at-amarok-security-financial-activity-7226972209389412352-6l1Z?utm_source=share&amp;utm_medium=member_desktop" TargetMode="External"/><Relationship Id="rId327" Type="http://schemas.openxmlformats.org/officeDocument/2006/relationships/hyperlink" Target="https://www.linkedin.com/posts/jtravseattle_search-jobs-microsoft-careers-activity-7236739930121494528-mmkc?utm_source=share&amp;utm_medium=member_desktop" TargetMode="External"/><Relationship Id="rId569" Type="http://schemas.openxmlformats.org/officeDocument/2006/relationships/hyperlink" Target="https://www.linkedin.com/posts/brendan-carr-jr_hiring-jobopportunity-financeanalyst-activity-7232976592115748864-UwL8?utm_source=share&amp;utm_medium=member_desktop" TargetMode="External"/><Relationship Id="rId326" Type="http://schemas.openxmlformats.org/officeDocument/2006/relationships/hyperlink" Target="https://www.linkedin.com/posts/athar-al-najjar-75194b90_confluent-inc-careers-activity-7236742999810977792-Elxa?utm_source=share&amp;utm_medium=member_desktop" TargetMode="External"/><Relationship Id="rId568" Type="http://schemas.openxmlformats.org/officeDocument/2006/relationships/hyperlink" Target="https://www.linkedin.com/posts/cohenlisa_senior-staff-data-scientist-research-activity-7233011571776479232-xSrQ?utm_source=share&amp;utm_medium=member_desktop" TargetMode="External"/><Relationship Id="rId325" Type="http://schemas.openxmlformats.org/officeDocument/2006/relationships/hyperlink" Target="https://www.linkedin.com/posts/shalini-suteria-35613525_senior-finance-analyst-global-rd-study-activity-7236742250565619713-AILo?utm_source=share&amp;utm_medium=member_desktop" TargetMode="External"/><Relationship Id="rId567" Type="http://schemas.openxmlformats.org/officeDocument/2006/relationships/hyperlink" Target="https://www.linkedin.com/posts/araceliperezquezada_datascientist-genai-innovation-activity-7232736031114956800-pzzz?utm_source=share&amp;utm_medium=member_desktop" TargetMode="External"/><Relationship Id="rId324" Type="http://schemas.openxmlformats.org/officeDocument/2006/relationships/hyperlink" Target="https://www.linkedin.com/posts/matthew-walsh-7b8b2818_im-hiring-our-team-googles-content-adversarial-activity-7236841466977759232-kb8m?utm_source=share&amp;utm_medium=member_desktop" TargetMode="External"/><Relationship Id="rId566" Type="http://schemas.openxmlformats.org/officeDocument/2006/relationships/hyperlink" Target="https://www.linkedin.com/posts/mattmhall_senior-data-scientist-in-us-activity-7232399156890222592-SVQC?utm_source=share&amp;utm_medium=member_desktop" TargetMode="External"/><Relationship Id="rId329" Type="http://schemas.openxmlformats.org/officeDocument/2006/relationships/hyperlink" Target="https://www.linkedin.com/posts/alejandro-madrid-55193153_hello-im-hiring-a-lead-data-analyst-to-activity-7236807160691576834-fpa2?utm_source=share&amp;utm_medium=member_desktop" TargetMode="External"/><Relationship Id="rId1390" Type="http://schemas.openxmlformats.org/officeDocument/2006/relationships/hyperlink" Target="https://www.linkedin.com/posts/activity-7224535663549857794-ejTo?utm_source=share&amp;utm_medium=member_desktop" TargetMode="External"/><Relationship Id="rId328" Type="http://schemas.openxmlformats.org/officeDocument/2006/relationships/hyperlink" Target="https://www.linkedin.com/posts/cpgmarketingjobssusanburke_recruiting-hiring-carechangeseverything-activity-7236810214631424001-6H8S?utm_source=share&amp;utm_medium=member_desktop" TargetMode="External"/><Relationship Id="rId1391" Type="http://schemas.openxmlformats.org/officeDocument/2006/relationships/hyperlink" Target="https://www.linkedin.com/posts/activity-7224195003583975424-p3sH?utm_source=share&amp;utm_medium=member_desktop" TargetMode="External"/><Relationship Id="rId561" Type="http://schemas.openxmlformats.org/officeDocument/2006/relationships/hyperlink" Target="https://www.linkedin.com/posts/activity-7233095674479742976-1GyZ?utm_source=share&amp;utm_medium=member_desktop" TargetMode="External"/><Relationship Id="rId1150" Type="http://schemas.openxmlformats.org/officeDocument/2006/relationships/hyperlink" Target="https://www.linkedin.com/posts/mmuztar_linkedin-activity-7226294799476178944-Gsc0/?utm_source=share&amp;utm_medium=member_desktop" TargetMode="External"/><Relationship Id="rId1392" Type="http://schemas.openxmlformats.org/officeDocument/2006/relationships/hyperlink" Target="https://www.linkedin.com/posts/laura-herman22_data-scientist-predictive-modeling-activity-7224447041689546753-PiNC?utm_source=share&amp;utm_medium=member_desktop" TargetMode="External"/><Relationship Id="rId560" Type="http://schemas.openxmlformats.org/officeDocument/2006/relationships/hyperlink" Target="https://www.linkedin.com/posts/arianecline_hiring-activity-7233100315300913152-RvrF?utm_source=share&amp;utm_medium=member_desktop" TargetMode="External"/><Relationship Id="rId1151" Type="http://schemas.openxmlformats.org/officeDocument/2006/relationships/hyperlink" Target="https://www.linkedin.com/jobs/view/3977324913/?refId=9qaUBQZFRQaeYujkPHMhEA%3D%3D&amp;trackingId=9qaUBQZFRQaeYujkPHMhEA%3D%3D" TargetMode="External"/><Relationship Id="rId1393" Type="http://schemas.openxmlformats.org/officeDocument/2006/relationships/hyperlink" Target="https://www.linkedin.com/posts/carrie-davis-75284923_treasury-claims-analyst-senior-remote-activity-7224428609212440580-5U8M?utm_source=share&amp;utm_medium=member_desktop" TargetMode="External"/><Relationship Id="rId1152" Type="http://schemas.openxmlformats.org/officeDocument/2006/relationships/hyperlink" Target="https://www.linkedin.com/posts/liz-bazner-61277745_aw-restaurants-inc-data-analyst-activity-7226962695785189376--fha/?utm_source=share&amp;utm_medium=member_desktop" TargetMode="External"/><Relationship Id="rId1394" Type="http://schemas.openxmlformats.org/officeDocument/2006/relationships/hyperlink" Target="https://www.linkedin.com/posts/beaudobbs_hi-everyone-im-currently-hiring-for-an-activity-7224493484710227969-2t3Z?utm_source=share&amp;utm_medium=member_desktop" TargetMode="External"/><Relationship Id="rId1153" Type="http://schemas.openxmlformats.org/officeDocument/2006/relationships/hyperlink" Target="https://www.linkedin.com/posts/toddrudak_data-scientist-discovery-ecosystem-activity-7226993571160109057-pwAk?utm_source=share&amp;utm_medium=member_desktop" TargetMode="External"/><Relationship Id="rId1395" Type="http://schemas.openxmlformats.org/officeDocument/2006/relationships/hyperlink" Target="https://www.linkedin.com/posts/josh-price-28a42869_hiring-activity-7224472414716379138-4Mqr?utm_source=share&amp;utm_medium=member_desktop" TargetMode="External"/><Relationship Id="rId323" Type="http://schemas.openxmlformats.org/officeDocument/2006/relationships/hyperlink" Target="https://www.linkedin.com/posts/rebeccajanezic_im-hiring-for-a-senior-data-analyst-https-activity-7236839013125394432-IuUZ?utm_source=share&amp;utm_medium=member_desktop" TargetMode="External"/><Relationship Id="rId565" Type="http://schemas.openxmlformats.org/officeDocument/2006/relationships/hyperlink" Target="https://www.linkedin.com/posts/fanaticsbrandsteam_sourcing-analytics-manager-activity-7232894504775610368-PM7j?utm_source=share&amp;utm_medium=member_desktop" TargetMode="External"/><Relationship Id="rId1154" Type="http://schemas.openxmlformats.org/officeDocument/2006/relationships/hyperlink" Target="https://www.linkedin.com/posts/victoriasmith09_senior-financial-analyst-in-atlanta-ga-activity-7226967522535747584-wrDx?utm_source=share&amp;utm_medium=member_desktop" TargetMode="External"/><Relationship Id="rId1396" Type="http://schemas.openxmlformats.org/officeDocument/2006/relationships/hyperlink" Target="https://www.linkedin.com/posts/jake-nogalo-mt-01a5a0126_cincinnati-risk-hiring-activity-7224441563601416193-l7j6?utm_source=share&amp;utm_medium=member_desktop" TargetMode="External"/><Relationship Id="rId322" Type="http://schemas.openxmlformats.org/officeDocument/2006/relationships/hyperlink" Target="https://www.linkedin.com/posts/simonmun_business-intelligence-analyst-in-orlando-activity-7236740661029347330-upSU?utm_source=share&amp;utm_medium=member_desktop" TargetMode="External"/><Relationship Id="rId564" Type="http://schemas.openxmlformats.org/officeDocument/2006/relationships/hyperlink" Target="https://www.linkedin.com/posts/viviennedobbs_sr-analyst-internet-product-strategy-and-activity-7232435954966278146-vxI_?utm_source=share&amp;utm_medium=member_desktop" TargetMode="External"/><Relationship Id="rId1155" Type="http://schemas.openxmlformats.org/officeDocument/2006/relationships/hyperlink" Target="https://www.linkedin.com/posts/karihaley_it-portfolio-analyst-in-chicago-illinois-activity-7226962967626493952-_1tn?utm_source=share&amp;utm_medium=member_desktop" TargetMode="External"/><Relationship Id="rId1397" Type="http://schemas.openxmlformats.org/officeDocument/2006/relationships/hyperlink" Target="https://www.linkedin.com/posts/tommyanthony_lead-analyst-credit-strategy-advanced-activity-7224495521812398081-tcuv?utm_source=share&amp;utm_medium=member_desktop" TargetMode="External"/><Relationship Id="rId321" Type="http://schemas.openxmlformats.org/officeDocument/2006/relationships/hyperlink" Target="https://www.linkedin.com/posts/yuri-lopez-78865a1a0_data-analyst-activity-7236434333882798080-Do8l?utm_source=share&amp;utm_medium=member_desktop" TargetMode="External"/><Relationship Id="rId563" Type="http://schemas.openxmlformats.org/officeDocument/2006/relationships/hyperlink" Target="https://www.linkedin.com/posts/shayna-sutton-mba-cdr-b0b36860_hiringnow-financejobs-joinourteam-activity-7232813621683126272-TEof?utm_source=share&amp;utm_medium=member_desktop" TargetMode="External"/><Relationship Id="rId1156" Type="http://schemas.openxmlformats.org/officeDocument/2006/relationships/hyperlink" Target="https://www.linkedin.com/posts/kellyshin1_consulting-analyst-in-wisconsin-careers-activity-7227008655433330691-xRFh?utm_source=share&amp;utm_medium=member_desktop" TargetMode="External"/><Relationship Id="rId1398" Type="http://schemas.openxmlformats.org/officeDocument/2006/relationships/hyperlink" Target="https://www.linkedin.com/posts/dana-hunsucker-b331195_senior-financial-analyst-investor-relations-activity-7224481585398472706-0AF_?utm_source=share&amp;utm_medium=member_desktop" TargetMode="External"/><Relationship Id="rId320" Type="http://schemas.openxmlformats.org/officeDocument/2006/relationships/hyperlink" Target="https://www.linkedin.com/posts/miranda-shaw-b3148b5b_risk-revenue-analyst-senior-activity-7236790635100266496-k8-c?utm_source=share&amp;utm_medium=member_desktop" TargetMode="External"/><Relationship Id="rId562" Type="http://schemas.openxmlformats.org/officeDocument/2006/relationships/hyperlink" Target="http://rev.io" TargetMode="External"/><Relationship Id="rId1157" Type="http://schemas.openxmlformats.org/officeDocument/2006/relationships/hyperlink" Target="https://www.linkedin.com/posts/tanisaltizer_actuarial-analyst-minnetonka-mn-in-minnetonka-activity-7227008758197968896-hG7j?utm_source=share&amp;utm_medium=member_desktop" TargetMode="External"/><Relationship Id="rId1399" Type="http://schemas.openxmlformats.org/officeDocument/2006/relationships/hyperlink" Target="https://www.linkedin.com/posts/melissa-wise-7b8771113_analyst-credit-collection-spp-activity-7224458625686110209-FiP3?utm_source=share&amp;utm_medium=member_desktop" TargetMode="External"/><Relationship Id="rId1147" Type="http://schemas.openxmlformats.org/officeDocument/2006/relationships/hyperlink" Target="https://www.linkedin.com/jobs/view/3984935282/?refId=Xb6KBxOxSqK%2BOedJza9WsQ%3D%3D&amp;trackingId=Xb6KBxOxSqK%2BOedJza9WsQ%3D%3D" TargetMode="External"/><Relationship Id="rId1389" Type="http://schemas.openxmlformats.org/officeDocument/2006/relationships/hyperlink" Target="https://www.linkedin.com/posts/laura-west-northidaho_are-you-the-data-detective-that-can-help-activity-7224500871257059328-Yzn4?utm_source=share&amp;utm_medium=member_desktop" TargetMode="External"/><Relationship Id="rId1148" Type="http://schemas.openxmlformats.org/officeDocument/2006/relationships/hyperlink" Target="https://www.linkedin.com/posts/natesmith270_nowhiring-jobopportunity-dataconversion-activity-7226989016817025024-RAZR/?utm_source=share&amp;utm_medium=member_desktop" TargetMode="External"/><Relationship Id="rId1149" Type="http://schemas.openxmlformats.org/officeDocument/2006/relationships/hyperlink" Target="https://www.linkedin.com/posts/kelly-armour-59482739_medicare-stars-senior-data-analyst-in-colorado-activity-7226963354911694848-1zVJ/?utm_source=share&amp;utm_medium=member_desktop" TargetMode="External"/><Relationship Id="rId316" Type="http://schemas.openxmlformats.org/officeDocument/2006/relationships/hyperlink" Target="https://www.linkedin.com/posts/laura-mahoney-771ba35_the-pnc-asset-management-group-amg-investment-activity-7236786567338475521-kydM?utm_source=share&amp;utm_medium=member_desktop" TargetMode="External"/><Relationship Id="rId558" Type="http://schemas.openxmlformats.org/officeDocument/2006/relationships/hyperlink" Target="https://www.linkedin.com/posts/muriellotto_sandia-laboratory-federal-credit-union-activity-7232432338763149312-zZ2A?utm_source=share&amp;utm_medium=member_desktop" TargetMode="External"/><Relationship Id="rId315" Type="http://schemas.openxmlformats.org/officeDocument/2006/relationships/hyperlink" Target="https://www.linkedin.com/posts/activity-7236800582135472129-Nak2?utm_source=share&amp;utm_medium=member_desktop" TargetMode="External"/><Relationship Id="rId557" Type="http://schemas.openxmlformats.org/officeDocument/2006/relationships/hyperlink" Target="https://www.linkedin.com/posts/recruitermax_good-morning-linkedin-network-i-am-hiring-activity-7232740548174880769-TRqh?utm_source=share&amp;utm_medium=member_desktop" TargetMode="External"/><Relationship Id="rId799" Type="http://schemas.openxmlformats.org/officeDocument/2006/relationships/hyperlink" Target="https://www.linkedin.com/posts/dusanicmichael_my-team-and-i-are-looking-for-a-product-analyst-activity-7231337832349351936-9rG5?utm_source=share&amp;utm_medium=member_desktop" TargetMode="External"/><Relationship Id="rId314" Type="http://schemas.openxmlformats.org/officeDocument/2006/relationships/hyperlink" Target="https://www.linkedin.com/posts/jessica-bridges-5105772_digital-media-analytics-lead-at-citizens-activity-7236763871791759361-hWl4?utm_source=share&amp;utm_medium=member_desktop" TargetMode="External"/><Relationship Id="rId556" Type="http://schemas.openxmlformats.org/officeDocument/2006/relationships/hyperlink" Target="https://www.linkedin.com/posts/angela-baldasare_senior-director-data-and-insights-activity-7232865285752430593-YmiP?utm_source=share&amp;utm_medium=member_desktop" TargetMode="External"/><Relationship Id="rId798" Type="http://schemas.openxmlformats.org/officeDocument/2006/relationships/hyperlink" Target="https://www.linkedin.com/posts/activity-7231328661067419648-1b9P?utm_source=share&amp;utm_medium=member_desktop" TargetMode="External"/><Relationship Id="rId313" Type="http://schemas.openxmlformats.org/officeDocument/2006/relationships/hyperlink" Target="https://www.linkedin.com/posts/jessica-bridges-5105772_digital-media-analytics-lead-at-citizens-activity-7236763871791759361-hWl4?utm_source=share&amp;utm_medium=member_desktop" TargetMode="External"/><Relationship Id="rId555" Type="http://schemas.openxmlformats.org/officeDocument/2006/relationships/hyperlink" Target="https://www.linkedin.com/posts/haobing-frank-chu-4b38aba3_senior-data-scientist-activity-7232988012911980544-kNuV?utm_source=share&amp;utm_medium=member_desktop" TargetMode="External"/><Relationship Id="rId797" Type="http://schemas.openxmlformats.org/officeDocument/2006/relationships/hyperlink" Target="https://www.linkedin.com/posts/chrislyons3_financial-analyst-1-in-us-activity-7231332663066857473-emdO?utm_source=share&amp;utm_medium=member_desktop" TargetMode="External"/><Relationship Id="rId319" Type="http://schemas.openxmlformats.org/officeDocument/2006/relationships/hyperlink" Target="https://www.linkedin.com/posts/jozellejarlego_senior-analyst-performance-marketing-at-activity-7236756309931347968-yqWJ?utm_source=share&amp;utm_medium=member_desktop" TargetMode="External"/><Relationship Id="rId318" Type="http://schemas.openxmlformats.org/officeDocument/2006/relationships/hyperlink" Target="https://www.linkedin.com/posts/ramona-miles-4826343_hello-our-ventura-foods-compensation-team-activity-7236768935713325057-ZPMV?utm_source=share&amp;utm_medium=member_desktop" TargetMode="External"/><Relationship Id="rId317" Type="http://schemas.openxmlformats.org/officeDocument/2006/relationships/hyperlink" Target="https://www.linkedin.com/posts/sarahcorp_hiring-ugcPost-7236746496224714752-xx0i?utm_source=share&amp;utm_medium=member_desktop" TargetMode="External"/><Relationship Id="rId559" Type="http://schemas.openxmlformats.org/officeDocument/2006/relationships/hyperlink" Target="https://www.linkedin.com/posts/angelamason_marketing-performance-analyst-activity-7232553442324406272-329T?utm_source=share&amp;utm_medium=member_desktop" TargetMode="External"/><Relationship Id="rId1380" Type="http://schemas.openxmlformats.org/officeDocument/2006/relationships/hyperlink" Target="https://www.linkedin.com/posts/jeff-romano_healthcare-financial-analytics-business-analyst-activity-7224047291156836353-1RPt?utm_source=share&amp;utm_medium=member_desktop" TargetMode="External"/><Relationship Id="rId550" Type="http://schemas.openxmlformats.org/officeDocument/2006/relationships/hyperlink" Target="https://www.linkedin.com/posts/activity-7233468339895898112-8uzt?utm_source=share&amp;utm_medium=member_desktop" TargetMode="External"/><Relationship Id="rId792" Type="http://schemas.openxmlformats.org/officeDocument/2006/relationships/hyperlink" Target="https://www.linkedin.com/posts/hillaryburkett_hiring-remote-remotejob-activity-7231107536215490561-J4Da?utm_source=share&amp;utm_medium=member_desktop" TargetMode="External"/><Relationship Id="rId1381" Type="http://schemas.openxmlformats.org/officeDocument/2006/relationships/hyperlink" Target="https://www.linkedin.com/posts/karenbellin_we-are-seeking-a-seasoned-digital-analyst-activity-7223862593428369409-ShQf?utm_source=share&amp;utm_medium=member_desktop" TargetMode="External"/><Relationship Id="rId791" Type="http://schemas.openxmlformats.org/officeDocument/2006/relationships/hyperlink" Target="https://www.linkedin.com/posts/activity-7231305712235114496-WWYw?utm_source=share&amp;utm_medium=member_desktop" TargetMode="External"/><Relationship Id="rId1140" Type="http://schemas.openxmlformats.org/officeDocument/2006/relationships/hyperlink" Target="https://www.linkedin.com/posts/activity-7227056438911623169-5lp1?utm_source=share&amp;utm_medium=member_desktop" TargetMode="External"/><Relationship Id="rId1382" Type="http://schemas.openxmlformats.org/officeDocument/2006/relationships/hyperlink" Target="https://www.linkedin.com/posts/afsheensaatchi_apply-for-sr-manager-reporting-and-analytics-activity-7224180497977896960-irhc?utm_source=share&amp;utm_medium=member_desktop" TargetMode="External"/><Relationship Id="rId790" Type="http://schemas.openxmlformats.org/officeDocument/2006/relationships/hyperlink" Target="https://www.linkedin.com/posts/miguel-rodriguez_hubspot-careers-all-openings-activity-7231331300245192704-2Dnp?utm_source=share&amp;utm_medium=member_desktop" TargetMode="External"/><Relationship Id="rId1141" Type="http://schemas.openxmlformats.org/officeDocument/2006/relationships/hyperlink" Target="https://www.linkedin.com/posts/steffitanner_staff-product-manager-data-activity-7226960407142264833-tr42?utm_source=share&amp;utm_medium=member_desktop" TargetMode="External"/><Relationship Id="rId1383" Type="http://schemas.openxmlformats.org/officeDocument/2006/relationships/hyperlink" Target="https://www.linkedin.com/posts/benjaminneuwirth_hello-i-am-hiring-for-a-data-analyst-in-activity-7224463376427499521-UTa9?utm_source=share&amp;utm_medium=member_desktop" TargetMode="External"/><Relationship Id="rId1142" Type="http://schemas.openxmlformats.org/officeDocument/2006/relationships/hyperlink" Target="https://www.linkedin.com/posts/coreylistar_recruiting-hris-operations-analyst-rochester-activity-7226582947988934657-p75n/?utm_source=share&amp;utm_medium=member_desktop" TargetMode="External"/><Relationship Id="rId1384" Type="http://schemas.openxmlformats.org/officeDocument/2006/relationships/hyperlink" Target="https://www.linkedin.com/posts/james-dale-aa389272_kearney-joinourteam-hr-activity-7224498926878347264-L2xm?utm_source=share&amp;utm_medium=member_desktop" TargetMode="External"/><Relationship Id="rId312" Type="http://schemas.openxmlformats.org/officeDocument/2006/relationships/hyperlink" Target="https://www.linkedin.com/posts/levi-sheppard_hiring-activity-7236783328018767874-nCAS?utm_source=share&amp;utm_medium=member_desktop" TargetMode="External"/><Relationship Id="rId554" Type="http://schemas.openxmlformats.org/officeDocument/2006/relationships/hyperlink" Target="https://www.linkedin.com/posts/aus-gomez_exciting-opportunity-alert-raptive-is-activity-7233473548487401472-wGcW?utm_source=share&amp;utm_medium=member_desktop" TargetMode="External"/><Relationship Id="rId796" Type="http://schemas.openxmlformats.org/officeDocument/2006/relationships/hyperlink" Target="https://www.linkedin.com/posts/seanpoconnor98_looking-for-a-new-rev-ops-analyst-to-join-ugcPost-7231293370021605376-g51y?utm_source=share&amp;utm_medium=member_desktop" TargetMode="External"/><Relationship Id="rId1143" Type="http://schemas.openxmlformats.org/officeDocument/2006/relationships/hyperlink" Target="https://www.linkedin.com/posts/ejmccool_hiring-operations-operationsanalyst-activity-7226583897642262528-yf2Q/?utm_source=share&amp;utm_medium=member_desktop" TargetMode="External"/><Relationship Id="rId1385" Type="http://schemas.openxmlformats.org/officeDocument/2006/relationships/hyperlink" Target="https://www.linkedin.com/posts/connor-reed-4119b120a_hiring-activity-7224470629721206784-WmPH?utm_source=share&amp;utm_medium=member_desktop" TargetMode="External"/><Relationship Id="rId311" Type="http://schemas.openxmlformats.org/officeDocument/2006/relationships/hyperlink" Target="https://www.linkedin.com/posts/pcollinscpa_im-happy-to-share-that-we-are-actively-recruiting-activity-7236760422022811649-E1rO?utm_source=share&amp;utm_medium=member_desktop" TargetMode="External"/><Relationship Id="rId553" Type="http://schemas.openxmlformats.org/officeDocument/2006/relationships/hyperlink" Target="https://www.linkedin.com/posts/erin-porter-m-a-ed-86a1b254_operations-analyst-in-atlanta-careers-at-activity-7232812832730329089-8Fm6?utm_source=share&amp;utm_medium=member_desktop" TargetMode="External"/><Relationship Id="rId795" Type="http://schemas.openxmlformats.org/officeDocument/2006/relationships/hyperlink" Target="https://www.linkedin.com/posts/activity-7231371792794185729-64hb?utm_source=share&amp;utm_medium=member_desktop" TargetMode="External"/><Relationship Id="rId1144" Type="http://schemas.openxmlformats.org/officeDocument/2006/relationships/hyperlink" Target="https://www.linkedin.com/posts/sarahfriesaz_data-powerbi-helpingpeople-activity-7226735565180649472-Me1r?utm_source=share&amp;utm_medium=member_desktop" TargetMode="External"/><Relationship Id="rId1386" Type="http://schemas.openxmlformats.org/officeDocument/2006/relationships/hyperlink" Target="https://www.linkedin.com/posts/omarisealey_analytics-engineer-openai-activity-7224452000443248640-d-xC?utm_source=share&amp;utm_medium=member_desktop" TargetMode="External"/><Relationship Id="rId310" Type="http://schemas.openxmlformats.org/officeDocument/2006/relationships/hyperlink" Target="https://www.linkedin.com/posts/keely-ruby_hi-linkedin-i-hope-everyone-is-doing-well-activity-7236814802205974528-4_41?utm_source=share&amp;utm_medium=member_desktop" TargetMode="External"/><Relationship Id="rId552" Type="http://schemas.openxmlformats.org/officeDocument/2006/relationships/hyperlink" Target="https://www.linkedin.com/posts/marierausch_data-analyst-in-dublin-ohio-activity-7233610494090043393-VaQO?utm_source=share&amp;utm_medium=member_desktop" TargetMode="External"/><Relationship Id="rId794" Type="http://schemas.openxmlformats.org/officeDocument/2006/relationships/hyperlink" Target="https://www.linkedin.com/posts/charliebentivenga_senior-data-analyst-activity-7231343586875764736-wOIH?utm_source=share&amp;utm_medium=member_desktop" TargetMode="External"/><Relationship Id="rId1145" Type="http://schemas.openxmlformats.org/officeDocument/2006/relationships/hyperlink" Target="https://www.linkedin.com/posts/kara-wills-07732619b_senior-crime-data-analyst-investigative-risk-activity-7226648122473467904-KBGQ/?utm_source=share&amp;utm_medium=member_desktop" TargetMode="External"/><Relationship Id="rId1387" Type="http://schemas.openxmlformats.org/officeDocument/2006/relationships/hyperlink" Target="https://www.linkedin.com/posts/ryanstecher_were-hiring-senior-data-analyst-remote-activity-7224446121031430144-swRE?utm_source=share&amp;utm_medium=member_desktop" TargetMode="External"/><Relationship Id="rId551" Type="http://schemas.openxmlformats.org/officeDocument/2006/relationships/hyperlink" Target="https://www.linkedin.com/posts/christina-iannetta_analyst-digital-marketing-analytics-activity-7233601652115607552-vA6O?utm_source=share&amp;utm_medium=member_desktop" TargetMode="External"/><Relationship Id="rId793" Type="http://schemas.openxmlformats.org/officeDocument/2006/relationships/hyperlink" Target="https://www.linkedin.com/posts/mis03_precisely-is-hiring-senior-financial-activity-7231180354554920960-FEhF?utm_source=share&amp;utm_medium=member_desktop" TargetMode="External"/><Relationship Id="rId1146" Type="http://schemas.openxmlformats.org/officeDocument/2006/relationships/hyperlink" Target="https://www.linkedin.com/posts/troy-priest-4851571b9_assessment-analyst-activity-7226688745243090944-l7G3/?utm_source=share&amp;utm_medium=member_desktop" TargetMode="External"/><Relationship Id="rId1388" Type="http://schemas.openxmlformats.org/officeDocument/2006/relationships/hyperlink" Target="https://www.linkedin.com/posts/marshachisolm_hiring-senior-business-data-analyst-financial-activity-7224412221764780034-xr0s?utm_source=share&amp;utm_medium=member_desktop" TargetMode="External"/><Relationship Id="rId297" Type="http://schemas.openxmlformats.org/officeDocument/2006/relationships/hyperlink" Target="https://www.linkedin.com/posts/bridgette-liautaud_anthropologie-is-hiring-the-senior-global-activity-7237088143055724544-WRk-?utm_source=share&amp;utm_medium=member_desktop" TargetMode="External"/><Relationship Id="rId296" Type="http://schemas.openxmlformats.org/officeDocument/2006/relationships/hyperlink" Target="https://www.linkedin.com/posts/kunalnayyar_senior-analyst-deal-desk-in-chicago-illinois-activity-7237142123643330560-rcXE?utm_source=share&amp;utm_medium=member_desktop" TargetMode="External"/><Relationship Id="rId295" Type="http://schemas.openxmlformats.org/officeDocument/2006/relationships/hyperlink" Target="https://www.linkedin.com/posts/lucas-klocke-74b88033_analyst-customer-insights-reporting-activity-7237198762962534400-2E0h?utm_source=share&amp;utm_medium=member_desktop" TargetMode="External"/><Relationship Id="rId294" Type="http://schemas.openxmlformats.org/officeDocument/2006/relationships/hyperlink" Target="https://www.linkedin.com/posts/taharra-butler-64114634_datascience-stamfordct-spectrumcareers-activity-7237113139001991168-kvpp?utm_source=share&amp;utm_medium=member_desktop" TargetMode="External"/><Relationship Id="rId299" Type="http://schemas.openxmlformats.org/officeDocument/2006/relationships/hyperlink" Target="https://www.linkedin.com/posts/cassandra-oliva-9075b113b_join-our-team-as-a-healthcare-data-analyst-activity-7236851933892788224--vbt?utm_source=share&amp;utm_medium=member_desktop" TargetMode="External"/><Relationship Id="rId298" Type="http://schemas.openxmlformats.org/officeDocument/2006/relationships/hyperlink" Target="https://www.linkedin.com/posts/bo-wang-mba-08789212_capital-planning-analyst-activity-7237117303908147202-0Idj?utm_source=share&amp;utm_medium=member_desktop" TargetMode="External"/><Relationship Id="rId271" Type="http://schemas.openxmlformats.org/officeDocument/2006/relationships/hyperlink" Target="https://www.linkedin.com/posts/celestewilkins_data-management-analyst-i-activity-7237471762920169473-XxAE?utm_source=share&amp;utm_medium=member_desktop" TargetMode="External"/><Relationship Id="rId270" Type="http://schemas.openxmlformats.org/officeDocument/2006/relationships/hyperlink" Target="https://www.linkedin.com/posts/timothy-lauer-86574177_data-scientist-activity-7237519467096788992-HYon?utm_source=share&amp;utm_medium=member_desktop" TargetMode="External"/><Relationship Id="rId269" Type="http://schemas.openxmlformats.org/officeDocument/2006/relationships/hyperlink" Target="https://www.linkedin.com/posts/vijaya-patil_our-analytics-team-at-david-yurman-is-expanding-activity-7237503191012057089-RFDQ?utm_source=share&amp;utm_medium=member_desktop" TargetMode="External"/><Relationship Id="rId264" Type="http://schemas.openxmlformats.org/officeDocument/2006/relationships/hyperlink" Target="https://www.linkedin.com/posts/luke-moeves-a1b442207_financial-analyst-activity-7237551466184372224-Uc2L?utm_source=share&amp;utm_medium=member_desktop" TargetMode="External"/><Relationship Id="rId263" Type="http://schemas.openxmlformats.org/officeDocument/2006/relationships/hyperlink" Target="https://www.linkedin.com/posts/klechner_revenue-operations-analyst-activity-7237512740947271681-16SV?utm_source=share&amp;utm_medium=member_desktop" TargetMode="External"/><Relationship Id="rId262" Type="http://schemas.openxmlformats.org/officeDocument/2006/relationships/hyperlink" Target="https://www.linkedin.com/posts/megan-baldock_sr-analyst-credit-strategy-activity-7237515639790133248-lIKk?utm_source=share&amp;utm_medium=member_desktop" TargetMode="External"/><Relationship Id="rId261" Type="http://schemas.openxmlformats.org/officeDocument/2006/relationships/hyperlink" Target="https://www.linkedin.com/posts/bayerkohler_for-my-austin-texas-folks-check-out-this-activity-7237527316875132929-V7vq?utm_source=share&amp;utm_medium=member_desktop" TargetMode="External"/><Relationship Id="rId268" Type="http://schemas.openxmlformats.org/officeDocument/2006/relationships/hyperlink" Target="https://www.linkedin.com/posts/jonbromstein_analyst-digital-performance-analytics-activity-7237527690587611137-9bse?utm_source=share&amp;utm_medium=member_desktop" TargetMode="External"/><Relationship Id="rId267" Type="http://schemas.openxmlformats.org/officeDocument/2006/relationships/hyperlink" Target="https://www.linkedin.com/posts/liza-ross-9a7125127_awesome-job-alert-our-business-intelligence-activity-7237526322724401152-qM18?utm_source=share&amp;utm_medium=member_desktop" TargetMode="External"/><Relationship Id="rId266" Type="http://schemas.openxmlformats.org/officeDocument/2006/relationships/hyperlink" Target="https://www.linkedin.com/posts/activity-7237533320438239233-SSEZ?utm_source=share&amp;utm_medium=member_desktop" TargetMode="External"/><Relationship Id="rId265" Type="http://schemas.openxmlformats.org/officeDocument/2006/relationships/hyperlink" Target="https://www.linkedin.com/posts/malloryjoyce_sr-performance-media-analyst-activity-7237470127414218752-8CMw?utm_source=share&amp;utm_medium=member_desktop" TargetMode="External"/><Relationship Id="rId260" Type="http://schemas.openxmlformats.org/officeDocument/2006/relationships/hyperlink" Target="https://www.linkedin.com/posts/ryan-broderick-7006736_analyst-ii-igaming-activity-7237533172832288770-3w1A?utm_source=share&amp;utm_medium=member_desktop" TargetMode="External"/><Relationship Id="rId259" Type="http://schemas.openxmlformats.org/officeDocument/2006/relationships/hyperlink" Target="https://www.linkedin.com/posts/santhoshiniusc_hiring-dataengineer-data-activity-7237480541594279938-XblU?utm_source=share&amp;utm_medium=member_desktop" TargetMode="External"/><Relationship Id="rId258" Type="http://schemas.openxmlformats.org/officeDocument/2006/relationships/hyperlink" Target="https://www.linkedin.com/posts/bpkelly93_iam-hiring-im-looking-for-a-strong-people-activity-7237480807114637313-Mb9r?utm_source=share&amp;utm_medium=member_desktop" TargetMode="External"/><Relationship Id="rId253" Type="http://schemas.openxmlformats.org/officeDocument/2006/relationships/hyperlink" Target="https://www.linkedin.com/posts/calebtroop_financial-analyst-activity-7237808140438687745-GGhm?utm_source=share&amp;utm_medium=member_desktop" TargetMode="External"/><Relationship Id="rId495" Type="http://schemas.openxmlformats.org/officeDocument/2006/relationships/hyperlink" Target="https://www.linkedin.com/posts/activity-7234141090528870403-aob9?utm_source=share&amp;utm_medium=member_desktop" TargetMode="External"/><Relationship Id="rId252" Type="http://schemas.openxmlformats.org/officeDocument/2006/relationships/hyperlink" Target="https://www.linkedin.com/posts/brioni-braithwaite-18ba4668_business-analyst-rev-cycle-activity-7237548785269182465-JkUG?utm_source=share&amp;utm_medium=member_desktop" TargetMode="External"/><Relationship Id="rId494" Type="http://schemas.openxmlformats.org/officeDocument/2006/relationships/hyperlink" Target="https://www.linkedin.com/posts/fidelmachado_hiring-miamijobs-analytics-activity-7233871139607846912-xp77?utm_source=share&amp;utm_medium=member_desktop" TargetMode="External"/><Relationship Id="rId251" Type="http://schemas.openxmlformats.org/officeDocument/2006/relationships/hyperlink" Target="https://www.linkedin.com/posts/albert-ihm-5843376a_senior-analyst-analytics-in-plano-texas-activity-7237812930870714368-gPiy?utm_source=share&amp;utm_medium=member_desktop" TargetMode="External"/><Relationship Id="rId493" Type="http://schemas.openxmlformats.org/officeDocument/2006/relationships/hyperlink" Target="https://www.linkedin.com/posts/taolmsted_hiring-activity-7234182320029593600-qwHc?utm_source=share&amp;utm_medium=member_desktop" TargetMode="External"/><Relationship Id="rId250" Type="http://schemas.openxmlformats.org/officeDocument/2006/relationships/hyperlink" Target="https://www.linkedin.com/posts/ericarthurnelson_hiring-analytics-dataanalyst-activity-7237478119069073408-_NTP?utm_source=share&amp;utm_medium=member_desktop" TargetMode="External"/><Relationship Id="rId492" Type="http://schemas.openxmlformats.org/officeDocument/2006/relationships/hyperlink" Target="https://www.linkedin.com/posts/taolmsted_hiring-activity-7234182320029593600-qwHc?utm_source=share&amp;utm_medium=member_desktop" TargetMode="External"/><Relationship Id="rId257" Type="http://schemas.openxmlformats.org/officeDocument/2006/relationships/hyperlink" Target="https://www.linkedin.com/posts/laura-s-b822b922_we-are-looking-for-a-skilled-financial-analyst-activity-7237535606711459841-DNmB?utm_source=share&amp;utm_medium=member_desktop" TargetMode="External"/><Relationship Id="rId499" Type="http://schemas.openxmlformats.org/officeDocument/2006/relationships/hyperlink" Target="https://www.linkedin.com/posts/andrewnevins1_my-team-is-growing-were-hiring-a-new-p-activity-7234225023744450562-yYAg?utm_source=share&amp;utm_medium=member_desktop" TargetMode="External"/><Relationship Id="rId256" Type="http://schemas.openxmlformats.org/officeDocument/2006/relationships/hyperlink" Target="https://www.linkedin.com/posts/abdoksh_hiring-for-a-business-data-analyst-role-activity-7237818378554384385-F0Xw?utm_source=share&amp;utm_medium=member_desktop" TargetMode="External"/><Relationship Id="rId498" Type="http://schemas.openxmlformats.org/officeDocument/2006/relationships/hyperlink" Target="https://www.linkedin.com/posts/amysuomelawilson_salesops-businessanalyst-jobopening-activity-7234201925930405889--ozu?utm_source=share&amp;utm_medium=member_desktop" TargetMode="External"/><Relationship Id="rId255" Type="http://schemas.openxmlformats.org/officeDocument/2006/relationships/hyperlink" Target="https://www.linkedin.com/posts/jeremylbuck_sr-performance-analyst-job-in-franklin-activity-7237808323557826562-B6wx?utm_source=share&amp;utm_medium=member_desktop" TargetMode="External"/><Relationship Id="rId497" Type="http://schemas.openxmlformats.org/officeDocument/2006/relationships/hyperlink" Target="https://www.linkedin.com/posts/brigetgrbic_business-intelligence-analyst-in-rochester-activity-7234179148292788225-1Lth?utm_source=share&amp;utm_medium=member_desktop" TargetMode="External"/><Relationship Id="rId254" Type="http://schemas.openxmlformats.org/officeDocument/2006/relationships/hyperlink" Target="https://www.linkedin.com/posts/albert-ihm-5843376a_senior-analyst-analytics-in-plano-texas-activity-7237812930870714368-gPiy?utm_source=share&amp;utm_medium=member_desktop" TargetMode="External"/><Relationship Id="rId496" Type="http://schemas.openxmlformats.org/officeDocument/2006/relationships/hyperlink" Target="https://www.linkedin.com/posts/evama1_just-sharing-this-here-were-seeking-a-activity-7234200541906534402-QU6-?utm_source=share&amp;utm_medium=member_desktop" TargetMode="External"/><Relationship Id="rId293" Type="http://schemas.openxmlformats.org/officeDocument/2006/relationships/hyperlink" Target="https://www.linkedin.com/posts/aravind-sampath_seniormanager-dataintelligence-activity-7237160937990840320-kf_7?utm_source=share&amp;utm_medium=member_desktop" TargetMode="External"/><Relationship Id="rId292" Type="http://schemas.openxmlformats.org/officeDocument/2006/relationships/hyperlink" Target="https://www.linkedin.com/posts/samantha-katsounas-a099a958_the-analytics-team-at-apartment-list-is-growing-activity-7237129810735472640-sSX-?utm_source=share&amp;utm_medium=member_desktop" TargetMode="External"/><Relationship Id="rId291" Type="http://schemas.openxmlformats.org/officeDocument/2006/relationships/hyperlink" Target="https://www.linkedin.com/posts/makinseylesak_analytics-manager-revenue-operations-sales-activity-7237170838666403840-oYx-?utm_source=share&amp;utm_medium=member_desktop" TargetMode="External"/><Relationship Id="rId290" Type="http://schemas.openxmlformats.org/officeDocument/2006/relationships/hyperlink" Target="https://www.linkedin.com/posts/mittalshah14_hiring-analyticslead-datadriven-activity-7237150103315070977-4k1O?utm_source=share&amp;utm_medium=member_desktop" TargetMode="External"/><Relationship Id="rId286" Type="http://schemas.openxmlformats.org/officeDocument/2006/relationships/hyperlink" Target="https://www.linkedin.com/posts/krista-frias-5955bb1a2_portland-sql-hybrid-activity-7237201220161970178-jQyQ?utm_source=share&amp;utm_medium=member_desktop" TargetMode="External"/><Relationship Id="rId285" Type="http://schemas.openxmlformats.org/officeDocument/2006/relationships/hyperlink" Target="https://www.linkedin.com/posts/paul-d-gorman_analyst-business-analytics-hybrid-warren-activity-7236796860131139585-CrhD?utm_source=share&amp;utm_medium=member_desktop" TargetMode="External"/><Relationship Id="rId284" Type="http://schemas.openxmlformats.org/officeDocument/2006/relationships/hyperlink" Target="https://www.linkedin.com/posts/trevorhpittman_senior-business-analyst-common-app-activity-7237204039254364162-1mYF?utm_source=share&amp;utm_medium=member_desktop" TargetMode="External"/><Relationship Id="rId283" Type="http://schemas.openxmlformats.org/officeDocument/2006/relationships/hyperlink" Target="https://www.linkedin.com/posts/sarin-adhikari_data-analyst-activity-7237110289412845568-g8VY?utm_source=share&amp;utm_medium=member_desktop" TargetMode="External"/><Relationship Id="rId289" Type="http://schemas.openxmlformats.org/officeDocument/2006/relationships/hyperlink" Target="https://www.linkedin.com/posts/nickfoleyhr_hiring-dataengineer-engineeringjobs-activity-7237090733667606529-g7WZ?utm_source=share&amp;utm_medium=member_desktop" TargetMode="External"/><Relationship Id="rId288" Type="http://schemas.openxmlformats.org/officeDocument/2006/relationships/hyperlink" Target="https://www.linkedin.com/posts/callieshanks_remote-hiring-finance-activity-7237157589036204032-Ur-D?utm_source=share&amp;utm_medium=member_desktop" TargetMode="External"/><Relationship Id="rId287" Type="http://schemas.openxmlformats.org/officeDocument/2006/relationships/hyperlink" Target="https://www.linkedin.com/posts/raycacace_looking-for-a-fulfilling-career-or-maybe-activity-7237162990486089728-0L8b?utm_source=share&amp;utm_medium=member_desktop" TargetMode="External"/><Relationship Id="rId282" Type="http://schemas.openxmlformats.org/officeDocument/2006/relationships/hyperlink" Target="https://www.linkedin.com/posts/mikeesparza_financial-analyst-activity-7237223487935799296-Fr_M?utm_source=share&amp;utm_medium=member_desktop" TargetMode="External"/><Relationship Id="rId281" Type="http://schemas.openxmlformats.org/officeDocument/2006/relationships/hyperlink" Target="https://www.linkedin.com/posts/carmencoleman_senior-data-engineer-activity-7237180119558037505-6byv?utm_source=share&amp;utm_medium=member_desktop" TargetMode="External"/><Relationship Id="rId280" Type="http://schemas.openxmlformats.org/officeDocument/2006/relationships/hyperlink" Target="https://www.linkedin.com/posts/courtneykrause_hiring-activity-7237209275058548736--8Nc?utm_source=share&amp;utm_medium=member_desktop" TargetMode="External"/><Relationship Id="rId275" Type="http://schemas.openxmlformats.org/officeDocument/2006/relationships/hyperlink" Target="https://www.linkedin.com/posts/aswathmr_hiring-jobopportunities-joinourteam-activity-7237294493379502081-71n7?utm_source=share&amp;utm_medium=member_desktop" TargetMode="External"/><Relationship Id="rId274" Type="http://schemas.openxmlformats.org/officeDocument/2006/relationships/hyperlink" Target="https://www.linkedin.com/posts/aswathmr_hiring-jobopportunities-joinourteam-activity-7237294493379502081-71n7?utm_source=share&amp;utm_medium=member_desktop" TargetMode="External"/><Relationship Id="rId273" Type="http://schemas.openxmlformats.org/officeDocument/2006/relationships/hyperlink" Target="https://www.linkedin.com/posts/sandeep-gill-mph_product-analyst-health-it-data-in-dallas-activity-7237216703858798592-zgnh?utm_source=share&amp;utm_medium=member_desktop" TargetMode="External"/><Relationship Id="rId272" Type="http://schemas.openxmlformats.org/officeDocument/2006/relationships/hyperlink" Target="https://www.linkedin.com/posts/jessica-corsino-a5a7124_the-bianalytics-team-at-nmg-is-hiring-for-activity-7237466373067603968-C6EM?utm_source=share&amp;utm_medium=member_desktop" TargetMode="External"/><Relationship Id="rId279" Type="http://schemas.openxmlformats.org/officeDocument/2006/relationships/hyperlink" Target="https://www.linkedin.com/posts/sarah-martinez-0688192_jobopportunity-hiring-sustainability-activity-7237103706414968832-sQRn?utm_source=share&amp;utm_medium=member_desktop" TargetMode="External"/><Relationship Id="rId278" Type="http://schemas.openxmlformats.org/officeDocument/2006/relationships/hyperlink" Target="https://www.linkedin.com/posts/kevinotte_staff-data-scientist-activity-7237132090566164481-pxqq?utm_source=share&amp;utm_medium=member_desktop" TargetMode="External"/><Relationship Id="rId277" Type="http://schemas.openxmlformats.org/officeDocument/2006/relationships/hyperlink" Target="https://www.linkedin.com/posts/dan-cushing_data-and-analytics-consultant-activity-7237429271223308289-Epza?utm_source=share&amp;utm_medium=member_desktop" TargetMode="External"/><Relationship Id="rId276" Type="http://schemas.openxmlformats.org/officeDocument/2006/relationships/hyperlink" Target="https://www.linkedin.com/posts/brooks-beckelman-8a219080_senior-data-analyst-marketing-remote-activity-7237259006359019520--0B2?utm_source=share&amp;utm_medium=member_desktop" TargetMode="External"/><Relationship Id="rId907" Type="http://schemas.openxmlformats.org/officeDocument/2006/relationships/hyperlink" Target="https://www.linkedin.com/posts/christine-brown-mba-03b73112_budget-analyst-in-princeton-new-jersey-activity-7229848174008389633-B-Ib?utm_source=share&amp;utm_medium=member_desktop" TargetMode="External"/><Relationship Id="rId906" Type="http://schemas.openxmlformats.org/officeDocument/2006/relationships/hyperlink" Target="https://www.linkedin.com/posts/kinley-bays_financejobs-careeropportunity-activity-7229855177141288960-NJFQ?utm_source=share&amp;utm_medium=member_desktop" TargetMode="External"/><Relationship Id="rId905" Type="http://schemas.openxmlformats.org/officeDocument/2006/relationships/hyperlink" Target="https://www.linkedin.com/posts/amychen5288_check-out-this-job-at-target-property-management-activity-7229856724042547201-vcgY?utm_source=share&amp;utm_medium=member_desktop" TargetMode="External"/><Relationship Id="rId904" Type="http://schemas.openxmlformats.org/officeDocument/2006/relationships/hyperlink" Target="https://www.linkedin.com/posts/lindsay-newton-557736139_data-analyst-ii-remote-2024-1360-career-activity-7229843919189000192-xjFm?utm_source=share&amp;utm_medium=member_desktop" TargetMode="External"/><Relationship Id="rId909" Type="http://schemas.openxmlformats.org/officeDocument/2006/relationships/hyperlink" Target="https://www.linkedin.com/posts/mauricio-montejano-40a2a458_imhiring-activity-7229523796280455169-zLpk?utm_source=share&amp;utm_medium=member_desktop" TargetMode="External"/><Relationship Id="rId908" Type="http://schemas.openxmlformats.org/officeDocument/2006/relationships/hyperlink" Target="https://www.linkedin.com/posts/sam7c_revenue-and-subscriptions-data-scientist-activity-7229634653865881601-0WBo?utm_source=share&amp;utm_medium=member_desktop" TargetMode="External"/><Relationship Id="rId903" Type="http://schemas.openxmlformats.org/officeDocument/2006/relationships/hyperlink" Target="https://www.linkedin.com/posts/stephanie-oalickal_hiring-activity-7229881412676423685-sc9-?utm_source=share&amp;utm_medium=member_desktop" TargetMode="External"/><Relationship Id="rId902" Type="http://schemas.openxmlformats.org/officeDocument/2006/relationships/hyperlink" Target="https://www.linkedin.com/posts/activity-7229594730123202560-61Fe?utm_source=share&amp;utm_medium=member_desktop" TargetMode="External"/><Relationship Id="rId901" Type="http://schemas.openxmlformats.org/officeDocument/2006/relationships/hyperlink" Target="https://www.linkedin.com/posts/marcelolando_energytransition-fluence-renewableenergycareers-activity-7229924532822650881-Uj56?utm_source=share&amp;utm_medium=member_desktop" TargetMode="External"/><Relationship Id="rId900" Type="http://schemas.openxmlformats.org/officeDocument/2006/relationships/hyperlink" Target="https://www.linkedin.com/posts/lagarderemyp_we-are-looking-for-a-highly-motivated-financial-activity-7229859538638655490-KT4A?utm_source=share&amp;utm_medium=member_desktop" TargetMode="External"/><Relationship Id="rId929" Type="http://schemas.openxmlformats.org/officeDocument/2006/relationships/hyperlink" Target="https://www.linkedin.com/posts/carlos-jaime-406aa4a2_sr-data-scientist-food-chef-portfolio-activity-7229558727433961476-1kou?utm_source=share&amp;utm_medium=member_desktop" TargetMode="External"/><Relationship Id="rId928" Type="http://schemas.openxmlformats.org/officeDocument/2006/relationships/hyperlink" Target="https://www.linkedin.com/posts/danieljsilverman_hiring-boston-ugcPost-7229253351606030336-KWy8?utm_source=share&amp;utm_medium=member_desktop" TargetMode="External"/><Relationship Id="rId927" Type="http://schemas.openxmlformats.org/officeDocument/2006/relationships/hyperlink" Target="https://www.linkedin.com/posts/denise-scott-a6499a56_prospect-research-analyst-university-advancement-activity-7229514404386521089-0kjr?utm_source=share&amp;utm_medium=member_desktop" TargetMode="External"/><Relationship Id="rId926" Type="http://schemas.openxmlformats.org/officeDocument/2006/relationships/hyperlink" Target="https://www.linkedin.com/posts/mineshpatel_digital-strategy-activity-7229270674899451904-T0UF?utm_source=share&amp;utm_medium=member_desktop" TargetMode="External"/><Relationship Id="rId921" Type="http://schemas.openxmlformats.org/officeDocument/2006/relationships/hyperlink" Target="https://www.linkedin.com/posts/vanessamuro_hiring-media-mediapublishing-activity-7229539428552032256-eTcP?utm_source=share&amp;utm_medium=member_desktop" TargetMode="External"/><Relationship Id="rId920" Type="http://schemas.openxmlformats.org/officeDocument/2006/relationships/hyperlink" Target="https://www.linkedin.com/posts/nathan-haines-985154b0_check-out-this-job-at-altercare-integrated-activity-7229476722365136896-PUfL?utm_source=share&amp;utm_medium=member_desktop" TargetMode="External"/><Relationship Id="rId925" Type="http://schemas.openxmlformats.org/officeDocument/2006/relationships/hyperlink" Target="https://www.linkedin.com/posts/ethan-hadaway_calling-all-data-analyst-in-the-atlanta-area-activity-7229485177989705730-hBoN?utm_source=share&amp;utm_medium=member_desktop" TargetMode="External"/><Relationship Id="rId924" Type="http://schemas.openxmlformats.org/officeDocument/2006/relationships/hyperlink" Target="https://www.linkedin.com/posts/nassimadibmoradi_hiring-datascience-wearerpg-activity-7229523042882764800-I1c3?utm_source=share&amp;utm_medium=member_desktop" TargetMode="External"/><Relationship Id="rId923" Type="http://schemas.openxmlformats.org/officeDocument/2006/relationships/hyperlink" Target="https://www.linkedin.com/posts/andrew-soria-quiroz_walmart-data-enrichment-is-hiring-again-activity-7229204762842308609-uct3?utm_source=share&amp;utm_medium=member_desktop" TargetMode="External"/><Relationship Id="rId922" Type="http://schemas.openxmlformats.org/officeDocument/2006/relationships/hyperlink" Target="https://www.linkedin.com/posts/lynn-marie-grimes-6b4b875_were-hiring-a-senior-data-scientist-are-activity-7229502183203913729-8Fql?utm_source=share&amp;utm_medium=member_desktop" TargetMode="External"/><Relationship Id="rId918" Type="http://schemas.openxmlformats.org/officeDocument/2006/relationships/hyperlink" Target="https://www.linkedin.com/posts/fiona-reid-roma_data-management-consultant-business-engagement-activity-7229181974639185920-SzId?utm_source=share&amp;utm_medium=member_desktop" TargetMode="External"/><Relationship Id="rId917" Type="http://schemas.openxmlformats.org/officeDocument/2006/relationships/hyperlink" Target="https://www.linkedin.com/posts/erenis_hiring-ugcPost-7229630613257871362-nSof?utm_source=share&amp;utm_medium=member_desktop" TargetMode="External"/><Relationship Id="rId916" Type="http://schemas.openxmlformats.org/officeDocument/2006/relationships/hyperlink" Target="https://www.linkedin.com/posts/rasmussenandrew_hiring-analytics-businessdevelopment-activity-7229635739267784705-2-VC?utm_source=share&amp;utm_medium=member_desktop" TargetMode="External"/><Relationship Id="rId915" Type="http://schemas.openxmlformats.org/officeDocument/2006/relationships/hyperlink" Target="https://www.linkedin.com/posts/mahfam-wagner_hiring-analytics-data-activity-7229509481880076288-KJ4D?utm_source=share&amp;utm_medium=member_desktop" TargetMode="External"/><Relationship Id="rId919" Type="http://schemas.openxmlformats.org/officeDocument/2006/relationships/hyperlink" Target="https://www.linkedin.com/posts/emily-freeman-a0892971_sr-insights-analyst-activity-7229565427583008768-V6s0?utm_source=share&amp;utm_medium=member_desktop" TargetMode="External"/><Relationship Id="rId910" Type="http://schemas.openxmlformats.org/officeDocument/2006/relationships/hyperlink" Target="https://www.linkedin.com/posts/claire-morse-42bb6880_analyst-patient-safety-improvement-activity-7229683780586799104-U4yh?utm_source=share&amp;utm_medium=member_desktop" TargetMode="External"/><Relationship Id="rId914" Type="http://schemas.openxmlformats.org/officeDocument/2006/relationships/hyperlink" Target="https://www.linkedin.com/posts/carolinabento_data-analyst-safety-compliance-operations-activity-7229661115910123521-C4iZ?utm_source=share&amp;utm_medium=member_desktop" TargetMode="External"/><Relationship Id="rId913" Type="http://schemas.openxmlformats.org/officeDocument/2006/relationships/hyperlink" Target="https://www.linkedin.com/posts/stefanie-laroque-a41755b9_freshthymemarket-financialanalyst-activity-7229594620131749888-7eQ1?utm_source=share&amp;utm_medium=member_desktop" TargetMode="External"/><Relationship Id="rId912" Type="http://schemas.openxmlformats.org/officeDocument/2006/relationships/hyperlink" Target="https://www.linkedin.com/posts/ceceliadinicola_check-out-this-job-at-lor%C3%A9al-analyst-activity-7229556643540140032-x4K7?utm_source=share&amp;utm_medium=member_desktop" TargetMode="External"/><Relationship Id="rId911" Type="http://schemas.openxmlformats.org/officeDocument/2006/relationships/hyperlink" Target="https://www.linkedin.com/posts/courteneynavarini_agilonhealth-oneteam-financejobs-activity-7229641285639286784-GGMd?utm_source=share&amp;utm_medium=member_desktop" TargetMode="External"/><Relationship Id="rId1213" Type="http://schemas.openxmlformats.org/officeDocument/2006/relationships/hyperlink" Target="https://www.linkedin.com/posts/dtoddyoung_jobs-at-bill-bill-activity-7226371299286142977-qzmg?utm_source=share&amp;utm_medium=member_desktop" TargetMode="External"/><Relationship Id="rId1455" Type="http://schemas.openxmlformats.org/officeDocument/2006/relationships/hyperlink" Target="https://www.linkedin.com/posts/ugcPost-7223769048981934080--C74?utm_source=share&amp;utm_medium=member_desktop" TargetMode="External"/><Relationship Id="rId1214" Type="http://schemas.openxmlformats.org/officeDocument/2006/relationships/hyperlink" Target="https://www.linkedin.com/posts/lancecage_i-am-hiring-a-strategy-analyst-who-will-work-activity-7226231332484308992-IYQE?utm_source=share&amp;utm_medium=member_desktop" TargetMode="External"/><Relationship Id="rId1456" Type="http://schemas.openxmlformats.org/officeDocument/2006/relationships/hyperlink" Target="https://www.linkedin.com/posts/reem-mansoura_hiring-activity-7223684821565214720-rpM2?utm_source=share&amp;utm_medium=member_desktop" TargetMode="External"/><Relationship Id="rId1215" Type="http://schemas.openxmlformats.org/officeDocument/2006/relationships/hyperlink" Target="https://www.linkedin.com/posts/activity-7225154999146700801-buue?utm_source=share&amp;utm_medium=member_desktop" TargetMode="External"/><Relationship Id="rId1457" Type="http://schemas.openxmlformats.org/officeDocument/2006/relationships/hyperlink" Target="https://www.linkedin.com/posts/kenyatta-lewis-humanresources_hiring-seniorfinancialanalyst-financejobs-activity-7223774934651543554-grmx?utm_source=share&amp;utm_medium=member_desktop" TargetMode="External"/><Relationship Id="rId1216" Type="http://schemas.openxmlformats.org/officeDocument/2006/relationships/hyperlink" Target="https://www.linkedin.com/posts/melanie-mangone-609a053a_my-former-team-is-hiring-a-sr-planning-analyst-activity-7225141107993575424-24wm?utm_source=share&amp;utm_medium=member_desktop" TargetMode="External"/><Relationship Id="rId1458" Type="http://schemas.openxmlformats.org/officeDocument/2006/relationships/hyperlink" Target="https://www.linkedin.com/posts/pauldobbertin_senior-business-intelligence-analyst-activity-7223757320105644032-Rmdh?utm_source=share&amp;utm_medium=member_desktop" TargetMode="External"/><Relationship Id="rId1217" Type="http://schemas.openxmlformats.org/officeDocument/2006/relationships/hyperlink" Target="https://www.linkedin.com/posts/megan-marsh-cdr-11b9415_merchandising-analyst-in-batavia-il-activity-7226228008401952768-fz06?utm_source=share&amp;utm_medium=member_desktop" TargetMode="External"/><Relationship Id="rId1459" Type="http://schemas.openxmlformats.org/officeDocument/2006/relationships/hyperlink" Target="https://www.linkedin.com/posts/katesalava_emeralds-corporate-finance-team-under-the-ugcPost-7223785297593991169-Q_Pu?utm_source=share&amp;utm_medium=member_desktop" TargetMode="External"/><Relationship Id="rId1218" Type="http://schemas.openxmlformats.org/officeDocument/2006/relationships/hyperlink" Target="https://www.linkedin.com/posts/matthew-t-rusnak_compensation-analyst-1-in-charlotte-north-activity-7225161571797250049-mrI3?utm_source=share&amp;utm_medium=member_desktop" TargetMode="External"/><Relationship Id="rId1219" Type="http://schemas.openxmlformats.org/officeDocument/2006/relationships/hyperlink" Target="https://www.linkedin.com/posts/gregoryflicek_senior-financial-analyst-healthcare-consulting-activity-7226211280880054273-W2cx?utm_source=share&amp;utm_medium=member_desktop" TargetMode="External"/><Relationship Id="rId629" Type="http://schemas.openxmlformats.org/officeDocument/2006/relationships/hyperlink" Target="https://www.linkedin.com/posts/eaccook91_strategic-pricing-sr-analyst-remote-in-activity-7231732331693105154-bZLx?utm_source=share&amp;utm_medium=member_desktop" TargetMode="External"/><Relationship Id="rId624" Type="http://schemas.openxmlformats.org/officeDocument/2006/relationships/hyperlink" Target="https://www.linkedin.com/posts/melissachen15_we-are-hiring-a-senior-analytics-engineer-activity-7232139403148541954-bwm3?utm_source=share&amp;utm_medium=member_desktop" TargetMode="External"/><Relationship Id="rId866" Type="http://schemas.openxmlformats.org/officeDocument/2006/relationships/hyperlink" Target="https://www.linkedin.com/posts/meredith-kimbrough-b50265205_senior-finance-analyst-activity-7230257384235921408-rmeo?utm_source=share&amp;utm_medium=member_desktop" TargetMode="External"/><Relationship Id="rId623" Type="http://schemas.openxmlformats.org/officeDocument/2006/relationships/hyperlink" Target="https://www.linkedin.com/posts/monoco-jones-458a28108_finance-director-data-analytics-activity-7232543857073082369-WY0g?utm_source=share&amp;utm_medium=member_desktop" TargetMode="External"/><Relationship Id="rId865" Type="http://schemas.openxmlformats.org/officeDocument/2006/relationships/hyperlink" Target="https://www.linkedin.com/posts/nancy-armendariz-517b694a_marketing-analyst-activity-7230274660838338560-Xpw1?utm_source=share&amp;utm_medium=member_desktop" TargetMode="External"/><Relationship Id="rId622" Type="http://schemas.openxmlformats.org/officeDocument/2006/relationships/hyperlink" Target="https://www.linkedin.com/posts/megan-beauchemin-b61a2a49_customer-success-architect-activity-7232433095990284291-i51I?utm_source=share&amp;utm_medium=member_desktop" TargetMode="External"/><Relationship Id="rId864" Type="http://schemas.openxmlformats.org/officeDocument/2006/relationships/hyperlink" Target="https://www.linkedin.com/posts/aaron-ford-3ba998114_hiring-dataanalytics-medicaldevices-activity-7230238116333178881-cp_c?utm_source=share&amp;utm_medium=member_desktop" TargetMode="External"/><Relationship Id="rId621" Type="http://schemas.openxmlformats.org/officeDocument/2006/relationships/hyperlink" Target="https://www.linkedin.com/posts/brittney-phetchamphone-49a30580_scribd-senior-product-analyst-discovery-activity-7232461643274743808-VXga?utm_source=share&amp;utm_medium=member_desktop" TargetMode="External"/><Relationship Id="rId863" Type="http://schemas.openxmlformats.org/officeDocument/2006/relationships/hyperlink" Target="https://www.linkedin.com/posts/pacemyrick_hiring-remotejobs-dataanalytics-activity-7230354731821318144-X7hx?utm_source=share&amp;utm_medium=member_desktop" TargetMode="External"/><Relationship Id="rId628" Type="http://schemas.openxmlformats.org/officeDocument/2006/relationships/hyperlink" Target="https://www.linkedin.com/posts/liz-van-burkleo-cpa-inactive-02465b24_100-remote-ap-analyst-job-reports-to-the-activity-7232420935738277888-Ujh9?utm_source=share&amp;utm_medium=member_desktop" TargetMode="External"/><Relationship Id="rId627" Type="http://schemas.openxmlformats.org/officeDocument/2006/relationships/hyperlink" Target="https://www.linkedin.com/posts/rachellaurynwells_data-scientist-remote-activity-7232418734903078912-D4jj?utm_source=share&amp;utm_medium=member_desktop" TargetMode="External"/><Relationship Id="rId869" Type="http://schemas.openxmlformats.org/officeDocument/2006/relationships/hyperlink" Target="https://www.linkedin.com/posts/ryanjkelly8_data-analyst-activity-7230271508378443776-mXg4?utm_source=share&amp;utm_medium=member_desktop" TargetMode="External"/><Relationship Id="rId626" Type="http://schemas.openxmlformats.org/officeDocument/2006/relationships/hyperlink" Target="https://www.linkedin.com/posts/rachellaurynwells_data-scientist-remote-activity-7232418734903078912-D4jj?utm_source=share&amp;utm_medium=member_desktop" TargetMode="External"/><Relationship Id="rId868" Type="http://schemas.openxmlformats.org/officeDocument/2006/relationships/hyperlink" Target="https://www.linkedin.com/posts/liannegong_fpa-senior-analyst-activity-7230286829940318208-4aIE?utm_source=share&amp;utm_medium=member_desktop" TargetMode="External"/><Relationship Id="rId625" Type="http://schemas.openxmlformats.org/officeDocument/2006/relationships/hyperlink" Target="https://www.linkedin.com/posts/activity-7232451332375289857-5nw-?utm_source=share&amp;utm_medium=member_desktop" TargetMode="External"/><Relationship Id="rId867" Type="http://schemas.openxmlformats.org/officeDocument/2006/relationships/hyperlink" Target="https://www.linkedin.com/posts/activity-7230363725692592128-cNMB?utm_source=share&amp;utm_medium=member_desktop" TargetMode="External"/><Relationship Id="rId1450" Type="http://schemas.openxmlformats.org/officeDocument/2006/relationships/hyperlink" Target="https://www.linkedin.com/posts/yongmichelle_hiring-dataanalyst-activisionblizzard-ugcPost-7223762947993448448-QKuW?utm_source=share&amp;utm_medium=member_desktop" TargetMode="External"/><Relationship Id="rId620" Type="http://schemas.openxmlformats.org/officeDocument/2006/relationships/hyperlink" Target="https://www.linkedin.com/posts/brittney-phetchamphone-49a30580_scribd-senior-product-analyst-discovery-activity-7232461643274743808-VXga?utm_source=share&amp;utm_medium=member_desktop" TargetMode="External"/><Relationship Id="rId862" Type="http://schemas.openxmlformats.org/officeDocument/2006/relationships/hyperlink" Target="https://www.linkedin.com/posts/brittany-lights-tyner-58875851_compensation-totalrewards-nowhiring-activity-7230260833178583040-0IzI?utm_source=share&amp;utm_medium=member_desktop" TargetMode="External"/><Relationship Id="rId1451" Type="http://schemas.openxmlformats.org/officeDocument/2006/relationships/hyperlink" Target="https://www.linkedin.com/posts/co-phi_senior-data-analyst-activity-7223764223162531840-wwkN?utm_source=share&amp;utm_medium=member_desktop" TargetMode="External"/><Relationship Id="rId861" Type="http://schemas.openxmlformats.org/officeDocument/2006/relationships/hyperlink" Target="https://www.linkedin.com/posts/drmbaker_we-are-excited-to-announce-that-we-are-expanding-activity-7230336935032934400--HKl?utm_source=share&amp;utm_medium=member_desktop" TargetMode="External"/><Relationship Id="rId1210" Type="http://schemas.openxmlformats.org/officeDocument/2006/relationships/hyperlink" Target="https://www.linkedin.com/posts/bvdecicco_im-looking-for-an-energetic-and-driven-person-activity-7226583464928571392-t5tF?utm_source=share&amp;utm_medium=member_desktop" TargetMode="External"/><Relationship Id="rId1452" Type="http://schemas.openxmlformats.org/officeDocument/2006/relationships/hyperlink" Target="https://www.linkedin.com/posts/roxanne-grodzki-201b8964_sr-analyst-data-science-analytics-activity-7223708728456294401-3SDj?utm_source=share&amp;utm_medium=member_desktop" TargetMode="External"/><Relationship Id="rId860" Type="http://schemas.openxmlformats.org/officeDocument/2006/relationships/hyperlink" Target="https://www.linkedin.com/posts/liz-shrum_are-you-a-data-wizard-with-a-passion-for-activity-7230305093282054144-I0fF?utm_source=share&amp;utm_medium=member_desktop" TargetMode="External"/><Relationship Id="rId1211" Type="http://schemas.openxmlformats.org/officeDocument/2006/relationships/hyperlink" Target="https://www.linkedin.com/posts/taylornortonwhite_data-analyst-technical-senior-activity-7226614020059844608-IeUj?utm_source=share&amp;utm_medium=member_desktop" TargetMode="External"/><Relationship Id="rId1453" Type="http://schemas.openxmlformats.org/officeDocument/2006/relationships/hyperlink" Target="https://www.linkedin.com/posts/activity-7223707835145076736-9gmW?utm_source=share&amp;utm_medium=member_desktop" TargetMode="External"/><Relationship Id="rId1212" Type="http://schemas.openxmlformats.org/officeDocument/2006/relationships/hyperlink" Target="https://www.linkedin.com/posts/nicholas-winchester_nonprofit-data-dataanalysis-activity-7226689633214984192-r0Nj?utm_source=share&amp;utm_medium=member_desktop" TargetMode="External"/><Relationship Id="rId1454" Type="http://schemas.openxmlformats.org/officeDocument/2006/relationships/hyperlink" Target="https://www.linkedin.com/posts/felix-lau_data-operations-lead-activity-7223749124129447937-MMUD?utm_source=share&amp;utm_medium=member_desktop" TargetMode="External"/><Relationship Id="rId1202" Type="http://schemas.openxmlformats.org/officeDocument/2006/relationships/hyperlink" Target="https://www.linkedin.com/posts/samantha-binning_join-our-team-as-a-financial-reporting-analyst-activity-7226619951606902784-AxUw?utm_source=share&amp;utm_medium=member_desktop" TargetMode="External"/><Relationship Id="rId1444" Type="http://schemas.openxmlformats.org/officeDocument/2006/relationships/hyperlink" Target="https://www.linkedin.com/posts/judson-taylor-cpcu-b744832_im-hiring-take-a-look-at-the-job-posting-activity-7223680869650116608-q4k2?utm_source=share&amp;utm_medium=member_desktop" TargetMode="External"/><Relationship Id="rId1203" Type="http://schemas.openxmlformats.org/officeDocument/2006/relationships/hyperlink" Target="https://www.linkedin.com/posts/daniellestgeorge_orionlifesciencesusa-accountspayable-financeanalyst-activity-7226625460586135552-KTh5?utm_source=share&amp;utm_medium=member_desktop" TargetMode="External"/><Relationship Id="rId1445" Type="http://schemas.openxmlformats.org/officeDocument/2006/relationships/hyperlink" Target="https://www.linkedin.com/posts/andrea-davis-428045117_hiring-compensation-activity-7223693699120013313-thnY?utm_source=share&amp;utm_medium=member_desktop" TargetMode="External"/><Relationship Id="rId1204" Type="http://schemas.openxmlformats.org/officeDocument/2006/relationships/hyperlink" Target="https://www.linkedin.com/posts/brendan-clifford-692a1b18_financial-analyst-activity-7226557052226015233-sQSV?utm_source=share&amp;utm_medium=member_desktop" TargetMode="External"/><Relationship Id="rId1446" Type="http://schemas.openxmlformats.org/officeDocument/2006/relationships/hyperlink" Target="https://www.linkedin.com/posts/alex-camhi_people-data-analyst-activity-7223677749763158018-2sf8?utm_source=share&amp;utm_medium=member_desktop" TargetMode="External"/><Relationship Id="rId1205" Type="http://schemas.openxmlformats.org/officeDocument/2006/relationships/hyperlink" Target="https://www.linkedin.com/posts/melyndageraghtydevelopmentrecruiter_data-engineer-python-activity-7226578866176225281-uTlZ?utm_source=share&amp;utm_medium=member_desktop" TargetMode="External"/><Relationship Id="rId1447" Type="http://schemas.openxmlformats.org/officeDocument/2006/relationships/hyperlink" Target="https://www.linkedin.com/posts/activity-7223742287824982016-b-X7?utm_source=share&amp;utm_medium=member_desktop" TargetMode="External"/><Relationship Id="rId1206" Type="http://schemas.openxmlformats.org/officeDocument/2006/relationships/hyperlink" Target="https://www.linkedin.com/posts/samlongair_if-you-are-passionate-about-advancing-our-activity-7226570294109331457-fg-B?utm_source=share&amp;utm_medium=member_desktop" TargetMode="External"/><Relationship Id="rId1448" Type="http://schemas.openxmlformats.org/officeDocument/2006/relationships/hyperlink" Target="https://www.linkedin.com/posts/activity-7223736531046350848-9gqj?utm_source=share&amp;utm_medium=member_desktop" TargetMode="External"/><Relationship Id="rId1207" Type="http://schemas.openxmlformats.org/officeDocument/2006/relationships/hyperlink" Target="https://www.linkedin.com/posts/katie-cole-70724361_hiring-activity-7226664434373419008-Muhr?utm_source=share&amp;utm_medium=member_desktop" TargetMode="External"/><Relationship Id="rId1449" Type="http://schemas.openxmlformats.org/officeDocument/2006/relationships/hyperlink" Target="https://www.linkedin.com/posts/mike-basford-7437b1b_we-are-hiring-for-the-analyst-position-below-activity-7223730146032168961-Ggfp?utm_source=share&amp;utm_medium=member_desktop" TargetMode="External"/><Relationship Id="rId1208" Type="http://schemas.openxmlformats.org/officeDocument/2006/relationships/hyperlink" Target="https://www.linkedin.com/posts/jenny-mckay_publix-publixtechnology-activity-7226596007109685250-gNfg?utm_source=share&amp;utm_medium=member_desktop" TargetMode="External"/><Relationship Id="rId1209" Type="http://schemas.openxmlformats.org/officeDocument/2006/relationships/hyperlink" Target="https://www.linkedin.com/posts/activity-7226628134274486272-u8Xo?utm_source=share&amp;utm_medium=member_desktop" TargetMode="External"/><Relationship Id="rId619" Type="http://schemas.openxmlformats.org/officeDocument/2006/relationships/hyperlink" Target="https://www.linkedin.com/posts/molly-mcmanus-8a3a4722_hybrid-senior-financial-analyst-exciting-activity-7231685203725893632-gIZ-?utm_source=share&amp;utm_medium=member_desktop" TargetMode="External"/><Relationship Id="rId618" Type="http://schemas.openxmlformats.org/officeDocument/2006/relationships/hyperlink" Target="https://www.linkedin.com/posts/greg972_new-job-opening-for-a-financial-analyst-in-activity-7231666719499464705-_t2i?utm_source=share&amp;utm_medium=member_desktop" TargetMode="External"/><Relationship Id="rId613" Type="http://schemas.openxmlformats.org/officeDocument/2006/relationships/hyperlink" Target="https://www.linkedin.com/posts/renato-rubalcava-shrm-cp-79426888_recruitment-activity-7232757300531183616-kYgg?utm_source=share&amp;utm_medium=member_desktop" TargetMode="External"/><Relationship Id="rId855" Type="http://schemas.openxmlformats.org/officeDocument/2006/relationships/hyperlink" Target="https://www.linkedin.com/posts/simona-shuman_we-are-hiring-a-people-analyst-to-join-my-activity-7230335346138398720-Ra2w?utm_source=share&amp;utm_medium=member_desktop" TargetMode="External"/><Relationship Id="rId612" Type="http://schemas.openxmlformats.org/officeDocument/2006/relationships/hyperlink" Target="https://www.linkedin.com/posts/activity-7232476225338818561-udMy?utm_source=share&amp;utm_medium=member_desktop" TargetMode="External"/><Relationship Id="rId854" Type="http://schemas.openxmlformats.org/officeDocument/2006/relationships/hyperlink" Target="https://www.linkedin.com/posts/vincent-rossmeier-71172115_tulane-staff-positions-activity-7230338164815450112-_wwg?utm_source=share&amp;utm_medium=member_desktop" TargetMode="External"/><Relationship Id="rId611" Type="http://schemas.openxmlformats.org/officeDocument/2006/relationships/hyperlink" Target="https://www.linkedin.com/posts/marianna-vallejo-work_senior-data-analyst-at-electronic-arts-activity-7229007141645246464-EYj2?utm_source=share&amp;utm_medium=member_desktop" TargetMode="External"/><Relationship Id="rId853" Type="http://schemas.openxmlformats.org/officeDocument/2006/relationships/hyperlink" Target="https://www.linkedin.com/posts/murphyeva_senior-data-analytics-developer-activity-7230306524793913345-KZpe?utm_source=share&amp;utm_medium=member_desktop" TargetMode="External"/><Relationship Id="rId610" Type="http://schemas.openxmlformats.org/officeDocument/2006/relationships/hyperlink" Target="https://www.linkedin.com/posts/activity-7232476225338818561-udMy?utm_source=share&amp;utm_medium=member_desktop" TargetMode="External"/><Relationship Id="rId852" Type="http://schemas.openxmlformats.org/officeDocument/2006/relationships/hyperlink" Target="https://www.linkedin.com/posts/allisonpaigehill_people-analytics-analyst-data-science-remote-activity-7230339768310505474--OSy?utm_source=share&amp;utm_medium=member_desktop" TargetMode="External"/><Relationship Id="rId617" Type="http://schemas.openxmlformats.org/officeDocument/2006/relationships/hyperlink" Target="https://www.linkedin.com/posts/schmidtkayla_senior-analyst-medical-economics-in-work-activity-7232706580687831040-e3Ws?utm_source=share&amp;utm_medium=member_desktop" TargetMode="External"/><Relationship Id="rId859" Type="http://schemas.openxmlformats.org/officeDocument/2006/relationships/hyperlink" Target="https://www.linkedin.com/posts/justin-eajhan-mccrann-05159749_analyst-reporting-healthcare-analytics-activity-7230295508789903360-oFqQ?utm_source=share&amp;utm_medium=member_desktop" TargetMode="External"/><Relationship Id="rId616" Type="http://schemas.openxmlformats.org/officeDocument/2006/relationships/hyperlink" Target="https://www.linkedin.com/posts/akdhawan_data-analyst-rwd-in-remote-united-states-activity-7232735694740189185-U2cp?utm_source=share&amp;utm_medium=member_desktop" TargetMode="External"/><Relationship Id="rId858" Type="http://schemas.openxmlformats.org/officeDocument/2006/relationships/hyperlink" Target="https://www.linkedin.com/posts/riedelandy_data-senior-analyst-activity-7230045461133283328-eGS0?utm_source=share&amp;utm_medium=member_desktop" TargetMode="External"/><Relationship Id="rId615" Type="http://schemas.openxmlformats.org/officeDocument/2006/relationships/hyperlink" Target="https://www.linkedin.com/posts/lauren-cornell-215932ba_data-analyst-activity-7232763522567266304-vSPe?utm_source=share&amp;utm_medium=member_desktop" TargetMode="External"/><Relationship Id="rId857" Type="http://schemas.openxmlformats.org/officeDocument/2006/relationships/hyperlink" Target="https://www.linkedin.com/posts/melyndageraghtydevelopmentrecruiter_associate-data-engineer-sql-tx-or-ri-activity-7230215852271251456-J2rN?utm_source=share&amp;utm_medium=member_desktop" TargetMode="External"/><Relationship Id="rId614" Type="http://schemas.openxmlformats.org/officeDocument/2006/relationships/hyperlink" Target="https://www.linkedin.com/posts/a-coates_senior-data-analyst-provider-operations-activity-7232718223513731073-y2YW?utm_source=share&amp;utm_medium=member_desktop" TargetMode="External"/><Relationship Id="rId856" Type="http://schemas.openxmlformats.org/officeDocument/2006/relationships/hyperlink" Target="https://www.linkedin.com/posts/christinemhunt_hiring-a-financial-analyst-for-lewis-services-activity-7230290755636924417-ezxE?utm_source=share&amp;utm_medium=member_desktop" TargetMode="External"/><Relationship Id="rId851" Type="http://schemas.openxmlformats.org/officeDocument/2006/relationships/hyperlink" Target="https://www.linkedin.com/posts/activity-7230587978409033729-MWKU?utm_source=share&amp;utm_medium=member_desktop" TargetMode="External"/><Relationship Id="rId1440" Type="http://schemas.openxmlformats.org/officeDocument/2006/relationships/hyperlink" Target="https://www.linkedin.com/posts/sara-s-053a1a126_productanalyst-workintech-creatoreconomy-activity-7223756665869770753-Oosm?utm_source=share&amp;utm_medium=member_desktop" TargetMode="External"/><Relationship Id="rId850" Type="http://schemas.openxmlformats.org/officeDocument/2006/relationships/hyperlink" Target="https://www.linkedin.com/posts/activity-7230681281590693889-N-Qe?utm_source=share&amp;utm_medium=member_desktop" TargetMode="External"/><Relationship Id="rId1441" Type="http://schemas.openxmlformats.org/officeDocument/2006/relationships/hyperlink" Target="https://www.linkedin.com/posts/byunsteve_hiring-activity-7223704076792795137-1uCy?utm_source=share&amp;utm_medium=member_desktop" TargetMode="External"/><Relationship Id="rId1200" Type="http://schemas.openxmlformats.org/officeDocument/2006/relationships/hyperlink" Target="https://www.linkedin.com/posts/jesse-brandenburg-12873525_hiringnow-analyst-activity-7226593752172179457-6Fk7?utm_source=share&amp;utm_medium=member_desktop" TargetMode="External"/><Relationship Id="rId1442" Type="http://schemas.openxmlformats.org/officeDocument/2006/relationships/hyperlink" Target="https://www.linkedin.com/posts/maxheppermann_were-hiring-we-are-looking-for-candidates-activity-7223689537636499457-Gtjf?utm_source=share&amp;utm_medium=member_desktop" TargetMode="External"/><Relationship Id="rId1201" Type="http://schemas.openxmlformats.org/officeDocument/2006/relationships/hyperlink" Target="https://www.linkedin.com/posts/christina-iannetta_senior-analyst-client-finance-activity-7226571328407949313-VUBe?utm_source=share&amp;utm_medium=member_desktop" TargetMode="External"/><Relationship Id="rId1443" Type="http://schemas.openxmlformats.org/officeDocument/2006/relationships/hyperlink" Target="https://www.linkedin.com/posts/scottericphillips_hiring-ugcPost-7223730496730542080-wMQY?utm_source=share&amp;utm_medium=member_desktop" TargetMode="External"/><Relationship Id="rId1235" Type="http://schemas.openxmlformats.org/officeDocument/2006/relationships/hyperlink" Target="https://www.linkedin.com/posts/alesa-aviles_hiring-licensing-musicindustry-activity-7226231419465846785-FT5E?utm_source=share&amp;utm_medium=member_desktop" TargetMode="External"/><Relationship Id="rId1236" Type="http://schemas.openxmlformats.org/officeDocument/2006/relationships/hyperlink" Target="https://www.linkedin.com/posts/kelsey-darling333_financejobs-hiring-financialanalyst-activity-7226333790527270913-PpNz?utm_source=share&amp;utm_medium=member_desktop" TargetMode="External"/><Relationship Id="rId1237" Type="http://schemas.openxmlformats.org/officeDocument/2006/relationships/hyperlink" Target="https://www.linkedin.com/posts/lynellelanier_we-are-looking-for-a-great-candidate-to-join-activity-7225146411414077440-nPST?utm_source=share&amp;utm_medium=member_desktop" TargetMode="External"/><Relationship Id="rId1238" Type="http://schemas.openxmlformats.org/officeDocument/2006/relationships/hyperlink" Target="https://www.linkedin.com/posts/jeff-bennett-89a5312a2_sr-quantitative-analyst-variable-annuity-activity-7226006894924967936-dvhH?utm_source=share&amp;utm_medium=member_desktop" TargetMode="External"/><Relationship Id="rId1239" Type="http://schemas.openxmlformats.org/officeDocument/2006/relationships/hyperlink" Target="https://www.linkedin.com/posts/juliesankbeil_compensation-analyst-activity-7226267254957502465-XSC5?utm_source=share&amp;utm_medium=member_desktop" TargetMode="External"/><Relationship Id="rId409" Type="http://schemas.openxmlformats.org/officeDocument/2006/relationships/hyperlink" Target="https://www.linkedin.com/posts/drew-mooney-data_data-analytics-hiring-activity-7234627958701711360-AcR4?utm_source=share&amp;utm_medium=member_desktop" TargetMode="External"/><Relationship Id="rId404" Type="http://schemas.openxmlformats.org/officeDocument/2006/relationships/hyperlink" Target="https://www.linkedin.com/posts/manaswinigoutham_data-engineer-bank-tech-activity-7234708285344358400-99Ju?utm_source=share&amp;utm_medium=member_desktop" TargetMode="External"/><Relationship Id="rId646" Type="http://schemas.openxmlformats.org/officeDocument/2006/relationships/hyperlink" Target="https://www.linkedin.com/posts/zachary-reed-11994610_senior-business-reporting-analyst-activity-7232466104005050368-lh6m?utm_source=share&amp;utm_medium=member_desktop" TargetMode="External"/><Relationship Id="rId888" Type="http://schemas.openxmlformats.org/officeDocument/2006/relationships/hyperlink" Target="https://www.linkedin.com/posts/activity-7230004786765389825-EGNG?utm_source=share&amp;utm_medium=member_desktop" TargetMode="External"/><Relationship Id="rId403" Type="http://schemas.openxmlformats.org/officeDocument/2006/relationships/hyperlink" Target="https://www.linkedin.com/posts/parulkaura_mckesson-activity-7234920327959449601-BRnA?utm_source=share&amp;utm_medium=member_desktop" TargetMode="External"/><Relationship Id="rId645" Type="http://schemas.openxmlformats.org/officeDocument/2006/relationships/hyperlink" Target="https://www.linkedin.com/posts/teresa-o-field-21890326_sr-procurement-analyst-activity-7232130779810607104-u2n3?utm_source=share&amp;utm_medium=member_desktop" TargetMode="External"/><Relationship Id="rId887" Type="http://schemas.openxmlformats.org/officeDocument/2006/relationships/hyperlink" Target="https://www.linkedin.com/posts/kevin-fryatt_hiring-activity-7229967110716710914-jWH5?utm_source=share&amp;utm_medium=member_desktop" TargetMode="External"/><Relationship Id="rId402" Type="http://schemas.openxmlformats.org/officeDocument/2006/relationships/hyperlink" Target="https://www.linkedin.com/posts/parulkaura_mckesson-activity-7234920327959449601-BRnA?utm_source=share&amp;utm_medium=member_desktop" TargetMode="External"/><Relationship Id="rId644" Type="http://schemas.openxmlformats.org/officeDocument/2006/relationships/hyperlink" Target="https://www.linkedin.com/posts/kellythomp90_senior-data-quality-analyst-workforce-exp-activity-7232488103599296513-jNIy?utm_source=share&amp;utm_medium=member_desktop" TargetMode="External"/><Relationship Id="rId886" Type="http://schemas.openxmlformats.org/officeDocument/2006/relationships/hyperlink" Target="https://www.linkedin.com/posts/catherinekatiewright_super-excited-to-share-that-i-was-recently-activity-7230012671658536962-_snk?utm_source=share&amp;utm_medium=member_desktop" TargetMode="External"/><Relationship Id="rId401" Type="http://schemas.openxmlformats.org/officeDocument/2006/relationships/hyperlink" Target="https://www.linkedin.com/posts/davidgalipp_hiring-analytics-data-activity-7235007730392952832-ZpJX?utm_source=share&amp;utm_medium=member_desktop" TargetMode="External"/><Relationship Id="rId643" Type="http://schemas.openxmlformats.org/officeDocument/2006/relationships/hyperlink" Target="https://www.linkedin.com/posts/heather-hautla-a1504a6_senior-data-scientist-customer-data-san-activity-7232398994449047553-3mnn?utm_source=share&amp;utm_medium=member_ios" TargetMode="External"/><Relationship Id="rId885" Type="http://schemas.openxmlformats.org/officeDocument/2006/relationships/hyperlink" Target="https://www.linkedin.com/posts/amanda-ding-24473915_my-team-is-hiring-manager-data-scientist-activity-7229910068161318913--d0D?utm_source=share&amp;utm_medium=member_desktop" TargetMode="External"/><Relationship Id="rId408" Type="http://schemas.openxmlformats.org/officeDocument/2006/relationships/hyperlink" Target="https://www.linkedin.com/posts/joni-bartlett-0245a5_data-scientist-in-ofallon-mo-activity-7235005708532858880-7tQP?utm_source=share&amp;utm_medium=member_desktop" TargetMode="External"/><Relationship Id="rId407" Type="http://schemas.openxmlformats.org/officeDocument/2006/relationships/hyperlink" Target="https://www.linkedin.com/posts/sa-sha-c-061b84196_financial-data-analyst-stat-recovery-services-activity-7234969436426788866-1nMa?utm_source=share&amp;utm_medium=member_desktop" TargetMode="External"/><Relationship Id="rId649" Type="http://schemas.openxmlformats.org/officeDocument/2006/relationships/hyperlink" Target="https://www.linkedin.com/posts/rachellaurynwells_data-scientist-remote-activity-7232418734903078912-D4jj?utm_source=share&amp;utm_medium=member_desktop" TargetMode="External"/><Relationship Id="rId406" Type="http://schemas.openxmlformats.org/officeDocument/2006/relationships/hyperlink" Target="https://www.linkedin.com/posts/conner-clyde-b7ba2988_growing-teamwork-iworkforcomcast-activity-7234927125907079168-RDxQ?utm_source=share&amp;utm_medium=member_desktop" TargetMode="External"/><Relationship Id="rId648" Type="http://schemas.openxmlformats.org/officeDocument/2006/relationships/hyperlink" Target="https://www.linkedin.com/posts/tori-kallerud1996_come-join-our-data-analytics-team-at-turbotenant-activity-7232393578772099072-ew2s?utm_source=share&amp;utm_medium=member_desktop" TargetMode="External"/><Relationship Id="rId405" Type="http://schemas.openxmlformats.org/officeDocument/2006/relationships/hyperlink" Target="https://www.linkedin.com/posts/bobby-johnson-mba-3bb25923_supv-data-science-in-remote-united-states-activity-7234985600154505216-THJc?utm_source=share&amp;utm_medium=member_desktop" TargetMode="External"/><Relationship Id="rId647" Type="http://schemas.openxmlformats.org/officeDocument/2006/relationships/hyperlink" Target="https://www.linkedin.com/posts/brandonkrakowsky_research-analyst-wharton-ai-analytics-activity-7232471017548324864-8LXO?utm_source=share&amp;utm_medium=member_desktop" TargetMode="External"/><Relationship Id="rId889" Type="http://schemas.openxmlformats.org/officeDocument/2006/relationships/hyperlink" Target="https://www.linkedin.com/posts/sandrarinella_finance-analyst-ii-quincy-ma-stop-and-activity-7230217244696285186-ZXiP?utm_source=share&amp;utm_medium=member_desktop" TargetMode="External"/><Relationship Id="rId880" Type="http://schemas.openxmlformats.org/officeDocument/2006/relationships/hyperlink" Target="https://www.linkedin.com/posts/kevin-schiller-mba-7826717_im-hiring-were-looking-for-a-senior-sales-activity-7230233289582596098-6W6q?utm_source=share&amp;utm_medium=member_ios" TargetMode="External"/><Relationship Id="rId1470" Type="http://schemas.openxmlformats.org/officeDocument/2006/relationships/hyperlink" Target="https://www.linkedin.com/posts/laura-caswell-0a502593_another-role-teaming-up-with-piper-maddox-activity-7223818954127892480-0dcd?utm_source=share&amp;utm_medium=member_desktop" TargetMode="External"/><Relationship Id="rId1471" Type="http://schemas.openxmlformats.org/officeDocument/2006/relationships/hyperlink" Target="https://www.linkedin.com/posts/cbjorgol_manager-data-science-research-scientist-activity-7223784555915210752-ue1n?utm_source=share&amp;utm_medium=member_desktop" TargetMode="External"/><Relationship Id="rId1230" Type="http://schemas.openxmlformats.org/officeDocument/2006/relationships/hyperlink" Target="https://www.linkedin.com/posts/brendahoek_commercial-credit-analyst-scranton-50k-activity-7226311868972195841-Ctc3?utm_source=share&amp;utm_medium=member_desktop" TargetMode="External"/><Relationship Id="rId1472" Type="http://schemas.openxmlformats.org/officeDocument/2006/relationships/drawing" Target="../drawings/drawing1.xml"/><Relationship Id="rId400" Type="http://schemas.openxmlformats.org/officeDocument/2006/relationships/hyperlink" Target="https://www.linkedin.com/posts/edward--smith_healthcare-finance-direct-llc-senior-data-activity-7235082414459342848-KU54?utm_source=share&amp;utm_medium=member_desktop" TargetMode="External"/><Relationship Id="rId642" Type="http://schemas.openxmlformats.org/officeDocument/2006/relationships/hyperlink" Target="https://www.linkedin.com/posts/activity-7232489758008963072-uqd_?utm_source=share&amp;utm_medium=member_desktop" TargetMode="External"/><Relationship Id="rId884" Type="http://schemas.openxmlformats.org/officeDocument/2006/relationships/hyperlink" Target="https://www.linkedin.com/posts/adam-bahrainwala_hiring-staff-data-scientist-activity-7230202539781058561-1A9N?utm_source=share&amp;utm_medium=member_desktop" TargetMode="External"/><Relationship Id="rId1231" Type="http://schemas.openxmlformats.org/officeDocument/2006/relationships/hyperlink" Target="https://www.linkedin.com/posts/greffen-george-94206b4a_senior-business-analyst-activity-7226180178811498496-Qc7X?utm_source=share&amp;utm_medium=member_desktop" TargetMode="External"/><Relationship Id="rId641" Type="http://schemas.openxmlformats.org/officeDocument/2006/relationships/hyperlink" Target="https://www.linkedin.com/posts/brant-peterson-6212056_data-analyst-merchant-services-activity-7232420657777532931-0C9Q?utm_source=share&amp;utm_medium=member_desktop" TargetMode="External"/><Relationship Id="rId883" Type="http://schemas.openxmlformats.org/officeDocument/2006/relationships/hyperlink" Target="https://www.linkedin.com/posts/jonathan-allman-7320a444_senior-analyst-advanced-analytics-supply-activity-7230232617831317504-vTCH?utm_source=share&amp;utm_medium=member_desktop" TargetMode="External"/><Relationship Id="rId1232" Type="http://schemas.openxmlformats.org/officeDocument/2006/relationships/hyperlink" Target="https://www.linkedin.com/posts/lsrollins_financial-analyst-activity-7226317210552578049-MVK2?utm_source=share&amp;utm_medium=member_desktop" TargetMode="External"/><Relationship Id="rId640" Type="http://schemas.openxmlformats.org/officeDocument/2006/relationships/hyperlink" Target="https://www.linkedin.com/posts/jacky-tse-mphil-cantab-msw-acsw-681a4987_data-scientist-ops-finance-activity-7232536129130917888-ajBO?utm_source=share&amp;utm_medium=member_desktop" TargetMode="External"/><Relationship Id="rId882" Type="http://schemas.openxmlformats.org/officeDocument/2006/relationships/hyperlink" Target="https://www.linkedin.com/feed/update/urn:li:activity:7229890781216399361?utm_source=share&amp;utm_medium=member_desktop" TargetMode="External"/><Relationship Id="rId1233" Type="http://schemas.openxmlformats.org/officeDocument/2006/relationships/hyperlink" Target="https://www.linkedin.com/posts/katie-gannon-81b44017_senior-financial-analyst-activity-7226255219922214913-jeP-?utm_source=share&amp;utm_medium=member_desktop" TargetMode="External"/><Relationship Id="rId881" Type="http://schemas.openxmlformats.org/officeDocument/2006/relationships/hyperlink" Target="https://www.linkedin.com/posts/activity-7230274831437484032-lZ_M?utm_source=share&amp;utm_medium=member_ios" TargetMode="External"/><Relationship Id="rId1234" Type="http://schemas.openxmlformats.org/officeDocument/2006/relationships/hyperlink" Target="https://www.linkedin.com/posts/tylerhammond_remote-activity-7225134979490463744-jRZL?utm_source=share&amp;utm_medium=member_desktop" TargetMode="External"/><Relationship Id="rId1224" Type="http://schemas.openxmlformats.org/officeDocument/2006/relationships/hyperlink" Target="https://www.linkedin.com/posts/activity-7226267675709087744-sXKK?utm_source=share&amp;utm_medium=member_desktop" TargetMode="External"/><Relationship Id="rId1466" Type="http://schemas.openxmlformats.org/officeDocument/2006/relationships/hyperlink" Target="https://www.linkedin.com/posts/steven-oliver-3409ba1_im-looking-for-talented-excited-and-creative-activity-7222750562637770752-zHRS?utm_source=share&amp;utm_medium=member_desktop" TargetMode="External"/><Relationship Id="rId1225" Type="http://schemas.openxmlformats.org/officeDocument/2006/relationships/hyperlink" Target="https://www.linkedin.com/posts/brynazhao_were-hiring-join-our-amazing-team-at-tripadvisor-activity-7226293558763237376-8YEj?utm_source=share&amp;utm_medium=member_desktop" TargetMode="External"/><Relationship Id="rId1467" Type="http://schemas.openxmlformats.org/officeDocument/2006/relationships/hyperlink" Target="https://www.linkedin.com/posts/steven-oliver-3409ba1_im-looking-for-talented-excited-and-creative-activity-7222750562637770752-zHRS?utm_source=share&amp;utm_medium=member_desktop" TargetMode="External"/><Relationship Id="rId1226" Type="http://schemas.openxmlformats.org/officeDocument/2006/relationships/hyperlink" Target="https://www.linkedin.com/posts/amandawelt_analytics-visualization-developer-cdh-activity-7226313797475479552-aBaF?utm_source=share&amp;utm_medium=member_desktop" TargetMode="External"/><Relationship Id="rId1468" Type="http://schemas.openxmlformats.org/officeDocument/2006/relationships/hyperlink" Target="https://www.linkedin.com/posts/stephen-ziobro-sphr-shrm-scp-a03a4912_great-opportunity-in-our-philadelphia-office-activity-7219720531816706048-vuMd?utm_source=share&amp;utm_medium=member_desktop" TargetMode="External"/><Relationship Id="rId1227" Type="http://schemas.openxmlformats.org/officeDocument/2006/relationships/hyperlink" Target="https://www.linkedin.com/posts/angelinanovik_i-am-looking-for-a-financial-analyst-in-the-activity-7226306773849153536-SbFS?utm_source=share&amp;utm_medium=member_desktop" TargetMode="External"/><Relationship Id="rId1469" Type="http://schemas.openxmlformats.org/officeDocument/2006/relationships/hyperlink" Target="https://www.linkedin.com/posts/jakir-hossain-663689159_sr-data-visualization-designer-job-in-new-activity-7223781221053407232-rEU-?utm_source=share&amp;utm_medium=member_desktop" TargetMode="External"/><Relationship Id="rId1228" Type="http://schemas.openxmlformats.org/officeDocument/2006/relationships/hyperlink" Target="https://www.linkedin.com/posts/jason-charney-3888b31b_we-are-working-with-a-fast-growing-pe-backed-activity-7226220878408093696-hYkP?utm_source=share&amp;utm_medium=member_desktop" TargetMode="External"/><Relationship Id="rId1229" Type="http://schemas.openxmlformats.org/officeDocument/2006/relationships/hyperlink" Target="https://www.linkedin.com/posts/adrian-lewis-lipes-shrm-cp-9476098b_costar-is-hiring-a-senior-marketing-analyst-activity-7226294139502366721-lJtw?utm_source=share&amp;utm_medium=member_desktop" TargetMode="External"/><Relationship Id="rId635" Type="http://schemas.openxmlformats.org/officeDocument/2006/relationships/hyperlink" Target="https://www.linkedin.com/posts/activity-7232049512964366336-oSSr?utm_source=share&amp;utm_medium=member_desktop" TargetMode="External"/><Relationship Id="rId877" Type="http://schemas.openxmlformats.org/officeDocument/2006/relationships/hyperlink" Target="https://www.linkedin.com/posts/evangcobb_hiring-data-datastrategy-activity-7230251447802548224-Rcj5?utm_source=share&amp;utm_medium=member_desktop" TargetMode="External"/><Relationship Id="rId634" Type="http://schemas.openxmlformats.org/officeDocument/2006/relationships/hyperlink" Target="https://www.linkedin.com/posts/corylgarner_hiring-wearethehomedepot-datascience-activity-7232383147491954688-Y_Ar?utm_source=share&amp;utm_medium=member_ios" TargetMode="External"/><Relationship Id="rId876" Type="http://schemas.openxmlformats.org/officeDocument/2006/relationships/hyperlink" Target="https://www.linkedin.com/posts/cassiesupilowski_my-wonderful-teammate-is-hiring-for-a-manager-activity-7230256942235992064-so4_?utm_source=share&amp;utm_medium=member_desktop" TargetMode="External"/><Relationship Id="rId633" Type="http://schemas.openxmlformats.org/officeDocument/2006/relationships/hyperlink" Target="https://www.linkedin.com/posts/shaunapplegate_sr-data-analyst-visualization-activity-7232183750887944193-syol?utm_source=share&amp;utm_medium=member_ios" TargetMode="External"/><Relationship Id="rId875" Type="http://schemas.openxmlformats.org/officeDocument/2006/relationships/hyperlink" Target="https://www.linkedin.com/posts/liliagutnik_hiring-activity-7230251410641051650-3om6?utm_source=share&amp;utm_medium=member_desktop" TargetMode="External"/><Relationship Id="rId632" Type="http://schemas.openxmlformats.org/officeDocument/2006/relationships/hyperlink" Target="https://www.linkedin.com/posts/agnes-zajac-03329350_strategic-revenue-management-analyst-activity-7232494513020100610-SW47?utm_source=share&amp;utm_medium=member_desktop" TargetMode="External"/><Relationship Id="rId874" Type="http://schemas.openxmlformats.org/officeDocument/2006/relationships/hyperlink" Target="https://www.linkedin.com/posts/jennifer-walters-b78771142_senior-analyst-customer-logistics-walmart-activity-7230232306894958592-fNdu?utm_source=share&amp;utm_medium=member_desktop" TargetMode="External"/><Relationship Id="rId639" Type="http://schemas.openxmlformats.org/officeDocument/2006/relationships/hyperlink" Target="https://www.linkedin.com/posts/emilybelote_analystsr-analyst-digital-experimentation-activity-7232438484941107201-CZw6?utm_source=share&amp;utm_medium=member_desktop" TargetMode="External"/><Relationship Id="rId638" Type="http://schemas.openxmlformats.org/officeDocument/2006/relationships/hyperlink" Target="https://www.linkedin.com/posts/jacky-tse-mphil-cantab-msw-acsw-681a4987_data-scientist-ops-finance-activity-7232536129130917888-ajBO?utm_source=share&amp;utm_medium=member_desktop" TargetMode="External"/><Relationship Id="rId637" Type="http://schemas.openxmlformats.org/officeDocument/2006/relationships/hyperlink" Target="https://www.linkedin.com/posts/jacky-tse-mphil-cantab-msw-acsw-681a4987_data-scientist-ops-finance-activity-7232536129130917888-ajBO?utm_source=share&amp;utm_medium=member_desktop" TargetMode="External"/><Relationship Id="rId879" Type="http://schemas.openxmlformats.org/officeDocument/2006/relationships/hyperlink" Target="https://www.linkedin.com/posts/emre-ilgaz-89718587_hiring-vacationrentals-revenuemanagement-activity-7230272136655904768-IfOL?utm_source=share&amp;utm_medium=member_ios" TargetMode="External"/><Relationship Id="rId636" Type="http://schemas.openxmlformats.org/officeDocument/2006/relationships/hyperlink" Target="https://www.linkedin.com/posts/cabrunton_aeroflow-is-hiring-come-to-the-data-team-activity-7232431235690606592-FRlT?utm_source=share&amp;utm_medium=member_desktop" TargetMode="External"/><Relationship Id="rId878" Type="http://schemas.openxmlformats.org/officeDocument/2006/relationships/hyperlink" Target="https://www.linkedin.com/posts/nancytreolo_hiring-benefits-activity-7230226160276676610-2NSv?utm_source=share&amp;utm_medium=member_desktop" TargetMode="External"/><Relationship Id="rId1460" Type="http://schemas.openxmlformats.org/officeDocument/2006/relationships/hyperlink" Target="https://www.linkedin.com/posts/aishwarya-poojary_analytics-analyticsjobs-consulting-activity-7223780207424421893-Gsdl?utm_source=share&amp;utm_medium=member_desktop" TargetMode="External"/><Relationship Id="rId1461" Type="http://schemas.openxmlformats.org/officeDocument/2006/relationships/hyperlink" Target="https://www.linkedin.com/posts/jessica-buchberger-96670638_hey-ux-and-analyst-friends-allianz-is-hiring-activity-7223772682331340800-4wCN?utm_source=share&amp;utm_medium=member_desktop" TargetMode="External"/><Relationship Id="rId631" Type="http://schemas.openxmlformats.org/officeDocument/2006/relationships/hyperlink" Target="https://www.linkedin.com/posts/eric-loeb_analyst-product-revenue-analytics-activity-7232457105243295745--TOh?utm_source=share&amp;utm_medium=member_desktop" TargetMode="External"/><Relationship Id="rId873" Type="http://schemas.openxmlformats.org/officeDocument/2006/relationships/hyperlink" Target="https://www.linkedin.com/posts/dschurman_perennial-is-hiring-for-a-data-analyst-activity-7230248763909439488-NfRt?utm_source=share&amp;utm_medium=member_desktop" TargetMode="External"/><Relationship Id="rId1220" Type="http://schemas.openxmlformats.org/officeDocument/2006/relationships/hyperlink" Target="https://www.linkedin.com/posts/miquelle-askew-223a17b6_if-youre-looking-for-an-analytics-role-activity-7226253111412080640-6hk3?utm_source=share&amp;utm_medium=member_desktop" TargetMode="External"/><Relationship Id="rId1462" Type="http://schemas.openxmlformats.org/officeDocument/2006/relationships/hyperlink" Target="https://www.linkedin.com/posts/laurie-koehler-73055970_mixedmediamodeling-datascientist-chicagojobs-activity-7223686065834934272-GwRb?utm_source=share&amp;utm_medium=member_desktop" TargetMode="External"/><Relationship Id="rId630" Type="http://schemas.openxmlformats.org/officeDocument/2006/relationships/hyperlink" Target="https://www.linkedin.com/posts/catelynchambliss_hiring-financejobs-analystjobs-activity-7232438113447415808-uy3H?utm_source=share&amp;utm_medium=member_desktop" TargetMode="External"/><Relationship Id="rId872" Type="http://schemas.openxmlformats.org/officeDocument/2006/relationships/hyperlink" Target="https://www.linkedin.com/posts/jennifer-hernandez-baa7b9236_hiring-activity-7230222320148123650-IyIt?utm_source=share&amp;utm_medium=member_desktop" TargetMode="External"/><Relationship Id="rId1221" Type="http://schemas.openxmlformats.org/officeDocument/2006/relationships/hyperlink" Target="https://www.linkedin.com/posts/jessica-koenig-86a04078_senior-analyst-marketing-performance-activity-7226245073200390144-i0Qi?utm_source=share&amp;utm_medium=member_desktop" TargetMode="External"/><Relationship Id="rId1463" Type="http://schemas.openxmlformats.org/officeDocument/2006/relationships/hyperlink" Target="https://www.linkedin.com/posts/rscibetti_sportsbiz-analytics-activity-7222683718329511936-W0DW?utm_source=share&amp;utm_medium=member_desktop" TargetMode="External"/><Relationship Id="rId871" Type="http://schemas.openxmlformats.org/officeDocument/2006/relationships/hyperlink" Target="https://www.linkedin.com/posts/allison-brewster-0985264_hiring-activity-7230240211924848640-key9?utm_source=share&amp;utm_medium=member_desktop" TargetMode="External"/><Relationship Id="rId1222" Type="http://schemas.openxmlformats.org/officeDocument/2006/relationships/hyperlink" Target="https://www.linkedin.com/posts/camerontugwell_hiring-creditanalyst-financejobs-activity-7226262565377519618-44dH?utm_source=share&amp;utm_medium=member_desktop" TargetMode="External"/><Relationship Id="rId1464" Type="http://schemas.openxmlformats.org/officeDocument/2006/relationships/hyperlink" Target="https://www.linkedin.com/posts/katie-johnson-ph-d-7a06012_hiring-activity-7222234779453153280-9pqE?utm_source=share&amp;utm_medium=member_desktop" TargetMode="External"/><Relationship Id="rId870" Type="http://schemas.openxmlformats.org/officeDocument/2006/relationships/hyperlink" Target="https://www.linkedin.com/posts/taylorhoover_posit-careers-job-listing-activity-7230211758982885376-Of97?utm_source=share&amp;utm_medium=member_ios" TargetMode="External"/><Relationship Id="rId1223" Type="http://schemas.openxmlformats.org/officeDocument/2006/relationships/hyperlink" Target="https://www.linkedin.com/posts/joellecann_research-analyst-voice-of-customer-remote-activity-7226240319938314241-ETbJ?utm_source=share&amp;utm_medium=member_desktop" TargetMode="External"/><Relationship Id="rId1465" Type="http://schemas.openxmlformats.org/officeDocument/2006/relationships/hyperlink" Target="https://www.linkedin.com/posts/taylor-brown-96083110_business-intelligence-engineer-na-sales-activity-7222699048963559424-fvKW?utm_source=share&amp;utm_medium=member_desktop" TargetMode="External"/><Relationship Id="rId1411" Type="http://schemas.openxmlformats.org/officeDocument/2006/relationships/hyperlink" Target="https://www.linkedin.com/posts/bing-chun-lin_now-hiring-senior-manager-people-analytics-activity-7223867853165268993-Js81?utm_source=share&amp;utm_medium=member_desktop" TargetMode="External"/><Relationship Id="rId1412" Type="http://schemas.openxmlformats.org/officeDocument/2006/relationships/hyperlink" Target="https://www.linkedin.com/posts/ldeneepierce_were-now-hiring-seasonal-data-specialists-activity-7224096138042163200-V21E?utm_source=share&amp;utm_medium=member_desktop" TargetMode="External"/><Relationship Id="rId1413" Type="http://schemas.openxmlformats.org/officeDocument/2006/relationships/hyperlink" Target="https://www.linkedin.com/posts/activity-7224100639054659584-fxPy?utm_source=share&amp;utm_medium=member_desktop" TargetMode="External"/><Relationship Id="rId1414" Type="http://schemas.openxmlformats.org/officeDocument/2006/relationships/hyperlink" Target="https://www.linkedin.com/posts/tyler-burkett-075a4136_jobs-andreessen-horowitz-activity-7224101490330587137-7P6L?utm_source=share&amp;utm_medium=member_desktop" TargetMode="External"/><Relationship Id="rId1415" Type="http://schemas.openxmlformats.org/officeDocument/2006/relationships/hyperlink" Target="https://www.linkedin.com/posts/staceyrinnert_dataanalyst-hiring-employeeownedcompany-activity-7224073134197420032-jjwK?utm_source=share&amp;utm_medium=member_desktop" TargetMode="External"/><Relationship Id="rId1416" Type="http://schemas.openxmlformats.org/officeDocument/2006/relationships/hyperlink" Target="https://www.linkedin.com/posts/darnelle-melton-92936674_hiring-jobopening-customersuccess-activity-7224143768734568448-8Y5l?utm_source=share&amp;utm_medium=member_desktop" TargetMode="External"/><Relationship Id="rId1417" Type="http://schemas.openxmlformats.org/officeDocument/2006/relationships/hyperlink" Target="https://www.linkedin.com/posts/amysabel_hiring-activity-7224151291139080193-Fsss?utm_source=share&amp;utm_medium=member_desktop" TargetMode="External"/><Relationship Id="rId1418" Type="http://schemas.openxmlformats.org/officeDocument/2006/relationships/hyperlink" Target="https://www.linkedin.com/posts/masalem_we-are-hiring-if-you-are-an-fpadata-analyst-activity-7224127771172573185-WvWL?utm_source=share&amp;utm_medium=member_desktop" TargetMode="External"/><Relationship Id="rId1419" Type="http://schemas.openxmlformats.org/officeDocument/2006/relationships/hyperlink" Target="https://www.linkedin.com/posts/mubbinrabbani_im-hiring-if-you-know-of-any-data-driven-activity-7224137356495196160-IWZz?utm_source=share&amp;utm_medium=member_desktop" TargetMode="External"/><Relationship Id="rId829" Type="http://schemas.openxmlformats.org/officeDocument/2006/relationships/hyperlink" Target="https://www.linkedin.com/posts/activity-7231012072581480451-i9_a?utm_source=share&amp;utm_medium=member_desktop" TargetMode="External"/><Relationship Id="rId828" Type="http://schemas.openxmlformats.org/officeDocument/2006/relationships/hyperlink" Target="https://www.linkedin.com/posts/dana-hunsucker-b331195_senior-financial-analyst-investor-relations-activity-7231025998358536192-mYJo?utm_source=share&amp;utm_medium=member_desktop" TargetMode="External"/><Relationship Id="rId827" Type="http://schemas.openxmlformats.org/officeDocument/2006/relationships/hyperlink" Target="https://www.linkedin.com/posts/rachel-dines-21b06597_data-scientist-retail-activity-7230669928737951744-wrP1?utm_source=share&amp;utm_medium=member_desktop" TargetMode="External"/><Relationship Id="rId822" Type="http://schemas.openxmlformats.org/officeDocument/2006/relationships/hyperlink" Target="https://www.linkedin.com/posts/michael-mackezyk-594541158_hiring-activity-7229950639164862465-luMM?utm_source=share&amp;utm_medium=member_desktop" TargetMode="External"/><Relationship Id="rId821" Type="http://schemas.openxmlformats.org/officeDocument/2006/relationships/hyperlink" Target="https://www.linkedin.com/posts/jessicagray_senior-data-scientist-risk-activity-7230291629884989441-vdTy?utm_source=share&amp;utm_medium=member_desktop" TargetMode="External"/><Relationship Id="rId820" Type="http://schemas.openxmlformats.org/officeDocument/2006/relationships/hyperlink" Target="https://www.linkedin.com/posts/veronica-ochieng_im-hiring-looking-to-add-a-sr-financial-activity-7229601727044354048-lLDe?utm_source=share&amp;utm_medium=member_desktop" TargetMode="External"/><Relationship Id="rId826" Type="http://schemas.openxmlformats.org/officeDocument/2006/relationships/hyperlink" Target="https://www.linkedin.com/posts/nick-martin-9437b6160_im-hiring-this-is-an-exciting-opportunity-activity-7231052962553327616-Yhto?utm_source=share&amp;utm_medium=member_desktop" TargetMode="External"/><Relationship Id="rId825" Type="http://schemas.openxmlformats.org/officeDocument/2006/relationships/hyperlink" Target="https://www.linkedin.com/posts/joshuadrose1_my-team-is-expanding-and-we-are-looking-to-activity-7230218441587118080-Q0vF?utm_source=share&amp;utm_medium=member_desktop" TargetMode="External"/><Relationship Id="rId824" Type="http://schemas.openxmlformats.org/officeDocument/2006/relationships/hyperlink" Target="https://www.linkedin.com/posts/marcelolando_energytransition-fluence-renewableenergycareers-activity-7229924532822650881-Uj56?utm_source=share&amp;utm_medium=member_desktop" TargetMode="External"/><Relationship Id="rId823" Type="http://schemas.openxmlformats.org/officeDocument/2006/relationships/hyperlink" Target="https://www.linkedin.com/posts/danielleirwin214_senior-analyst-financial-planning-analysis-activity-7229875648163373059-KghT?utm_source=share&amp;utm_medium=member_desktop" TargetMode="External"/><Relationship Id="rId1410" Type="http://schemas.openxmlformats.org/officeDocument/2006/relationships/hyperlink" Target="https://www.linkedin.com/posts/tommy-harnden-4b04a985_hiring-financejobs-financialanalyst-activity-7224020398173044736-Lmu1?utm_source=share&amp;utm_medium=member_desktop" TargetMode="External"/><Relationship Id="rId1400" Type="http://schemas.openxmlformats.org/officeDocument/2006/relationships/hyperlink" Target="https://www.linkedin.com/posts/sonam-gupta-52975338_were-looking-for-a-stellar-associate-to-activity-7224551245338791936-fiCg?utm_source=share&amp;utm_medium=member_desktop" TargetMode="External"/><Relationship Id="rId1401" Type="http://schemas.openxmlformats.org/officeDocument/2006/relationships/hyperlink" Target="https://www.linkedin.com/posts/suhrob-kadirov_data-and-analytics-customer-success-manager-activity-7223794058467405824-l5Yb?utm_source=share&amp;utm_medium=member_desktop" TargetMode="External"/><Relationship Id="rId1402" Type="http://schemas.openxmlformats.org/officeDocument/2006/relationships/hyperlink" Target="https://www.linkedin.com/posts/aman-bhuller-133633141_business-intelligence-analyst-ii-activity-7223832968904032256-cngv?utm_source=share&amp;utm_medium=member_desktop" TargetMode="External"/><Relationship Id="rId1403" Type="http://schemas.openxmlformats.org/officeDocument/2006/relationships/hyperlink" Target="https://www.linkedin.com/posts/jessicamazurek_hiring-tetratech-tdr-activity-7223868982078902272-Vzdr?utm_source=share&amp;utm_medium=member_desktop" TargetMode="External"/><Relationship Id="rId1404" Type="http://schemas.openxmlformats.org/officeDocument/2006/relationships/hyperlink" Target="https://www.linkedin.com/posts/kaya-giwa_datagovernance-datasteward-metadatamanagement-activity-7223760069157416960-mD6z?utm_source=share&amp;utm_medium=member_desktop" TargetMode="External"/><Relationship Id="rId1405" Type="http://schemas.openxmlformats.org/officeDocument/2006/relationships/hyperlink" Target="https://www.linkedin.com/posts/julie-albiani-71029745_hiring-activity-7224033259234492416-Vcdq?utm_source=share&amp;utm_medium=member_desktop" TargetMode="External"/><Relationship Id="rId1406" Type="http://schemas.openxmlformats.org/officeDocument/2006/relationships/hyperlink" Target="https://www.linkedin.com/posts/marialissarescigno_revenuemanagementjobs-chicagojobs-activity-7224110855968206848-JABd?utm_source=share&amp;utm_medium=member_desktop" TargetMode="External"/><Relationship Id="rId1407" Type="http://schemas.openxmlformats.org/officeDocument/2006/relationships/hyperlink" Target="https://www.linkedin.com/posts/joel-kretz-9191a760_we-are-hiring-for-a-sr-analyst-franchise-activity-7224102934823776258-i5Sn?utm_source=share&amp;utm_medium=member_desktop" TargetMode="External"/><Relationship Id="rId819" Type="http://schemas.openxmlformats.org/officeDocument/2006/relationships/hyperlink" Target="https://www.linkedin.com/posts/grant-warren-harrington_pricing-analyst-remote-kellermeyer-bergensons-activity-7229978336016408576-eBB3?utm_source=share&amp;utm_medium=member_desktop" TargetMode="External"/><Relationship Id="rId1408" Type="http://schemas.openxmlformats.org/officeDocument/2006/relationships/hyperlink" Target="https://www.linkedin.com/posts/jakeaverch_were-hiring-an-analyst-to-join-our-high-activity-7224088749729554432-DLaN?utm_source=share&amp;utm_medium=member_desktop" TargetMode="External"/><Relationship Id="rId818" Type="http://schemas.openxmlformats.org/officeDocument/2006/relationships/hyperlink" Target="https://www.linkedin.com/posts/michael-watrous-6161345_im-hiring-message-me-to-learn-more-check-activity-7230195425469685760-ujNX?utm_source=share&amp;utm_medium=member_desktop" TargetMode="External"/><Relationship Id="rId1409" Type="http://schemas.openxmlformats.org/officeDocument/2006/relationships/hyperlink" Target="https://www.linkedin.com/posts/natebarrett_senior-product-analyst-careers-activity-7224085436229435392-wKBm?utm_source=share&amp;utm_medium=member_desktop" TargetMode="External"/><Relationship Id="rId817" Type="http://schemas.openxmlformats.org/officeDocument/2006/relationships/hyperlink" Target="https://www.linkedin.com/posts/pankajpatil12_are-you-passionate-about-data-and-ready-to-activity-7229546044521373696-zqVy?utm_source=share&amp;utm_medium=member_desktop" TargetMode="External"/><Relationship Id="rId816" Type="http://schemas.openxmlformats.org/officeDocument/2006/relationships/hyperlink" Target="https://www.linkedin.com/posts/olivialopezbalboa_quince-data-analyst-activity-7229648870132137984-3NQm?utm_source=share&amp;utm_medium=member_desktop" TargetMode="External"/><Relationship Id="rId811" Type="http://schemas.openxmlformats.org/officeDocument/2006/relationships/hyperlink" Target="https://www.linkedin.com/posts/bryanplittle_hiringhiringhiring-financial-activity-7231265196885889024-W3aj?utm_source=share&amp;utm_medium=member_desktop" TargetMode="External"/><Relationship Id="rId810" Type="http://schemas.openxmlformats.org/officeDocument/2006/relationships/hyperlink" Target="https://www.linkedin.com/posts/activity-7231284250413580289-Yyqy?utm_source=share&amp;utm_medium=member_desktop" TargetMode="External"/><Relationship Id="rId815" Type="http://schemas.openxmlformats.org/officeDocument/2006/relationships/hyperlink" Target="https://www.linkedin.com/posts/suandrew10_analytics-manager-strategic-insights-activity-7229663003653156865-7mEI?utm_source=share&amp;utm_medium=member_desktop" TargetMode="External"/><Relationship Id="rId814" Type="http://schemas.openxmlformats.org/officeDocument/2006/relationships/hyperlink" Target="https://www.linkedin.com/posts/ariana-meinz-5b841864_brightwheel-manager-data-strategy-operations-activity-7229939918456705024-TPaH?utm_source=share&amp;utm_medium=member_desktop" TargetMode="External"/><Relationship Id="rId813" Type="http://schemas.openxmlformats.org/officeDocument/2006/relationships/hyperlink" Target="https://www.linkedin.com/posts/ashleydoyal_sr-compensation-analyst-activity-7231299977493303298-DCfB?utm_source=share&amp;utm_medium=member_desktop" TargetMode="External"/><Relationship Id="rId812" Type="http://schemas.openxmlformats.org/officeDocument/2006/relationships/hyperlink" Target="https://www.linkedin.com/posts/taukir-khan_hiring-developmentanalyst-senioranalyst-activity-7231303941467103232-G957?utm_source=share&amp;utm_medium=member_desktop" TargetMode="External"/><Relationship Id="rId1433" Type="http://schemas.openxmlformats.org/officeDocument/2006/relationships/hyperlink" Target="https://www.linkedin.com/posts/activity-7224130353840431104-M-_U?utm_source=share&amp;utm_medium=member_desktop" TargetMode="External"/><Relationship Id="rId1434" Type="http://schemas.openxmlformats.org/officeDocument/2006/relationships/hyperlink" Target="https://www.linkedin.com/posts/faye-gu_pharmacy-scanhealthplan-medicare-activity-7224170574460149760-_S4d?utm_source=share&amp;utm_medium=member_desktop" TargetMode="External"/><Relationship Id="rId1435" Type="http://schemas.openxmlformats.org/officeDocument/2006/relationships/hyperlink" Target="https://www.linkedin.com/posts/chanisemtaylor_uti-datagovernance-datasteward-activity-7224063987133415424-EMii?utm_source=share&amp;utm_medium=member_desktop" TargetMode="External"/><Relationship Id="rId1436" Type="http://schemas.openxmlformats.org/officeDocument/2006/relationships/hyperlink" Target="https://www.linkedin.com/posts/pepe-murrell_lvmh-perfumes-cosmetics-is-seeking-an-experienced-activity-7224072951866765312-x16b?utm_source=share&amp;utm_medium=member_desktop" TargetMode="External"/><Relationship Id="rId1437" Type="http://schemas.openxmlformats.org/officeDocument/2006/relationships/hyperlink" Target="https://www.linkedin.com/posts/amelia-holland-82138753_citywire-usa-is-hiring-an-entry-level-research-activity-7224101563298910209-qL8j?utm_source=share&amp;utm_medium=member_desktop" TargetMode="External"/><Relationship Id="rId1438" Type="http://schemas.openxmlformats.org/officeDocument/2006/relationships/hyperlink" Target="https://www.linkedin.com/posts/adrianrusso82_business-technology-startup-activity-7224149042467905538-OSOp?utm_source=share&amp;utm_medium=member_desktop" TargetMode="External"/><Relationship Id="rId1439" Type="http://schemas.openxmlformats.org/officeDocument/2006/relationships/hyperlink" Target="https://www.linkedin.com/posts/courtney-holmes-mann-80424522_jobopening-registrationcoordinator-hiring-activity-7223710281741312003-YloW?utm_source=share&amp;utm_medium=member_desktop" TargetMode="External"/><Relationship Id="rId609" Type="http://schemas.openxmlformats.org/officeDocument/2006/relationships/hyperlink" Target="https://www.linkedin.com/posts/bradleylevy_calling-all-data-wizards-my-business-ugcPost-7232766332566474752-oSzU?utm_source=share&amp;utm_medium=member_ios" TargetMode="External"/><Relationship Id="rId608" Type="http://schemas.openxmlformats.org/officeDocument/2006/relationships/hyperlink" Target="https://www.linkedin.com/posts/t-m-hughes_im-hiring-activity-7232846064855195649-9h6h?utm_source=share&amp;utm_medium=member_desktop" TargetMode="External"/><Relationship Id="rId607" Type="http://schemas.openxmlformats.org/officeDocument/2006/relationships/hyperlink" Target="https://www.linkedin.com/posts/charles-song_im-hiring-a-senior-analyst-on-my-team-this-activity-7232787189422514178-ynrz?utm_source=share&amp;utm_medium=member_desktop" TargetMode="External"/><Relationship Id="rId849" Type="http://schemas.openxmlformats.org/officeDocument/2006/relationships/hyperlink" Target="https://www.linkedin.com/posts/yelena-barbosa_welchs-is-looking-for-a-consumer-insights-activity-7230736343855759360-jmAk?utm_source=share&amp;utm_medium=member_desktop" TargetMode="External"/><Relationship Id="rId602" Type="http://schemas.openxmlformats.org/officeDocument/2006/relationships/hyperlink" Target="https://www.linkedin.com/posts/huntermcconnell_were-hiring-for-a-business-intelligence-activity-7232804106208174080-3Onv?utm_source=share&amp;utm_medium=member_desktop" TargetMode="External"/><Relationship Id="rId844" Type="http://schemas.openxmlformats.org/officeDocument/2006/relationships/hyperlink" Target="https://www.linkedin.com/posts/jayson-%E2%82%BFaker-759b7441_analyst-finance-transformation-activity-7230936479806468097-bo8d?utm_source=share&amp;utm_medium=member_ios" TargetMode="External"/><Relationship Id="rId601" Type="http://schemas.openxmlformats.org/officeDocument/2006/relationships/hyperlink" Target="https://www.linkedin.com/posts/jon-runkel_endpoint-senior-data-analyst-activity-7232835528310542337-_IYi?utm_source=share&amp;utm_medium=member_desktop" TargetMode="External"/><Relationship Id="rId843" Type="http://schemas.openxmlformats.org/officeDocument/2006/relationships/hyperlink" Target="https://www.linkedin.com/posts/lisadanowski_senior-financial-analyst-rd-in-chicago-activity-7230951015586361344-Y8eS?utm_source=share&amp;utm_medium=member_ios" TargetMode="External"/><Relationship Id="rId600" Type="http://schemas.openxmlformats.org/officeDocument/2006/relationships/hyperlink" Target="https://www.linkedin.com/posts/activity-7232849303336009728-B0iw?utm_source=share&amp;utm_medium=member_desktop" TargetMode="External"/><Relationship Id="rId842" Type="http://schemas.openxmlformats.org/officeDocument/2006/relationships/hyperlink" Target="https://www.linkedin.com/posts/joannelim_were-hiring-a-financial-analyst-to-join-activity-7230961426280951808-BqLP?utm_source=share&amp;utm_medium=member_ios" TargetMode="External"/><Relationship Id="rId841" Type="http://schemas.openxmlformats.org/officeDocument/2006/relationships/hyperlink" Target="https://www.linkedin.com/posts/activity-7230556676242784256-YYT2?utm_source=share&amp;utm_medium=member_ios" TargetMode="External"/><Relationship Id="rId606" Type="http://schemas.openxmlformats.org/officeDocument/2006/relationships/hyperlink" Target="https://www.linkedin.com/posts/jasonlovinger_my-team-is-hiring-we-are-in-search-of-a-activity-7232772589624930305-kgH0?utm_source=share&amp;utm_medium=member_desktop" TargetMode="External"/><Relationship Id="rId848" Type="http://schemas.openxmlformats.org/officeDocument/2006/relationships/hyperlink" Target="https://www.linkedin.com/posts/bsturmer_hi-all-our-scrappy-frog-works-team-at-realm-activity-7230731869523210241-HUGF?utm_source=share&amp;utm_medium=member_desktop" TargetMode="External"/><Relationship Id="rId605" Type="http://schemas.openxmlformats.org/officeDocument/2006/relationships/hyperlink" Target="https://www.linkedin.com/posts/kristine-fencore-smagris_senior-sales-analyst-activity-7232789713475031040-rUyV?utm_source=share&amp;utm_medium=member_desktop" TargetMode="External"/><Relationship Id="rId847" Type="http://schemas.openxmlformats.org/officeDocument/2006/relationships/hyperlink" Target="https://www.linkedin.com/posts/maria-sturges-ctfa-atfa-24563920_if-you-are-looking-to-make-a-change-and-want-activity-7230957595992227840-nAz5?utm_source=share&amp;utm_medium=member_ios" TargetMode="External"/><Relationship Id="rId604" Type="http://schemas.openxmlformats.org/officeDocument/2006/relationships/hyperlink" Target="https://www.linkedin.com/posts/maxwell-kendall_im-looking-for-a-senior-fpa-analyst-to-activity-7232791807590350848-urM9?utm_source=share&amp;utm_medium=member_desktop" TargetMode="External"/><Relationship Id="rId846" Type="http://schemas.openxmlformats.org/officeDocument/2006/relationships/hyperlink" Target="https://www.linkedin.com/posts/activity-7230801063329550336-na87?utm_source=share&amp;utm_medium=member_ios" TargetMode="External"/><Relationship Id="rId603" Type="http://schemas.openxmlformats.org/officeDocument/2006/relationships/hyperlink" Target="https://www.linkedin.com/posts/activity-7232828788848357377-FNeU?utm_source=share&amp;utm_medium=member_desktop" TargetMode="External"/><Relationship Id="rId845" Type="http://schemas.openxmlformats.org/officeDocument/2006/relationships/hyperlink" Target="https://www.linkedin.com/posts/rachananair_join-our-growing-marketing-team-if-you-are-activity-7230979323892002816-BTda?utm_source=share&amp;utm_medium=member_ios" TargetMode="External"/><Relationship Id="rId840" Type="http://schemas.openxmlformats.org/officeDocument/2006/relationships/hyperlink" Target="https://www.linkedin.com/posts/alexandra-jansen-pmp-1b3886101_analytics-consultant-activity-7231032352729145344-dzHY?utm_source=share&amp;utm_medium=member_desktop" TargetMode="External"/><Relationship Id="rId1430" Type="http://schemas.openxmlformats.org/officeDocument/2006/relationships/hyperlink" Target="https://www.linkedin.com/posts/tonycasados_sales-analytics-analyst-target-lor%C3%A9al-activity-7224065219629572098-sdzs?utm_source=share&amp;utm_medium=member_desktop" TargetMode="External"/><Relationship Id="rId1431" Type="http://schemas.openxmlformats.org/officeDocument/2006/relationships/hyperlink" Target="https://www.linkedin.com/posts/jenniferxlee_senior-analyst-enterprise-insights-at-target-activity-7224051525378007041-bz7j?utm_source=share&amp;utm_medium=member_desktop" TargetMode="External"/><Relationship Id="rId1432" Type="http://schemas.openxmlformats.org/officeDocument/2006/relationships/hyperlink" Target="https://www.linkedin.com/posts/glorytorres_research-analyst-cnn-in-new-york-new-york-activity-7224098844974682113-5oOj?utm_source=share&amp;utm_medium=member_desktop" TargetMode="External"/><Relationship Id="rId1422" Type="http://schemas.openxmlformats.org/officeDocument/2006/relationships/hyperlink" Target="https://www.linkedin.com/posts/bkb997_senior-data-scientist-activity-7224126609111334912-WJqT?utm_source=share&amp;utm_medium=member_desktop" TargetMode="External"/><Relationship Id="rId1423" Type="http://schemas.openxmlformats.org/officeDocument/2006/relationships/hyperlink" Target="https://www.linkedin.com/posts/laurenlombardi_marketinganalytics-healthcaremarketing-activity-7224095231070158848-g-yq?utm_source=share&amp;utm_medium=member_desktop" TargetMode="External"/><Relationship Id="rId1424" Type="http://schemas.openxmlformats.org/officeDocument/2006/relationships/hyperlink" Target="https://www.linkedin.com/posts/vandanakarthik_hiring-quality-hedis-activity-7224140159573712896-Rkkq?utm_source=share&amp;utm_medium=member_desktop" TargetMode="External"/><Relationship Id="rId1425" Type="http://schemas.openxmlformats.org/officeDocument/2006/relationships/hyperlink" Target="https://www.linkedin.com/posts/thebbennett_working-families-party-data-engineer-activity-7224141714318340096-XMag?utm_source=share&amp;utm_medium=member_desktop" TargetMode="External"/><Relationship Id="rId1426" Type="http://schemas.openxmlformats.org/officeDocument/2006/relationships/hyperlink" Target="https://www.linkedin.com/posts/fusen-li-4854692_senior-healthcare-data-analyst-activity-7224133588466724864-TfGu?utm_source=share&amp;utm_medium=member_desktop" TargetMode="External"/><Relationship Id="rId1427" Type="http://schemas.openxmlformats.org/officeDocument/2006/relationships/hyperlink" Target="https://www.linkedin.com/posts/amandawelt_senior-analytics-visualization-developer-activity-7224143348138229760-1ruF?utm_source=share&amp;utm_medium=member_desktop" TargetMode="External"/><Relationship Id="rId1428" Type="http://schemas.openxmlformats.org/officeDocument/2006/relationships/hyperlink" Target="https://www.linkedin.com/posts/pietro-ferrara-6479b05_hello-everyone-the-pittsburgh-team-is-hiring-activity-7223808536504352768-QsZq?utm_source=share&amp;utm_medium=member_desktop" TargetMode="External"/><Relationship Id="rId1429" Type="http://schemas.openxmlformats.org/officeDocument/2006/relationships/hyperlink" Target="https://www.linkedin.com/posts/shan-sun_we-are-hiring-3-roles-in-our-dynamic-team-activity-7224149528575197186-8NIZ?utm_source=share&amp;utm_medium=member_desktop" TargetMode="External"/><Relationship Id="rId839" Type="http://schemas.openxmlformats.org/officeDocument/2006/relationships/hyperlink" Target="https://www.linkedin.com/posts/timothy-peters-ba3a4a2a1_senior-analyst-credit-risk-analytics-activity-7231005330229383168-op7V?utm_source=share&amp;utm_medium=member_desktop" TargetMode="External"/><Relationship Id="rId838" Type="http://schemas.openxmlformats.org/officeDocument/2006/relationships/hyperlink" Target="https://www.linkedin.com/posts/sierrahkim_senior-manager-of-reporting-and-analytics-activity-7230915422978465793-AH_2?utm_source=share&amp;utm_medium=member_desktop" TargetMode="External"/><Relationship Id="rId833" Type="http://schemas.openxmlformats.org/officeDocument/2006/relationships/hyperlink" Target="https://www.linkedin.com/posts/activity-7231063762726797312-SO3Q?utm_source=share&amp;utm_medium=member_desktop" TargetMode="External"/><Relationship Id="rId832" Type="http://schemas.openxmlformats.org/officeDocument/2006/relationships/hyperlink" Target="https://www.linkedin.com/posts/melissa-mahoney-78bba86b_manager-loyalty-and-marketing-data-analytics-activity-7230924034220158976-oPL2?utm_source=share&amp;utm_medium=member_desktop" TargetMode="External"/><Relationship Id="rId831" Type="http://schemas.openxmlformats.org/officeDocument/2006/relationships/hyperlink" Target="https://www.linkedin.com/posts/itsmemichellethompson_dataanalyst-datascience-datajobs-activity-7230744309854076929-nUAF?utm_source=share&amp;utm_medium=member_desktop" TargetMode="External"/><Relationship Id="rId830" Type="http://schemas.openxmlformats.org/officeDocument/2006/relationships/hyperlink" Target="https://www.linkedin.com/posts/anthonypatricio_our-team-is-currently-seeking-a-senior-financial-activity-7231022103280410624-N1yy?utm_source=share&amp;utm_medium=member_desktop" TargetMode="External"/><Relationship Id="rId837" Type="http://schemas.openxmlformats.org/officeDocument/2006/relationships/hyperlink" Target="https://www.linkedin.com/posts/laquita-hardin-0978b2214_senior-analyst-supply-chain-management-activity-7230320502978846720-1dkQ?utm_source=share&amp;utm_medium=member_desktop" TargetMode="External"/><Relationship Id="rId836" Type="http://schemas.openxmlformats.org/officeDocument/2006/relationships/hyperlink" Target="https://www.linkedin.com/posts/michael-zubel-02356715_great-opportunity-private-credit-firm-in-activity-7231027075606794241-E7gL?utm_source=share&amp;utm_medium=member_desktop" TargetMode="External"/><Relationship Id="rId835" Type="http://schemas.openxmlformats.org/officeDocument/2006/relationships/hyperlink" Target="https://www.linkedin.com/posts/ashwini-laguduva-890535b_quant-analytics-manager-activity-7230313879182983168-7yl0?utm_source=share&amp;utm_medium=member_desktop" TargetMode="External"/><Relationship Id="rId834" Type="http://schemas.openxmlformats.org/officeDocument/2006/relationships/hyperlink" Target="https://www.linkedin.com/posts/carol-altshuler-72b676_supplychain-logistics-activity-7230207367252959232-FIQr?utm_source=share&amp;utm_medium=member_desktop" TargetMode="External"/><Relationship Id="rId1420" Type="http://schemas.openxmlformats.org/officeDocument/2006/relationships/hyperlink" Target="https://www.linkedin.com/posts/vanessamuro_hiring-researchanalyst-media-activity-7224111499768684544-NKml?utm_source=share&amp;utm_medium=member_desktop" TargetMode="External"/><Relationship Id="rId1421" Type="http://schemas.openxmlformats.org/officeDocument/2006/relationships/hyperlink" Target="https://www.linkedin.com/posts/jennie-bergman-9a6b4921_hiring-businessdevelopment-careeropportunity-activity-7224088125126422528-Izij?utm_source=share&amp;utm_medium=member_desktop" TargetMode="External"/><Relationship Id="rId1059" Type="http://schemas.openxmlformats.org/officeDocument/2006/relationships/hyperlink" Target="https://www.linkedin.com/posts/vickie-holland-4aba0410a_data-analyst-remote-in-minnetonka-mn-activity-7227760850458001408-3QRD?utm_source=share&amp;utm_medium=member_desktop" TargetMode="External"/><Relationship Id="rId228" Type="http://schemas.openxmlformats.org/officeDocument/2006/relationships/hyperlink" Target="https://www.linkedin.com/posts/blakeefoster_data-scientist-business-intelligence-activity-7237872029406810112-TGtg?utm_source=share&amp;utm_medium=member_desktop" TargetMode="External"/><Relationship Id="rId227" Type="http://schemas.openxmlformats.org/officeDocument/2006/relationships/hyperlink" Target="https://www.linkedin.com/posts/albert-ihm-5843376a_senior-analyst-analytics-in-plano-texas-activity-7237812930870714368-gPiy?utm_source=share&amp;utm_medium=member_desktop" TargetMode="External"/><Relationship Id="rId469" Type="http://schemas.openxmlformats.org/officeDocument/2006/relationships/hyperlink" Target="https://www.linkedin.com/posts/megansmith-revops_any-analysts-seeking-their-next-opportunity-activity-7234295146253574144-xsn6?utm_source=share&amp;utm_medium=member_desktop" TargetMode="External"/><Relationship Id="rId226" Type="http://schemas.openxmlformats.org/officeDocument/2006/relationships/hyperlink" Target="https://www.linkedin.com/posts/siavash-yasini_hiring-datascience-machinelearning-activity-7237836980099629056-bfhK?utm_source=share&amp;utm_medium=member_desktop" TargetMode="External"/><Relationship Id="rId468" Type="http://schemas.openxmlformats.org/officeDocument/2006/relationships/hyperlink" Target="https://www.linkedin.com/posts/jenbonynge_come-work-on-my-team-were-hiring-an-fp-activity-7234291697554186243-pSno?utm_source=share&amp;utm_medium=member_desktop" TargetMode="External"/><Relationship Id="rId225" Type="http://schemas.openxmlformats.org/officeDocument/2006/relationships/hyperlink" Target="https://www.linkedin.com/posts/mehess_editorial-data-analyst-activity-7237548826079694850-xCxr?utm_source=share&amp;utm_medium=member_desktop" TargetMode="External"/><Relationship Id="rId467" Type="http://schemas.openxmlformats.org/officeDocument/2006/relationships/hyperlink" Target="https://www.linkedin.com/posts/julie-boelter-a2215685_epicatael-dataanalytics-leadership-activity-7234284858359869440-htVD?utm_source=share&amp;utm_medium=member_desktop" TargetMode="External"/><Relationship Id="rId1290" Type="http://schemas.openxmlformats.org/officeDocument/2006/relationships/hyperlink" Target="https://www.linkedin.com/posts/carleycotter_pivot-is-hiring-this-is-a-great-role-for-activity-7224883598770757633-ryzu?utm_source=share&amp;utm_medium=member_desktop" TargetMode="External"/><Relationship Id="rId1291" Type="http://schemas.openxmlformats.org/officeDocument/2006/relationships/hyperlink" Target="https://www.linkedin.com/posts/alexisdrickel_lifeatpetsmart-hiring-financialanalyst-activity-7224799008039297024-Cs_D?utm_source=share&amp;utm_medium=member_desktop" TargetMode="External"/><Relationship Id="rId229" Type="http://schemas.openxmlformats.org/officeDocument/2006/relationships/hyperlink" Target="https://www.linkedin.com/posts/patheiger_job-alert-were-seeking-a-senior-data-activity-7237871272112635904-2_B-?utm_source=share&amp;utm_medium=member_desktop" TargetMode="External"/><Relationship Id="rId1050" Type="http://schemas.openxmlformats.org/officeDocument/2006/relationships/hyperlink" Target="https://www.linkedin.com/posts/amberwilcox_our-team-is-hiring-come-join-my-global-team-activity-7227687228477427712-lwio?utm_source=share&amp;utm_medium=member_desktop" TargetMode="External"/><Relationship Id="rId1292" Type="http://schemas.openxmlformats.org/officeDocument/2006/relationships/hyperlink" Target="https://www.linkedin.com/posts/erik-gregory-webb_seniorstaff-data-scientist-activity-7224755148529541122-WCjc?utm_source=share&amp;utm_medium=member_desktop" TargetMode="External"/><Relationship Id="rId220" Type="http://schemas.openxmlformats.org/officeDocument/2006/relationships/hyperlink" Target="https://www.linkedin.com/posts/david-wells-0b08566_hiring-activity-7237554299549945856-wsVs?utm_source=share&amp;utm_medium=member_desktop" TargetMode="External"/><Relationship Id="rId462" Type="http://schemas.openxmlformats.org/officeDocument/2006/relationships/hyperlink" Target="https://www.linkedin.com/posts/mhuff04_decision-science-analyst-i-retail-media-activity-7234243287119708161-C9W1?utm_source=share&amp;utm_medium=member_desktop" TargetMode="External"/><Relationship Id="rId1051" Type="http://schemas.openxmlformats.org/officeDocument/2006/relationships/hyperlink" Target="https://www.linkedin.com/posts/bradjulian_we-are-looking-for-qualified-candidates-to-activity-7227698477139476480-594C?utm_source=share&amp;utm_medium=member_desktop" TargetMode="External"/><Relationship Id="rId1293" Type="http://schemas.openxmlformats.org/officeDocument/2006/relationships/hyperlink" Target="https://www.linkedin.com/posts/dericgulley_we-are-hiring-a-two-2-managers-for-our-activity-7224847777317404674-CVSb?utm_source=share&amp;utm_medium=member_desktop" TargetMode="External"/><Relationship Id="rId461" Type="http://schemas.openxmlformats.org/officeDocument/2006/relationships/hyperlink" Target="https://www.linkedin.com/posts/michaeltmauldin_revops-activity-7234488955704938496-okp9?utm_source=share&amp;utm_medium=member_desktop" TargetMode="External"/><Relationship Id="rId1052" Type="http://schemas.openxmlformats.org/officeDocument/2006/relationships/hyperlink" Target="https://www.linkedin.com/posts/mandi-robbins-a574a6128_im-looking-for-a-financial-analyst-that-activity-7227715739846131713-TyBg?utm_source=share&amp;utm_medium=member_desktop" TargetMode="External"/><Relationship Id="rId1294" Type="http://schemas.openxmlformats.org/officeDocument/2006/relationships/hyperlink" Target="https://www.linkedin.com/posts/allison-skinner1_i-am-hiring-for-an-analytics-engineer-join-activity-7224941096613670912-SCbL?utm_source=share&amp;utm_medium=member_desktop" TargetMode="External"/><Relationship Id="rId460" Type="http://schemas.openxmlformats.org/officeDocument/2006/relationships/hyperlink" Target="https://www.linkedin.com/posts/alexis-read-b5085835_hiring-datamanager-webbank-activity-7234215412039651328-fN7_?utm_source=share&amp;utm_medium=member_desktop" TargetMode="External"/><Relationship Id="rId1053" Type="http://schemas.openxmlformats.org/officeDocument/2006/relationships/hyperlink" Target="https://www.linkedin.com/posts/elisabethbrewer_health-insurance-business-intelligence-analyst-activity-7227723142796877825-ITkc?utm_source=share&amp;utm_medium=member_desktop" TargetMode="External"/><Relationship Id="rId1295" Type="http://schemas.openxmlformats.org/officeDocument/2006/relationships/hyperlink" Target="https://www.linkedin.com/posts/jessierader_im-hiring-im-looking-for-someone-interested-activity-7224763652346667008-uYLm?utm_source=share&amp;utm_medium=member_desktop" TargetMode="External"/><Relationship Id="rId1054" Type="http://schemas.openxmlformats.org/officeDocument/2006/relationships/hyperlink" Target="https://www.linkedin.com/posts/activity-7227039323588562944-t3bW?utm_source=share&amp;utm_medium=member_desktop" TargetMode="External"/><Relationship Id="rId1296" Type="http://schemas.openxmlformats.org/officeDocument/2006/relationships/hyperlink" Target="https://www.linkedin.com/posts/lia-corradetti-56a953125_snowflake-dataanalytics-tableau-activity-7224864452842524672-Tnjr?utm_source=share&amp;utm_medium=member_desktop" TargetMode="External"/><Relationship Id="rId224" Type="http://schemas.openxmlformats.org/officeDocument/2006/relationships/hyperlink" Target="https://www.linkedin.com/posts/tinathomaseapen_lead-data-and-analytics-engineer-activity-7237463823421464576-7JY9?utm_source=share&amp;utm_medium=member_desktop" TargetMode="External"/><Relationship Id="rId466" Type="http://schemas.openxmlformats.org/officeDocument/2006/relationships/hyperlink" Target="https://www.linkedin.com/posts/kathyconnors_are-you-passionate-about-retail-and-data-activity-7234246887933894657-7PWQ?utm_source=share&amp;utm_medium=member_desktop" TargetMode="External"/><Relationship Id="rId1055" Type="http://schemas.openxmlformats.org/officeDocument/2006/relationships/hyperlink" Target="https://www.linkedin.com/posts/sierra-cox-b80757173_hiring-data-openings-activity-7227718567406829568-8BoJ?utm_source=share&amp;utm_medium=member_desktop" TargetMode="External"/><Relationship Id="rId1297" Type="http://schemas.openxmlformats.org/officeDocument/2006/relationships/hyperlink" Target="https://www.linkedin.com/posts/natambria-m-86080111b_staff-data-scientist-activity-7224895225628966913-nnik?utm_source=share&amp;utm_medium=member_desktop" TargetMode="External"/><Relationship Id="rId223" Type="http://schemas.openxmlformats.org/officeDocument/2006/relationships/hyperlink" Target="https://www.linkedin.com/posts/kyle-apfel-b8839a70_were-currently-hiring-a-senior-data-engineer-activity-7237661713850884097-AoeH?utm_source=share&amp;utm_medium=member_desktop" TargetMode="External"/><Relationship Id="rId465" Type="http://schemas.openxmlformats.org/officeDocument/2006/relationships/hyperlink" Target="https://www.linkedin.com/posts/ryan-dube-948a90104_seniorcompensationanalyst-totalrewards-jobopportunity-activity-7234256074260779010-aNfR?utm_source=share&amp;utm_medium=member_desktop" TargetMode="External"/><Relationship Id="rId1056" Type="http://schemas.openxmlformats.org/officeDocument/2006/relationships/hyperlink" Target="https://www.linkedin.com/posts/austinpogue_another-one-im-hiring-for-a-director-activity-7227483285294080000-Snbo?utm_source=share&amp;utm_medium=member_desktop" TargetMode="External"/><Relationship Id="rId1298" Type="http://schemas.openxmlformats.org/officeDocument/2006/relationships/hyperlink" Target="https://www.linkedin.com/posts/jaimelyn-carey_hiring-ugcPost-7224782674735837184-W9cK?utm_source=share&amp;utm_medium=member_desktop" TargetMode="External"/><Relationship Id="rId222" Type="http://schemas.openxmlformats.org/officeDocument/2006/relationships/hyperlink" Target="https://www.linkedin.com/posts/somhegyi_staff-data-scientist-remote-activity-7237578990733901824-urT1?utm_source=share&amp;utm_medium=member_desktop" TargetMode="External"/><Relationship Id="rId464" Type="http://schemas.openxmlformats.org/officeDocument/2006/relationships/hyperlink" Target="https://www.linkedin.com/posts/activity-7234338769166852096-TCbf?utm_source=share&amp;utm_medium=member_desktop" TargetMode="External"/><Relationship Id="rId1057" Type="http://schemas.openxmlformats.org/officeDocument/2006/relationships/hyperlink" Target="https://www.linkedin.com/posts/jasvillanueva_advocate-health-is-seeking-a-dynamic-operations-activity-7226688944082403328-JZ18?utm_source=share&amp;utm_medium=member_desktop" TargetMode="External"/><Relationship Id="rId1299" Type="http://schemas.openxmlformats.org/officeDocument/2006/relationships/hyperlink" Target="https://www.linkedin.com/posts/monica-jones-241ba414_enablecomp-data-analyst-activity-7224979297487200257-Cv8e?utm_source=share&amp;utm_medium=member_desktop" TargetMode="External"/><Relationship Id="rId221" Type="http://schemas.openxmlformats.org/officeDocument/2006/relationships/hyperlink" Target="https://www.linkedin.com/posts/margaret-tian_im-hiring-looking-for-a-senior-data-scientist-activity-7237615121261305856-riE_?utm_source=share&amp;utm_medium=member_desktop" TargetMode="External"/><Relationship Id="rId463" Type="http://schemas.openxmlformats.org/officeDocument/2006/relationships/hyperlink" Target="https://www.linkedin.com/posts/dimitry-cohen_sr-analyst-product-management-broadband-activity-7234275229433229313-U6Z7?utm_source=share&amp;utm_medium=member_desktop" TargetMode="External"/><Relationship Id="rId1058" Type="http://schemas.openxmlformats.org/officeDocument/2006/relationships/hyperlink" Target="https://www.linkedin.com/posts/alex-at-workday_joinmyteam-activity-7227111389960515584-E1gl?utm_source=share&amp;utm_medium=member_desktop" TargetMode="External"/><Relationship Id="rId1048" Type="http://schemas.openxmlformats.org/officeDocument/2006/relationships/hyperlink" Target="https://www.linkedin.com/posts/samanthajgeorge_financial-analyst-activity-7227655728163942400-4NnZ?utm_source=share&amp;utm_medium=member_desktop" TargetMode="External"/><Relationship Id="rId1049" Type="http://schemas.openxmlformats.org/officeDocument/2006/relationships/hyperlink" Target="https://www.linkedin.com/posts/sonali-kothare-phr-m-s-51b57342_what-a-great-way-to-end-the-week-launching-activity-7227680113813790722-TJ-U?utm_source=share&amp;utm_medium=member_desktop" TargetMode="External"/><Relationship Id="rId217" Type="http://schemas.openxmlformats.org/officeDocument/2006/relationships/hyperlink" Target="https://www.linkedin.com/posts/activity-7237583975890706434-XOcf?utm_source=share&amp;utm_medium=member_desktop" TargetMode="External"/><Relationship Id="rId459" Type="http://schemas.openxmlformats.org/officeDocument/2006/relationships/hyperlink" Target="https://www.linkedin.com/posts/travis-beedy_hiring-activity-7234273081710534659-jglI?utm_source=share&amp;utm_medium=member_desktop" TargetMode="External"/><Relationship Id="rId216" Type="http://schemas.openxmlformats.org/officeDocument/2006/relationships/hyperlink" Target="https://www.linkedin.com/posts/mpham01_assa-abloy-senior-financial-analyst-activity-7237583018863771648-RV2D?utm_source=share&amp;utm_medium=member_desktop" TargetMode="External"/><Relationship Id="rId458" Type="http://schemas.openxmlformats.org/officeDocument/2006/relationships/hyperlink" Target="https://www.linkedin.com/posts/sheema-talib-411a3237_principal-data-scientist-activity-7234243075659718656-QeLd?utm_source=share&amp;utm_medium=member_desktop" TargetMode="External"/><Relationship Id="rId215" Type="http://schemas.openxmlformats.org/officeDocument/2006/relationships/hyperlink" Target="https://www.linkedin.com/posts/januarydurbin_who-activity-7237554144167784448-8oWW?utm_source=share&amp;utm_medium=member_desktop" TargetMode="External"/><Relationship Id="rId457" Type="http://schemas.openxmlformats.org/officeDocument/2006/relationships/hyperlink" Target="https://www.linkedin.com/posts/jordanreitzel_corporate-merchandising-analyst-seasonal-activity-7234378931573866496-tQMx?utm_source=share&amp;utm_medium=member_desktop" TargetMode="External"/><Relationship Id="rId699" Type="http://schemas.openxmlformats.org/officeDocument/2006/relationships/hyperlink" Target="https://www.linkedin.com/posts/samantha-laird_financejobs-ballcorp-sustainablepackaging-activity-7232040732998451200-ipE1?utm_source=share&amp;utm_medium=member_desktop" TargetMode="External"/><Relationship Id="rId214" Type="http://schemas.openxmlformats.org/officeDocument/2006/relationships/hyperlink" Target="https://www.linkedin.com/posts/lucas-lauber-shrm-cp-5a811670_senior-analyst-financial-systems-activity-7237516804934291458-vPj_?utm_source=share&amp;utm_medium=member_desktop" TargetMode="External"/><Relationship Id="rId456" Type="http://schemas.openxmlformats.org/officeDocument/2006/relationships/hyperlink" Target="https://www.linkedin.com/posts/dunnbridget_research-analyst-activity-7234612197442609153-sR54?utm_source=share&amp;utm_medium=member_desktop" TargetMode="External"/><Relationship Id="rId698" Type="http://schemas.openxmlformats.org/officeDocument/2006/relationships/hyperlink" Target="https://www.linkedin.com/posts/james-alberque-5491219_enterprise-data-manager-activity-7232031297643200512-YucC?utm_source=share&amp;utm_medium=member_desktop" TargetMode="External"/><Relationship Id="rId219" Type="http://schemas.openxmlformats.org/officeDocument/2006/relationships/hyperlink" Target="https://www.linkedin.com/posts/brittanyclevenger_senior-data-scientist-marketing-models-activity-7237559737838419968-oAGE?utm_source=share&amp;utm_medium=member_desktop" TargetMode="External"/><Relationship Id="rId1280" Type="http://schemas.openxmlformats.org/officeDocument/2006/relationships/hyperlink" Target="https://www.linkedin.com/posts/kasey-bury-0268783b_hiring-datascientist-activity-7225514322578259968-EZ7X?utm_source=share&amp;utm_medium=member_desktop" TargetMode="External"/><Relationship Id="rId218" Type="http://schemas.openxmlformats.org/officeDocument/2006/relationships/hyperlink" Target="https://www.linkedin.com/posts/christi-nicholson-b9185b13_check-out-this-job-at-agvantis-inc-senior-activity-7237600348637388800-Q8Ll?utm_source=share&amp;utm_medium=member_desktop" TargetMode="External"/><Relationship Id="rId1281" Type="http://schemas.openxmlformats.org/officeDocument/2006/relationships/hyperlink" Target="https://www.linkedin.com/posts/berenice-guzmanf_hiring-activity-7225247105869639680-Ymg3?utm_source=share&amp;utm_medium=member_desktop" TargetMode="External"/><Relationship Id="rId451" Type="http://schemas.openxmlformats.org/officeDocument/2006/relationships/hyperlink" Target="https://www.linkedin.com/posts/caseydevaux_datascience-customerexperience-hiring-activity-7234563626068582400-DCb6?utm_source=share&amp;utm_medium=member_desktop" TargetMode="External"/><Relationship Id="rId693" Type="http://schemas.openxmlformats.org/officeDocument/2006/relationships/hyperlink" Target="https://www.linkedin.com/posts/charliebeirne_hiring-activity-7232072695809540096-1N6F?utm_source=share&amp;utm_medium=member_desktop" TargetMode="External"/><Relationship Id="rId1040" Type="http://schemas.openxmlformats.org/officeDocument/2006/relationships/hyperlink" Target="https://www.linkedin.com/posts/kaitlin-palumbo-muller_happy-friday-were-excited-to-announce-an-activity-7227678525892313096--Myq?utm_source=share&amp;utm_medium=member_desktop" TargetMode="External"/><Relationship Id="rId1282" Type="http://schemas.openxmlformats.org/officeDocument/2006/relationships/hyperlink" Target="https://www.linkedin.com/posts/andie-rice_hiring-hiring-dataanalyst-activity-7225354243203809280-wawr?utm_source=share&amp;utm_medium=member_desktop" TargetMode="External"/><Relationship Id="rId450" Type="http://schemas.openxmlformats.org/officeDocument/2006/relationships/hyperlink" Target="https://www.linkedin.com/posts/kevin-larrabee_careers-datashapes-ai-activity-7234303434932338689-WNTC?utm_source=share&amp;utm_medium=member_desktop" TargetMode="External"/><Relationship Id="rId692" Type="http://schemas.openxmlformats.org/officeDocument/2006/relationships/hyperlink" Target="https://www.linkedin.com/posts/vijayannagarajan_data-scientist-aws-global-services-capacity-activity-7232096313302036480-2teO?utm_source=share&amp;utm_medium=member_desktop" TargetMode="External"/><Relationship Id="rId1041" Type="http://schemas.openxmlformats.org/officeDocument/2006/relationships/hyperlink" Target="https://www.linkedin.com/posts/toni-pearson-she-her-41075b7_investment-analyst-iii-in-chicago-il-activity-7228145317861285888-DpBb?utm_source=share&amp;utm_medium=member_desktop" TargetMode="External"/><Relationship Id="rId1283" Type="http://schemas.openxmlformats.org/officeDocument/2006/relationships/hyperlink" Target="https://www.linkedin.com/posts/asthapatel03_friends-i-am-excited-to-announce-another-activity-7225470469548773376-S1-b?utm_source=share&amp;utm_medium=member_desktop" TargetMode="External"/><Relationship Id="rId691" Type="http://schemas.openxmlformats.org/officeDocument/2006/relationships/hyperlink" Target="https://www.linkedin.com/posts/jamcin_sr-data-scientist-activity-7232116615981494273-2L_j?utm_source=share&amp;utm_medium=member_desktop" TargetMode="External"/><Relationship Id="rId1042" Type="http://schemas.openxmlformats.org/officeDocument/2006/relationships/hyperlink" Target="https://www.linkedin.com/posts/arielle-mir-8b33ba9_cat-lovers-know-that-av-health-care-is-activity-7224856181775708160-Kx4g?utm_source=share&amp;utm_medium=member_desktop" TargetMode="External"/><Relationship Id="rId1284" Type="http://schemas.openxmlformats.org/officeDocument/2006/relationships/hyperlink" Target="https://www.linkedin.com/posts/bkb997_senior-product-analyst-activity-7225576160284327937-VwE6?utm_source=share&amp;utm_medium=member_desktop" TargetMode="External"/><Relationship Id="rId690" Type="http://schemas.openxmlformats.org/officeDocument/2006/relationships/hyperlink" Target="https://www.linkedin.com/posts/activity-7232040392806780928-paFe?utm_source=share&amp;utm_medium=member_desktop" TargetMode="External"/><Relationship Id="rId1043" Type="http://schemas.openxmlformats.org/officeDocument/2006/relationships/hyperlink" Target="https://www.linkedin.com/posts/dan-heidenreich-270a7125_powerbi-analyst-activity-7227415816407805952-fwUi?utm_source=share&amp;utm_medium=member_desktop" TargetMode="External"/><Relationship Id="rId1285" Type="http://schemas.openxmlformats.org/officeDocument/2006/relationships/hyperlink" Target="https://www.linkedin.com/posts/erla-joy-isaac-57ab9125_hrisanalyst-remoteopportunity-nowhiring-activity-7223742059667447808-WXfx?utm_source=share&amp;utm_medium=member_desktop" TargetMode="External"/><Relationship Id="rId213" Type="http://schemas.openxmlformats.org/officeDocument/2006/relationships/hyperlink" Target="https://www.linkedin.com/posts/saraventre_hiring-operations-inventory-activity-7237518749975605248-hF7s?utm_source=share&amp;utm_medium=member_desktop" TargetMode="External"/><Relationship Id="rId455" Type="http://schemas.openxmlformats.org/officeDocument/2006/relationships/hyperlink" Target="https://www.linkedin.com/posts/abheek-pandoh_knowt-full-time-business-analyst-entry-activity-7234327173841506304-MAkQ?utm_source=share&amp;utm_medium=member_desktop" TargetMode="External"/><Relationship Id="rId697" Type="http://schemas.openxmlformats.org/officeDocument/2006/relationships/hyperlink" Target="https://www.linkedin.com/posts/anne-lilly-a7457421_research-data-analyst-activity-7232031983634116608-vQvk?utm_source=share&amp;utm_medium=member_desktop" TargetMode="External"/><Relationship Id="rId1044" Type="http://schemas.openxmlformats.org/officeDocument/2006/relationships/hyperlink" Target="https://www.linkedin.com/posts/maria-vergel-19142a35_senior-quality-data-analyst-at-university-activity-7227729502833922048-qEqY?utm_source=share&amp;utm_medium=member_desktop" TargetMode="External"/><Relationship Id="rId1286" Type="http://schemas.openxmlformats.org/officeDocument/2006/relationships/hyperlink" Target="https://www.linkedin.com/posts/jashyardjohnson_senior-analyst-revenue-operations-activity-7224791784038547456-Ptvh?utm_source=share&amp;utm_medium=member_desktop" TargetMode="External"/><Relationship Id="rId212" Type="http://schemas.openxmlformats.org/officeDocument/2006/relationships/hyperlink" Target="https://www.linkedin.com/posts/zacharyelewitz_senior-data-scientist-technical-lead-activity-7237550150468993024-EqtX?utm_source=share&amp;utm_medium=member_desktop" TargetMode="External"/><Relationship Id="rId454" Type="http://schemas.openxmlformats.org/officeDocument/2006/relationships/hyperlink" Target="https://www.linkedin.com/posts/megan-peabody_hey-all-i-am-actively-hiring-for-an-entry-activity-7234293911119167488-feCI?utm_source=share&amp;utm_medium=member_desktop" TargetMode="External"/><Relationship Id="rId696" Type="http://schemas.openxmlformats.org/officeDocument/2006/relationships/hyperlink" Target="https://www.linkedin.com/posts/maxime-abo-a141b777_im-very-excited-to-share-that-im-hiring-activity-7231676488276733955-zWRE?utm_source=share&amp;utm_medium=member_desktop" TargetMode="External"/><Relationship Id="rId1045" Type="http://schemas.openxmlformats.org/officeDocument/2006/relationships/hyperlink" Target="https://www.linkedin.com/posts/cheyennetila_our-analytics-team-is-growing-at-everquote-activity-7227729453081092096-Xrwz?utm_source=share&amp;utm_medium=member_desktop" TargetMode="External"/><Relationship Id="rId1287" Type="http://schemas.openxmlformats.org/officeDocument/2006/relationships/hyperlink" Target="https://www.linkedin.com/posts/joemoran_senior-business-intelligence-analyst-activity-7224841471969869825-r5ts?utm_source=share&amp;utm_medium=member_desktop" TargetMode="External"/><Relationship Id="rId211" Type="http://schemas.openxmlformats.org/officeDocument/2006/relationships/hyperlink" Target="https://www.linkedin.com/posts/kelsi-lee_senior-business-intelligence-manager-activity-7237565451654864897-tTk0?utm_source=share&amp;utm_medium=member_desktop" TargetMode="External"/><Relationship Id="rId453" Type="http://schemas.openxmlformats.org/officeDocument/2006/relationships/hyperlink" Target="https://www.linkedin.com/posts/activity-7234548892942381056--tVt?utm_source=share&amp;utm_medium=member_desktop" TargetMode="External"/><Relationship Id="rId695" Type="http://schemas.openxmlformats.org/officeDocument/2006/relationships/hyperlink" Target="https://www.linkedin.com/posts/kristapalmisano_people-analytics-insights-reporting-talent-activity-7231276655787360259-VS7S?utm_source=share&amp;utm_medium=member_desktop" TargetMode="External"/><Relationship Id="rId1046" Type="http://schemas.openxmlformats.org/officeDocument/2006/relationships/hyperlink" Target="https://www.linkedin.com/posts/madison-melone_hiring-activity-7227696025623293954-IDd1?utm_source=share&amp;utm_medium=member_desktop" TargetMode="External"/><Relationship Id="rId1288" Type="http://schemas.openxmlformats.org/officeDocument/2006/relationships/hyperlink" Target="https://www.linkedin.com/posts/chang-lu_job-details-activity-7224776606655934464-npKH?utm_source=share&amp;utm_medium=member_desktop" TargetMode="External"/><Relationship Id="rId210" Type="http://schemas.openxmlformats.org/officeDocument/2006/relationships/hyperlink" Target="https://www.linkedin.com/posts/anniefyang_come-help-shape-the-future-of-marketing-activity-7237977509462429696-bD-A?utm_source=share&amp;utm_medium=member_desktop" TargetMode="External"/><Relationship Id="rId452" Type="http://schemas.openxmlformats.org/officeDocument/2006/relationships/hyperlink" Target="https://www.linkedin.com/posts/maggiestohler_come-join-the-impact-engine-team-were-hiring-activity-7234559623578439680-2OUH?utm_source=share&amp;utm_medium=member_desktop" TargetMode="External"/><Relationship Id="rId694" Type="http://schemas.openxmlformats.org/officeDocument/2006/relationships/hyperlink" Target="https://www.linkedin.com/posts/zakielt_dataarchitecture-canada-remote-activity-7232034781188816896-fqUi?utm_source=share&amp;utm_medium=member_desktop" TargetMode="External"/><Relationship Id="rId1047" Type="http://schemas.openxmlformats.org/officeDocument/2006/relationships/hyperlink" Target="https://www.linkedin.com/posts/carlanna-livingstone-cpp_senior-manager-operations-and-network-analytics-activity-7227795780399472640-qmss?utm_source=share&amp;utm_medium=member_desktop" TargetMode="External"/><Relationship Id="rId1289" Type="http://schemas.openxmlformats.org/officeDocument/2006/relationships/hyperlink" Target="https://www.linkedin.com/posts/dianamaronen_senior-environmental-data-analyst-at-disney-activity-7224822311860756480-72Mq?utm_source=share&amp;utm_medium=member_desktop" TargetMode="External"/><Relationship Id="rId491" Type="http://schemas.openxmlformats.org/officeDocument/2006/relationships/hyperlink" Target="https://www.linkedin.com/posts/rebeccaseufzer_hiring-jobs-finance-activity-7234218075737219073-MR_G?utm_source=share&amp;utm_medium=member_desktop" TargetMode="External"/><Relationship Id="rId490" Type="http://schemas.openxmlformats.org/officeDocument/2006/relationships/hyperlink" Target="https://www.linkedin.com/posts/jordan-gottlieb-27b10a15b_were-hiring-on-the-care-strategy-team-at-activity-7233951160276000769-Uwra?utm_source=share&amp;utm_medium=member_desktop" TargetMode="External"/><Relationship Id="rId249" Type="http://schemas.openxmlformats.org/officeDocument/2006/relationships/hyperlink" Target="https://www.linkedin.com/posts/helifrazier_market-research-analyst-denver-co-activity-7237502739780362240-DTsv?utm_source=share&amp;utm_medium=member_desktop" TargetMode="External"/><Relationship Id="rId248" Type="http://schemas.openxmlformats.org/officeDocument/2006/relationships/hyperlink" Target="https://www.linkedin.com/posts/chicagohrguru_marketing-data-analyst-e3-or-e4-hybrid-activity-7237833168974663680-rdR-?utm_source=share&amp;utm_medium=member_desktop" TargetMode="External"/><Relationship Id="rId247" Type="http://schemas.openxmlformats.org/officeDocument/2006/relationships/hyperlink" Target="https://www.linkedin.com/posts/albert-ihm-5843376a_senior-analyst-analytics-in-plano-texas-activity-7237812930870714368-gPiy?utm_source=share&amp;utm_medium=member_desktop" TargetMode="External"/><Relationship Id="rId489" Type="http://schemas.openxmlformats.org/officeDocument/2006/relationships/hyperlink" Target="https://www.linkedin.com/posts/harunhasib_our-team-is-hiring-if-you-have-a-passion-activity-7234227498241130497-Kj9K?utm_source=share&amp;utm_medium=member_desktop" TargetMode="External"/><Relationship Id="rId1070" Type="http://schemas.openxmlformats.org/officeDocument/2006/relationships/hyperlink" Target="https://www.linkedin.com/posts/emily-gross-a2638941_financejobs-agency-activity-7227678168617230338-f095?utm_source=share&amp;utm_medium=member_desktop" TargetMode="External"/><Relationship Id="rId1071" Type="http://schemas.openxmlformats.org/officeDocument/2006/relationships/hyperlink" Target="https://www.linkedin.com/posts/nick-l-2a2b608a_power-solutions-analyst-coresite-activity-7227675619373817856-w2kq?utm_source=share&amp;utm_medium=member_desktop" TargetMode="External"/><Relationship Id="rId1072" Type="http://schemas.openxmlformats.org/officeDocument/2006/relationships/hyperlink" Target="https://www.linkedin.com/posts/tythompson31_hi-everyone-please-check-out-this-job-at-activity-7227689901649969152-PA9r?utm_source=share&amp;utm_medium=member_desktop" TargetMode="External"/><Relationship Id="rId242" Type="http://schemas.openxmlformats.org/officeDocument/2006/relationships/hyperlink" Target="https://www.linkedin.com/posts/sarahacampillo_hiring-dataengineer-activity-7237543692968804352-qZaO?utm_source=share&amp;utm_medium=member_desktop" TargetMode="External"/><Relationship Id="rId484" Type="http://schemas.openxmlformats.org/officeDocument/2006/relationships/hyperlink" Target="https://www.linkedin.com/posts/schmidtkayla_marketing-strategy-health-care-delivery-activity-7234156162030428160-9I4Q?utm_source=share&amp;utm_medium=member_desktop" TargetMode="External"/><Relationship Id="rId1073" Type="http://schemas.openxmlformats.org/officeDocument/2006/relationships/hyperlink" Target="https://www.linkedin.com/posts/sorenhnyberg_brand-advocate-analyst-best-buy-job-details-activity-7227744262111576064-1jIc?utm_source=share&amp;utm_medium=member_desktop" TargetMode="External"/><Relationship Id="rId241" Type="http://schemas.openxmlformats.org/officeDocument/2006/relationships/hyperlink" Target="https://www.linkedin.com/posts/francescadascenzo_data-analyst-ii-athlete-contacts-remote-activity-7237915579746021376-5q-t?utm_source=share&amp;utm_medium=member_desktop" TargetMode="External"/><Relationship Id="rId483" Type="http://schemas.openxmlformats.org/officeDocument/2006/relationships/hyperlink" Target="https://www.linkedin.com/posts/marycmonahan_now-hiring-e-commerce-sales-analytics-lead-activity-7234223017801781249-mj7k?utm_source=share&amp;utm_medium=member_desktop" TargetMode="External"/><Relationship Id="rId1074" Type="http://schemas.openxmlformats.org/officeDocument/2006/relationships/hyperlink" Target="https://www.linkedin.com/posts/alan-bortnick-9a4819_associate-pricing-analyst-activity-7227489679200169984-kn-T?utm_source=share&amp;utm_medium=member_desktop" TargetMode="External"/><Relationship Id="rId240" Type="http://schemas.openxmlformats.org/officeDocument/2006/relationships/hyperlink" Target="https://www.linkedin.com/posts/matthewdjacoby_analytics-datascience-jobopportunity-ugcPost-7237930870978809857-NsxD?utm_source=share&amp;utm_medium=member_desktop" TargetMode="External"/><Relationship Id="rId482" Type="http://schemas.openxmlformats.org/officeDocument/2006/relationships/hyperlink" Target="https://www.linkedin.com/posts/hawkinsemily_the-analytics-engineering-team-at-glossgenius-activity-7234287121790894081-12e5?utm_source=share&amp;utm_medium=member_desktop" TargetMode="External"/><Relationship Id="rId1075" Type="http://schemas.openxmlformats.org/officeDocument/2006/relationships/hyperlink" Target="https://www.linkedin.com/posts/kellyepetermann_digital-operations-analyst-ii-hybrid-in-activity-7227683115530399744-24gc?utm_source=share&amp;utm_medium=member_desktop" TargetMode="External"/><Relationship Id="rId481" Type="http://schemas.openxmlformats.org/officeDocument/2006/relationships/hyperlink" Target="https://www.linkedin.com/posts/irina-summey_commercial-analyst-i-in-remote-north-carolina-activity-7233992597763993600-a4wl?utm_source=share&amp;utm_medium=member_desktop" TargetMode="External"/><Relationship Id="rId1076" Type="http://schemas.openxmlformats.org/officeDocument/2006/relationships/hyperlink" Target="https://www.linkedin.com/posts/nikki-gibbs-msw-3ab48916_hiring-activity-7227698136431951875-niAW?utm_source=share&amp;utm_medium=member_desktop" TargetMode="External"/><Relationship Id="rId246" Type="http://schemas.openxmlformats.org/officeDocument/2006/relationships/hyperlink" Target="https://www.linkedin.com/posts/donaldmclarkeiii_are-you-seeking-a-position-in-data-analytics-activity-7237518820704227328-G695?utm_source=share&amp;utm_medium=member_desktop" TargetMode="External"/><Relationship Id="rId488" Type="http://schemas.openxmlformats.org/officeDocument/2006/relationships/hyperlink" Target="https://www.linkedin.com/posts/cmfiles_im-hiring-a-senior-data-visualization-activity-7234214917078171650-EiMc?utm_source=share&amp;utm_medium=member_desktop" TargetMode="External"/><Relationship Id="rId1077" Type="http://schemas.openxmlformats.org/officeDocument/2006/relationships/hyperlink" Target="https://www.linkedin.com/posts/scott-steer-70170b1b_check-out-this-job-at-highridge-medical-activity-7227700227233693696-pszk?utm_source=share&amp;utm_medium=member_desktop" TargetMode="External"/><Relationship Id="rId245" Type="http://schemas.openxmlformats.org/officeDocument/2006/relationships/hyperlink" Target="https://www.linkedin.com/posts/nafusdavid_analytics-dataanalysis-hiringopportunity-activity-7237874148583124992-MCsU?utm_source=share&amp;utm_medium=member_desktop" TargetMode="External"/><Relationship Id="rId487" Type="http://schemas.openxmlformats.org/officeDocument/2006/relationships/hyperlink" Target="https://www.linkedin.com/posts/mistyhuntley_hiring-compensation-compensationanalyst-activity-7234194111392542720-MxZZ?utm_source=share&amp;utm_medium=member_desktop" TargetMode="External"/><Relationship Id="rId1078" Type="http://schemas.openxmlformats.org/officeDocument/2006/relationships/hyperlink" Target="https://www.linkedin.com/posts/blakedagenais_versicare-is-hiring-we-are-searching-for-activity-7227701572581924864-bSK-?utm_source=share&amp;utm_medium=member_desktop" TargetMode="External"/><Relationship Id="rId244" Type="http://schemas.openxmlformats.org/officeDocument/2006/relationships/hyperlink" Target="https://www.linkedin.com/posts/jwickremaratne_datajobs-analytics-foodindustry-activity-7237913079689191424-OA_n?utm_source=share&amp;utm_medium=member_desktop" TargetMode="External"/><Relationship Id="rId486" Type="http://schemas.openxmlformats.org/officeDocument/2006/relationships/hyperlink" Target="https://www.linkedin.com/posts/activity-7234228080519602176-fW7y?utm_source=share&amp;utm_medium=member_desktop" TargetMode="External"/><Relationship Id="rId1079" Type="http://schemas.openxmlformats.org/officeDocument/2006/relationships/hyperlink" Target="https://www.linkedin.com/posts/travis-vlantes-9951a7272_performance-analyst-activity-7227740921100967936-aEh9?utm_source=share&amp;utm_medium=member_desktop" TargetMode="External"/><Relationship Id="rId243" Type="http://schemas.openxmlformats.org/officeDocument/2006/relationships/hyperlink" Target="https://www.linkedin.com/posts/amandawelt_analytics-visualization-developer-cdh-activity-7237909807314169856-xDPV?utm_source=share&amp;utm_medium=member_desktop" TargetMode="External"/><Relationship Id="rId485" Type="http://schemas.openxmlformats.org/officeDocument/2006/relationships/hyperlink" Target="https://www.linkedin.com/posts/dan-lindsay-6779894_check-out-this-job-at-traditional-medicinals-activity-7234206644035850242-pGSU?utm_source=share&amp;utm_medium=member_desktop" TargetMode="External"/><Relationship Id="rId480" Type="http://schemas.openxmlformats.org/officeDocument/2006/relationships/hyperlink" Target="https://www.linkedin.com/posts/aneesharao_the-ambr-group-data-and-analytics-lead-activity-7233892190576427009-epn3?utm_source=share&amp;utm_medium=member_desktop" TargetMode="External"/><Relationship Id="rId239" Type="http://schemas.openxmlformats.org/officeDocument/2006/relationships/hyperlink" Target="https://www.linkedin.com/posts/adamcaccavale_were-hiring-a-nyc-based-data-analyst-if-activity-7237811802082869248-Uyw-?utm_source=share&amp;utm_medium=member_desktop" TargetMode="External"/><Relationship Id="rId238" Type="http://schemas.openxmlformats.org/officeDocument/2006/relationships/hyperlink" Target="https://www.linkedin.com/posts/vanessa-tally-lead-advisor-staff-selection-aa8582b5_lead-data-scientist-restaurant-pricing-activity-7237804708126478336-3dyD?utm_source=share&amp;utm_medium=member_desktop" TargetMode="External"/><Relationship Id="rId237" Type="http://schemas.openxmlformats.org/officeDocument/2006/relationships/hyperlink" Target="https://www.linkedin.com/posts/krist-thaqi_financejobs-senioranalyst-financialanalysis-activity-7237818014132236288-CIw-?utm_source=share&amp;utm_medium=member_desktop" TargetMode="External"/><Relationship Id="rId479" Type="http://schemas.openxmlformats.org/officeDocument/2006/relationships/hyperlink" Target="https://www.linkedin.com/posts/jsingh41_cardless-senior-data-analyst-activity-7233958320930234370-61Mo?utm_source=share&amp;utm_medium=member_desktop" TargetMode="External"/><Relationship Id="rId236" Type="http://schemas.openxmlformats.org/officeDocument/2006/relationships/hyperlink" Target="https://www.linkedin.com/posts/melaniefleming1_nowhiring-itcareers-hospitalityjobs-activity-7237915855244705792-24lP?utm_source=share&amp;utm_medium=member_desktop" TargetMode="External"/><Relationship Id="rId478" Type="http://schemas.openxmlformats.org/officeDocument/2006/relationships/hyperlink" Target="https://www.linkedin.com/posts/mirandaatrevive_our-data-solutions-and-analytics-team-at-activity-7233986344094515200-DlkH?utm_source=share&amp;utm_medium=member_desktop" TargetMode="External"/><Relationship Id="rId1060" Type="http://schemas.openxmlformats.org/officeDocument/2006/relationships/hyperlink" Target="https://www.linkedin.com/posts/sethbenkov_apptegy-financial-analyst-activity-7226650361674039296-PZBc?utm_source=share&amp;utm_medium=member_desktop" TargetMode="External"/><Relationship Id="rId1061" Type="http://schemas.openxmlformats.org/officeDocument/2006/relationships/hyperlink" Target="https://www.linkedin.com/posts/makaelacarter_hiring-financialreporting-payments-activity-7227773616405299202-hd04?utm_source=share&amp;utm_medium=member_desktop" TargetMode="External"/><Relationship Id="rId231" Type="http://schemas.openxmlformats.org/officeDocument/2006/relationships/hyperlink" Target="https://www.linkedin.com/posts/alex-summers_sr-financial-analyst-activity-7237883367478738945-UYEu?utm_source=share&amp;utm_medium=member_desktop" TargetMode="External"/><Relationship Id="rId473" Type="http://schemas.openxmlformats.org/officeDocument/2006/relationships/hyperlink" Target="https://www.linkedin.com/posts/salahalchanati_nestle-data-analytics-activity-7234011224236044289-ya5F?utm_source=share&amp;utm_medium=member_desktop" TargetMode="External"/><Relationship Id="rId1062" Type="http://schemas.openxmlformats.org/officeDocument/2006/relationships/hyperlink" Target="https://www.linkedin.com/posts/jeanne-dressel-2a19a018_we-are-looking-for-an-fpa-analyst-activity-7227837586386345986-xOu_?utm_source=share&amp;utm_medium=member_desktop" TargetMode="External"/><Relationship Id="rId230" Type="http://schemas.openxmlformats.org/officeDocument/2006/relationships/hyperlink" Target="https://www.linkedin.com/posts/shawn-boss_sales-analyst-cosmetics-and-skin-cpd-walmart-activity-7237905847815655424-GajK?utm_source=share&amp;utm_medium=member_desktop" TargetMode="External"/><Relationship Id="rId472" Type="http://schemas.openxmlformats.org/officeDocument/2006/relationships/hyperlink" Target="https://www.linkedin.com/posts/hendrik-s-2232142_we-are-hiring-for-my-advanced-analytics-team-activity-7233995597551124482-nlVG?utm_source=share&amp;utm_medium=member_desktop" TargetMode="External"/><Relationship Id="rId1063" Type="http://schemas.openxmlformats.org/officeDocument/2006/relationships/hyperlink" Target="https://www.linkedin.com/posts/andjelapetrovic5_strategy-hiring-analyst-activity-7227457431839162370-wo7w?utm_source=share&amp;utm_medium=member_desktop" TargetMode="External"/><Relationship Id="rId471" Type="http://schemas.openxmlformats.org/officeDocument/2006/relationships/hyperlink" Target="https://www.linkedin.com/posts/tahmed7_were-seeking-a-marketing-analyst-with-an-activity-7234256928053362690-g9dr?utm_source=share&amp;utm_medium=member_desktop" TargetMode="External"/><Relationship Id="rId1064" Type="http://schemas.openxmlformats.org/officeDocument/2006/relationships/hyperlink" Target="https://www.linkedin.com/posts/tylerrosswentworth_whereoware-inc-is-looking-for-search-marketing-activity-7227649529544609793-yea1?utm_source=share&amp;utm_medium=member_desktop" TargetMode="External"/><Relationship Id="rId470" Type="http://schemas.openxmlformats.org/officeDocument/2006/relationships/hyperlink" Target="https://www.linkedin.com/posts/louraine-blake-ab7a5999_payer-strategy-analyst-in-miami-fl-activity-7234213144653369344-1h-7?utm_source=share&amp;utm_medium=member_desktop" TargetMode="External"/><Relationship Id="rId1065" Type="http://schemas.openxmlformats.org/officeDocument/2006/relationships/hyperlink" Target="https://www.linkedin.com/posts/carmen-silguero-csp-1a8163a1_finance-accounting-hiring-activity-7227718802677886976-4AxN?utm_source=share&amp;utm_medium=member_desktop" TargetMode="External"/><Relationship Id="rId235" Type="http://schemas.openxmlformats.org/officeDocument/2006/relationships/hyperlink" Target="https://www.linkedin.com/posts/joedodson_analyst-pricing-and-promotions-in-burbank-activity-7237890993205747714-CVSx?utm_source=share&amp;utm_medium=member_desktop" TargetMode="External"/><Relationship Id="rId477" Type="http://schemas.openxmlformats.org/officeDocument/2006/relationships/hyperlink" Target="https://www.linkedin.com/posts/mirandaatrevive_our-data-solutions-and-analytics-team-at-activity-7233986344094515200-DlkH?utm_source=share&amp;utm_medium=member_desktop" TargetMode="External"/><Relationship Id="rId1066" Type="http://schemas.openxmlformats.org/officeDocument/2006/relationships/hyperlink" Target="https://www.linkedin.com/posts/michael-del-negro-a31a513_hiring-activity-7227733103429988353-kWtK?utm_source=share&amp;utm_medium=member_desktop" TargetMode="External"/><Relationship Id="rId234" Type="http://schemas.openxmlformats.org/officeDocument/2006/relationships/hyperlink" Target="https://www.linkedin.com/posts/adam-daroff-12a37031_a-rare-opportunity-to-join-our-valuation-activity-7237886466507354112-sq4N?utm_source=share&amp;utm_medium=member_desktop" TargetMode="External"/><Relationship Id="rId476" Type="http://schemas.openxmlformats.org/officeDocument/2006/relationships/hyperlink" Target="https://www.linkedin.com/posts/daniel-cohen-5384a418_help-us-scale-ads-data-at-reddit-were-activity-7234056731973054464-O8qI?utm_source=share&amp;utm_medium=member_desktop" TargetMode="External"/><Relationship Id="rId1067" Type="http://schemas.openxmlformats.org/officeDocument/2006/relationships/hyperlink" Target="https://www.linkedin.com/posts/brandonzelones_we-are-looking-to-fill-an-exciting-financial-activity-7227810130719875072-_6ns?utm_source=share&amp;utm_medium=member_desktop" TargetMode="External"/><Relationship Id="rId233" Type="http://schemas.openxmlformats.org/officeDocument/2006/relationships/hyperlink" Target="https://www.linkedin.com/posts/mialynnhoward_careers-activity-7237873232039583744-HNZF?utm_source=share&amp;utm_medium=member_desktop" TargetMode="External"/><Relationship Id="rId475" Type="http://schemas.openxmlformats.org/officeDocument/2006/relationships/hyperlink" Target="https://www.linkedin.com/posts/jessicanorwoodcoach_check-out-this-job-at-janus-henderson-investors-activity-7233957180213714944-vnTF?utm_source=share&amp;utm_medium=member_desktop" TargetMode="External"/><Relationship Id="rId1068" Type="http://schemas.openxmlformats.org/officeDocument/2006/relationships/hyperlink" Target="https://www.linkedin.com/posts/royce-hart_microsoftcareers-hrdataanalyst-hiring-activity-7227814431005548544-Vjir?utm_source=share&amp;utm_medium=member_desktop" TargetMode="External"/><Relationship Id="rId232" Type="http://schemas.openxmlformats.org/officeDocument/2006/relationships/hyperlink" Target="https://www.linkedin.com/posts/gdhjenniferlawrence_financialanalyst-financejobs-jackhenrycareers-activity-7237831806287278080-edfH?utm_source=share&amp;utm_medium=member_desktop" TargetMode="External"/><Relationship Id="rId474" Type="http://schemas.openxmlformats.org/officeDocument/2006/relationships/hyperlink" Target="https://www.linkedin.com/posts/anna-yakovenko-a420252_come-join-my-team-at-ama-as-a-market-intelligence-activity-7233892165393739777-A7GU?utm_source=share&amp;utm_medium=member_desktop" TargetMode="External"/><Relationship Id="rId1069" Type="http://schemas.openxmlformats.org/officeDocument/2006/relationships/hyperlink" Target="https://www.linkedin.com/posts/johnmckiel_decision-support-senior-financial-analyst-activity-7227728442736177152-Kv3K?utm_source=share&amp;utm_medium=member_desktop" TargetMode="External"/><Relationship Id="rId1015" Type="http://schemas.openxmlformats.org/officeDocument/2006/relationships/hyperlink" Target="https://www.linkedin.com/posts/chuckradcliff_technical-bus-qual-analyst-i-in-chicago-activity-7228467715777118209-wTYW?utm_source=share&amp;utm_medium=member_desktop" TargetMode="External"/><Relationship Id="rId1257" Type="http://schemas.openxmlformats.org/officeDocument/2006/relationships/hyperlink" Target="https://www.linkedin.com/posts/williamginterquinn_senior-analyst-digital-activity-7225301727464296449-3zHE?utm_source=share&amp;utm_medium=member_desktop" TargetMode="External"/><Relationship Id="rId1016" Type="http://schemas.openxmlformats.org/officeDocument/2006/relationships/hyperlink" Target="https://www.linkedin.com/posts/david-smith-7130481b_check-out-this-job-at-liberty-university-activity-7228456048007745536-LJU3?utm_source=share&amp;utm_medium=member_desktop" TargetMode="External"/><Relationship Id="rId1258" Type="http://schemas.openxmlformats.org/officeDocument/2006/relationships/hyperlink" Target="https://www.linkedin.com/posts/jason-wilson-173944187_utzbrands-utzcareers-joinourteam-activity-7225481842085273601-ab2n?utm_source=share&amp;utm_medium=member_desktop" TargetMode="External"/><Relationship Id="rId1017" Type="http://schemas.openxmlformats.org/officeDocument/2006/relationships/hyperlink" Target="https://www.linkedin.com/posts/kimberly-touchet-47bb734a_finance-analyst-entry-level-activity-7228409245581373442-gogd?utm_source=share&amp;utm_medium=member_ios" TargetMode="External"/><Relationship Id="rId1259" Type="http://schemas.openxmlformats.org/officeDocument/2006/relationships/hyperlink" Target="https://www.linkedin.com/posts/catherinepargeter_were-looking-for-a-senior-analytics-engineer-activity-7225502206089699328-azmY?utm_source=share&amp;utm_medium=member_desktop" TargetMode="External"/><Relationship Id="rId1018" Type="http://schemas.openxmlformats.org/officeDocument/2006/relationships/hyperlink" Target="https://www.linkedin.com/posts/alant_seeking-candidates-for-financial-analyst-activity-7228399829549232128-CVtC?utm_source=share&amp;utm_medium=member_desktop" TargetMode="External"/><Relationship Id="rId1019" Type="http://schemas.openxmlformats.org/officeDocument/2006/relationships/hyperlink" Target="https://www.linkedin.com/posts/daisy-b-suarez_hiring-activity-7227360493655482368-j2RZ?utm_source=share&amp;utm_medium=member_ios" TargetMode="External"/><Relationship Id="rId426" Type="http://schemas.openxmlformats.org/officeDocument/2006/relationships/hyperlink" Target="https://www.linkedin.com/posts/ilhyvmvm_discord-staff-data-scientist-analytics-activity-7234646168129941504-d8ce?utm_source=share&amp;utm_medium=member_desktop" TargetMode="External"/><Relationship Id="rId668" Type="http://schemas.openxmlformats.org/officeDocument/2006/relationships/hyperlink" Target="https://www.linkedin.com/posts/chia-chen-emma-nien-35a7a665_data-scientist-activity-7232183433723027456-hYgf?utm_source=share&amp;utm_medium=member_desktop" TargetMode="External"/><Relationship Id="rId425" Type="http://schemas.openxmlformats.org/officeDocument/2006/relationships/hyperlink" Target="https://www.linkedin.com/posts/violahempel_hiring-ugcPost-7234280356198162432-boll?utm_source=share&amp;utm_medium=member_desktop" TargetMode="External"/><Relationship Id="rId667" Type="http://schemas.openxmlformats.org/officeDocument/2006/relationships/hyperlink" Target="https://www.linkedin.com/posts/chia-chen-emma-nien-35a7a665_data-scientist-activity-7232183433723027456-hYgf?utm_source=share&amp;utm_medium=member_desktop" TargetMode="External"/><Relationship Id="rId424" Type="http://schemas.openxmlformats.org/officeDocument/2006/relationships/hyperlink" Target="https://www.linkedin.com/posts/ugcPost-7234707199690711040-Bsgj?utm_source=share&amp;utm_medium=member_desktop" TargetMode="External"/><Relationship Id="rId666" Type="http://schemas.openxmlformats.org/officeDocument/2006/relationships/hyperlink" Target="https://www.linkedin.com/posts/kristinmcgrath_apply-for-bid-proposal-pricing-analyst-activity-7232108601798971394-N69y?utm_source=share&amp;utm_medium=member_desktop" TargetMode="External"/><Relationship Id="rId423" Type="http://schemas.openxmlformats.org/officeDocument/2006/relationships/hyperlink" Target="https://www.linkedin.com/posts/charnette-mcknight-70a91b2a_joinus-joinrush-activity-7234687873696866305-PvRq?utm_source=share&amp;utm_medium=member_desktop" TargetMode="External"/><Relationship Id="rId665" Type="http://schemas.openxmlformats.org/officeDocument/2006/relationships/hyperlink" Target="https://www.linkedin.com/posts/erin-mcvicker-7b215a25_we-just-keep-on-growingour-it-team-is-activity-7232109953291845636-NgM6?utm_source=share&amp;utm_medium=member_desktop" TargetMode="External"/><Relationship Id="rId429" Type="http://schemas.openxmlformats.org/officeDocument/2006/relationships/hyperlink" Target="https://www.linkedin.com/posts/activity-7234555197958594561-MVC_?utm_source=share&amp;utm_medium=member_desktop" TargetMode="External"/><Relationship Id="rId428" Type="http://schemas.openxmlformats.org/officeDocument/2006/relationships/hyperlink" Target="https://www.linkedin.com/posts/harshad-shrikhande-01bb9721_staff-data-scientist-growth-in-san-francisco-activity-7234662014801825792-cnMU?utm_source=share&amp;utm_medium=member_desktop" TargetMode="External"/><Relationship Id="rId427" Type="http://schemas.openxmlformats.org/officeDocument/2006/relationships/hyperlink" Target="https://www.linkedin.com/posts/ugcPost-7232371993231212545-SVOU?utm_source=share&amp;utm_medium=member_desktop" TargetMode="External"/><Relationship Id="rId669" Type="http://schemas.openxmlformats.org/officeDocument/2006/relationships/hyperlink" Target="https://www.linkedin.com/posts/sophie-bishop-410b113b_senior-data-scientist-activity-7232128586806157312-Q7R6?utm_source=share&amp;utm_medium=member_desktop" TargetMode="External"/><Relationship Id="rId660" Type="http://schemas.openxmlformats.org/officeDocument/2006/relationships/hyperlink" Target="https://www.linkedin.com/posts/serenaguzey_im-excited-to-share-that-my-team-is-currently-activity-7232177070921936897-wuvr?utm_source=share&amp;utm_medium=member_desktop" TargetMode="External"/><Relationship Id="rId1250" Type="http://schemas.openxmlformats.org/officeDocument/2006/relationships/hyperlink" Target="https://www.linkedin.com/posts/alpcohen_hello-network-im-hiring-looking-for-a-activity-7224511644926697472-yCCd?utm_source=share&amp;utm_medium=member_desktop" TargetMode="External"/><Relationship Id="rId1251" Type="http://schemas.openxmlformats.org/officeDocument/2006/relationships/hyperlink" Target="https://www.linkedin.com/posts/alexandratumminia_senior-bi-engineer-people-analytics-remote-activity-7226311867302899712-QmGl?utm_source=share&amp;utm_medium=member_desktop" TargetMode="External"/><Relationship Id="rId1010" Type="http://schemas.openxmlformats.org/officeDocument/2006/relationships/hyperlink" Target="https://www.linkedin.com/posts/shawn-tumblin_business-analyst-activity-7228759516471775233-yqjE?utm_source=share&amp;utm_medium=member_desktop" TargetMode="External"/><Relationship Id="rId1252" Type="http://schemas.openxmlformats.org/officeDocument/2006/relationships/hyperlink" Target="https://www.linkedin.com/posts/tommyanthony_consumer-auto-loss-forecasting-senior-analyst-activity-7226322422990336000-6R6Q?utm_source=share&amp;utm_medium=member_desktop" TargetMode="External"/><Relationship Id="rId422" Type="http://schemas.openxmlformats.org/officeDocument/2006/relationships/hyperlink" Target="https://www.linkedin.com/posts/sunita-saksena-cdr-8893486_finance-budgeting-dataanalysis-activity-7234615686071734274-vtUV?utm_source=share&amp;utm_medium=member_desktop" TargetMode="External"/><Relationship Id="rId664" Type="http://schemas.openxmlformats.org/officeDocument/2006/relationships/hyperlink" Target="https://www.linkedin.com/posts/aliciaseavly_data-engineer-iii-amazon-last-mile-activity-7232124630621155328-ArCK?utm_source=share&amp;utm_medium=member_desktop" TargetMode="External"/><Relationship Id="rId1011" Type="http://schemas.openxmlformats.org/officeDocument/2006/relationships/hyperlink" Target="https://www.linkedin.com/posts/matthew-brophy-he-him-06289450_personal-lines-product-analyst-activity-7228799500465664001-410Z?utm_source=share&amp;utm_medium=member_desktop" TargetMode="External"/><Relationship Id="rId1253" Type="http://schemas.openxmlformats.org/officeDocument/2006/relationships/hyperlink" Target="https://www.linkedin.com/posts/lori-riggs-a8747375_i-am-hiring-come-join-my-amazing-team-activity-7225615674901983232-szTq?utm_source=share&amp;utm_medium=member_desktop" TargetMode="External"/><Relationship Id="rId421" Type="http://schemas.openxmlformats.org/officeDocument/2006/relationships/hyperlink" Target="https://www.linkedin.com/posts/rachelbarocas_hiring-activity-7234559842504339457-1D6j?utm_source=share&amp;utm_medium=member_desktop" TargetMode="External"/><Relationship Id="rId663" Type="http://schemas.openxmlformats.org/officeDocument/2006/relationships/hyperlink" Target="https://www.linkedin.com/posts/john-s-jenkins-419b5611_aes-is-hiring-for-an-indirect-tax-senior-activity-7232161664370933760-XhXT?utm_source=share&amp;utm_medium=member_desktop" TargetMode="External"/><Relationship Id="rId1012" Type="http://schemas.openxmlformats.org/officeDocument/2006/relationships/hyperlink" Target="https://www.linkedin.com/posts/joshua-blair-1002_performance-science-data-analyst-notion-activity-7228800688921718784-Gq5E?utm_source=share&amp;utm_medium=member_desktop" TargetMode="External"/><Relationship Id="rId1254" Type="http://schemas.openxmlformats.org/officeDocument/2006/relationships/hyperlink" Target="https://www.linkedin.com/posts/lqnesbitt_campaign-design-analyst-hybrid-activity-7225634199876071424-ZgFS?utm_source=share&amp;utm_medium=member_desktop" TargetMode="External"/><Relationship Id="rId420" Type="http://schemas.openxmlformats.org/officeDocument/2006/relationships/hyperlink" Target="https://www.linkedin.com/posts/tommyanthony_consumer-auto-loss-forecasting-senior-analyst-activity-7231408039159869440-Tj0l?utm_source=share&amp;utm_medium=member_desktop" TargetMode="External"/><Relationship Id="rId662" Type="http://schemas.openxmlformats.org/officeDocument/2006/relationships/hyperlink" Target="https://www.linkedin.com/posts/andrewward4_intermediate-analytics-data-engineer-remote-activity-7232179860880723968-iWa_?utm_source=share&amp;utm_medium=member_desktop" TargetMode="External"/><Relationship Id="rId1013" Type="http://schemas.openxmlformats.org/officeDocument/2006/relationships/hyperlink" Target="https://www.linkedin.com/posts/kendall-carroll_hiring-productstrategy-dataanalytics-activity-7228832166481211392-ajAL?utm_source=share&amp;utm_medium=member_desktop" TargetMode="External"/><Relationship Id="rId1255" Type="http://schemas.openxmlformats.org/officeDocument/2006/relationships/hyperlink" Target="https://www.linkedin.com/posts/sara-wenke-hernandez-a989557_valiant-solutions-is-seeking-a-senior-business-activity-7225516636991057920-IzgG?utm_source=share&amp;utm_medium=member_desktop" TargetMode="External"/><Relationship Id="rId661" Type="http://schemas.openxmlformats.org/officeDocument/2006/relationships/hyperlink" Target="https://www.linkedin.com/posts/joshua-groves_data-strategy-analytics-activity-7232177465501097985-l2An?utm_source=share&amp;utm_medium=member_desktop" TargetMode="External"/><Relationship Id="rId1014" Type="http://schemas.openxmlformats.org/officeDocument/2006/relationships/hyperlink" Target="https://www.linkedin.com/posts/jeanne-b_senior-product-analyst-e-commerce-activity-7228918625477279746-Cny2?utm_source=share&amp;utm_medium=member_desktop" TargetMode="External"/><Relationship Id="rId1256" Type="http://schemas.openxmlformats.org/officeDocument/2006/relationships/hyperlink" Target="https://www.linkedin.com/posts/emily-abbott-0546_check-out-this-job-at-federated-hermes-9139-activity-7225446528566337536-UI8u?utm_source=share&amp;utm_medium=member_desktop" TargetMode="External"/><Relationship Id="rId1004" Type="http://schemas.openxmlformats.org/officeDocument/2006/relationships/hyperlink" Target="https://www.linkedin.com/posts/samuelbrownell_cucollaborate-is-looking-for-a-data-analyst-activity-7228748783759609856-f2q-?utm_source=share&amp;utm_medium=member_desktop" TargetMode="External"/><Relationship Id="rId1246" Type="http://schemas.openxmlformats.org/officeDocument/2006/relationships/hyperlink" Target="https://www.linkedin.com/posts/activity-7226279120656105473-8hm8?utm_source=share&amp;utm_medium=member_desktop" TargetMode="External"/><Relationship Id="rId1005" Type="http://schemas.openxmlformats.org/officeDocument/2006/relationships/hyperlink" Target="https://www.linkedin.com/posts/steve-rose-44b04469_accounting-analyst-flex-homeoffice-activity-7228735959733784578-iseK?utm_source=share&amp;utm_medium=member_desktop" TargetMode="External"/><Relationship Id="rId1247" Type="http://schemas.openxmlformats.org/officeDocument/2006/relationships/hyperlink" Target="https://www.linkedin.com/posts/erin-douglas-94504667_jobs-burlington-stores-inc-activity-7226208501130297344-882c?utm_source=share&amp;utm_medium=member_desktop" TargetMode="External"/><Relationship Id="rId1006" Type="http://schemas.openxmlformats.org/officeDocument/2006/relationships/hyperlink" Target="https://www.linkedin.com/posts/lesliewidget_sales-auditor-analyst-in-fishers-in-activity-7228766384078348288-CJW0?utm_source=share&amp;utm_medium=member_desktop" TargetMode="External"/><Relationship Id="rId1248" Type="http://schemas.openxmlformats.org/officeDocument/2006/relationships/hyperlink" Target="https://www.linkedin.com/posts/elaine-luhring-barinotto_analytics-sr-manager-home-lending-capital-activity-7226274795871485953-qnqd?utm_source=share&amp;utm_medium=member_desktop" TargetMode="External"/><Relationship Id="rId1007" Type="http://schemas.openxmlformats.org/officeDocument/2006/relationships/hyperlink" Target="https://www.linkedin.com/posts/will-simpson-24489522_i-was-disappointed-to-hear-about-the-recent-activity-7228746358784999424-P8jl?utm_source=share&amp;utm_medium=member_desktop" TargetMode="External"/><Relationship Id="rId1249" Type="http://schemas.openxmlformats.org/officeDocument/2006/relationships/hyperlink" Target="https://www.linkedin.com/posts/judyhalltalentacquisition_manager-forecasting-commercial-analytics-activity-7226251959987556352-z7W4?utm_source=share&amp;utm_medium=member_desktop" TargetMode="External"/><Relationship Id="rId1008" Type="http://schemas.openxmlformats.org/officeDocument/2006/relationships/hyperlink" Target="https://www.linkedin.com/posts/lourdes-rocha-cir-certified-8b40591a_revenue-financial-analyst-iii-in-los-angeles-activity-7228773071782879234-PJQ3?utm_source=share&amp;utm_medium=member_desktop" TargetMode="External"/><Relationship Id="rId1009" Type="http://schemas.openxmlformats.org/officeDocument/2006/relationships/hyperlink" Target="https://www.linkedin.com/posts/caitlyn-auletta_mastercard-is-looking-to-fill-the-supply-activity-7228871438433206273-Ws3r?utm_source=share&amp;utm_medium=member_desktop" TargetMode="External"/><Relationship Id="rId415" Type="http://schemas.openxmlformats.org/officeDocument/2006/relationships/hyperlink" Target="https://www.linkedin.com/posts/daniel-rood-4a4177114_hiring-activity-7234730145217941504-tgrT?utm_source=share&amp;utm_medium=member_desktop" TargetMode="External"/><Relationship Id="rId657" Type="http://schemas.openxmlformats.org/officeDocument/2006/relationships/hyperlink" Target="https://www.linkedin.com/posts/chanisemtaylor_uti-hris-ukg-activity-7232044430910787585-4-G8?utm_source=share&amp;utm_medium=member_desktop" TargetMode="External"/><Relationship Id="rId899" Type="http://schemas.openxmlformats.org/officeDocument/2006/relationships/hyperlink" Target="https://www.linkedin.com/posts/lynn-moffett_compensation-payequity-paytransparency-activity-7229943983626407936-GPMD?utm_source=share&amp;utm_medium=member_desktop" TargetMode="External"/><Relationship Id="rId414" Type="http://schemas.openxmlformats.org/officeDocument/2006/relationships/hyperlink" Target="https://www.linkedin.com/posts/casey-kerins-64a58392_hello-everyone-my-team-is-hiring-a-data-activity-7234693502234673152--LbS?utm_source=share&amp;utm_medium=member_desktop" TargetMode="External"/><Relationship Id="rId656" Type="http://schemas.openxmlformats.org/officeDocument/2006/relationships/hyperlink" Target="https://www.linkedin.com/posts/mauramb_the-movement-cooperative-is-hiring-a-data-ugcPost-7232059695828492289-IEF0?utm_source=share&amp;utm_medium=member_desktop" TargetMode="External"/><Relationship Id="rId898" Type="http://schemas.openxmlformats.org/officeDocument/2006/relationships/hyperlink" Target="https://www.linkedin.com/posts/jesse-bishop-cpa_hiring-activity-7229842240938909696-kwr8?utm_source=share&amp;utm_medium=member_desktop" TargetMode="External"/><Relationship Id="rId413" Type="http://schemas.openxmlformats.org/officeDocument/2006/relationships/hyperlink" Target="https://www.linkedin.com/posts/rocele-e-6654675b_were-hiring-for-a-data-assistant-this-person-activity-7234793068191793153-Wnvd?utm_source=share&amp;utm_medium=member_desktop" TargetMode="External"/><Relationship Id="rId655" Type="http://schemas.openxmlformats.org/officeDocument/2006/relationships/hyperlink" Target="https://www.linkedin.com/posts/jaya-pokuri-bb56a370_were-hiring-for-a-healthcare-data-scientist-activity-7232053269102047234-HBMJ?utm_source=share&amp;utm_medium=member_desktop" TargetMode="External"/><Relationship Id="rId897" Type="http://schemas.openxmlformats.org/officeDocument/2006/relationships/hyperlink" Target="https://www.linkedin.com/posts/nzahradka_were-hiring-senior-clinical-data-scientist-activity-7229881007494053890-Xcgc?utm_source=share&amp;utm_medium=member_desktop" TargetMode="External"/><Relationship Id="rId412" Type="http://schemas.openxmlformats.org/officeDocument/2006/relationships/hyperlink" Target="https://www.linkedin.com/posts/swetha-v-085356241_hi-all-hexaware-is-hiring-on-fulltime-for-activity-7234642931846963201-x0gx?utm_source=share&amp;utm_medium=member_desktop" TargetMode="External"/><Relationship Id="rId654" Type="http://schemas.openxmlformats.org/officeDocument/2006/relationships/hyperlink" Target="https://www.linkedin.com/posts/elimoore_hiring-activity-7232194460921516032-HBAm?utm_source=share&amp;utm_medium=member_desktop" TargetMode="External"/><Relationship Id="rId896" Type="http://schemas.openxmlformats.org/officeDocument/2006/relationships/hyperlink" Target="https://www.linkedin.com/posts/kevinpardais_hiring-businessintelligence-tesla-activity-7229922600381009922-L5uT?utm_source=share&amp;utm_medium=member_desktop" TargetMode="External"/><Relationship Id="rId419" Type="http://schemas.openxmlformats.org/officeDocument/2006/relationships/hyperlink" Target="https://www.linkedin.com/posts/anil-bharadwa-2070161_hiring-activity-7234732112090714112-qNYN?utm_source=share&amp;utm_medium=member_desktop" TargetMode="External"/><Relationship Id="rId418" Type="http://schemas.openxmlformats.org/officeDocument/2006/relationships/hyperlink" Target="https://www.linkedin.com/posts/toby-wann_hiring-jobopportunity-financecareers-activity-7234904175736737792-iLG5?utm_source=share&amp;utm_medium=member_desktop" TargetMode="External"/><Relationship Id="rId417" Type="http://schemas.openxmlformats.org/officeDocument/2006/relationships/hyperlink" Target="https://www.linkedin.com/posts/jade-gallagher_recruitment-activity-7234917293598687232-Q1o_?utm_source=share&amp;utm_medium=member_desktop" TargetMode="External"/><Relationship Id="rId659" Type="http://schemas.openxmlformats.org/officeDocument/2006/relationships/hyperlink" Target="https://www.linkedin.com/posts/sonika-shrestha_data-analyst-sleepy-eye-mn-activity-7232354539306110976-VeVc?utm_source=share&amp;utm_medium=member_desktop" TargetMode="External"/><Relationship Id="rId416" Type="http://schemas.openxmlformats.org/officeDocument/2006/relationships/hyperlink" Target="https://www.linkedin.com/posts/activity-7234913159558361088-uHQZ?utm_source=share&amp;utm_medium=member_desktop" TargetMode="External"/><Relationship Id="rId658" Type="http://schemas.openxmlformats.org/officeDocument/2006/relationships/hyperlink" Target="https://www.linkedin.com/posts/ryanahaggerty_oneima-powerbi-dax-activity-7232080159510605824-RwER?utm_source=share&amp;utm_medium=member_desktop" TargetMode="External"/><Relationship Id="rId891" Type="http://schemas.openxmlformats.org/officeDocument/2006/relationships/hyperlink" Target="https://www.linkedin.com/posts/jonathan-neuhardt-8a188221_senior-escalations-analyst-commerce-platform-activity-7229887306071949313-ht6V?utm_source=share&amp;utm_medium=member_desktop" TargetMode="External"/><Relationship Id="rId890" Type="http://schemas.openxmlformats.org/officeDocument/2006/relationships/hyperlink" Target="https://www.linkedin.com/posts/kristinabennettcontreras_aledade-senior-research-analyst-remote-activity-7230035350230839296-zzl2?utm_source=share&amp;utm_medium=member_desktop" TargetMode="External"/><Relationship Id="rId1240" Type="http://schemas.openxmlformats.org/officeDocument/2006/relationships/hyperlink" Target="https://www.linkedin.com/posts/jenna-smidt_regional-financial-analyst-in-houston-tx-activity-7226011628025044992-4_if?utm_source=share&amp;utm_medium=member_desktop" TargetMode="External"/><Relationship Id="rId1241" Type="http://schemas.openxmlformats.org/officeDocument/2006/relationships/hyperlink" Target="https://www.linkedin.com/posts/anthony-mapp-b8a98980_financial-analyst-sp2-activity-7226281464349270017-5TMM?utm_source=share&amp;utm_medium=member_desktop" TargetMode="External"/><Relationship Id="rId411" Type="http://schemas.openxmlformats.org/officeDocument/2006/relationships/hyperlink" Target="https://www.linkedin.com/posts/mattharrell_givebacks-activity-7234912885448019968-mFIZ?utm_source=share&amp;utm_medium=member_desktop" TargetMode="External"/><Relationship Id="rId653" Type="http://schemas.openxmlformats.org/officeDocument/2006/relationships/hyperlink" Target="https://www.linkedin.com/posts/fei-feng-1b6aba82_hiring-a-data-scientist-based-in-seattle-activity-7231461702431596544-tytQ?utm_source=share&amp;utm_medium=member_desktop" TargetMode="External"/><Relationship Id="rId895" Type="http://schemas.openxmlformats.org/officeDocument/2006/relationships/hyperlink" Target="https://www.linkedin.com/posts/lenny-moe-802518114_financial-analyst-ii-activity-7229947125705359360-NGIE?utm_source=share&amp;utm_medium=member_ios" TargetMode="External"/><Relationship Id="rId1000" Type="http://schemas.openxmlformats.org/officeDocument/2006/relationships/hyperlink" Target="https://www.linkedin.com/posts/shawn-tumblin_business-analyst-activity-7228759516471775233-yqjE?utm_source=share&amp;utm_medium=member_desktop" TargetMode="External"/><Relationship Id="rId1242" Type="http://schemas.openxmlformats.org/officeDocument/2006/relationships/hyperlink" Target="https://www.linkedin.com/posts/brittney-decker-mba_billing-operations-analyst-remote-north-activity-7225997158091501568-tBl9?utm_source=share&amp;utm_medium=member_desktop" TargetMode="External"/><Relationship Id="rId410" Type="http://schemas.openxmlformats.org/officeDocument/2006/relationships/hyperlink" Target="https://www.linkedin.com/posts/bwbrandt_health-informatics-data-analyst-i-at-carnival-activity-7234931463354224640-YIrM?utm_source=share&amp;utm_medium=member_desktop" TargetMode="External"/><Relationship Id="rId652" Type="http://schemas.openxmlformats.org/officeDocument/2006/relationships/hyperlink" Target="https://www.linkedin.com/posts/jenna-lemonias-78932865_senior-data-scientist-activity-7229119325830336513-Rpws?utm_source=share&amp;utm_medium=member_desktop" TargetMode="External"/><Relationship Id="rId894" Type="http://schemas.openxmlformats.org/officeDocument/2006/relationships/hyperlink" Target="https://www.linkedin.com/posts/amanda-m-zanville_we-are-hiring-a-nuuly-associate-analyst-activity-7229921760928804864-GN_o?utm_source=share&amp;utm_medium=member_desktop" TargetMode="External"/><Relationship Id="rId1001" Type="http://schemas.openxmlformats.org/officeDocument/2006/relationships/hyperlink" Target="https://www.linkedin.com/posts/adamschwoerer_weve-got-a-great-opportunity-for-a-business-activity-7228754849918558210-bnn1?utm_source=share&amp;utm_medium=member_desktop" TargetMode="External"/><Relationship Id="rId1243" Type="http://schemas.openxmlformats.org/officeDocument/2006/relationships/hyperlink" Target="https://www.linkedin.com/posts/kristina-steen-joye-lyles-26650633_business-analyst-strategy-innovation-activity-7226243020034101249-pgUI?utm_source=share&amp;utm_medium=member_desktop" TargetMode="External"/><Relationship Id="rId651" Type="http://schemas.openxmlformats.org/officeDocument/2006/relationships/hyperlink" Target="https://www.linkedin.com/posts/ashokbalajir_latentview-analytics-hiring-data-analyst-activity-7232147768297799680-6pAO?utm_source=share&amp;utm_medium=member_desktop" TargetMode="External"/><Relationship Id="rId893" Type="http://schemas.openxmlformats.org/officeDocument/2006/relationships/hyperlink" Target="https://www.linkedin.com/posts/diana-clough_hi-compensation-friends-databricks-is-hiring-activity-7229849062504579073-GqxH?utm_source=share&amp;utm_medium=member_desktop" TargetMode="External"/><Relationship Id="rId1002" Type="http://schemas.openxmlformats.org/officeDocument/2006/relationships/hyperlink" Target="https://www.linkedin.com/posts/gianna-battaglia-50037423b_hiring-powerbi-dataanalyst-activity-7228742485559181314-036F?utm_source=share&amp;utm_medium=member_desktop" TargetMode="External"/><Relationship Id="rId1244" Type="http://schemas.openxmlformats.org/officeDocument/2006/relationships/hyperlink" Target="https://www.linkedin.com/posts/mzahid80_vestiscareers-workplaceuniforms-workplacesupplies-activity-7226316143974592512-Yx5N?utm_source=share&amp;utm_medium=member_desktop" TargetMode="External"/><Relationship Id="rId650" Type="http://schemas.openxmlformats.org/officeDocument/2006/relationships/hyperlink" Target="https://www.linkedin.com/posts/haley-jaynes-revel_hiring-hiring-jobopportunity-activity-7232378657191735297-vCCi?utm_source=share&amp;utm_medium=member_desktop" TargetMode="External"/><Relationship Id="rId892" Type="http://schemas.openxmlformats.org/officeDocument/2006/relationships/hyperlink" Target="https://www.linkedin.com/posts/cory-scofield-92b47112_were-growing-i-love-the-work-we-do-and-activity-7229885797343145984-pJuX?utm_source=share&amp;utm_medium=member_desktop" TargetMode="External"/><Relationship Id="rId1003" Type="http://schemas.openxmlformats.org/officeDocument/2006/relationships/hyperlink" Target="https://www.linkedin.com/posts/krystal-acosta-3834711b7_hiring-activity-7228735218776469504-oiVn?utm_source=share&amp;utm_medium=member_desktop" TargetMode="External"/><Relationship Id="rId1245" Type="http://schemas.openxmlformats.org/officeDocument/2006/relationships/hyperlink" Target="https://www.linkedin.com/posts/abbymarks95_facilities-operations-analyst-in-knoxville-activity-7226297847334248448-0aOO?utm_source=share&amp;utm_medium=member_desktop" TargetMode="External"/><Relationship Id="rId1037" Type="http://schemas.openxmlformats.org/officeDocument/2006/relationships/hyperlink" Target="https://www.linkedin.com/posts/melissa-ercoli_business-analyst-santa-monica-red-bull-activity-7227820963734675457-TbN4?utm_source=share&amp;utm_medium=member_desktop" TargetMode="External"/><Relationship Id="rId1279" Type="http://schemas.openxmlformats.org/officeDocument/2006/relationships/hyperlink" Target="https://www.linkedin.com/posts/activity-7225193384234131456-oWz-?utm_source=share&amp;utm_medium=member_desktop" TargetMode="External"/><Relationship Id="rId1038" Type="http://schemas.openxmlformats.org/officeDocument/2006/relationships/hyperlink" Target="https://www.linkedin.com/posts/rileythompsxn_check-out-this-job-here-at-vmg-health-financial-activity-7227759649385500673-jVx3?utm_source=share&amp;utm_medium=member_desktop" TargetMode="External"/><Relationship Id="rId1039" Type="http://schemas.openxmlformats.org/officeDocument/2006/relationships/hyperlink" Target="https://www.linkedin.com/posts/schamper_orlando-area-friends-check-out-this-job-activity-7228051527075033088-Y2N4?utm_source=share&amp;utm_medium=member_desktop" TargetMode="External"/><Relationship Id="rId206" Type="http://schemas.openxmlformats.org/officeDocument/2006/relationships/hyperlink" Target="https://www.linkedin.com/posts/lsrollins_senior-data-scientist-activity-7237855799929131009-sR_Y?utm_source=share&amp;utm_medium=member_desktop" TargetMode="External"/><Relationship Id="rId448" Type="http://schemas.openxmlformats.org/officeDocument/2006/relationships/hyperlink" Target="https://www.linkedin.com/posts/katie-robert_were-excited-to-be-recruiting-for-a-new-activity-7232453451270569985-PkK-?utm_source=share&amp;utm_medium=member_desktop" TargetMode="External"/><Relationship Id="rId205" Type="http://schemas.openxmlformats.org/officeDocument/2006/relationships/hyperlink" Target="https://www.linkedin.com/posts/maststacy_marketing-intel-analyst-senior-in-remote-activity-7237887405947514883-Te2s?utm_source=share&amp;utm_medium=member_desktop" TargetMode="External"/><Relationship Id="rId447" Type="http://schemas.openxmlformats.org/officeDocument/2006/relationships/hyperlink" Target="https://www.linkedin.com/posts/sampygajre_hiring-activity-7234586131315519488-d4iB?utm_source=share&amp;utm_medium=member_desktop" TargetMode="External"/><Relationship Id="rId689" Type="http://schemas.openxmlformats.org/officeDocument/2006/relationships/hyperlink" Target="https://www.linkedin.com/posts/harli-davidson_business-data-engineer-activity-7232117432885067778-DKC-?utm_source=share&amp;utm_medium=member_desktop" TargetMode="External"/><Relationship Id="rId204" Type="http://schemas.openxmlformats.org/officeDocument/2006/relationships/hyperlink" Target="https://www.linkedin.com/posts/kate-gemmellaro_hiring-ugcPost-7237791380452900864-1AwL?utm_source=share&amp;utm_medium=member_desktop" TargetMode="External"/><Relationship Id="rId446" Type="http://schemas.openxmlformats.org/officeDocument/2006/relationships/hyperlink" Target="https://www.linkedin.com/posts/ryansteffner_recruiting-for-three-roles-on-our-finance-activity-7234257718646075392-PozM?utm_source=share&amp;utm_medium=member_desktop" TargetMode="External"/><Relationship Id="rId688" Type="http://schemas.openxmlformats.org/officeDocument/2006/relationships/hyperlink" Target="https://www.linkedin.com/posts/activity-7232008913192189952-E6ky?utm_source=share&amp;utm_medium=member_desktop" TargetMode="External"/><Relationship Id="rId203" Type="http://schemas.openxmlformats.org/officeDocument/2006/relationships/hyperlink" Target="https://www.linkedin.com/posts/michael--rivers_insights-analyst-is-data-consultant-activity-7237920629977456640-aEpl?utm_source=share&amp;utm_medium=member_desktop" TargetMode="External"/><Relationship Id="rId445" Type="http://schemas.openxmlformats.org/officeDocument/2006/relationships/hyperlink" Target="https://www.linkedin.com/posts/eric-hayward-7393b038_haus-analytical-lead-activity-7234361477145501697-CW0g?utm_source=share&amp;utm_medium=member_desktop" TargetMode="External"/><Relationship Id="rId687" Type="http://schemas.openxmlformats.org/officeDocument/2006/relationships/hyperlink" Target="https://www.linkedin.com/posts/michael-zabrycki_our-team-is-hiring-an-analyst-in-houston-activity-7231828367795175425-rAOl?utm_source=share&amp;utm_medium=member_desktop" TargetMode="External"/><Relationship Id="rId209" Type="http://schemas.openxmlformats.org/officeDocument/2006/relationships/hyperlink" Target="https://www.linkedin.com/posts/anniefyang_come-help-shape-the-future-of-marketing-activity-7237977509462429696-bD-A?utm_source=share&amp;utm_medium=member_desktop" TargetMode="External"/><Relationship Id="rId208" Type="http://schemas.openxmlformats.org/officeDocument/2006/relationships/hyperlink" Target="https://www.linkedin.com/posts/pbhealy_come-join-our-team-in-this-critical-role-activity-7237902896506294272-HIaG?utm_source=share&amp;utm_medium=member_desktop" TargetMode="External"/><Relationship Id="rId207" Type="http://schemas.openxmlformats.org/officeDocument/2006/relationships/hyperlink" Target="https://www.linkedin.com/posts/tera-berkey-19663935_hiring-remote-jobopportunity-activity-7237884653905309696-Tx57?utm_source=share&amp;utm_medium=member_desktop" TargetMode="External"/><Relationship Id="rId449" Type="http://schemas.openxmlformats.org/officeDocument/2006/relationships/hyperlink" Target="https://www.linkedin.com/posts/jimerhard_kcjobs-hiring-immediatehire-activity-7234569985233207296-Px1M?utm_source=share&amp;utm_medium=member_desktop" TargetMode="External"/><Relationship Id="rId1270" Type="http://schemas.openxmlformats.org/officeDocument/2006/relationships/hyperlink" Target="https://www.linkedin.com/posts/tracey-dural-5aa7b1128_analytics-reporting-manager-tableau-activity-7219403842289905664-X6BV?utm_source=share&amp;utm_medium=member_desktop" TargetMode="External"/><Relationship Id="rId440" Type="http://schemas.openxmlformats.org/officeDocument/2006/relationships/hyperlink" Target="https://www.linkedin.com/posts/activity-7234705673937178624-WhRp?utm_source=share&amp;utm_medium=member_desktop" TargetMode="External"/><Relationship Id="rId682" Type="http://schemas.openxmlformats.org/officeDocument/2006/relationships/hyperlink" Target="https://www.linkedin.com/posts/vincentbillante_operations-analyst-activity-7232053854190624769-bxtZ?utm_source=share&amp;utm_medium=member_desktop" TargetMode="External"/><Relationship Id="rId1271" Type="http://schemas.openxmlformats.org/officeDocument/2006/relationships/hyperlink" Target="https://www.linkedin.com/posts/makinseylesak_analytics-manager-revenue-operations-sales-activity-7222643913944170499-d_cI?utm_source=share&amp;utm_medium=member_desktop" TargetMode="External"/><Relationship Id="rId681" Type="http://schemas.openxmlformats.org/officeDocument/2006/relationships/hyperlink" Target="https://www.linkedin.com/posts/laura-dawson-ullrich_research-analyst-community-college-workforce-activity-7232044435574837248-olrG?utm_source=share&amp;utm_medium=member_desktop" TargetMode="External"/><Relationship Id="rId1030" Type="http://schemas.openxmlformats.org/officeDocument/2006/relationships/hyperlink" Target="https://www.linkedin.com/posts/elizabeth-moore-prc-96b496b5_hi-finance-friends-my-employer-caresource-activity-7227357769819955201-_74Q?utm_source=share&amp;utm_medium=member_desktop" TargetMode="External"/><Relationship Id="rId1272" Type="http://schemas.openxmlformats.org/officeDocument/2006/relationships/hyperlink" Target="https://www.linkedin.com/posts/janie-ewton_hiring-opportunity-productmanagement-activity-7225520864836907009-KCiM?utm_source=share&amp;utm_medium=member_desktop" TargetMode="External"/><Relationship Id="rId680" Type="http://schemas.openxmlformats.org/officeDocument/2006/relationships/hyperlink" Target="https://www.linkedin.com/posts/yogeshraja-ramasamy-1898b7234_check-out-this-job-at-walmart-data-ventures-activity-7232041711286280194-CtHo?utm_source=share&amp;utm_medium=member_desktop" TargetMode="External"/><Relationship Id="rId1031" Type="http://schemas.openxmlformats.org/officeDocument/2006/relationships/hyperlink" Target="https://www.linkedin.com/posts/sarabethcolvin_avp-senior-fpa-analyst-activity-7228068228835479552-o4fL?utm_source=share&amp;utm_medium=member_desktop" TargetMode="External"/><Relationship Id="rId1273" Type="http://schemas.openxmlformats.org/officeDocument/2006/relationships/hyperlink" Target="https://www.linkedin.com/posts/shanahedge_gtm-finance-and-strategy-operations-activity-7224827657044033537-tMKQ?utm_source=share&amp;utm_medium=member_desktop" TargetMode="External"/><Relationship Id="rId1032" Type="http://schemas.openxmlformats.org/officeDocument/2006/relationships/hyperlink" Target="https://www.linkedin.com/posts/tinacaffee_hi-everyone-we-have-a-rare-opening-here-activity-7227491549159284736-6en_?utm_source=share&amp;utm_medium=member_desktop" TargetMode="External"/><Relationship Id="rId1274" Type="http://schemas.openxmlformats.org/officeDocument/2006/relationships/hyperlink" Target="https://www.linkedin.com/posts/omarvidaure_apply-join-the-collective-activity-7224179802864304128-m_C-?utm_source=share&amp;utm_medium=member_desktop" TargetMode="External"/><Relationship Id="rId202" Type="http://schemas.openxmlformats.org/officeDocument/2006/relationships/hyperlink" Target="https://www.linkedin.com/posts/jenna-barham_senior-people-systems-analyst-workday-activity-7237967068518572032-DJVP?utm_source=share&amp;utm_medium=member_desktop" TargetMode="External"/><Relationship Id="rId444" Type="http://schemas.openxmlformats.org/officeDocument/2006/relationships/hyperlink" Target="https://www.linkedin.com/posts/emily-walia-rossman-946aa92b_senior-analyst-financial-reporting-activity-7234646341312770050-6z_d?utm_source=share&amp;utm_medium=member_desktop" TargetMode="External"/><Relationship Id="rId686" Type="http://schemas.openxmlformats.org/officeDocument/2006/relationships/hyperlink" Target="https://www.linkedin.com/posts/westonschutt_jobopening-complianceanalyst-joinourteam-activity-7231370249583964161-6s_h?utm_source=share&amp;utm_medium=member_desktop" TargetMode="External"/><Relationship Id="rId1033" Type="http://schemas.openxmlformats.org/officeDocument/2006/relationships/hyperlink" Target="https://www.linkedin.com/posts/activity-7227806297583239168-0Cxg?utm_source=share&amp;utm_medium=member_desktop" TargetMode="External"/><Relationship Id="rId1275" Type="http://schemas.openxmlformats.org/officeDocument/2006/relationships/hyperlink" Target="https://www.linkedin.com/posts/sarah-wilson-cullerton-575a0a17_business-analyst-cs-operations-qualia-activity-7225149995568545792-UNme?utm_source=share&amp;utm_medium=member_desktop" TargetMode="External"/><Relationship Id="rId201" Type="http://schemas.openxmlformats.org/officeDocument/2006/relationships/hyperlink" Target="https://www.linkedin.com/posts/tinggu9608_were-hiring-a-senior-data-scientist-for-activity-7237946727759028224-H6ts?utm_source=share&amp;utm_medium=member_desktop" TargetMode="External"/><Relationship Id="rId443" Type="http://schemas.openxmlformats.org/officeDocument/2006/relationships/hyperlink" Target="https://www.linkedin.com/posts/chasefitzgerald_were-looking-for-a-new-data-analyst-to-join-activity-7234642450848301060-45Bj?utm_source=share&amp;utm_medium=member_desktop" TargetMode="External"/><Relationship Id="rId685" Type="http://schemas.openxmlformats.org/officeDocument/2006/relationships/hyperlink" Target="https://www.linkedin.com/posts/sean-nelms_interested-in-leaning-into-ai-with-air-force-activity-7231313499107258368-h46o?utm_source=share&amp;utm_medium=member_desktop" TargetMode="External"/><Relationship Id="rId1034" Type="http://schemas.openxmlformats.org/officeDocument/2006/relationships/hyperlink" Target="https://www.linkedin.com/posts/arielle-mir-8b33ba9_cat-lovers-know-that-av-health-care-is-activity-7224856181775708160-Kx4g?utm_source=share&amp;utm_medium=member_desktop" TargetMode="External"/><Relationship Id="rId1276" Type="http://schemas.openxmlformats.org/officeDocument/2006/relationships/hyperlink" Target="https://www.linkedin.com/posts/andre-washington-0b726589_verse-medical-data-analyst-activity-7225179864566259714-fYIV?utm_source=share&amp;utm_medium=member_desktop" TargetMode="External"/><Relationship Id="rId200" Type="http://schemas.openxmlformats.org/officeDocument/2006/relationships/hyperlink" Target="https://www.linkedin.com/posts/carmenrli_datascience-quantanalysis-ai-activity-7237681543563943936-2ciU?utm_source=share&amp;utm_medium=member_desktop" TargetMode="External"/><Relationship Id="rId442" Type="http://schemas.openxmlformats.org/officeDocument/2006/relationships/hyperlink" Target="https://www.linkedin.com/posts/justin-lyles-44596242_my-team-is-looking-to-add-on-a-new-operations-activity-7234605183471644672-9MnX?utm_source=share&amp;utm_medium=member_desktop" TargetMode="External"/><Relationship Id="rId684" Type="http://schemas.openxmlformats.org/officeDocument/2006/relationships/hyperlink" Target="https://www.linkedin.com/posts/activity-7231762009778712576-0t9V?utm_source=share&amp;utm_medium=member_desktop" TargetMode="External"/><Relationship Id="rId1035" Type="http://schemas.openxmlformats.org/officeDocument/2006/relationships/hyperlink" Target="https://www.linkedin.com/posts/kevin-atkins-5b217328_aledade-value-based-care-performance-analyst-activity-7227783254303457280-_f2X?utm_source=share&amp;utm_medium=member_desktop" TargetMode="External"/><Relationship Id="rId1277" Type="http://schemas.openxmlformats.org/officeDocument/2006/relationships/hyperlink" Target="https://www.linkedin.com/posts/fmour1_check-out-this-job-at-schneider-electric-activity-7225487843056386048-Dx6f?utm_source=share&amp;utm_medium=member_desktop" TargetMode="External"/><Relationship Id="rId441" Type="http://schemas.openxmlformats.org/officeDocument/2006/relationships/hyperlink" Target="https://www.linkedin.com/posts/activity-7234685013730963456-Zlsq?utm_source=share&amp;utm_medium=member_desktop" TargetMode="External"/><Relationship Id="rId683" Type="http://schemas.openxmlformats.org/officeDocument/2006/relationships/hyperlink" Target="https://www.linkedin.com/posts/tatiana-shnaiden_i-am-hiring-great-opportunity-for-an-independent-activity-7232029840432898049-9mwI?utm_source=share&amp;utm_medium=member_desktop" TargetMode="External"/><Relationship Id="rId1036" Type="http://schemas.openxmlformats.org/officeDocument/2006/relationships/hyperlink" Target="https://www.linkedin.com/posts/nabin-ghimire-187485a_service-product-analytics-quant-analytics-activity-7227789783853408256-wtQZ?utm_source=share&amp;utm_medium=member_desktop" TargetMode="External"/><Relationship Id="rId1278" Type="http://schemas.openxmlformats.org/officeDocument/2006/relationships/hyperlink" Target="https://www.linkedin.com/posts/annaclairekp_marketing-science-analyst-activity-7225210646575902720-9Fmo?utm_source=share&amp;utm_medium=member_desktop" TargetMode="External"/><Relationship Id="rId1026" Type="http://schemas.openxmlformats.org/officeDocument/2006/relationships/hyperlink" Target="https://www.linkedin.com/posts/julieann-li_marketing-data-scientist-activity-7228080692369272832-ca78?utm_source=share&amp;utm_medium=member_ios" TargetMode="External"/><Relationship Id="rId1268" Type="http://schemas.openxmlformats.org/officeDocument/2006/relationships/hyperlink" Target="https://www.linkedin.com/posts/joelle-craig-28835040_senior-manager-marketing-analytics-activity-7224069874933714949-_fDb?utm_source=share&amp;utm_medium=member_desktop" TargetMode="External"/><Relationship Id="rId1027" Type="http://schemas.openxmlformats.org/officeDocument/2006/relationships/hyperlink" Target="https://www.linkedin.com/posts/jazminvivanco_hiring-dataanalyst-dataanalyst-activity-7227749327765393408-PnSx?utm_source=share&amp;utm_medium=member_ios" TargetMode="External"/><Relationship Id="rId1269" Type="http://schemas.openxmlformats.org/officeDocument/2006/relationships/hyperlink" Target="https://www.linkedin.com/posts/fisken_marketing-analytics-manager-in-washington-activity-7223783390892748800-BQAm?utm_source=share&amp;utm_medium=member_desktop" TargetMode="External"/><Relationship Id="rId1028" Type="http://schemas.openxmlformats.org/officeDocument/2006/relationships/hyperlink" Target="https://www.linkedin.com/posts/activity-7228088458399879168-7VPe?utm_source=share&amp;utm_medium=member_desktop" TargetMode="External"/><Relationship Id="rId1029" Type="http://schemas.openxmlformats.org/officeDocument/2006/relationships/hyperlink" Target="https://www.linkedin.com/posts/williamdtaylor_financial-analyst-activity-7227793398429032449-T2CJ?utm_source=share&amp;utm_medium=member_desktop" TargetMode="External"/><Relationship Id="rId437" Type="http://schemas.openxmlformats.org/officeDocument/2006/relationships/hyperlink" Target="https://www.linkedin.com/posts/tmadlinger_hiring-activity-7234559824141688834-lEll?utm_source=share&amp;utm_medium=member_desktop" TargetMode="External"/><Relationship Id="rId679" Type="http://schemas.openxmlformats.org/officeDocument/2006/relationships/hyperlink" Target="https://www.linkedin.com/posts/gracellenrice_paysafe-is-hiring-senior-analyst-marketing-activity-7232122019218112513-xqkc?utm_source=share&amp;utm_medium=member_desktop" TargetMode="External"/><Relationship Id="rId436" Type="http://schemas.openxmlformats.org/officeDocument/2006/relationships/hyperlink" Target="https://www.linkedin.com/posts/brielle-siskin-13b17a70_hiring-activity-7234716714624512000-orCG?utm_source=share&amp;utm_medium=member_desktop" TargetMode="External"/><Relationship Id="rId678" Type="http://schemas.openxmlformats.org/officeDocument/2006/relationships/hyperlink" Target="https://www.linkedin.com/posts/michael-ryberg-cpa-a54149108_were-looking-for-a-financial-analyst-to-activity-7232105210360258560-E5uH?utm_source=share&amp;utm_medium=member_desktop" TargetMode="External"/><Relationship Id="rId435" Type="http://schemas.openxmlformats.org/officeDocument/2006/relationships/hyperlink" Target="https://www.linkedin.com/posts/zizizhang_were-hiring-join-our-mighty-strategic-activity-7234566405919006720-9DgN?utm_source=share&amp;utm_medium=member_desktop" TargetMode="External"/><Relationship Id="rId677" Type="http://schemas.openxmlformats.org/officeDocument/2006/relationships/hyperlink" Target="https://www.linkedin.com/posts/ella-berry-pgp_hiring-activity-7232072127179276288-Wcma?utm_source=share&amp;utm_medium=member_desktop" TargetMode="External"/><Relationship Id="rId434" Type="http://schemas.openxmlformats.org/officeDocument/2006/relationships/hyperlink" Target="https://www.linkedin.com/posts/nicolasfinger_careers-at-zocdoc-activity-7234508584238157824-NhQp?utm_source=share&amp;utm_medium=member_desktop" TargetMode="External"/><Relationship Id="rId676" Type="http://schemas.openxmlformats.org/officeDocument/2006/relationships/hyperlink" Target="https://www.linkedin.com/posts/laura-olesczuk-769835b9_deliverabetterworld-activity-7232108981865889793-fKWr?utm_source=share&amp;utm_medium=member_desktop" TargetMode="External"/><Relationship Id="rId439" Type="http://schemas.openxmlformats.org/officeDocument/2006/relationships/hyperlink" Target="https://www.linkedin.com/posts/casclark2_jobs-at-bill-bill-activity-7234635200024952832-QwLk?utm_source=share&amp;utm_medium=member_desktop" TargetMode="External"/><Relationship Id="rId438" Type="http://schemas.openxmlformats.org/officeDocument/2006/relationships/hyperlink" Target="https://www.linkedin.com/posts/activity-7234666407097987073-ZY7b?utm_source=share&amp;utm_medium=member_desktop" TargetMode="External"/><Relationship Id="rId671" Type="http://schemas.openxmlformats.org/officeDocument/2006/relationships/hyperlink" Target="https://www.linkedin.com/posts/patrick-sampson-49a6b26_novasource-is-hiring-were-looking-for-a-activity-7232142587556470784-dvoT?utm_source=share&amp;utm_medium=member_desktop" TargetMode="External"/><Relationship Id="rId1260" Type="http://schemas.openxmlformats.org/officeDocument/2006/relationships/hyperlink" Target="https://www.linkedin.com/posts/activity-7225153387439304704-HrXL?utm_source=share&amp;utm_medium=member_desktop" TargetMode="External"/><Relationship Id="rId670" Type="http://schemas.openxmlformats.org/officeDocument/2006/relationships/hyperlink" Target="https://www.linkedin.com/posts/rachel-flaishans-atl_veradigm-is-hiring-check-out-this-job-at-activity-7232196046976610304-Elg5?utm_source=share&amp;utm_medium=member_ios" TargetMode="External"/><Relationship Id="rId1261" Type="http://schemas.openxmlformats.org/officeDocument/2006/relationships/hyperlink" Target="https://www.linkedin.com/posts/girsharma_amplytics-dataanalytics-leadership-activity-7225953092779827200-OnFM?utm_source=share&amp;utm_medium=member_desktop" TargetMode="External"/><Relationship Id="rId1020" Type="http://schemas.openxmlformats.org/officeDocument/2006/relationships/hyperlink" Target="https://www.linkedin.com/posts/mculleton_check-out-this-job-at-petco-senior-data-activity-7228179811368624128-cDQe?utm_source=share&amp;utm_medium=member_ios" TargetMode="External"/><Relationship Id="rId1262" Type="http://schemas.openxmlformats.org/officeDocument/2006/relationships/hyperlink" Target="https://www.linkedin.com/posts/courtney-breece-77b08638_careers-listing-activity-7224909425008939009-mBFZ?utm_source=share&amp;utm_medium=member_desktop" TargetMode="External"/><Relationship Id="rId1021" Type="http://schemas.openxmlformats.org/officeDocument/2006/relationships/hyperlink" Target="https://www.linkedin.com/posts/chanceharbour_hiring-fiserv-datajobs-activity-7227416972479598593-mEUS?utm_source=share&amp;utm_medium=member_ios" TargetMode="External"/><Relationship Id="rId1263" Type="http://schemas.openxmlformats.org/officeDocument/2006/relationships/hyperlink" Target="https://www.linkedin.com/posts/kyra-costa_senior-web-analytics-specialist-activity-7224850232985968641-QXgl?utm_source=share&amp;utm_medium=member_desktop" TargetMode="External"/><Relationship Id="rId433" Type="http://schemas.openxmlformats.org/officeDocument/2006/relationships/hyperlink" Target="https://www.linkedin.com/posts/nicolasfinger_careers-at-zocdoc-activity-7234508584238157824-NhQp?utm_source=share&amp;utm_medium=member_desktop" TargetMode="External"/><Relationship Id="rId675" Type="http://schemas.openxmlformats.org/officeDocument/2006/relationships/hyperlink" Target="https://www.linkedin.com/posts/robertddimarco_hiring-healthcarebusinessanalyst-dataanalytics-activity-7232104668405846019-E8fD?utm_source=share&amp;utm_medium=member_desktop" TargetMode="External"/><Relationship Id="rId1022" Type="http://schemas.openxmlformats.org/officeDocument/2006/relationships/hyperlink" Target="https://www.linkedin.com/posts/violetta-ayala-26585a52_data-scientist-activity-7228079540433010690-aIIF?utm_source=share&amp;utm_medium=member_ios" TargetMode="External"/><Relationship Id="rId1264" Type="http://schemas.openxmlformats.org/officeDocument/2006/relationships/hyperlink" Target="https://www.linkedin.com/posts/aditya-prasad-the-data-guy_hiring-activity-7224793465262333953--ojX?utm_source=share&amp;utm_medium=member_desktop" TargetMode="External"/><Relationship Id="rId432" Type="http://schemas.openxmlformats.org/officeDocument/2006/relationships/hyperlink" Target="https://www.linkedin.com/posts/carissa-junger-53493bab_my-team-is-hiring-if-you-enjoy-activity-7234733989737963520-WzDH?utm_source=share&amp;utm_medium=member_desktop" TargetMode="External"/><Relationship Id="rId674" Type="http://schemas.openxmlformats.org/officeDocument/2006/relationships/hyperlink" Target="https://www.linkedin.com/posts/paige-nelson-swa_sr-big-data-analyst-activity-7232110097638809601-0fKz?utm_source=share&amp;utm_medium=member_desktop" TargetMode="External"/><Relationship Id="rId1023" Type="http://schemas.openxmlformats.org/officeDocument/2006/relationships/hyperlink" Target="https://www.linkedin.com/posts/activity-7228218573020676096-Dpes?utm_source=share&amp;utm_medium=member_ios" TargetMode="External"/><Relationship Id="rId1265" Type="http://schemas.openxmlformats.org/officeDocument/2006/relationships/hyperlink" Target="https://www.linkedin.com/posts/camila-deneen-52933a46_were-hiring-come-work-with-me-at-a-top-activity-7224856389666443264-mb-e?utm_source=share&amp;utm_medium=member_desktop" TargetMode="External"/><Relationship Id="rId431" Type="http://schemas.openxmlformats.org/officeDocument/2006/relationships/hyperlink" Target="https://www.linkedin.com/posts/julian-wright_my-team-is-hiring-were-looking-for-a-senior-activity-7234660954691489795-O-55?utm_source=share&amp;utm_medium=member_desktop" TargetMode="External"/><Relationship Id="rId673" Type="http://schemas.openxmlformats.org/officeDocument/2006/relationships/hyperlink" Target="https://www.linkedin.com/posts/jonida-sema_senior-analyst-data-and-analysis-activity-7232089996080414720-HeBK?utm_source=share&amp;utm_medium=member_desktop" TargetMode="External"/><Relationship Id="rId1024" Type="http://schemas.openxmlformats.org/officeDocument/2006/relationships/hyperlink" Target="https://www.linkedin.com/posts/mattstabile_are-you-a-senior-data-scientist-with-extensive-activity-7227784474107748352-7sjO?utm_source=share&amp;utm_medium=member_ios" TargetMode="External"/><Relationship Id="rId1266" Type="http://schemas.openxmlformats.org/officeDocument/2006/relationships/hyperlink" Target="https://www.linkedin.com/posts/rhuangray_health-care-analyst-medicare-medicaid-claims-activity-7224519203360260096-gZ9w?utm_source=share&amp;utm_medium=member_desktop" TargetMode="External"/><Relationship Id="rId430" Type="http://schemas.openxmlformats.org/officeDocument/2006/relationships/hyperlink" Target="https://www.linkedin.com/posts/darshayblount_dataanalyst-hiring-jobopportunity-activity-7234559596047044611-7_yE?utm_source=share&amp;utm_medium=member_desktop" TargetMode="External"/><Relationship Id="rId672" Type="http://schemas.openxmlformats.org/officeDocument/2006/relationships/hyperlink" Target="https://www.linkedin.com/posts/ginny-chochon-95b140114_cartograph-is-hiring-a-data-analyst-this-activity-7232093012086939648-ok4Z?utm_source=share&amp;utm_medium=member_desktop" TargetMode="External"/><Relationship Id="rId1025" Type="http://schemas.openxmlformats.org/officeDocument/2006/relationships/hyperlink" Target="https://www.linkedin.com/posts/activity-7227350004397391872-3MHB?utm_source=share&amp;utm_medium=member_ios" TargetMode="External"/><Relationship Id="rId1267" Type="http://schemas.openxmlformats.org/officeDocument/2006/relationships/hyperlink" Target="https://www.linkedin.com/posts/activity-7224477937880682496-TZZD?utm_source=share&amp;utm_medium=member_deskto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IFERROR(__xludf.DUMMYFUNCTION("IMPORTRANGE(""https://docs.google.com/spreadsheets/d/1NHyIRaMM9uNcKAWYms3UFwuQS4k-9EF5KzHqBKfqSpA/edit?usp=sharing"",""Database!A:H"")"),"Date Posted")</f>
        <v>Date Posted</v>
      </c>
      <c r="B1" s="1" t="str">
        <f>IFERROR(__xludf.DUMMYFUNCTION("""COMPUTED_VALUE"""),"Company")</f>
        <v>Company</v>
      </c>
      <c r="C1" s="1" t="str">
        <f>IFERROR(__xludf.DUMMYFUNCTION("""COMPUTED_VALUE"""),"Job Title")</f>
        <v>Job Title</v>
      </c>
      <c r="D1" s="1" t="str">
        <f>IFERROR(__xludf.DUMMYFUNCTION("""COMPUTED_VALUE"""),"Conditions")</f>
        <v>Conditions</v>
      </c>
      <c r="E1" s="1" t="str">
        <f>IFERROR(__xludf.DUMMYFUNCTION("""COMPUTED_VALUE"""),"Salary Range")</f>
        <v>Salary Range</v>
      </c>
      <c r="F1" s="1" t="str">
        <f>IFERROR(__xludf.DUMMYFUNCTION("""COMPUTED_VALUE"""),"Years of Experience")</f>
        <v>Years of Experience</v>
      </c>
      <c r="G1" s="1" t="str">
        <f>IFERROR(__xludf.DUMMYFUNCTION("""COMPUTED_VALUE"""),"Location")</f>
        <v>Location</v>
      </c>
      <c r="H1" s="1" t="str">
        <f>IFERROR(__xludf.DUMMYFUNCTION("""COMPUTED_VALUE"""),"Link")</f>
        <v>Link</v>
      </c>
    </row>
    <row r="2">
      <c r="A2" s="2">
        <f>IFERROR(__xludf.DUMMYFUNCTION("""COMPUTED_VALUE"""),45548.0)</f>
        <v>45548</v>
      </c>
      <c r="B2" s="1" t="str">
        <f>IFERROR(__xludf.DUMMYFUNCTION("""COMPUTED_VALUE"""),"CarGurus")</f>
        <v>CarGurus</v>
      </c>
      <c r="C2" s="1" t="str">
        <f>IFERROR(__xludf.DUMMYFUNCTION("""COMPUTED_VALUE"""),"Senior Sales Commission Systems &amp; Data Analyst")</f>
        <v>Senior Sales Commission Systems &amp; Data Analyst</v>
      </c>
      <c r="D2" s="1" t="str">
        <f>IFERROR(__xludf.DUMMYFUNCTION("""COMPUTED_VALUE"""),"Hybrid")</f>
        <v>Hybrid</v>
      </c>
      <c r="E2" s="3" t="str">
        <f>IFERROR(__xludf.DUMMYFUNCTION("""COMPUTED_VALUE"""),"N/A")</f>
        <v>N/A</v>
      </c>
      <c r="F2" s="1" t="str">
        <f>IFERROR(__xludf.DUMMYFUNCTION("""COMPUTED_VALUE"""),"3 - 5")</f>
        <v>3 - 5</v>
      </c>
      <c r="G2" s="1" t="str">
        <f>IFERROR(__xludf.DUMMYFUNCTION("""COMPUTED_VALUE"""),"Boston, MA")</f>
        <v>Boston, MA</v>
      </c>
      <c r="H2" s="4" t="str">
        <f>IFERROR(__xludf.DUMMYFUNCTION("""COMPUTED_VALUE"""),"https://www.linkedin.com/posts/elizabeth-stamp-mba-a5b9545a_were-hiring-check-out-this-job-at-cargurus-activity-7240366947937185792-vILp?utm_source=share&amp;utm_medium=member_desktop")</f>
        <v>https://www.linkedin.com/posts/elizabeth-stamp-mba-a5b9545a_were-hiring-check-out-this-job-at-cargurus-activity-7240366947937185792-vILp?utm_source=share&amp;utm_medium=member_desktop</v>
      </c>
    </row>
    <row r="3">
      <c r="A3" s="2">
        <f>IFERROR(__xludf.DUMMYFUNCTION("""COMPUTED_VALUE"""),45548.0)</f>
        <v>45548</v>
      </c>
      <c r="B3" s="1" t="str">
        <f>IFERROR(__xludf.DUMMYFUNCTION("""COMPUTED_VALUE"""),"Hilton")</f>
        <v>Hilton</v>
      </c>
      <c r="C3" s="1" t="str">
        <f>IFERROR(__xludf.DUMMYFUNCTION("""COMPUTED_VALUE"""),"Senior Analyst Audience Development")</f>
        <v>Senior Analyst Audience Development</v>
      </c>
      <c r="D3" s="1" t="str">
        <f>IFERROR(__xludf.DUMMYFUNCTION("""COMPUTED_VALUE"""),"On-Site")</f>
        <v>On-Site</v>
      </c>
      <c r="E3" s="3" t="str">
        <f>IFERROR(__xludf.DUMMYFUNCTION("""COMPUTED_VALUE"""),"N/A")</f>
        <v>N/A</v>
      </c>
      <c r="F3" s="1" t="str">
        <f>IFERROR(__xludf.DUMMYFUNCTION("""COMPUTED_VALUE"""),"3 - 5")</f>
        <v>3 - 5</v>
      </c>
      <c r="G3" s="1" t="str">
        <f>IFERROR(__xludf.DUMMYFUNCTION("""COMPUTED_VALUE"""),"Dallas, TX")</f>
        <v>Dallas, TX</v>
      </c>
      <c r="H3" s="4" t="str">
        <f>IFERROR(__xludf.DUMMYFUNCTION("""COMPUTED_VALUE"""),"https://www.linkedin.com/posts/whitneybblanton_hilton-hiltonjobs-everyjobmakesthestay-activity-7240344337333567488-bv5f?utm_source=share&amp;utm_medium=member_desktop")</f>
        <v>https://www.linkedin.com/posts/whitneybblanton_hilton-hiltonjobs-everyjobmakesthestay-activity-7240344337333567488-bv5f?utm_source=share&amp;utm_medium=member_desktop</v>
      </c>
    </row>
    <row r="4">
      <c r="A4" s="2">
        <f>IFERROR(__xludf.DUMMYFUNCTION("""COMPUTED_VALUE"""),45548.0)</f>
        <v>45548</v>
      </c>
      <c r="B4" s="1" t="str">
        <f>IFERROR(__xludf.DUMMYFUNCTION("""COMPUTED_VALUE"""),"Sprout Social")</f>
        <v>Sprout Social</v>
      </c>
      <c r="C4" s="1" t="str">
        <f>IFERROR(__xludf.DUMMYFUNCTION("""COMPUTED_VALUE"""),"Manager, Data Science - AI")</f>
        <v>Manager, Data Science - AI</v>
      </c>
      <c r="D4" s="1" t="str">
        <f>IFERROR(__xludf.DUMMYFUNCTION("""COMPUTED_VALUE"""),"Remote")</f>
        <v>Remote</v>
      </c>
      <c r="E4" s="3" t="str">
        <f>IFERROR(__xludf.DUMMYFUNCTION("""COMPUTED_VALUE"""),"$205k - $240k")</f>
        <v>$205k - $240k</v>
      </c>
      <c r="F4" s="1" t="str">
        <f>IFERROR(__xludf.DUMMYFUNCTION("""COMPUTED_VALUE"""),"3 - 5")</f>
        <v>3 - 5</v>
      </c>
      <c r="G4" s="1" t="str">
        <f>IFERROR(__xludf.DUMMYFUNCTION("""COMPUTED_VALUE"""),"USA")</f>
        <v>USA</v>
      </c>
      <c r="H4" s="4" t="str">
        <f>IFERROR(__xludf.DUMMYFUNCTION("""COMPUTED_VALUE"""),"https://www.linkedin.com/posts/damian-ng_were-hiring-a-manager-data-science-ai-activity-7240031664653881346-Q6jp?utm_source=share&amp;utm_medium=member_desktop")</f>
        <v>https://www.linkedin.com/posts/damian-ng_were-hiring-a-manager-data-science-ai-activity-7240031664653881346-Q6jp?utm_source=share&amp;utm_medium=member_desktop</v>
      </c>
    </row>
    <row r="5">
      <c r="A5" s="2">
        <f>IFERROR(__xludf.DUMMYFUNCTION("""COMPUTED_VALUE"""),45548.0)</f>
        <v>45548</v>
      </c>
      <c r="B5" s="1" t="str">
        <f>IFERROR(__xludf.DUMMYFUNCTION("""COMPUTED_VALUE"""),"Jacobs")</f>
        <v>Jacobs</v>
      </c>
      <c r="C5" s="1" t="str">
        <f>IFERROR(__xludf.DUMMYFUNCTION("""COMPUTED_VALUE"""),"Market Development Analyst")</f>
        <v>Market Development Analyst</v>
      </c>
      <c r="D5" s="1" t="str">
        <f>IFERROR(__xludf.DUMMYFUNCTION("""COMPUTED_VALUE"""),"Remote")</f>
        <v>Remote</v>
      </c>
      <c r="E5" s="3" t="str">
        <f>IFERROR(__xludf.DUMMYFUNCTION("""COMPUTED_VALUE"""),"$120k - $140k")</f>
        <v>$120k - $140k</v>
      </c>
      <c r="F5" s="1" t="str">
        <f>IFERROR(__xludf.DUMMYFUNCTION("""COMPUTED_VALUE"""),"3 - 5")</f>
        <v>3 - 5</v>
      </c>
      <c r="G5" s="1" t="str">
        <f>IFERROR(__xludf.DUMMYFUNCTION("""COMPUTED_VALUE"""),"Boston, MA")</f>
        <v>Boston, MA</v>
      </c>
      <c r="H5" s="4" t="str">
        <f>IFERROR(__xludf.DUMMYFUNCTION("""COMPUTED_VALUE"""),"https://www.linkedin.com/posts/andrea-kozuch_wearehiring-transportationdata-activity-7240371400635535361-W-_n?utm_source=share&amp;utm_medium=member_desktop")</f>
        <v>https://www.linkedin.com/posts/andrea-kozuch_wearehiring-transportationdata-activity-7240371400635535361-W-_n?utm_source=share&amp;utm_medium=member_desktop</v>
      </c>
    </row>
    <row r="6">
      <c r="A6" s="2">
        <f>IFERROR(__xludf.DUMMYFUNCTION("""COMPUTED_VALUE"""),45548.0)</f>
        <v>45548</v>
      </c>
      <c r="B6" s="1" t="str">
        <f>IFERROR(__xludf.DUMMYFUNCTION("""COMPUTED_VALUE"""),"Paul Davis Restoration Inc.")</f>
        <v>Paul Davis Restoration Inc.</v>
      </c>
      <c r="C6" s="1" t="str">
        <f>IFERROR(__xludf.DUMMYFUNCTION("""COMPUTED_VALUE"""),"BI Developer")</f>
        <v>BI Developer</v>
      </c>
      <c r="D6" s="1" t="str">
        <f>IFERROR(__xludf.DUMMYFUNCTION("""COMPUTED_VALUE"""),"Remote")</f>
        <v>Remote</v>
      </c>
      <c r="E6" s="3" t="str">
        <f>IFERROR(__xludf.DUMMYFUNCTION("""COMPUTED_VALUE"""),"N/A")</f>
        <v>N/A</v>
      </c>
      <c r="F6" s="1" t="str">
        <f>IFERROR(__xludf.DUMMYFUNCTION("""COMPUTED_VALUE"""),"3 - 5")</f>
        <v>3 - 5</v>
      </c>
      <c r="G6" s="1" t="str">
        <f>IFERROR(__xludf.DUMMYFUNCTION("""COMPUTED_VALUE"""),"USA")</f>
        <v>USA</v>
      </c>
      <c r="H6" s="4" t="str">
        <f>IFERROR(__xludf.DUMMYFUNCTION("""COMPUTED_VALUE"""),"https://www.linkedin.com/posts/mike-karriker-770a3544_bi-developer-activity-7240050468138225665-tbpW?utm_source=share&amp;utm_medium=member_desktop")</f>
        <v>https://www.linkedin.com/posts/mike-karriker-770a3544_bi-developer-activity-7240050468138225665-tbpW?utm_source=share&amp;utm_medium=member_desktop</v>
      </c>
    </row>
    <row r="7">
      <c r="A7" s="2">
        <f>IFERROR(__xludf.DUMMYFUNCTION("""COMPUTED_VALUE"""),45548.0)</f>
        <v>45548</v>
      </c>
      <c r="B7" s="1" t="str">
        <f>IFERROR(__xludf.DUMMYFUNCTION("""COMPUTED_VALUE"""),"Spring Health")</f>
        <v>Spring Health</v>
      </c>
      <c r="C7" s="1" t="str">
        <f>IFERROR(__xludf.DUMMYFUNCTION("""COMPUTED_VALUE"""),"Customer Success Operations Analyst")</f>
        <v>Customer Success Operations Analyst</v>
      </c>
      <c r="D7" s="1" t="str">
        <f>IFERROR(__xludf.DUMMYFUNCTION("""COMPUTED_VALUE"""),"Remote")</f>
        <v>Remote</v>
      </c>
      <c r="E7" s="3" t="str">
        <f>IFERROR(__xludf.DUMMYFUNCTION("""COMPUTED_VALUE"""),"$66k - $82k")</f>
        <v>$66k - $82k</v>
      </c>
      <c r="F7" s="1" t="str">
        <f>IFERROR(__xludf.DUMMYFUNCTION("""COMPUTED_VALUE"""),"0 - 2")</f>
        <v>0 - 2</v>
      </c>
      <c r="G7" s="1" t="str">
        <f>IFERROR(__xludf.DUMMYFUNCTION("""COMPUTED_VALUE"""),"USA")</f>
        <v>USA</v>
      </c>
      <c r="H7" s="4" t="str">
        <f>IFERROR(__xludf.DUMMYFUNCTION("""COMPUTED_VALUE"""),"https://www.linkedin.com/posts/patti-k-handley_join-me-on-the-customer-success-operations-activity-7240331327177121792-yxQn?utm_source=share&amp;utm_medium=member_desktop")</f>
        <v>https://www.linkedin.com/posts/patti-k-handley_join-me-on-the-customer-success-operations-activity-7240331327177121792-yxQn?utm_source=share&amp;utm_medium=member_desktop</v>
      </c>
    </row>
    <row r="8">
      <c r="A8" s="2">
        <f>IFERROR(__xludf.DUMMYFUNCTION("""COMPUTED_VALUE"""),45548.0)</f>
        <v>45548</v>
      </c>
      <c r="B8" s="1" t="str">
        <f>IFERROR(__xludf.DUMMYFUNCTION("""COMPUTED_VALUE"""),"Baptist Health South Florida")</f>
        <v>Baptist Health South Florida</v>
      </c>
      <c r="C8" s="1" t="str">
        <f>IFERROR(__xludf.DUMMYFUNCTION("""COMPUTED_VALUE"""),"Informatics Data Analyst")</f>
        <v>Informatics Data Analyst</v>
      </c>
      <c r="D8" s="1" t="str">
        <f>IFERROR(__xludf.DUMMYFUNCTION("""COMPUTED_VALUE"""),"Remote")</f>
        <v>Remote</v>
      </c>
      <c r="E8" s="3" t="str">
        <f>IFERROR(__xludf.DUMMYFUNCTION("""COMPUTED_VALUE"""),"$67k - $87k")</f>
        <v>$67k - $87k</v>
      </c>
      <c r="F8" s="1" t="str">
        <f>IFERROR(__xludf.DUMMYFUNCTION("""COMPUTED_VALUE"""),"3 - 5")</f>
        <v>3 - 5</v>
      </c>
      <c r="G8" s="1" t="str">
        <f>IFERROR(__xludf.DUMMYFUNCTION("""COMPUTED_VALUE"""),"FL")</f>
        <v>FL</v>
      </c>
      <c r="H8" s="4" t="str">
        <f>IFERROR(__xludf.DUMMYFUNCTION("""COMPUTED_VALUE"""),"https://www.linkedin.com/posts/juanserrato_are-you-interested-in-working-in-healthcare-activity-7240340449897435136-o711?utm_source=share&amp;utm_medium=member_desktop")</f>
        <v>https://www.linkedin.com/posts/juanserrato_are-you-interested-in-working-in-healthcare-activity-7240340449897435136-o711?utm_source=share&amp;utm_medium=member_desktop</v>
      </c>
    </row>
    <row r="9">
      <c r="A9" s="2">
        <f>IFERROR(__xludf.DUMMYFUNCTION("""COMPUTED_VALUE"""),45548.0)</f>
        <v>45548</v>
      </c>
      <c r="B9" s="1" t="str">
        <f>IFERROR(__xludf.DUMMYFUNCTION("""COMPUTED_VALUE"""),"Blackbaud")</f>
        <v>Blackbaud</v>
      </c>
      <c r="C9" s="1" t="str">
        <f>IFERROR(__xludf.DUMMYFUNCTION("""COMPUTED_VALUE"""),"Principal Corporate Financial Analyst")</f>
        <v>Principal Corporate Financial Analyst</v>
      </c>
      <c r="D9" s="1" t="str">
        <f>IFERROR(__xludf.DUMMYFUNCTION("""COMPUTED_VALUE"""),"Remote")</f>
        <v>Remote</v>
      </c>
      <c r="E9" s="3" t="str">
        <f>IFERROR(__xludf.DUMMYFUNCTION("""COMPUTED_VALUE"""),"$88k - $114k")</f>
        <v>$88k - $114k</v>
      </c>
      <c r="F9" s="1" t="str">
        <f>IFERROR(__xludf.DUMMYFUNCTION("""COMPUTED_VALUE"""),"6 - 9")</f>
        <v>6 - 9</v>
      </c>
      <c r="G9" s="1" t="str">
        <f>IFERROR(__xludf.DUMMYFUNCTION("""COMPUTED_VALUE"""),"USA")</f>
        <v>USA</v>
      </c>
      <c r="H9" s="4" t="str">
        <f>IFERROR(__xludf.DUMMYFUNCTION("""COMPUTED_VALUE"""),"https://www.linkedin.com/posts/steven-j-tretter-cpa-mba-02953043_principal-corporate-financial-analyst-activity-7240357452792098817-IYfG?utm_source=share&amp;utm_medium=member_desktop")</f>
        <v>https://www.linkedin.com/posts/steven-j-tretter-cpa-mba-02953043_principal-corporate-financial-analyst-activity-7240357452792098817-IYfG?utm_source=share&amp;utm_medium=member_desktop</v>
      </c>
    </row>
    <row r="10">
      <c r="A10" s="2">
        <f>IFERROR(__xludf.DUMMYFUNCTION("""COMPUTED_VALUE"""),45548.0)</f>
        <v>45548</v>
      </c>
      <c r="B10" s="1" t="str">
        <f>IFERROR(__xludf.DUMMYFUNCTION("""COMPUTED_VALUE"""),"Vital Strategies")</f>
        <v>Vital Strategies</v>
      </c>
      <c r="C10" s="1" t="str">
        <f>IFERROR(__xludf.DUMMYFUNCTION("""COMPUTED_VALUE"""),"Finance Manager, Reporting &amp; Analytics")</f>
        <v>Finance Manager, Reporting &amp; Analytics</v>
      </c>
      <c r="D10" s="1" t="str">
        <f>IFERROR(__xludf.DUMMYFUNCTION("""COMPUTED_VALUE"""),"Hybrid")</f>
        <v>Hybrid</v>
      </c>
      <c r="E10" s="3" t="str">
        <f>IFERROR(__xludf.DUMMYFUNCTION("""COMPUTED_VALUE"""),"$76k - $89k")</f>
        <v>$76k - $89k</v>
      </c>
      <c r="F10" s="1" t="str">
        <f>IFERROR(__xludf.DUMMYFUNCTION("""COMPUTED_VALUE"""),"3 - 5")</f>
        <v>3 - 5</v>
      </c>
      <c r="G10" s="1" t="str">
        <f>IFERROR(__xludf.DUMMYFUNCTION("""COMPUTED_VALUE"""),"New York, NY")</f>
        <v>New York, NY</v>
      </c>
      <c r="H10" s="4" t="str">
        <f>IFERROR(__xludf.DUMMYFUNCTION("""COMPUTED_VALUE"""),"https://www.linkedin.com/posts/avani-bedi-5807872_financemanager-reporting-analytics-activity-7240237283126231040-TJ0V?utm_source=share&amp;utm_medium=member_desktop")</f>
        <v>https://www.linkedin.com/posts/avani-bedi-5807872_financemanager-reporting-analytics-activity-7240237283126231040-TJ0V?utm_source=share&amp;utm_medium=member_desktop</v>
      </c>
    </row>
    <row r="11">
      <c r="A11" s="2">
        <f>IFERROR(__xludf.DUMMYFUNCTION("""COMPUTED_VALUE"""),45548.0)</f>
        <v>45548</v>
      </c>
      <c r="B11" s="1" t="str">
        <f>IFERROR(__xludf.DUMMYFUNCTION("""COMPUTED_VALUE"""),"Chomps")</f>
        <v>Chomps</v>
      </c>
      <c r="C11" s="1" t="str">
        <f>IFERROR(__xludf.DUMMYFUNCTION("""COMPUTED_VALUE"""),"Analyst, Trade Optimization")</f>
        <v>Analyst, Trade Optimization</v>
      </c>
      <c r="D11" s="1" t="str">
        <f>IFERROR(__xludf.DUMMYFUNCTION("""COMPUTED_VALUE"""),"Remote")</f>
        <v>Remote</v>
      </c>
      <c r="E11" s="3" t="str">
        <f>IFERROR(__xludf.DUMMYFUNCTION("""COMPUTED_VALUE"""),"$75k - $80k")</f>
        <v>$75k - $80k</v>
      </c>
      <c r="F11" s="1" t="str">
        <f>IFERROR(__xludf.DUMMYFUNCTION("""COMPUTED_VALUE"""),"0 - 2")</f>
        <v>0 - 2</v>
      </c>
      <c r="G11" s="1" t="str">
        <f>IFERROR(__xludf.DUMMYFUNCTION("""COMPUTED_VALUE"""),"Chicago, IL")</f>
        <v>Chicago, IL</v>
      </c>
      <c r="H11" s="4" t="str">
        <f>IFERROR(__xludf.DUMMYFUNCTION("""COMPUTED_VALUE"""),"https://www.linkedin.com/posts/activity-7239992806042132480-DHRu?utm_source=share&amp;utm_medium=member_desktop")</f>
        <v>https://www.linkedin.com/posts/activity-7239992806042132480-DHRu?utm_source=share&amp;utm_medium=member_desktop</v>
      </c>
    </row>
    <row r="12">
      <c r="A12" s="2">
        <f>IFERROR(__xludf.DUMMYFUNCTION("""COMPUTED_VALUE"""),45548.0)</f>
        <v>45548</v>
      </c>
      <c r="B12" s="1" t="str">
        <f>IFERROR(__xludf.DUMMYFUNCTION("""COMPUTED_VALUE"""),"Hot Topic")</f>
        <v>Hot Topic</v>
      </c>
      <c r="C12" s="1" t="str">
        <f>IFERROR(__xludf.DUMMYFUNCTION("""COMPUTED_VALUE"""),"Business Intelligence Project Manager")</f>
        <v>Business Intelligence Project Manager</v>
      </c>
      <c r="D12" s="1" t="str">
        <f>IFERROR(__xludf.DUMMYFUNCTION("""COMPUTED_VALUE"""),"Hybrid")</f>
        <v>Hybrid</v>
      </c>
      <c r="E12" s="3" t="str">
        <f>IFERROR(__xludf.DUMMYFUNCTION("""COMPUTED_VALUE"""),"$85k - $100k")</f>
        <v>$85k - $100k</v>
      </c>
      <c r="F12" s="1" t="str">
        <f>IFERROR(__xludf.DUMMYFUNCTION("""COMPUTED_VALUE"""),"0 - 2")</f>
        <v>0 - 2</v>
      </c>
      <c r="G12" s="1" t="str">
        <f>IFERROR(__xludf.DUMMYFUNCTION("""COMPUTED_VALUE"""),"Industry, CA")</f>
        <v>Industry, CA</v>
      </c>
      <c r="H12" s="4" t="str">
        <f>IFERROR(__xludf.DUMMYFUNCTION("""COMPUTED_VALUE"""),"https://www.linkedin.com/posts/jillmariem_hot-topic-careers-activity-7239755747444580353-ysGI?utm_source=share&amp;utm_medium=member_desktop")</f>
        <v>https://www.linkedin.com/posts/jillmariem_hot-topic-careers-activity-7239755747444580353-ysGI?utm_source=share&amp;utm_medium=member_desktop</v>
      </c>
    </row>
    <row r="13">
      <c r="A13" s="2">
        <f>IFERROR(__xludf.DUMMYFUNCTION("""COMPUTED_VALUE"""),45548.0)</f>
        <v>45548</v>
      </c>
      <c r="B13" s="1" t="str">
        <f>IFERROR(__xludf.DUMMYFUNCTION("""COMPUTED_VALUE"""),"Deutsch Family Wine &amp; Spirits")</f>
        <v>Deutsch Family Wine &amp; Spirits</v>
      </c>
      <c r="C13" s="1" t="str">
        <f>IFERROR(__xludf.DUMMYFUNCTION("""COMPUTED_VALUE"""),"Syndicated Analyst")</f>
        <v>Syndicated Analyst</v>
      </c>
      <c r="D13" s="1" t="str">
        <f>IFERROR(__xludf.DUMMYFUNCTION("""COMPUTED_VALUE"""),"Remote")</f>
        <v>Remote</v>
      </c>
      <c r="E13" s="3" t="str">
        <f>IFERROR(__xludf.DUMMYFUNCTION("""COMPUTED_VALUE"""),"N/A")</f>
        <v>N/A</v>
      </c>
      <c r="F13" s="1" t="str">
        <f>IFERROR(__xludf.DUMMYFUNCTION("""COMPUTED_VALUE"""),"0 - 2")</f>
        <v>0 - 2</v>
      </c>
      <c r="G13" s="1" t="str">
        <f>IFERROR(__xludf.DUMMYFUNCTION("""COMPUTED_VALUE"""),"USA")</f>
        <v>USA</v>
      </c>
      <c r="H13" s="4" t="str">
        <f>IFERROR(__xludf.DUMMYFUNCTION("""COMPUTED_VALUE"""),"https://www.linkedin.com/posts/sarah-birkner_calling-all-recent-grads-or-someone-looking-activity-7240115753343995904-cknq?utm_source=share&amp;utm_medium=member_desktop")</f>
        <v>https://www.linkedin.com/posts/sarah-birkner_calling-all-recent-grads-or-someone-looking-activity-7240115753343995904-cknq?utm_source=share&amp;utm_medium=member_desktop</v>
      </c>
    </row>
    <row r="14">
      <c r="A14" s="2">
        <f>IFERROR(__xludf.DUMMYFUNCTION("""COMPUTED_VALUE"""),45548.0)</f>
        <v>45548</v>
      </c>
      <c r="B14" s="1" t="str">
        <f>IFERROR(__xludf.DUMMYFUNCTION("""COMPUTED_VALUE"""),"Asana")</f>
        <v>Asana</v>
      </c>
      <c r="C14" s="1" t="str">
        <f>IFERROR(__xludf.DUMMYFUNCTION("""COMPUTED_VALUE"""),"Senior Compensation Analyst")</f>
        <v>Senior Compensation Analyst</v>
      </c>
      <c r="D14" s="1" t="str">
        <f>IFERROR(__xludf.DUMMYFUNCTION("""COMPUTED_VALUE"""),"Hybrid")</f>
        <v>Hybrid</v>
      </c>
      <c r="E14" s="3" t="str">
        <f>IFERROR(__xludf.DUMMYFUNCTION("""COMPUTED_VALUE"""),"$146k - $186k")</f>
        <v>$146k - $186k</v>
      </c>
      <c r="F14" s="1" t="str">
        <f>IFERROR(__xludf.DUMMYFUNCTION("""COMPUTED_VALUE"""),"3 - 5")</f>
        <v>3 - 5</v>
      </c>
      <c r="G14" s="1" t="str">
        <f>IFERROR(__xludf.DUMMYFUNCTION("""COMPUTED_VALUE"""),"San Francisco, CA")</f>
        <v>San Francisco, CA</v>
      </c>
      <c r="H14" s="4" t="str">
        <f>IFERROR(__xludf.DUMMYFUNCTION("""COMPUTED_VALUE"""),"https://www.linkedin.com/posts/dianacragle_senior-compensation-analyst-in-san-francisco-activity-7240078648072904704-cDCm?utm_source=share&amp;utm_medium=member_desktop")</f>
        <v>https://www.linkedin.com/posts/dianacragle_senior-compensation-analyst-in-san-francisco-activity-7240078648072904704-cDCm?utm_source=share&amp;utm_medium=member_desktop</v>
      </c>
    </row>
    <row r="15">
      <c r="A15" s="2">
        <f>IFERROR(__xludf.DUMMYFUNCTION("""COMPUTED_VALUE"""),45548.0)</f>
        <v>45548</v>
      </c>
      <c r="B15" s="1" t="str">
        <f>IFERROR(__xludf.DUMMYFUNCTION("""COMPUTED_VALUE"""),"Reddit")</f>
        <v>Reddit</v>
      </c>
      <c r="C15" s="1" t="str">
        <f>IFERROR(__xludf.DUMMYFUNCTION("""COMPUTED_VALUE"""),"Senior Data Scientist")</f>
        <v>Senior Data Scientist</v>
      </c>
      <c r="D15" s="1" t="str">
        <f>IFERROR(__xludf.DUMMYFUNCTION("""COMPUTED_VALUE"""),"Remote")</f>
        <v>Remote</v>
      </c>
      <c r="E15" s="3" t="str">
        <f>IFERROR(__xludf.DUMMYFUNCTION("""COMPUTED_VALUE"""),"$191k - $267k")</f>
        <v>$191k - $267k</v>
      </c>
      <c r="F15" s="1" t="str">
        <f>IFERROR(__xludf.DUMMYFUNCTION("""COMPUTED_VALUE"""),"3 - 5")</f>
        <v>3 - 5</v>
      </c>
      <c r="G15" s="1" t="str">
        <f>IFERROR(__xludf.DUMMYFUNCTION("""COMPUTED_VALUE"""),"USA")</f>
        <v>USA</v>
      </c>
      <c r="H15" s="4" t="str">
        <f>IFERROR(__xludf.DUMMYFUNCTION("""COMPUTED_VALUE"""),"https://www.linkedin.com/posts/ling-shao-218208aa_senior-data-scientist-activity-7240130589008281600-3Qy-?utm_source=share&amp;utm_medium=member_desktop")</f>
        <v>https://www.linkedin.com/posts/ling-shao-218208aa_senior-data-scientist-activity-7240130589008281600-3Qy-?utm_source=share&amp;utm_medium=member_desktop</v>
      </c>
    </row>
    <row r="16">
      <c r="A16" s="2">
        <f>IFERROR(__xludf.DUMMYFUNCTION("""COMPUTED_VALUE"""),45548.0)</f>
        <v>45548</v>
      </c>
      <c r="B16" s="1" t="str">
        <f>IFERROR(__xludf.DUMMYFUNCTION("""COMPUTED_VALUE"""),"Great American Insurance Group")</f>
        <v>Great American Insurance Group</v>
      </c>
      <c r="C16" s="1" t="str">
        <f>IFERROR(__xludf.DUMMYFUNCTION("""COMPUTED_VALUE"""),"Data Reporting Analyst")</f>
        <v>Data Reporting Analyst</v>
      </c>
      <c r="D16" s="1" t="str">
        <f>IFERROR(__xludf.DUMMYFUNCTION("""COMPUTED_VALUE"""),"Hybrid")</f>
        <v>Hybrid</v>
      </c>
      <c r="E16" s="3" t="str">
        <f>IFERROR(__xludf.DUMMYFUNCTION("""COMPUTED_VALUE"""),"N/A")</f>
        <v>N/A</v>
      </c>
      <c r="F16" s="1" t="str">
        <f>IFERROR(__xludf.DUMMYFUNCTION("""COMPUTED_VALUE"""),"0 - 2")</f>
        <v>0 - 2</v>
      </c>
      <c r="G16" s="1" t="str">
        <f>IFERROR(__xludf.DUMMYFUNCTION("""COMPUTED_VALUE"""),"Cincinnati, OH")</f>
        <v>Cincinnati, OH</v>
      </c>
      <c r="H16" s="4" t="str">
        <f>IFERROR(__xludf.DUMMYFUNCTION("""COMPUTED_VALUE"""),"https://www.linkedin.com/posts/luke-moeves-a1b442207_data-reporting-analyst-activity-7240096182541152256-7h2D?utm_source=share&amp;utm_medium=member_desktop")</f>
        <v>https://www.linkedin.com/posts/luke-moeves-a1b442207_data-reporting-analyst-activity-7240096182541152256-7h2D?utm_source=share&amp;utm_medium=member_desktop</v>
      </c>
    </row>
    <row r="17">
      <c r="A17" s="2">
        <f>IFERROR(__xludf.DUMMYFUNCTION("""COMPUTED_VALUE"""),45548.0)</f>
        <v>45548</v>
      </c>
      <c r="B17" s="1" t="str">
        <f>IFERROR(__xludf.DUMMYFUNCTION("""COMPUTED_VALUE"""),"Harvey Nash")</f>
        <v>Harvey Nash</v>
      </c>
      <c r="C17" s="1" t="str">
        <f>IFERROR(__xludf.DUMMYFUNCTION("""COMPUTED_VALUE"""),"Business Intelligence Specialist")</f>
        <v>Business Intelligence Specialist</v>
      </c>
      <c r="D17" s="1" t="str">
        <f>IFERROR(__xludf.DUMMYFUNCTION("""COMPUTED_VALUE"""),"Remote")</f>
        <v>Remote</v>
      </c>
      <c r="E17" s="3" t="str">
        <f>IFERROR(__xludf.DUMMYFUNCTION("""COMPUTED_VALUE"""),"$114k - $123k")</f>
        <v>$114k - $123k</v>
      </c>
      <c r="F17" s="1" t="str">
        <f>IFERROR(__xludf.DUMMYFUNCTION("""COMPUTED_VALUE"""),"3 - 5")</f>
        <v>3 - 5</v>
      </c>
      <c r="G17" s="1" t="str">
        <f>IFERROR(__xludf.DUMMYFUNCTION("""COMPUTED_VALUE"""),"Nashville, TN")</f>
        <v>Nashville, TN</v>
      </c>
      <c r="H17" s="4" t="str">
        <f>IFERROR(__xludf.DUMMYFUNCTION("""COMPUTED_VALUE"""),"https://www.linkedin.com/posts/mohdamanalvi_hiring-biabrspecialist-businessabrintelligenceabrspecialist-activity-7240029562384924673-JPmr?utm_source=share&amp;utm_medium=member_desktop")</f>
        <v>https://www.linkedin.com/posts/mohdamanalvi_hiring-biabrspecialist-businessabrintelligenceabrspecialist-activity-7240029562384924673-JPmr?utm_source=share&amp;utm_medium=member_desktop</v>
      </c>
    </row>
    <row r="18">
      <c r="A18" s="2">
        <f>IFERROR(__xludf.DUMMYFUNCTION("""COMPUTED_VALUE"""),45548.0)</f>
        <v>45548</v>
      </c>
      <c r="B18" s="1" t="str">
        <f>IFERROR(__xludf.DUMMYFUNCTION("""COMPUTED_VALUE"""),"Pearl AI")</f>
        <v>Pearl AI</v>
      </c>
      <c r="C18" s="1" t="str">
        <f>IFERROR(__xludf.DUMMYFUNCTION("""COMPUTED_VALUE"""),"Revenue Operations Analyst")</f>
        <v>Revenue Operations Analyst</v>
      </c>
      <c r="D18" s="1" t="str">
        <f>IFERROR(__xludf.DUMMYFUNCTION("""COMPUTED_VALUE"""),"Remote")</f>
        <v>Remote</v>
      </c>
      <c r="E18" s="3" t="str">
        <f>IFERROR(__xludf.DUMMYFUNCTION("""COMPUTED_VALUE"""),"N/A")</f>
        <v>N/A</v>
      </c>
      <c r="F18" s="1" t="str">
        <f>IFERROR(__xludf.DUMMYFUNCTION("""COMPUTED_VALUE"""),"0 - 2")</f>
        <v>0 - 2</v>
      </c>
      <c r="G18" s="1" t="str">
        <f>IFERROR(__xludf.DUMMYFUNCTION("""COMPUTED_VALUE"""),"USA")</f>
        <v>USA</v>
      </c>
      <c r="H18" s="4" t="str">
        <f>IFERROR(__xludf.DUMMYFUNCTION("""COMPUTED_VALUE"""),"https://www.linkedin.com/posts/kyle-lamunyon_revenue-operations-analyst-at-pearl-ai-activity-7240147061390589952--DGc?utm_source=share&amp;utm_medium=member_desktop")</f>
        <v>https://www.linkedin.com/posts/kyle-lamunyon_revenue-operations-analyst-at-pearl-ai-activity-7240147061390589952--DGc?utm_source=share&amp;utm_medium=member_desktop</v>
      </c>
    </row>
    <row r="19">
      <c r="A19" s="2">
        <f>IFERROR(__xludf.DUMMYFUNCTION("""COMPUTED_VALUE"""),45548.0)</f>
        <v>45548</v>
      </c>
      <c r="B19" s="1" t="str">
        <f>IFERROR(__xludf.DUMMYFUNCTION("""COMPUTED_VALUE"""),"T. Rowe Price")</f>
        <v>T. Rowe Price</v>
      </c>
      <c r="C19" s="1" t="str">
        <f>IFERROR(__xludf.DUMMYFUNCTION("""COMPUTED_VALUE"""),"Senior Compensation Analyst (Hybrid)")</f>
        <v>Senior Compensation Analyst (Hybrid)</v>
      </c>
      <c r="D19" s="1" t="str">
        <f>IFERROR(__xludf.DUMMYFUNCTION("""COMPUTED_VALUE"""),"Hybrid")</f>
        <v>Hybrid</v>
      </c>
      <c r="E19" s="3" t="str">
        <f>IFERROR(__xludf.DUMMYFUNCTION("""COMPUTED_VALUE"""),"N/A")</f>
        <v>N/A</v>
      </c>
      <c r="F19" s="1" t="str">
        <f>IFERROR(__xludf.DUMMYFUNCTION("""COMPUTED_VALUE"""),"3 - 5")</f>
        <v>3 - 5</v>
      </c>
      <c r="G19" s="1" t="str">
        <f>IFERROR(__xludf.DUMMYFUNCTION("""COMPUTED_VALUE"""),"Owings Mills, MD")</f>
        <v>Owings Mills, MD</v>
      </c>
      <c r="H19" s="4" t="str">
        <f>IFERROR(__xludf.DUMMYFUNCTION("""COMPUTED_VALUE"""),"https://www.linkedin.com/posts/lisameyersbaltimore_im-hiring-please-reach-out-if-you-are-interested-activity-7239261097675927553-rtbs?utm_source=share&amp;utm_medium=member_desktop")</f>
        <v>https://www.linkedin.com/posts/lisameyersbaltimore_im-hiring-please-reach-out-if-you-are-interested-activity-7239261097675927553-rtbs?utm_source=share&amp;utm_medium=member_desktop</v>
      </c>
    </row>
    <row r="20">
      <c r="A20" s="2">
        <f>IFERROR(__xludf.DUMMYFUNCTION("""COMPUTED_VALUE"""),45548.0)</f>
        <v>45548</v>
      </c>
      <c r="B20" s="1" t="str">
        <f>IFERROR(__xludf.DUMMYFUNCTION("""COMPUTED_VALUE"""),"NationsBenefits")</f>
        <v>NationsBenefits</v>
      </c>
      <c r="C20" s="1" t="str">
        <f>IFERROR(__xludf.DUMMYFUNCTION("""COMPUTED_VALUE"""),"Sr Data Analyst")</f>
        <v>Sr Data Analyst</v>
      </c>
      <c r="D20" s="1" t="str">
        <f>IFERROR(__xludf.DUMMYFUNCTION("""COMPUTED_VALUE"""),"On-Site")</f>
        <v>On-Site</v>
      </c>
      <c r="E20" s="3" t="str">
        <f>IFERROR(__xludf.DUMMYFUNCTION("""COMPUTED_VALUE"""),"N/A")</f>
        <v>N/A</v>
      </c>
      <c r="F20" s="1" t="str">
        <f>IFERROR(__xludf.DUMMYFUNCTION("""COMPUTED_VALUE"""),"3 - 5")</f>
        <v>3 - 5</v>
      </c>
      <c r="G20" s="1" t="str">
        <f>IFERROR(__xludf.DUMMYFUNCTION("""COMPUTED_VALUE"""),"Plantation, FL")</f>
        <v>Plantation, FL</v>
      </c>
      <c r="H20" s="4" t="str">
        <f>IFERROR(__xludf.DUMMYFUNCTION("""COMPUTED_VALUE"""),"https://www.linkedin.com/posts/tylermaxwellotto_hiring-dataanalyst-jobopportunity-activity-7240150195596894208-hmE_?utm_source=share&amp;utm_medium=member_desktop")</f>
        <v>https://www.linkedin.com/posts/tylermaxwellotto_hiring-dataanalyst-jobopportunity-activity-7240150195596894208-hmE_?utm_source=share&amp;utm_medium=member_desktop</v>
      </c>
    </row>
    <row r="21">
      <c r="A21" s="2">
        <f>IFERROR(__xludf.DUMMYFUNCTION("""COMPUTED_VALUE"""),45548.0)</f>
        <v>45548</v>
      </c>
      <c r="B21" s="1" t="str">
        <f>IFERROR(__xludf.DUMMYFUNCTION("""COMPUTED_VALUE"""),"Springboard Collaborative")</f>
        <v>Springboard Collaborative</v>
      </c>
      <c r="C21" s="1" t="str">
        <f>IFERROR(__xludf.DUMMYFUNCTION("""COMPUTED_VALUE"""),"Business Intelligence Analyst")</f>
        <v>Business Intelligence Analyst</v>
      </c>
      <c r="D21" s="1" t="str">
        <f>IFERROR(__xludf.DUMMYFUNCTION("""COMPUTED_VALUE"""),"Remote")</f>
        <v>Remote</v>
      </c>
      <c r="E21" s="3" t="str">
        <f>IFERROR(__xludf.DUMMYFUNCTION("""COMPUTED_VALUE"""),"$122k")</f>
        <v>$122k</v>
      </c>
      <c r="F21" s="1" t="str">
        <f>IFERROR(__xludf.DUMMYFUNCTION("""COMPUTED_VALUE"""),"3 - 5")</f>
        <v>3 - 5</v>
      </c>
      <c r="G21" s="1" t="str">
        <f>IFERROR(__xludf.DUMMYFUNCTION("""COMPUTED_VALUE"""),"USA")</f>
        <v>USA</v>
      </c>
      <c r="H21" s="4" t="str">
        <f>IFERROR(__xludf.DUMMYFUNCTION("""COMPUTED_VALUE"""),"https://www.linkedin.com/posts/activity-7240105075975618561-3GCN?utm_source=share&amp;utm_medium=member_desktop")</f>
        <v>https://www.linkedin.com/posts/activity-7240105075975618561-3GCN?utm_source=share&amp;utm_medium=member_desktop</v>
      </c>
    </row>
    <row r="22">
      <c r="A22" s="2">
        <f>IFERROR(__xludf.DUMMYFUNCTION("""COMPUTED_VALUE"""),45548.0)</f>
        <v>45548</v>
      </c>
      <c r="B22" s="1" t="str">
        <f>IFERROR(__xludf.DUMMYFUNCTION("""COMPUTED_VALUE"""),"IQVIA")</f>
        <v>IQVIA</v>
      </c>
      <c r="C22" s="1" t="str">
        <f>IFERROR(__xludf.DUMMYFUNCTION("""COMPUTED_VALUE"""),"(Senior) Data Team Lead - United States (USA)")</f>
        <v>(Senior) Data Team Lead - United States (USA)</v>
      </c>
      <c r="D22" s="1" t="str">
        <f>IFERROR(__xludf.DUMMYFUNCTION("""COMPUTED_VALUE"""),"Remote")</f>
        <v>Remote</v>
      </c>
      <c r="E22" s="3" t="str">
        <f>IFERROR(__xludf.DUMMYFUNCTION("""COMPUTED_VALUE"""),"$84k - $161k")</f>
        <v>$84k - $161k</v>
      </c>
      <c r="F22" s="1" t="str">
        <f>IFERROR(__xludf.DUMMYFUNCTION("""COMPUTED_VALUE"""),"3 - 5")</f>
        <v>3 - 5</v>
      </c>
      <c r="G22" s="1" t="str">
        <f>IFERROR(__xludf.DUMMYFUNCTION("""COMPUTED_VALUE"""),"USA")</f>
        <v>USA</v>
      </c>
      <c r="H22" s="4" t="str">
        <f>IFERROR(__xludf.DUMMYFUNCTION("""COMPUTED_VALUE"""),"https://www.linkedin.com/posts/activity-7240104631484235776-XLJL?utm_source=share&amp;utm_medium=member_desktop")</f>
        <v>https://www.linkedin.com/posts/activity-7240104631484235776-XLJL?utm_source=share&amp;utm_medium=member_desktop</v>
      </c>
    </row>
    <row r="23">
      <c r="A23" s="2">
        <f>IFERROR(__xludf.DUMMYFUNCTION("""COMPUTED_VALUE"""),45548.0)</f>
        <v>45548</v>
      </c>
      <c r="B23" s="1" t="str">
        <f>IFERROR(__xludf.DUMMYFUNCTION("""COMPUTED_VALUE"""),"Saia Inc.")</f>
        <v>Saia Inc.</v>
      </c>
      <c r="C23" s="1" t="str">
        <f>IFERROR(__xludf.DUMMYFUNCTION("""COMPUTED_VALUE"""),"Senior Financial Analyst, Business Operations")</f>
        <v>Senior Financial Analyst, Business Operations</v>
      </c>
      <c r="D23" s="1" t="str">
        <f>IFERROR(__xludf.DUMMYFUNCTION("""COMPUTED_VALUE"""),"On-Site")</f>
        <v>On-Site</v>
      </c>
      <c r="E23" s="3" t="str">
        <f>IFERROR(__xludf.DUMMYFUNCTION("""COMPUTED_VALUE"""),"NA")</f>
        <v>NA</v>
      </c>
      <c r="F23" s="1" t="str">
        <f>IFERROR(__xludf.DUMMYFUNCTION("""COMPUTED_VALUE"""),"3 - 5")</f>
        <v>3 - 5</v>
      </c>
      <c r="G23" s="1" t="str">
        <f>IFERROR(__xludf.DUMMYFUNCTION("""COMPUTED_VALUE"""),"Johns Creek, GA")</f>
        <v>Johns Creek, GA</v>
      </c>
      <c r="H23" s="4" t="str">
        <f>IFERROR(__xludf.DUMMYFUNCTION("""COMPUTED_VALUE"""),"https://www.linkedin.com/posts/zach-mccrum-3b96ab169_jonathan-boo-davis-is-looking-for-a-senior-activity-7239948731490455553-ZUgF?utm_source=share&amp;utm_medium=member_desktop")</f>
        <v>https://www.linkedin.com/posts/zach-mccrum-3b96ab169_jonathan-boo-davis-is-looking-for-a-senior-activity-7239948731490455553-ZUgF?utm_source=share&amp;utm_medium=member_desktop</v>
      </c>
    </row>
    <row r="24">
      <c r="A24" s="2">
        <f>IFERROR(__xludf.DUMMYFUNCTION("""COMPUTED_VALUE"""),45548.0)</f>
        <v>45548</v>
      </c>
      <c r="B24" s="1" t="str">
        <f>IFERROR(__xludf.DUMMYFUNCTION("""COMPUTED_VALUE"""),"Circana")</f>
        <v>Circana</v>
      </c>
      <c r="C24" s="1" t="str">
        <f>IFERROR(__xludf.DUMMYFUNCTION("""COMPUTED_VALUE"""),"Retail Media Analyst – Global Solutions Delivery")</f>
        <v>Retail Media Analyst – Global Solutions Delivery</v>
      </c>
      <c r="D24" s="1" t="str">
        <f>IFERROR(__xludf.DUMMYFUNCTION("""COMPUTED_VALUE"""),"Remote")</f>
        <v>Remote</v>
      </c>
      <c r="E24" s="3" t="str">
        <f>IFERROR(__xludf.DUMMYFUNCTION("""COMPUTED_VALUE"""),"$47k - $80k")</f>
        <v>$47k - $80k</v>
      </c>
      <c r="F24" s="1" t="str">
        <f>IFERROR(__xludf.DUMMYFUNCTION("""COMPUTED_VALUE"""),"0 - 2")</f>
        <v>0 - 2</v>
      </c>
      <c r="G24" s="1" t="str">
        <f>IFERROR(__xludf.DUMMYFUNCTION("""COMPUTED_VALUE"""),"USA")</f>
        <v>USA</v>
      </c>
      <c r="H24" s="4" t="str">
        <f>IFERROR(__xludf.DUMMYFUNCTION("""COMPUTED_VALUE"""),"https://www.linkedin.com/posts/chris-barr-39aa6735_come-work-with-us-circana-is-looking-for-activity-7240087752355012609-5bQz?utm_source=share&amp;utm_medium=member_desktop")</f>
        <v>https://www.linkedin.com/posts/chris-barr-39aa6735_come-work-with-us-circana-is-looking-for-activity-7240087752355012609-5bQz?utm_source=share&amp;utm_medium=member_desktop</v>
      </c>
    </row>
    <row r="25">
      <c r="A25" s="2">
        <f>IFERROR(__xludf.DUMMYFUNCTION("""COMPUTED_VALUE"""),45548.0)</f>
        <v>45548</v>
      </c>
      <c r="B25" s="1" t="str">
        <f>IFERROR(__xludf.DUMMYFUNCTION("""COMPUTED_VALUE"""),"Boston Scientific")</f>
        <v>Boston Scientific</v>
      </c>
      <c r="C25" s="1" t="str">
        <f>IFERROR(__xludf.DUMMYFUNCTION("""COMPUTED_VALUE"""),"Principal Sales Operations Analyst, Capital Equipment")</f>
        <v>Principal Sales Operations Analyst, Capital Equipment</v>
      </c>
      <c r="D25" s="1" t="str">
        <f>IFERROR(__xludf.DUMMYFUNCTION("""COMPUTED_VALUE"""),"Hybrid")</f>
        <v>Hybrid</v>
      </c>
      <c r="E25" s="3" t="str">
        <f>IFERROR(__xludf.DUMMYFUNCTION("""COMPUTED_VALUE"""),"N/A")</f>
        <v>N/A</v>
      </c>
      <c r="F25" s="1" t="str">
        <f>IFERROR(__xludf.DUMMYFUNCTION("""COMPUTED_VALUE"""),"3 - 5")</f>
        <v>3 - 5</v>
      </c>
      <c r="G25" s="1" t="str">
        <f>IFERROR(__xludf.DUMMYFUNCTION("""COMPUTED_VALUE"""),"Arden Hills, MN")</f>
        <v>Arden Hills, MN</v>
      </c>
      <c r="H25" s="4" t="str">
        <f>IFERROR(__xludf.DUMMYFUNCTION("""COMPUTED_VALUE"""),"https://www.linkedin.com/posts/kevin-graham-16bb0841_principal-sales-operations-analyst-capital-activity-7240074900755943425-P-C6?utm_source=share&amp;utm_medium=member_desktop")</f>
        <v>https://www.linkedin.com/posts/kevin-graham-16bb0841_principal-sales-operations-analyst-capital-activity-7240074900755943425-P-C6?utm_source=share&amp;utm_medium=member_desktop</v>
      </c>
    </row>
    <row r="26">
      <c r="A26" s="2">
        <f>IFERROR(__xludf.DUMMYFUNCTION("""COMPUTED_VALUE"""),45548.0)</f>
        <v>45548</v>
      </c>
      <c r="B26" s="1" t="str">
        <f>IFERROR(__xludf.DUMMYFUNCTION("""COMPUTED_VALUE"""),"MongoDB")</f>
        <v>MongoDB</v>
      </c>
      <c r="C26" s="1" t="str">
        <f>IFERROR(__xludf.DUMMYFUNCTION("""COMPUTED_VALUE"""),"Sales Operations Analyst")</f>
        <v>Sales Operations Analyst</v>
      </c>
      <c r="D26" s="1" t="str">
        <f>IFERROR(__xludf.DUMMYFUNCTION("""COMPUTED_VALUE"""),"On-Site")</f>
        <v>On-Site</v>
      </c>
      <c r="E26" s="3" t="str">
        <f>IFERROR(__xludf.DUMMYFUNCTION("""COMPUTED_VALUE"""),"$62k - $122k")</f>
        <v>$62k - $122k</v>
      </c>
      <c r="F26" s="1" t="str">
        <f>IFERROR(__xludf.DUMMYFUNCTION("""COMPUTED_VALUE"""),"0 - 2")</f>
        <v>0 - 2</v>
      </c>
      <c r="G26" s="1" t="str">
        <f>IFERROR(__xludf.DUMMYFUNCTION("""COMPUTED_VALUE"""),"Boston, MA/New York, NY")</f>
        <v>Boston, MA/New York, NY</v>
      </c>
      <c r="H26" s="4" t="str">
        <f>IFERROR(__xludf.DUMMYFUNCTION("""COMPUTED_VALUE"""),"https://www.linkedin.com/posts/james-ryan-44140b54_hiring-activity-7240028128100646914-F-5S?utm_source=share&amp;utm_medium=member_desktop")</f>
        <v>https://www.linkedin.com/posts/james-ryan-44140b54_hiring-activity-7240028128100646914-F-5S?utm_source=share&amp;utm_medium=member_desktop</v>
      </c>
    </row>
    <row r="27">
      <c r="A27" s="2">
        <f>IFERROR(__xludf.DUMMYFUNCTION("""COMPUTED_VALUE"""),45548.0)</f>
        <v>45548</v>
      </c>
      <c r="B27" s="1" t="str">
        <f>IFERROR(__xludf.DUMMYFUNCTION("""COMPUTED_VALUE"""),"MedStar Health")</f>
        <v>MedStar Health</v>
      </c>
      <c r="C27" s="1" t="str">
        <f>IFERROR(__xludf.DUMMYFUNCTION("""COMPUTED_VALUE"""),"Principal Data Scientist")</f>
        <v>Principal Data Scientist</v>
      </c>
      <c r="D27" s="1" t="str">
        <f>IFERROR(__xludf.DUMMYFUNCTION("""COMPUTED_VALUE"""),"Remote")</f>
        <v>Remote</v>
      </c>
      <c r="E27" s="3" t="str">
        <f>IFERROR(__xludf.DUMMYFUNCTION("""COMPUTED_VALUE"""),"$123k - $201k")</f>
        <v>$123k - $201k</v>
      </c>
      <c r="F27" s="1" t="str">
        <f>IFERROR(__xludf.DUMMYFUNCTION("""COMPUTED_VALUE"""),"3 - 5")</f>
        <v>3 - 5</v>
      </c>
      <c r="G27" s="1" t="str">
        <f>IFERROR(__xludf.DUMMYFUNCTION("""COMPUTED_VALUE"""),"USA")</f>
        <v>USA</v>
      </c>
      <c r="H27" s="4" t="str">
        <f>IFERROR(__xludf.DUMMYFUNCTION("""COMPUTED_VALUE"""),"https://www.linkedin.com/posts/ren-boettger_principal-data-scientist-in-md-usa-administrative-activity-7239993809911107587-EkBe?utm_source=share&amp;utm_medium=member_desktop")</f>
        <v>https://www.linkedin.com/posts/ren-boettger_principal-data-scientist-in-md-usa-administrative-activity-7239993809911107587-EkBe?utm_source=share&amp;utm_medium=member_desktop</v>
      </c>
    </row>
    <row r="28">
      <c r="A28" s="2">
        <f>IFERROR(__xludf.DUMMYFUNCTION("""COMPUTED_VALUE"""),45548.0)</f>
        <v>45548</v>
      </c>
      <c r="B28" s="1" t="str">
        <f>IFERROR(__xludf.DUMMYFUNCTION("""COMPUTED_VALUE"""),"UKG")</f>
        <v>UKG</v>
      </c>
      <c r="C28" s="1" t="str">
        <f>IFERROR(__xludf.DUMMYFUNCTION("""COMPUTED_VALUE"""),"Data Scientist")</f>
        <v>Data Scientist</v>
      </c>
      <c r="D28" s="1" t="str">
        <f>IFERROR(__xludf.DUMMYFUNCTION("""COMPUTED_VALUE"""),"Hybrid")</f>
        <v>Hybrid</v>
      </c>
      <c r="E28" s="3" t="str">
        <f>IFERROR(__xludf.DUMMYFUNCTION("""COMPUTED_VALUE"""),"N/A")</f>
        <v>N/A</v>
      </c>
      <c r="F28" s="1" t="str">
        <f>IFERROR(__xludf.DUMMYFUNCTION("""COMPUTED_VALUE"""),"3 - 5")</f>
        <v>3 - 5</v>
      </c>
      <c r="G28" s="1" t="str">
        <f>IFERROR(__xludf.DUMMYFUNCTION("""COMPUTED_VALUE"""),"Lowell, MA")</f>
        <v>Lowell, MA</v>
      </c>
      <c r="H28" s="4" t="str">
        <f>IFERROR(__xludf.DUMMYFUNCTION("""COMPUTED_VALUE"""),"https://www.linkedin.com/posts/lxclinton_im-thrilled-to-announce-thatukg-data-science-activity-7240172963784716289-Niok?utm_source=share&amp;utm_medium=member_desktop")</f>
        <v>https://www.linkedin.com/posts/lxclinton_im-thrilled-to-announce-thatukg-data-science-activity-7240172963784716289-Niok?utm_source=share&amp;utm_medium=member_desktop</v>
      </c>
    </row>
    <row r="29">
      <c r="A29" s="2">
        <f>IFERROR(__xludf.DUMMYFUNCTION("""COMPUTED_VALUE"""),45548.0)</f>
        <v>45548</v>
      </c>
      <c r="B29" s="1" t="str">
        <f>IFERROR(__xludf.DUMMYFUNCTION("""COMPUTED_VALUE"""),"McKesson")</f>
        <v>McKesson</v>
      </c>
      <c r="C29" s="1" t="str">
        <f>IFERROR(__xludf.DUMMYFUNCTION("""COMPUTED_VALUE"""),"Scientific Data Analyst")</f>
        <v>Scientific Data Analyst</v>
      </c>
      <c r="D29" s="1" t="str">
        <f>IFERROR(__xludf.DUMMYFUNCTION("""COMPUTED_VALUE"""),"Remote")</f>
        <v>Remote</v>
      </c>
      <c r="E29" s="3" t="str">
        <f>IFERROR(__xludf.DUMMYFUNCTION("""COMPUTED_VALUE"""),"$68k - $113k")</f>
        <v>$68k - $113k</v>
      </c>
      <c r="F29" s="1" t="str">
        <f>IFERROR(__xludf.DUMMYFUNCTION("""COMPUTED_VALUE"""),"0 - 2")</f>
        <v>0 - 2</v>
      </c>
      <c r="G29" s="1" t="str">
        <f>IFERROR(__xludf.DUMMYFUNCTION("""COMPUTED_VALUE"""),"USA")</f>
        <v>USA</v>
      </c>
      <c r="H29" s="4" t="str">
        <f>IFERROR(__xludf.DUMMYFUNCTION("""COMPUTED_VALUE"""),"https://www.linkedin.com/posts/diego-crespo-910421107_scientific-data-analyst-activity-7235265854861369344-yM-b?utm_source=share&amp;utm_medium=member_desktop")</f>
        <v>https://www.linkedin.com/posts/diego-crespo-910421107_scientific-data-analyst-activity-7235265854861369344-yM-b?utm_source=share&amp;utm_medium=member_desktop</v>
      </c>
    </row>
    <row r="30">
      <c r="A30" s="2">
        <f>IFERROR(__xludf.DUMMYFUNCTION("""COMPUTED_VALUE"""),45548.0)</f>
        <v>45548</v>
      </c>
      <c r="B30" s="1" t="str">
        <f>IFERROR(__xludf.DUMMYFUNCTION("""COMPUTED_VALUE"""),"Hertz")</f>
        <v>Hertz</v>
      </c>
      <c r="C30" s="1" t="str">
        <f>IFERROR(__xludf.DUMMYFUNCTION("""COMPUTED_VALUE"""),"Sr Commercial Data Analyst")</f>
        <v>Sr Commercial Data Analyst</v>
      </c>
      <c r="D30" s="1" t="str">
        <f>IFERROR(__xludf.DUMMYFUNCTION("""COMPUTED_VALUE"""),"On-Site")</f>
        <v>On-Site</v>
      </c>
      <c r="E30" s="3" t="str">
        <f>IFERROR(__xludf.DUMMYFUNCTION("""COMPUTED_VALUE"""),"$75k - $80k")</f>
        <v>$75k - $80k</v>
      </c>
      <c r="F30" s="1" t="str">
        <f>IFERROR(__xludf.DUMMYFUNCTION("""COMPUTED_VALUE"""),"0 - 2")</f>
        <v>0 - 2</v>
      </c>
      <c r="G30" s="1" t="str">
        <f>IFERROR(__xludf.DUMMYFUNCTION("""COMPUTED_VALUE"""),"Estero, FL")</f>
        <v>Estero, FL</v>
      </c>
      <c r="H30" s="4" t="str">
        <f>IFERROR(__xludf.DUMMYFUNCTION("""COMPUTED_VALUE"""),"https://www.linkedin.com/posts/harrison-i-wright_my-team-is-looking-for-a-data-analyst-to-activity-7240042256173264896-oXGb?utm_source=share&amp;utm_medium=member_desktop")</f>
        <v>https://www.linkedin.com/posts/harrison-i-wright_my-team-is-looking-for-a-data-analyst-to-activity-7240042256173264896-oXGb?utm_source=share&amp;utm_medium=member_desktop</v>
      </c>
    </row>
    <row r="31">
      <c r="A31" s="2">
        <f>IFERROR(__xludf.DUMMYFUNCTION("""COMPUTED_VALUE"""),45547.0)</f>
        <v>45547</v>
      </c>
      <c r="B31" s="1" t="str">
        <f>IFERROR(__xludf.DUMMYFUNCTION("""COMPUTED_VALUE"""),"Wounded Warrior Project")</f>
        <v>Wounded Warrior Project</v>
      </c>
      <c r="C31" s="1" t="str">
        <f>IFERROR(__xludf.DUMMYFUNCTION("""COMPUTED_VALUE"""),"Senior Data Engineer")</f>
        <v>Senior Data Engineer</v>
      </c>
      <c r="D31" s="1" t="str">
        <f>IFERROR(__xludf.DUMMYFUNCTION("""COMPUTED_VALUE"""),"Hybrid")</f>
        <v>Hybrid</v>
      </c>
      <c r="E31" s="3" t="str">
        <f>IFERROR(__xludf.DUMMYFUNCTION("""COMPUTED_VALUE"""),"$90k - $134k")</f>
        <v>$90k - $134k</v>
      </c>
      <c r="F31" s="1" t="str">
        <f>IFERROR(__xludf.DUMMYFUNCTION("""COMPUTED_VALUE"""),"3 - 5")</f>
        <v>3 - 5</v>
      </c>
      <c r="G31" s="1" t="str">
        <f>IFERROR(__xludf.DUMMYFUNCTION("""COMPUTED_VALUE"""),"Certain Locations")</f>
        <v>Certain Locations</v>
      </c>
      <c r="H31" s="4" t="str">
        <f>IFERROR(__xludf.DUMMYFUNCTION("""COMPUTED_VALUE"""),"https://www.linkedin.com/posts/parisadionisi_senior-data-engineer-activity-7239682051312947201-Sbpm?utm_source=share&amp;utm_medium=member_desktop")</f>
        <v>https://www.linkedin.com/posts/parisadionisi_senior-data-engineer-activity-7239682051312947201-Sbpm?utm_source=share&amp;utm_medium=member_desktop</v>
      </c>
    </row>
    <row r="32">
      <c r="A32" s="2">
        <f>IFERROR(__xludf.DUMMYFUNCTION("""COMPUTED_VALUE"""),45547.0)</f>
        <v>45547</v>
      </c>
      <c r="B32" s="1" t="str">
        <f>IFERROR(__xludf.DUMMYFUNCTION("""COMPUTED_VALUE"""),"Dev Technology")</f>
        <v>Dev Technology</v>
      </c>
      <c r="C32" s="1" t="str">
        <f>IFERROR(__xludf.DUMMYFUNCTION("""COMPUTED_VALUE"""),"Senior Data Engineer")</f>
        <v>Senior Data Engineer</v>
      </c>
      <c r="D32" s="1" t="str">
        <f>IFERROR(__xludf.DUMMYFUNCTION("""COMPUTED_VALUE"""),"On-Site")</f>
        <v>On-Site</v>
      </c>
      <c r="E32" s="3" t="str">
        <f>IFERROR(__xludf.DUMMYFUNCTION("""COMPUTED_VALUE"""),"N/A")</f>
        <v>N/A</v>
      </c>
      <c r="F32" s="1" t="str">
        <f>IFERROR(__xludf.DUMMYFUNCTION("""COMPUTED_VALUE"""),"6 - 9")</f>
        <v>6 - 9</v>
      </c>
      <c r="G32" s="1" t="str">
        <f>IFERROR(__xludf.DUMMYFUNCTION("""COMPUTED_VALUE"""),"Ashburn, VA")</f>
        <v>Ashburn, VA</v>
      </c>
      <c r="H32" s="4" t="str">
        <f>IFERROR(__xludf.DUMMYFUNCTION("""COMPUTED_VALUE"""),"https://www.linkedin.com/posts/ariana-snyder-shrm-cp_senior-data-engineer-activity-7239663995165585410-Z4s0?utm_source=share&amp;utm_medium=member_desktop")</f>
        <v>https://www.linkedin.com/posts/ariana-snyder-shrm-cp_senior-data-engineer-activity-7239663995165585410-Z4s0?utm_source=share&amp;utm_medium=member_desktop</v>
      </c>
    </row>
    <row r="33">
      <c r="A33" s="2">
        <f>IFERROR(__xludf.DUMMYFUNCTION("""COMPUTED_VALUE"""),45547.0)</f>
        <v>45547</v>
      </c>
      <c r="B33" s="1" t="str">
        <f>IFERROR(__xludf.DUMMYFUNCTION("""COMPUTED_VALUE"""),"CivilGrid")</f>
        <v>CivilGrid</v>
      </c>
      <c r="C33" s="1" t="str">
        <f>IFERROR(__xludf.DUMMYFUNCTION("""COMPUTED_VALUE"""),"Utility Research Analyst")</f>
        <v>Utility Research Analyst</v>
      </c>
      <c r="D33" s="1" t="str">
        <f>IFERROR(__xludf.DUMMYFUNCTION("""COMPUTED_VALUE"""),"Remote")</f>
        <v>Remote</v>
      </c>
      <c r="E33" s="3" t="str">
        <f>IFERROR(__xludf.DUMMYFUNCTION("""COMPUTED_VALUE"""),"$40k")</f>
        <v>$40k</v>
      </c>
      <c r="F33" s="1" t="str">
        <f>IFERROR(__xludf.DUMMYFUNCTION("""COMPUTED_VALUE"""),"0 - 2")</f>
        <v>0 - 2</v>
      </c>
      <c r="G33" s="1" t="str">
        <f>IFERROR(__xludf.DUMMYFUNCTION("""COMPUTED_VALUE"""),"San Francisco, CA")</f>
        <v>San Francisco, CA</v>
      </c>
      <c r="H33" s="4" t="str">
        <f>IFERROR(__xludf.DUMMYFUNCTION("""COMPUTED_VALUE"""),"https://www.linkedin.com/posts/zachary-maggard_civilgrid-hiring-gis-activity-7239350684549070849-vfbm?utm_source=share&amp;utm_medium=member_desktop")</f>
        <v>https://www.linkedin.com/posts/zachary-maggard_civilgrid-hiring-gis-activity-7239350684549070849-vfbm?utm_source=share&amp;utm_medium=member_desktop</v>
      </c>
    </row>
    <row r="34">
      <c r="A34" s="2">
        <f>IFERROR(__xludf.DUMMYFUNCTION("""COMPUTED_VALUE"""),45547.0)</f>
        <v>45547</v>
      </c>
      <c r="B34" s="1" t="str">
        <f>IFERROR(__xludf.DUMMYFUNCTION("""COMPUTED_VALUE"""),"Apple")</f>
        <v>Apple</v>
      </c>
      <c r="C34" s="1" t="str">
        <f>IFERROR(__xludf.DUMMYFUNCTION("""COMPUTED_VALUE"""),"Business Planning Analyst, WW Channel Sales Team")</f>
        <v>Business Planning Analyst, WW Channel Sales Team</v>
      </c>
      <c r="D34" s="1" t="str">
        <f>IFERROR(__xludf.DUMMYFUNCTION("""COMPUTED_VALUE"""),"On-Site")</f>
        <v>On-Site</v>
      </c>
      <c r="E34" s="3" t="str">
        <f>IFERROR(__xludf.DUMMYFUNCTION("""COMPUTED_VALUE"""),"$115k - $173k")</f>
        <v>$115k - $173k</v>
      </c>
      <c r="F34" s="1" t="str">
        <f>IFERROR(__xludf.DUMMYFUNCTION("""COMPUTED_VALUE"""),"3 - 5")</f>
        <v>3 - 5</v>
      </c>
      <c r="G34" s="1" t="str">
        <f>IFERROR(__xludf.DUMMYFUNCTION("""COMPUTED_VALUE"""),"Cupertino, CA")</f>
        <v>Cupertino, CA</v>
      </c>
      <c r="H34" s="4" t="str">
        <f>IFERROR(__xludf.DUMMYFUNCTION("""COMPUTED_VALUE"""),"https://www.linkedin.com/posts/deannakneis_business-planning-analyst-ww-channel-sales-activity-7239402583574859778-mKBk?utm_source=share&amp;utm_medium=member_desktop")</f>
        <v>https://www.linkedin.com/posts/deannakneis_business-planning-analyst-ww-channel-sales-activity-7239402583574859778-mKBk?utm_source=share&amp;utm_medium=member_desktop</v>
      </c>
    </row>
    <row r="35">
      <c r="A35" s="2">
        <f>IFERROR(__xludf.DUMMYFUNCTION("""COMPUTED_VALUE"""),45547.0)</f>
        <v>45547</v>
      </c>
      <c r="B35" s="1" t="str">
        <f>IFERROR(__xludf.DUMMYFUNCTION("""COMPUTED_VALUE"""),"StarRez")</f>
        <v>StarRez</v>
      </c>
      <c r="C35" s="1" t="str">
        <f>IFERROR(__xludf.DUMMYFUNCTION("""COMPUTED_VALUE"""),"BI Engineer")</f>
        <v>BI Engineer</v>
      </c>
      <c r="D35" s="1" t="str">
        <f>IFERROR(__xludf.DUMMYFUNCTION("""COMPUTED_VALUE"""),"Remote")</f>
        <v>Remote</v>
      </c>
      <c r="E35" s="3" t="str">
        <f>IFERROR(__xludf.DUMMYFUNCTION("""COMPUTED_VALUE"""),"N/A")</f>
        <v>N/A</v>
      </c>
      <c r="F35" s="1" t="str">
        <f>IFERROR(__xludf.DUMMYFUNCTION("""COMPUTED_VALUE"""),"3 - 5")</f>
        <v>3 - 5</v>
      </c>
      <c r="G35" s="1" t="str">
        <f>IFERROR(__xludf.DUMMYFUNCTION("""COMPUTED_VALUE"""),"USA")</f>
        <v>USA</v>
      </c>
      <c r="H35" s="4" t="str">
        <f>IFERROR(__xludf.DUMMYFUNCTION("""COMPUTED_VALUE"""),"https://www.linkedin.com/posts/alex-balazs_bi-engineer-2025-016-activity-7239650961755938817-bP6c?utm_source=share&amp;utm_medium=member_desktop")</f>
        <v>https://www.linkedin.com/posts/alex-balazs_bi-engineer-2025-016-activity-7239650961755938817-bP6c?utm_source=share&amp;utm_medium=member_desktop</v>
      </c>
    </row>
    <row r="36">
      <c r="A36" s="2">
        <f>IFERROR(__xludf.DUMMYFUNCTION("""COMPUTED_VALUE"""),45547.0)</f>
        <v>45547</v>
      </c>
      <c r="B36" s="1" t="str">
        <f>IFERROR(__xludf.DUMMYFUNCTION("""COMPUTED_VALUE"""),"OmniData")</f>
        <v>OmniData</v>
      </c>
      <c r="C36" s="1" t="str">
        <f>IFERROR(__xludf.DUMMYFUNCTION("""COMPUTED_VALUE"""),"Senior Data Engineer")</f>
        <v>Senior Data Engineer</v>
      </c>
      <c r="D36" s="1" t="str">
        <f>IFERROR(__xludf.DUMMYFUNCTION("""COMPUTED_VALUE"""),"Remote")</f>
        <v>Remote</v>
      </c>
      <c r="E36" s="3" t="str">
        <f>IFERROR(__xludf.DUMMYFUNCTION("""COMPUTED_VALUE"""),"N/A")</f>
        <v>N/A</v>
      </c>
      <c r="F36" s="1" t="str">
        <f>IFERROR(__xludf.DUMMYFUNCTION("""COMPUTED_VALUE"""),"3 - 5")</f>
        <v>3 - 5</v>
      </c>
      <c r="G36" s="1" t="str">
        <f>IFERROR(__xludf.DUMMYFUNCTION("""COMPUTED_VALUE"""),"Portland, OR")</f>
        <v>Portland, OR</v>
      </c>
      <c r="H36" s="4" t="str">
        <f>IFERROR(__xludf.DUMMYFUNCTION("""COMPUTED_VALUE"""),"https://www.linkedin.com/posts/joe-dunleavy-11833357_senior-data-engineer-activity-7240042851030425600-El5X?utm_source=share&amp;utm_medium=member_desktop")</f>
        <v>https://www.linkedin.com/posts/joe-dunleavy-11833357_senior-data-engineer-activity-7240042851030425600-El5X?utm_source=share&amp;utm_medium=member_desktop</v>
      </c>
    </row>
    <row r="37">
      <c r="A37" s="2">
        <f>IFERROR(__xludf.DUMMYFUNCTION("""COMPUTED_VALUE"""),45547.0)</f>
        <v>45547</v>
      </c>
      <c r="B37" s="1" t="str">
        <f>IFERROR(__xludf.DUMMYFUNCTION("""COMPUTED_VALUE"""),"Spring Health")</f>
        <v>Spring Health</v>
      </c>
      <c r="C37" s="1" t="str">
        <f>IFERROR(__xludf.DUMMYFUNCTION("""COMPUTED_VALUE"""),"Director, FP&amp;A - GTM")</f>
        <v>Director, FP&amp;A - GTM</v>
      </c>
      <c r="D37" s="1" t="str">
        <f>IFERROR(__xludf.DUMMYFUNCTION("""COMPUTED_VALUE"""),"Hybrid")</f>
        <v>Hybrid</v>
      </c>
      <c r="E37" s="3" t="str">
        <f>IFERROR(__xludf.DUMMYFUNCTION("""COMPUTED_VALUE"""),"$154k - $215k")</f>
        <v>$154k - $215k</v>
      </c>
      <c r="F37" s="1" t="str">
        <f>IFERROR(__xludf.DUMMYFUNCTION("""COMPUTED_VALUE"""),"6 - 9")</f>
        <v>6 - 9</v>
      </c>
      <c r="G37" s="1" t="str">
        <f>IFERROR(__xludf.DUMMYFUNCTION("""COMPUTED_VALUE"""),"New York, NY")</f>
        <v>New York, NY</v>
      </c>
      <c r="H37" s="4" t="str">
        <f>IFERROR(__xludf.DUMMYFUNCTION("""COMPUTED_VALUE"""),"https://www.linkedin.com/posts/hannah-roden_director-fpa-gtm-activity-7240013954716979201-HrZo?utm_source=share&amp;utm_medium=member_desktop")</f>
        <v>https://www.linkedin.com/posts/hannah-roden_director-fpa-gtm-activity-7240013954716979201-HrZo?utm_source=share&amp;utm_medium=member_desktop</v>
      </c>
    </row>
    <row r="38">
      <c r="A38" s="2">
        <f>IFERROR(__xludf.DUMMYFUNCTION("""COMPUTED_VALUE"""),45547.0)</f>
        <v>45547</v>
      </c>
      <c r="B38" s="1" t="str">
        <f>IFERROR(__xludf.DUMMYFUNCTION("""COMPUTED_VALUE"""),"Advantive")</f>
        <v>Advantive</v>
      </c>
      <c r="C38" s="1" t="str">
        <f>IFERROR(__xludf.DUMMYFUNCTION("""COMPUTED_VALUE"""),"Business Systems, Business Analyst")</f>
        <v>Business Systems, Business Analyst</v>
      </c>
      <c r="D38" s="1" t="str">
        <f>IFERROR(__xludf.DUMMYFUNCTION("""COMPUTED_VALUE"""),"Remote")</f>
        <v>Remote</v>
      </c>
      <c r="E38" s="3" t="str">
        <f>IFERROR(__xludf.DUMMYFUNCTION("""COMPUTED_VALUE"""),"N/A")</f>
        <v>N/A</v>
      </c>
      <c r="F38" s="1" t="str">
        <f>IFERROR(__xludf.DUMMYFUNCTION("""COMPUTED_VALUE"""),"0 - 2")</f>
        <v>0 - 2</v>
      </c>
      <c r="G38" s="1" t="str">
        <f>IFERROR(__xludf.DUMMYFUNCTION("""COMPUTED_VALUE"""),"USA")</f>
        <v>USA</v>
      </c>
      <c r="H38" s="4" t="str">
        <f>IFERROR(__xludf.DUMMYFUNCTION("""COMPUTED_VALUE"""),"https://www.linkedin.com/posts/knight2413_job-opening-business-systems-business-analyst-activity-7239950569648398336-pB7U?utm_source=share&amp;utm_medium=member_desktop")</f>
        <v>https://www.linkedin.com/posts/knight2413_job-opening-business-systems-business-analyst-activity-7239950569648398336-pB7U?utm_source=share&amp;utm_medium=member_desktop</v>
      </c>
    </row>
    <row r="39">
      <c r="A39" s="2">
        <f>IFERROR(__xludf.DUMMYFUNCTION("""COMPUTED_VALUE"""),45547.0)</f>
        <v>45547</v>
      </c>
      <c r="B39" s="1" t="str">
        <f>IFERROR(__xludf.DUMMYFUNCTION("""COMPUTED_VALUE"""),"Comcast")</f>
        <v>Comcast</v>
      </c>
      <c r="C39" s="1" t="str">
        <f>IFERROR(__xludf.DUMMYFUNCTION("""COMPUTED_VALUE"""),"Senior Analyst, HR Data Visualization")</f>
        <v>Senior Analyst, HR Data Visualization</v>
      </c>
      <c r="D39" s="1" t="str">
        <f>IFERROR(__xludf.DUMMYFUNCTION("""COMPUTED_VALUE"""),"Hybrid")</f>
        <v>Hybrid</v>
      </c>
      <c r="E39" s="3" t="str">
        <f>IFERROR(__xludf.DUMMYFUNCTION("""COMPUTED_VALUE"""),"N/A")</f>
        <v>N/A</v>
      </c>
      <c r="F39" s="1" t="str">
        <f>IFERROR(__xludf.DUMMYFUNCTION("""COMPUTED_VALUE"""),"3 - 5")</f>
        <v>3 - 5</v>
      </c>
      <c r="G39" s="1" t="str">
        <f>IFERROR(__xludf.DUMMYFUNCTION("""COMPUTED_VALUE"""),"Philadelphia, PA")</f>
        <v>Philadelphia, PA</v>
      </c>
      <c r="H39" s="4" t="str">
        <f>IFERROR(__xludf.DUMMYFUNCTION("""COMPUTED_VALUE"""),"https://www.linkedin.com/posts/catherine-condon-3b7375208_senior-analyst-hr-data-visualization-and-activity-7240062996792668161-G7YK?utm_source=share&amp;utm_medium=member_desktop")</f>
        <v>https://www.linkedin.com/posts/catherine-condon-3b7375208_senior-analyst-hr-data-visualization-and-activity-7240062996792668161-G7YK?utm_source=share&amp;utm_medium=member_desktop</v>
      </c>
    </row>
    <row r="40">
      <c r="A40" s="2">
        <f>IFERROR(__xludf.DUMMYFUNCTION("""COMPUTED_VALUE"""),45547.0)</f>
        <v>45547</v>
      </c>
      <c r="B40" s="1" t="str">
        <f>IFERROR(__xludf.DUMMYFUNCTION("""COMPUTED_VALUE"""),"Gong")</f>
        <v>Gong</v>
      </c>
      <c r="C40" s="1" t="str">
        <f>IFERROR(__xludf.DUMMYFUNCTION("""COMPUTED_VALUE"""),"Data &amp; Analytics Manager")</f>
        <v>Data &amp; Analytics Manager</v>
      </c>
      <c r="D40" s="1" t="str">
        <f>IFERROR(__xludf.DUMMYFUNCTION("""COMPUTED_VALUE"""),"Hybrid")</f>
        <v>Hybrid</v>
      </c>
      <c r="E40" s="3" t="str">
        <f>IFERROR(__xludf.DUMMYFUNCTION("""COMPUTED_VALUE"""),"$106k - $157k")</f>
        <v>$106k - $157k</v>
      </c>
      <c r="F40" s="1" t="str">
        <f>IFERROR(__xludf.DUMMYFUNCTION("""COMPUTED_VALUE"""),"6 - 9")</f>
        <v>6 - 9</v>
      </c>
      <c r="G40" s="1" t="str">
        <f>IFERROR(__xludf.DUMMYFUNCTION("""COMPUTED_VALUE"""),"Certain Locations")</f>
        <v>Certain Locations</v>
      </c>
      <c r="H40" s="4" t="str">
        <f>IFERROR(__xludf.DUMMYFUNCTION("""COMPUTED_VALUE"""),"https://www.linkedin.com/posts/michael-tambe_i-am-hiring-looking-for-a-strong-advanced-activity-7239972688344088576-a7G1?utm_source=share&amp;utm_medium=member_desktop")</f>
        <v>https://www.linkedin.com/posts/michael-tambe_i-am-hiring-looking-for-a-strong-advanced-activity-7239972688344088576-a7G1?utm_source=share&amp;utm_medium=member_desktop</v>
      </c>
    </row>
    <row r="41">
      <c r="A41" s="2">
        <f>IFERROR(__xludf.DUMMYFUNCTION("""COMPUTED_VALUE"""),45547.0)</f>
        <v>45547</v>
      </c>
      <c r="B41" s="1" t="str">
        <f>IFERROR(__xludf.DUMMYFUNCTION("""COMPUTED_VALUE"""),"Portfolio Creative")</f>
        <v>Portfolio Creative</v>
      </c>
      <c r="C41" s="1" t="str">
        <f>IFERROR(__xludf.DUMMYFUNCTION("""COMPUTED_VALUE"""),"Marketing Intelligence and Research Analyst")</f>
        <v>Marketing Intelligence and Research Analyst</v>
      </c>
      <c r="D41" s="1" t="str">
        <f>IFERROR(__xludf.DUMMYFUNCTION("""COMPUTED_VALUE"""),"Hybrid")</f>
        <v>Hybrid</v>
      </c>
      <c r="E41" s="3" t="str">
        <f>IFERROR(__xludf.DUMMYFUNCTION("""COMPUTED_VALUE"""),"N/A")</f>
        <v>N/A</v>
      </c>
      <c r="F41" s="1" t="str">
        <f>IFERROR(__xludf.DUMMYFUNCTION("""COMPUTED_VALUE"""),"3 - 5")</f>
        <v>3 - 5</v>
      </c>
      <c r="G41" s="1" t="str">
        <f>IFERROR(__xludf.DUMMYFUNCTION("""COMPUTED_VALUE"""),"Columbus, OH")</f>
        <v>Columbus, OH</v>
      </c>
      <c r="H41" s="4" t="str">
        <f>IFERROR(__xludf.DUMMYFUNCTION("""COMPUTED_VALUE"""),"https://www.linkedin.com/posts/riis-lampkin-saunders_marketing-intelligence-and-research-analyst-activity-7240049900317499392-fWGI?utm_source=share&amp;utm_medium=member_desktop")</f>
        <v>https://www.linkedin.com/posts/riis-lampkin-saunders_marketing-intelligence-and-research-analyst-activity-7240049900317499392-fWGI?utm_source=share&amp;utm_medium=member_desktop</v>
      </c>
    </row>
    <row r="42">
      <c r="A42" s="2">
        <f>IFERROR(__xludf.DUMMYFUNCTION("""COMPUTED_VALUE"""),45547.0)</f>
        <v>45547</v>
      </c>
      <c r="B42" s="1" t="str">
        <f>IFERROR(__xludf.DUMMYFUNCTION("""COMPUTED_VALUE"""),"AARP")</f>
        <v>AARP</v>
      </c>
      <c r="C42" s="1" t="str">
        <f>IFERROR(__xludf.DUMMYFUNCTION("""COMPUTED_VALUE"""),"Data Analytics Analyst")</f>
        <v>Data Analytics Analyst</v>
      </c>
      <c r="D42" s="1" t="str">
        <f>IFERROR(__xludf.DUMMYFUNCTION("""COMPUTED_VALUE"""),"Hybrid")</f>
        <v>Hybrid</v>
      </c>
      <c r="E42" s="3" t="str">
        <f>IFERROR(__xludf.DUMMYFUNCTION("""COMPUTED_VALUE"""),"$83k - $91k")</f>
        <v>$83k - $91k</v>
      </c>
      <c r="F42" s="1" t="str">
        <f>IFERROR(__xludf.DUMMYFUNCTION("""COMPUTED_VALUE"""),"0 - 2")</f>
        <v>0 - 2</v>
      </c>
      <c r="G42" s="1" t="str">
        <f>IFERROR(__xludf.DUMMYFUNCTION("""COMPUTED_VALUE"""),"Washington, DC")</f>
        <v>Washington, DC</v>
      </c>
      <c r="H42" s="4" t="str">
        <f>IFERROR(__xludf.DUMMYFUNCTION("""COMPUTED_VALUE"""),"https://www.linkedin.com/posts/aidan-darragh_data-analytics-analyst-in-washington-dc-activity-7240060171941543940-PEIF?utm_source=share&amp;utm_medium=member_desktop")</f>
        <v>https://www.linkedin.com/posts/aidan-darragh_data-analytics-analyst-in-washington-dc-activity-7240060171941543940-PEIF?utm_source=share&amp;utm_medium=member_desktop</v>
      </c>
    </row>
    <row r="43">
      <c r="A43" s="2">
        <f>IFERROR(__xludf.DUMMYFUNCTION("""COMPUTED_VALUE"""),45547.0)</f>
        <v>45547</v>
      </c>
      <c r="B43" s="1" t="str">
        <f>IFERROR(__xludf.DUMMYFUNCTION("""COMPUTED_VALUE"""),"PRIME")</f>
        <v>PRIME</v>
      </c>
      <c r="C43" s="1" t="str">
        <f>IFERROR(__xludf.DUMMYFUNCTION("""COMPUTED_VALUE"""),"Sr. Space Planning Analyst")</f>
        <v>Sr. Space Planning Analyst</v>
      </c>
      <c r="D43" s="1" t="str">
        <f>IFERROR(__xludf.DUMMYFUNCTION("""COMPUTED_VALUE"""),"Remote")</f>
        <v>Remote</v>
      </c>
      <c r="E43" s="3" t="str">
        <f>IFERROR(__xludf.DUMMYFUNCTION("""COMPUTED_VALUE"""),"N/A")</f>
        <v>N/A</v>
      </c>
      <c r="F43" s="1" t="str">
        <f>IFERROR(__xludf.DUMMYFUNCTION("""COMPUTED_VALUE"""),"3 - 5")</f>
        <v>3 - 5</v>
      </c>
      <c r="G43" s="1" t="str">
        <f>IFERROR(__xludf.DUMMYFUNCTION("""COMPUTED_VALUE"""),"Chicago, IL")</f>
        <v>Chicago, IL</v>
      </c>
      <c r="H43" s="4" t="str">
        <f>IFERROR(__xludf.DUMMYFUNCTION("""COMPUTED_VALUE"""),"https://www.linkedin.com/posts/marisa-samuelsen_hiring-activity-7240039235825647616-Kayz?utm_source=share&amp;utm_medium=member_desktop")</f>
        <v>https://www.linkedin.com/posts/marisa-samuelsen_hiring-activity-7240039235825647616-Kayz?utm_source=share&amp;utm_medium=member_desktop</v>
      </c>
    </row>
    <row r="44">
      <c r="A44" s="2">
        <f>IFERROR(__xludf.DUMMYFUNCTION("""COMPUTED_VALUE"""),45547.0)</f>
        <v>45547</v>
      </c>
      <c r="B44" s="1" t="str">
        <f>IFERROR(__xludf.DUMMYFUNCTION("""COMPUTED_VALUE"""),"Authentic")</f>
        <v>Authentic</v>
      </c>
      <c r="C44" s="1" t="str">
        <f>IFERROR(__xludf.DUMMYFUNCTION("""COMPUTED_VALUE"""),"FP&amp;A Analyst - Corporate")</f>
        <v>FP&amp;A Analyst - Corporate</v>
      </c>
      <c r="D44" s="1" t="str">
        <f>IFERROR(__xludf.DUMMYFUNCTION("""COMPUTED_VALUE"""),"Hybrid")</f>
        <v>Hybrid</v>
      </c>
      <c r="E44" s="3" t="str">
        <f>IFERROR(__xludf.DUMMYFUNCTION("""COMPUTED_VALUE"""),"$80k - $95k")</f>
        <v>$80k - $95k</v>
      </c>
      <c r="F44" s="1" t="str">
        <f>IFERROR(__xludf.DUMMYFUNCTION("""COMPUTED_VALUE"""),"0 - 2")</f>
        <v>0 - 2</v>
      </c>
      <c r="G44" s="1" t="str">
        <f>IFERROR(__xludf.DUMMYFUNCTION("""COMPUTED_VALUE"""),"New York, NY")</f>
        <v>New York, NY</v>
      </c>
      <c r="H44" s="4" t="str">
        <f>IFERROR(__xludf.DUMMYFUNCTION("""COMPUTED_VALUE"""),"https://www.linkedin.com/posts/karen-b-016930126_fpa-analyst-corporate-activity-7240070064798863362-WSPS?utm_source=share&amp;utm_medium=member_desktop")</f>
        <v>https://www.linkedin.com/posts/karen-b-016930126_fpa-analyst-corporate-activity-7240070064798863362-WSPS?utm_source=share&amp;utm_medium=member_desktop</v>
      </c>
    </row>
    <row r="45">
      <c r="A45" s="2">
        <f>IFERROR(__xludf.DUMMYFUNCTION("""COMPUTED_VALUE"""),45547.0)</f>
        <v>45547</v>
      </c>
      <c r="B45" s="1" t="str">
        <f>IFERROR(__xludf.DUMMYFUNCTION("""COMPUTED_VALUE"""),"Eide Bailly LLP")</f>
        <v>Eide Bailly LLP</v>
      </c>
      <c r="C45" s="1" t="str">
        <f>IFERROR(__xludf.DUMMYFUNCTION("""COMPUTED_VALUE"""),"Senior Data Analytics Consultant")</f>
        <v>Senior Data Analytics Consultant</v>
      </c>
      <c r="D45" s="1" t="str">
        <f>IFERROR(__xludf.DUMMYFUNCTION("""COMPUTED_VALUE"""),"Remote")</f>
        <v>Remote</v>
      </c>
      <c r="E45" s="3" t="str">
        <f>IFERROR(__xludf.DUMMYFUNCTION("""COMPUTED_VALUE"""),"$120k - $150k")</f>
        <v>$120k - $150k</v>
      </c>
      <c r="F45" s="1" t="str">
        <f>IFERROR(__xludf.DUMMYFUNCTION("""COMPUTED_VALUE"""),"3 - 5")</f>
        <v>3 - 5</v>
      </c>
      <c r="G45" s="1" t="str">
        <f>IFERROR(__xludf.DUMMYFUNCTION("""COMPUTED_VALUE"""),"North America")</f>
        <v>North America</v>
      </c>
      <c r="H45" s="4" t="str">
        <f>IFERROR(__xludf.DUMMYFUNCTION("""COMPUTED_VALUE"""),"https://www.linkedin.com/posts/sethberickson_dataanalytics-hiring-consultant-activity-7240047375958904833-CJpO?utm_source=share&amp;utm_medium=member_desktop")</f>
        <v>https://www.linkedin.com/posts/sethberickson_dataanalytics-hiring-consultant-activity-7240047375958904833-CJpO?utm_source=share&amp;utm_medium=member_desktop</v>
      </c>
    </row>
    <row r="46">
      <c r="A46" s="2">
        <f>IFERROR(__xludf.DUMMYFUNCTION("""COMPUTED_VALUE"""),45547.0)</f>
        <v>45547</v>
      </c>
      <c r="B46" s="1" t="str">
        <f>IFERROR(__xludf.DUMMYFUNCTION("""COMPUTED_VALUE"""),"Index Exchange")</f>
        <v>Index Exchange</v>
      </c>
      <c r="C46" s="1" t="str">
        <f>IFERROR(__xludf.DUMMYFUNCTION("""COMPUTED_VALUE"""),"Senior Data Analyst")</f>
        <v>Senior Data Analyst</v>
      </c>
      <c r="D46" s="1" t="str">
        <f>IFERROR(__xludf.DUMMYFUNCTION("""COMPUTED_VALUE"""),"On-Site")</f>
        <v>On-Site</v>
      </c>
      <c r="E46" s="3" t="str">
        <f>IFERROR(__xludf.DUMMYFUNCTION("""COMPUTED_VALUE"""),"$90k - $120k")</f>
        <v>$90k - $120k</v>
      </c>
      <c r="F46" s="1" t="str">
        <f>IFERROR(__xludf.DUMMYFUNCTION("""COMPUTED_VALUE"""),"0 - 2")</f>
        <v>0 - 2</v>
      </c>
      <c r="G46" s="1" t="str">
        <f>IFERROR(__xludf.DUMMYFUNCTION("""COMPUTED_VALUE"""),"New York, NY")</f>
        <v>New York, NY</v>
      </c>
      <c r="H46" s="4" t="str">
        <f>IFERROR(__xludf.DUMMYFUNCTION("""COMPUTED_VALUE"""),"https://www.linkedin.com/posts/gayathrisanjeev_are-you-passionate-about-data-analytics-activity-7240064484218695682-41Vy?utm_source=share&amp;utm_medium=member_desktop")</f>
        <v>https://www.linkedin.com/posts/gayathrisanjeev_are-you-passionate-about-data-analytics-activity-7240064484218695682-41Vy?utm_source=share&amp;utm_medium=member_desktop</v>
      </c>
    </row>
    <row r="47">
      <c r="A47" s="2">
        <f>IFERROR(__xludf.DUMMYFUNCTION("""COMPUTED_VALUE"""),45547.0)</f>
        <v>45547</v>
      </c>
      <c r="B47" s="1" t="str">
        <f>IFERROR(__xludf.DUMMYFUNCTION("""COMPUTED_VALUE"""),"Counterpart Health")</f>
        <v>Counterpart Health</v>
      </c>
      <c r="C47" s="1" t="str">
        <f>IFERROR(__xludf.DUMMYFUNCTION("""COMPUTED_VALUE"""),"Director, Analytics")</f>
        <v>Director, Analytics</v>
      </c>
      <c r="D47" s="1" t="str">
        <f>IFERROR(__xludf.DUMMYFUNCTION("""COMPUTED_VALUE"""),"Remote")</f>
        <v>Remote</v>
      </c>
      <c r="E47" s="3" t="str">
        <f>IFERROR(__xludf.DUMMYFUNCTION("""COMPUTED_VALUE"""),"N/A")</f>
        <v>N/A</v>
      </c>
      <c r="F47" s="1" t="str">
        <f>IFERROR(__xludf.DUMMYFUNCTION("""COMPUTED_VALUE"""),"6 - 9")</f>
        <v>6 - 9</v>
      </c>
      <c r="G47" s="1" t="str">
        <f>IFERROR(__xludf.DUMMYFUNCTION("""COMPUTED_VALUE"""),"USA")</f>
        <v>USA</v>
      </c>
      <c r="H47" s="4" t="str">
        <f>IFERROR(__xludf.DUMMYFUNCTION("""COMPUTED_VALUE"""),"https://www.linkedin.com/posts/kevinholub_clover-health-activity-7239660008194420736-g8Ru?utm_source=share&amp;utm_medium=member_desktop")</f>
        <v>https://www.linkedin.com/posts/kevinholub_clover-health-activity-7239660008194420736-g8Ru?utm_source=share&amp;utm_medium=member_desktop</v>
      </c>
    </row>
    <row r="48">
      <c r="A48" s="2">
        <f>IFERROR(__xludf.DUMMYFUNCTION("""COMPUTED_VALUE"""),45547.0)</f>
        <v>45547</v>
      </c>
      <c r="B48" s="1" t="str">
        <f>IFERROR(__xludf.DUMMYFUNCTION("""COMPUTED_VALUE"""),"ReUp Education")</f>
        <v>ReUp Education</v>
      </c>
      <c r="C48" s="1" t="str">
        <f>IFERROR(__xludf.DUMMYFUNCTION("""COMPUTED_VALUE"""),"Senior Financial Analyst")</f>
        <v>Senior Financial Analyst</v>
      </c>
      <c r="D48" s="1" t="str">
        <f>IFERROR(__xludf.DUMMYFUNCTION("""COMPUTED_VALUE"""),"Remote")</f>
        <v>Remote</v>
      </c>
      <c r="E48" s="3" t="str">
        <f>IFERROR(__xludf.DUMMYFUNCTION("""COMPUTED_VALUE"""),"$100k - $125k")</f>
        <v>$100k - $125k</v>
      </c>
      <c r="F48" s="1" t="str">
        <f>IFERROR(__xludf.DUMMYFUNCTION("""COMPUTED_VALUE"""),"3 - 5")</f>
        <v>3 - 5</v>
      </c>
      <c r="G48" s="1" t="str">
        <f>IFERROR(__xludf.DUMMYFUNCTION("""COMPUTED_VALUE"""),"Certain Locations")</f>
        <v>Certain Locations</v>
      </c>
      <c r="H48" s="4" t="str">
        <f>IFERROR(__xludf.DUMMYFUNCTION("""COMPUTED_VALUE"""),"https://www.linkedin.com/posts/jennifersobocinski_senior-data-analyst-current-openings-activity-7240093961489375232-QaDk?utm_source=share&amp;utm_medium=member_desktop")</f>
        <v>https://www.linkedin.com/posts/jennifersobocinski_senior-data-analyst-current-openings-activity-7240093961489375232-QaDk?utm_source=share&amp;utm_medium=member_desktop</v>
      </c>
    </row>
    <row r="49">
      <c r="A49" s="2">
        <f>IFERROR(__xludf.DUMMYFUNCTION("""COMPUTED_VALUE"""),45547.0)</f>
        <v>45547</v>
      </c>
      <c r="B49" s="1" t="str">
        <f>IFERROR(__xludf.DUMMYFUNCTION("""COMPUTED_VALUE"""),"ReUp Education")</f>
        <v>ReUp Education</v>
      </c>
      <c r="C49" s="1" t="str">
        <f>IFERROR(__xludf.DUMMYFUNCTION("""COMPUTED_VALUE"""),"Senior Data Scientist")</f>
        <v>Senior Data Scientist</v>
      </c>
      <c r="D49" s="1" t="str">
        <f>IFERROR(__xludf.DUMMYFUNCTION("""COMPUTED_VALUE"""),"Hybrid")</f>
        <v>Hybrid</v>
      </c>
      <c r="E49" s="3" t="str">
        <f>IFERROR(__xludf.DUMMYFUNCTION("""COMPUTED_VALUE"""),"$120k - $130k")</f>
        <v>$120k - $130k</v>
      </c>
      <c r="F49" s="1" t="str">
        <f>IFERROR(__xludf.DUMMYFUNCTION("""COMPUTED_VALUE"""),"3 - 5")</f>
        <v>3 - 5</v>
      </c>
      <c r="G49" s="1" t="str">
        <f>IFERROR(__xludf.DUMMYFUNCTION("""COMPUTED_VALUE"""),"Austin, TX")</f>
        <v>Austin, TX</v>
      </c>
      <c r="H49" s="4" t="str">
        <f>IFERROR(__xludf.DUMMYFUNCTION("""COMPUTED_VALUE"""),"https://www.linkedin.com/posts/jennifersobocinski_senior-data-analyst-current-openings-activity-7240093961489375232-QaDk?utm_source=share&amp;utm_medium=member_desktop")</f>
        <v>https://www.linkedin.com/posts/jennifersobocinski_senior-data-analyst-current-openings-activity-7240093961489375232-QaDk?utm_source=share&amp;utm_medium=member_desktop</v>
      </c>
    </row>
    <row r="50">
      <c r="A50" s="2">
        <f>IFERROR(__xludf.DUMMYFUNCTION("""COMPUTED_VALUE"""),45547.0)</f>
        <v>45547</v>
      </c>
      <c r="B50" s="1" t="str">
        <f>IFERROR(__xludf.DUMMYFUNCTION("""COMPUTED_VALUE"""),"ReUp Education")</f>
        <v>ReUp Education</v>
      </c>
      <c r="C50" s="1" t="str">
        <f>IFERROR(__xludf.DUMMYFUNCTION("""COMPUTED_VALUE"""),"Senior Data Analyst")</f>
        <v>Senior Data Analyst</v>
      </c>
      <c r="D50" s="1" t="str">
        <f>IFERROR(__xludf.DUMMYFUNCTION("""COMPUTED_VALUE"""),"Hybrid")</f>
        <v>Hybrid</v>
      </c>
      <c r="E50" s="3" t="str">
        <f>IFERROR(__xludf.DUMMYFUNCTION("""COMPUTED_VALUE"""),"$110k - $120k")</f>
        <v>$110k - $120k</v>
      </c>
      <c r="F50" s="1" t="str">
        <f>IFERROR(__xludf.DUMMYFUNCTION("""COMPUTED_VALUE"""),"3 - 5")</f>
        <v>3 - 5</v>
      </c>
      <c r="G50" s="1" t="str">
        <f>IFERROR(__xludf.DUMMYFUNCTION("""COMPUTED_VALUE"""),"Austin, TX")</f>
        <v>Austin, TX</v>
      </c>
      <c r="H50" s="4" t="str">
        <f>IFERROR(__xludf.DUMMYFUNCTION("""COMPUTED_VALUE"""),"https://www.linkedin.com/posts/jennifersobocinski_senior-data-analyst-current-openings-activity-7240093961489375232-QaDk?utm_source=share&amp;utm_medium=member_desktop")</f>
        <v>https://www.linkedin.com/posts/jennifersobocinski_senior-data-analyst-current-openings-activity-7240093961489375232-QaDk?utm_source=share&amp;utm_medium=member_desktop</v>
      </c>
    </row>
    <row r="51">
      <c r="A51" s="2">
        <f>IFERROR(__xludf.DUMMYFUNCTION("""COMPUTED_VALUE"""),45547.0)</f>
        <v>45547</v>
      </c>
      <c r="B51" s="1" t="str">
        <f>IFERROR(__xludf.DUMMYFUNCTION("""COMPUTED_VALUE"""),"RNDC")</f>
        <v>RNDC</v>
      </c>
      <c r="C51" s="1" t="str">
        <f>IFERROR(__xludf.DUMMYFUNCTION("""COMPUTED_VALUE"""),"Sales Performance Analyst")</f>
        <v>Sales Performance Analyst</v>
      </c>
      <c r="D51" s="1" t="str">
        <f>IFERROR(__xludf.DUMMYFUNCTION("""COMPUTED_VALUE"""),"On-Site")</f>
        <v>On-Site</v>
      </c>
      <c r="E51" s="3" t="str">
        <f>IFERROR(__xludf.DUMMYFUNCTION("""COMPUTED_VALUE"""),"N/A")</f>
        <v>N/A</v>
      </c>
      <c r="F51" s="1" t="str">
        <f>IFERROR(__xludf.DUMMYFUNCTION("""COMPUTED_VALUE"""),"3 - 5")</f>
        <v>3 - 5</v>
      </c>
      <c r="G51" s="1" t="str">
        <f>IFERROR(__xludf.DUMMYFUNCTION("""COMPUTED_VALUE"""),"Certain Locations")</f>
        <v>Certain Locations</v>
      </c>
      <c r="H51" s="4" t="str">
        <f>IFERROR(__xludf.DUMMYFUNCTION("""COMPUTED_VALUE"""),"https://www.linkedin.com/posts/aswathynair0324_sales-performance-analyst-in-grand-prairie-activity-7240032087058046976-dAfR?utm_source=share&amp;utm_medium=member_desktop")</f>
        <v>https://www.linkedin.com/posts/aswathynair0324_sales-performance-analyst-in-grand-prairie-activity-7240032087058046976-dAfR?utm_source=share&amp;utm_medium=member_desktop</v>
      </c>
    </row>
    <row r="52">
      <c r="A52" s="2">
        <f>IFERROR(__xludf.DUMMYFUNCTION("""COMPUTED_VALUE"""),45547.0)</f>
        <v>45547</v>
      </c>
      <c r="B52" s="1" t="str">
        <f>IFERROR(__xludf.DUMMYFUNCTION("""COMPUTED_VALUE"""),"National Grid")</f>
        <v>National Grid</v>
      </c>
      <c r="C52" s="1" t="str">
        <f>IFERROR(__xludf.DUMMYFUNCTION("""COMPUTED_VALUE"""),"Senior Analyst, Project Management Office")</f>
        <v>Senior Analyst, Project Management Office</v>
      </c>
      <c r="D52" s="1" t="str">
        <f>IFERROR(__xludf.DUMMYFUNCTION("""COMPUTED_VALUE"""),"Hybrid")</f>
        <v>Hybrid</v>
      </c>
      <c r="E52" s="3" t="str">
        <f>IFERROR(__xludf.DUMMYFUNCTION("""COMPUTED_VALUE"""),"$94k - $134k")</f>
        <v>$94k - $134k</v>
      </c>
      <c r="F52" s="1" t="str">
        <f>IFERROR(__xludf.DUMMYFUNCTION("""COMPUTED_VALUE"""),"3 - 5")</f>
        <v>3 - 5</v>
      </c>
      <c r="G52" s="1" t="str">
        <f>IFERROR(__xludf.DUMMYFUNCTION("""COMPUTED_VALUE"""),"Certain Locations")</f>
        <v>Certain Locations</v>
      </c>
      <c r="H52" s="4" t="str">
        <f>IFERROR(__xludf.DUMMYFUNCTION("""COMPUTED_VALUE"""),"https://www.linkedin.com/posts/keri-clark-doyle-3234509_hiring-ugcPost-7239800060547407873-FQ63?utm_source=share&amp;utm_medium=member_desktop")</f>
        <v>https://www.linkedin.com/posts/keri-clark-doyle-3234509_hiring-ugcPost-7239800060547407873-FQ63?utm_source=share&amp;utm_medium=member_desktop</v>
      </c>
    </row>
    <row r="53">
      <c r="A53" s="2">
        <f>IFERROR(__xludf.DUMMYFUNCTION("""COMPUTED_VALUE"""),45547.0)</f>
        <v>45547</v>
      </c>
      <c r="B53" s="1" t="str">
        <f>IFERROR(__xludf.DUMMYFUNCTION("""COMPUTED_VALUE"""),"Jefferson Health Plans")</f>
        <v>Jefferson Health Plans</v>
      </c>
      <c r="C53" s="1" t="str">
        <f>IFERROR(__xludf.DUMMYFUNCTION("""COMPUTED_VALUE"""),"Data Analyst (HEDIS)")</f>
        <v>Data Analyst (HEDIS)</v>
      </c>
      <c r="D53" s="1" t="str">
        <f>IFERROR(__xludf.DUMMYFUNCTION("""COMPUTED_VALUE"""),"Remote")</f>
        <v>Remote</v>
      </c>
      <c r="E53" s="3" t="str">
        <f>IFERROR(__xludf.DUMMYFUNCTION("""COMPUTED_VALUE"""),"N/A")</f>
        <v>N/A</v>
      </c>
      <c r="F53" s="1" t="str">
        <f>IFERROR(__xludf.DUMMYFUNCTION("""COMPUTED_VALUE"""),"3 - 5")</f>
        <v>3 - 5</v>
      </c>
      <c r="G53" s="1" t="str">
        <f>IFERROR(__xludf.DUMMYFUNCTION("""COMPUTED_VALUE"""),"Certain Locations")</f>
        <v>Certain Locations</v>
      </c>
      <c r="H53" s="4" t="str">
        <f>IFERROR(__xludf.DUMMYFUNCTION("""COMPUTED_VALUE"""),"https://www.linkedin.com/posts/allison-hench-mba-74462049_our-team-is-growing-come-join-the-fantastic-activity-7240055231911264256-Yng5?utm_source=share&amp;utm_medium=member_desktop")</f>
        <v>https://www.linkedin.com/posts/allison-hench-mba-74462049_our-team-is-growing-come-join-the-fantastic-activity-7240055231911264256-Yng5?utm_source=share&amp;utm_medium=member_desktop</v>
      </c>
    </row>
    <row r="54">
      <c r="A54" s="2">
        <f>IFERROR(__xludf.DUMMYFUNCTION("""COMPUTED_VALUE"""),45547.0)</f>
        <v>45547</v>
      </c>
      <c r="B54" s="1" t="str">
        <f>IFERROR(__xludf.DUMMYFUNCTION("""COMPUTED_VALUE"""),"Airbnb")</f>
        <v>Airbnb</v>
      </c>
      <c r="C54" s="1" t="str">
        <f>IFERROR(__xludf.DUMMYFUNCTION("""COMPUTED_VALUE"""),"Data Editor")</f>
        <v>Data Editor</v>
      </c>
      <c r="D54" s="1" t="str">
        <f>IFERROR(__xludf.DUMMYFUNCTION("""COMPUTED_VALUE"""),"Remote")</f>
        <v>Remote</v>
      </c>
      <c r="E54" s="3" t="str">
        <f>IFERROR(__xludf.DUMMYFUNCTION("""COMPUTED_VALUE"""),"$109k - $128k")</f>
        <v>$109k - $128k</v>
      </c>
      <c r="F54" s="1" t="str">
        <f>IFERROR(__xludf.DUMMYFUNCTION("""COMPUTED_VALUE"""),"6 - 9")</f>
        <v>6 - 9</v>
      </c>
      <c r="G54" s="1" t="str">
        <f>IFERROR(__xludf.DUMMYFUNCTION("""COMPUTED_VALUE"""),"USA")</f>
        <v>USA</v>
      </c>
      <c r="H54" s="4" t="str">
        <f>IFERROR(__xludf.DUMMYFUNCTION("""COMPUTED_VALUE"""),"https://www.linkedin.com/posts/krist-wongsuphasawat-279b1617_airbnb-comms-team-is-hiring-data-editor-to-activity-7239736999782268929-3UMc?utm_source=share&amp;utm_medium=member_desktop")</f>
        <v>https://www.linkedin.com/posts/krist-wongsuphasawat-279b1617_airbnb-comms-team-is-hiring-data-editor-to-activity-7239736999782268929-3UMc?utm_source=share&amp;utm_medium=member_desktop</v>
      </c>
    </row>
    <row r="55">
      <c r="A55" s="2">
        <f>IFERROR(__xludf.DUMMYFUNCTION("""COMPUTED_VALUE"""),45547.0)</f>
        <v>45547</v>
      </c>
      <c r="B55" s="1" t="str">
        <f>IFERROR(__xludf.DUMMYFUNCTION("""COMPUTED_VALUE"""),"Petfolk")</f>
        <v>Petfolk</v>
      </c>
      <c r="C55" s="1" t="str">
        <f>IFERROR(__xludf.DUMMYFUNCTION("""COMPUTED_VALUE"""),"Sr. Financial Analyst")</f>
        <v>Sr. Financial Analyst</v>
      </c>
      <c r="D55" s="1" t="str">
        <f>IFERROR(__xludf.DUMMYFUNCTION("""COMPUTED_VALUE"""),"Hybrid")</f>
        <v>Hybrid</v>
      </c>
      <c r="E55" s="3" t="str">
        <f>IFERROR(__xludf.DUMMYFUNCTION("""COMPUTED_VALUE"""),"N/A")</f>
        <v>N/A</v>
      </c>
      <c r="F55" s="1" t="str">
        <f>IFERROR(__xludf.DUMMYFUNCTION("""COMPUTED_VALUE"""),"3 - 5")</f>
        <v>3 - 5</v>
      </c>
      <c r="G55" s="1" t="str">
        <f>IFERROR(__xludf.DUMMYFUNCTION("""COMPUTED_VALUE"""),"New York, NY")</f>
        <v>New York, NY</v>
      </c>
      <c r="H55" s="4" t="str">
        <f>IFERROR(__xludf.DUMMYFUNCTION("""COMPUTED_VALUE"""),"https://www.linkedin.com/posts/matthewhagel_sr-financial-analyst-activity-7239987286375890944-qfck?utm_source=share&amp;utm_medium=member_desktop")</f>
        <v>https://www.linkedin.com/posts/matthewhagel_sr-financial-analyst-activity-7239987286375890944-qfck?utm_source=share&amp;utm_medium=member_desktop</v>
      </c>
    </row>
    <row r="56">
      <c r="A56" s="2">
        <f>IFERROR(__xludf.DUMMYFUNCTION("""COMPUTED_VALUE"""),45547.0)</f>
        <v>45547</v>
      </c>
      <c r="B56" s="1" t="str">
        <f>IFERROR(__xludf.DUMMYFUNCTION("""COMPUTED_VALUE"""),"Amazon")</f>
        <v>Amazon</v>
      </c>
      <c r="C56" s="1" t="str">
        <f>IFERROR(__xludf.DUMMYFUNCTION("""COMPUTED_VALUE"""),"Business Analyst, Planning &amp; Strategy, Amazon Hub Pickups and Returns Points")</f>
        <v>Business Analyst, Planning &amp; Strategy, Amazon Hub Pickups and Returns Points</v>
      </c>
      <c r="D56" s="1" t="str">
        <f>IFERROR(__xludf.DUMMYFUNCTION("""COMPUTED_VALUE"""),"Hybrid")</f>
        <v>Hybrid</v>
      </c>
      <c r="E56" s="3" t="str">
        <f>IFERROR(__xludf.DUMMYFUNCTION("""COMPUTED_VALUE"""),"$79k - $169k")</f>
        <v>$79k - $169k</v>
      </c>
      <c r="F56" s="1" t="str">
        <f>IFERROR(__xludf.DUMMYFUNCTION("""COMPUTED_VALUE"""),"3 - 5")</f>
        <v>3 - 5</v>
      </c>
      <c r="G56" s="1" t="str">
        <f>IFERROR(__xludf.DUMMYFUNCTION("""COMPUTED_VALUE"""),"Certain Locations")</f>
        <v>Certain Locations</v>
      </c>
      <c r="H56" s="4" t="str">
        <f>IFERROR(__xludf.DUMMYFUNCTION("""COMPUTED_VALUE"""),"https://www.linkedin.com/posts/j88hrv_business-analyst-planning-strategy-amazon-activity-7240013596531834880-i-L-?utm_source=share&amp;utm_medium=member_desktop")</f>
        <v>https://www.linkedin.com/posts/j88hrv_business-analyst-planning-strategy-amazon-activity-7240013596531834880-i-L-?utm_source=share&amp;utm_medium=member_desktop</v>
      </c>
    </row>
    <row r="57">
      <c r="A57" s="2">
        <f>IFERROR(__xludf.DUMMYFUNCTION("""COMPUTED_VALUE"""),45547.0)</f>
        <v>45547</v>
      </c>
      <c r="B57" s="1" t="str">
        <f>IFERROR(__xludf.DUMMYFUNCTION("""COMPUTED_VALUE"""),"USAA Bank")</f>
        <v>USAA Bank</v>
      </c>
      <c r="C57" s="1" t="str">
        <f>IFERROR(__xludf.DUMMYFUNCTION("""COMPUTED_VALUE"""),"Credit Risk Review Data Analyst - Review Manager (Senior)")</f>
        <v>Credit Risk Review Data Analyst - Review Manager (Senior)</v>
      </c>
      <c r="D57" s="1" t="str">
        <f>IFERROR(__xludf.DUMMYFUNCTION("""COMPUTED_VALUE"""),"On-Site")</f>
        <v>On-Site</v>
      </c>
      <c r="E57" s="3" t="str">
        <f>IFERROR(__xludf.DUMMYFUNCTION("""COMPUTED_VALUE"""),"$120k - $230k")</f>
        <v>$120k - $230k</v>
      </c>
      <c r="F57" s="1" t="str">
        <f>IFERROR(__xludf.DUMMYFUNCTION("""COMPUTED_VALUE"""),"3 - 5")</f>
        <v>3 - 5</v>
      </c>
      <c r="G57" s="1" t="str">
        <f>IFERROR(__xludf.DUMMYFUNCTION("""COMPUTED_VALUE"""),"San Antonio, TX/Plano, TX")</f>
        <v>San Antonio, TX/Plano, TX</v>
      </c>
      <c r="H57" s="4" t="str">
        <f>IFERROR(__xludf.DUMMYFUNCTION("""COMPUTED_VALUE"""),"https://www.linkedin.com/posts/edwardrobicheaux_credit-risk-review-data-analyst-review-activity-7239997105946173440-18fL?utm_source=share&amp;utm_medium=member_desktop")</f>
        <v>https://www.linkedin.com/posts/edwardrobicheaux_credit-risk-review-data-analyst-review-activity-7239997105946173440-18fL?utm_source=share&amp;utm_medium=member_desktop</v>
      </c>
    </row>
    <row r="58">
      <c r="A58" s="2">
        <f>IFERROR(__xludf.DUMMYFUNCTION("""COMPUTED_VALUE"""),45547.0)</f>
        <v>45547</v>
      </c>
      <c r="B58" s="1" t="str">
        <f>IFERROR(__xludf.DUMMYFUNCTION("""COMPUTED_VALUE"""),"DriveTime")</f>
        <v>DriveTime</v>
      </c>
      <c r="C58" s="1" t="str">
        <f>IFERROR(__xludf.DUMMYFUNCTION("""COMPUTED_VALUE"""),"Senior Analyst, Purchasing")</f>
        <v>Senior Analyst, Purchasing</v>
      </c>
      <c r="D58" s="1" t="str">
        <f>IFERROR(__xludf.DUMMYFUNCTION("""COMPUTED_VALUE"""),"On-Site")</f>
        <v>On-Site</v>
      </c>
      <c r="E58" s="3" t="str">
        <f>IFERROR(__xludf.DUMMYFUNCTION("""COMPUTED_VALUE"""),"N/A")</f>
        <v>N/A</v>
      </c>
      <c r="F58" s="1" t="str">
        <f>IFERROR(__xludf.DUMMYFUNCTION("""COMPUTED_VALUE"""),"3 - 5")</f>
        <v>3 - 5</v>
      </c>
      <c r="G58" s="1" t="str">
        <f>IFERROR(__xludf.DUMMYFUNCTION("""COMPUTED_VALUE"""),"Tempe, AZ")</f>
        <v>Tempe, AZ</v>
      </c>
      <c r="H58" s="4" t="str">
        <f>IFERROR(__xludf.DUMMYFUNCTION("""COMPUTED_VALUE"""),"https://www.linkedin.com/posts/kayla-argyros_senior-analyst-purchasing-in-tempe-az-activity-7240001387126759426-w5eD?utm_source=share&amp;utm_medium=member_desktop")</f>
        <v>https://www.linkedin.com/posts/kayla-argyros_senior-analyst-purchasing-in-tempe-az-activity-7240001387126759426-w5eD?utm_source=share&amp;utm_medium=member_desktop</v>
      </c>
    </row>
    <row r="59">
      <c r="A59" s="2">
        <f>IFERROR(__xludf.DUMMYFUNCTION("""COMPUTED_VALUE"""),45547.0)</f>
        <v>45547</v>
      </c>
      <c r="B59" s="1" t="str">
        <f>IFERROR(__xludf.DUMMYFUNCTION("""COMPUTED_VALUE"""),"Stitch Fix")</f>
        <v>Stitch Fix</v>
      </c>
      <c r="C59" s="1" t="str">
        <f>IFERROR(__xludf.DUMMYFUNCTION("""COMPUTED_VALUE"""),"Senior Financial Analyst, FP&amp;A Merchandising Finance")</f>
        <v>Senior Financial Analyst, FP&amp;A Merchandising Finance</v>
      </c>
      <c r="D59" s="1" t="str">
        <f>IFERROR(__xludf.DUMMYFUNCTION("""COMPUTED_VALUE"""),"Remote")</f>
        <v>Remote</v>
      </c>
      <c r="E59" s="3" t="str">
        <f>IFERROR(__xludf.DUMMYFUNCTION("""COMPUTED_VALUE"""),"$116k - $124k")</f>
        <v>$116k - $124k</v>
      </c>
      <c r="F59" s="1" t="str">
        <f>IFERROR(__xludf.DUMMYFUNCTION("""COMPUTED_VALUE"""),"3 - 5")</f>
        <v>3 - 5</v>
      </c>
      <c r="G59" s="1" t="str">
        <f>IFERROR(__xludf.DUMMYFUNCTION("""COMPUTED_VALUE"""),"USA")</f>
        <v>USA</v>
      </c>
      <c r="H59" s="4" t="str">
        <f>IFERROR(__xludf.DUMMYFUNCTION("""COMPUTED_VALUE"""),"https://www.linkedin.com/posts/patrick-fedigan_senior-financial-analyst-fpa-merchandising-activity-7240028635108139008-aLea?utm_source=share&amp;utm_medium=member_desktop")</f>
        <v>https://www.linkedin.com/posts/patrick-fedigan_senior-financial-analyst-fpa-merchandising-activity-7240028635108139008-aLea?utm_source=share&amp;utm_medium=member_desktop</v>
      </c>
    </row>
    <row r="60">
      <c r="A60" s="2">
        <f>IFERROR(__xludf.DUMMYFUNCTION("""COMPUTED_VALUE"""),45547.0)</f>
        <v>45547</v>
      </c>
      <c r="B60" s="1" t="str">
        <f>IFERROR(__xludf.DUMMYFUNCTION("""COMPUTED_VALUE"""),"Cardinal Health")</f>
        <v>Cardinal Health</v>
      </c>
      <c r="C60" s="1" t="str">
        <f>IFERROR(__xludf.DUMMYFUNCTION("""COMPUTED_VALUE"""),"Finance Operations Senior Analyst")</f>
        <v>Finance Operations Senior Analyst</v>
      </c>
      <c r="D60" s="1" t="str">
        <f>IFERROR(__xludf.DUMMYFUNCTION("""COMPUTED_VALUE"""),"Remote")</f>
        <v>Remote</v>
      </c>
      <c r="E60" s="3" t="str">
        <f>IFERROR(__xludf.DUMMYFUNCTION("""COMPUTED_VALUE"""),"$56k - $80k")</f>
        <v>$56k - $80k</v>
      </c>
      <c r="F60" s="1" t="str">
        <f>IFERROR(__xludf.DUMMYFUNCTION("""COMPUTED_VALUE"""),"0 - 2")</f>
        <v>0 - 2</v>
      </c>
      <c r="G60" s="1" t="str">
        <f>IFERROR(__xludf.DUMMYFUNCTION("""COMPUTED_VALUE"""),"Certain Locations")</f>
        <v>Certain Locations</v>
      </c>
      <c r="H60" s="4" t="str">
        <f>IFERROR(__xludf.DUMMYFUNCTION("""COMPUTED_VALUE"""),"https://www.linkedin.com/posts/stephanie-shenigo-0803b217_our-global-financial-shared-services-function-activity-7240018586327519232-zbgj?utm_source=share&amp;utm_medium=member_desktop")</f>
        <v>https://www.linkedin.com/posts/stephanie-shenigo-0803b217_our-global-financial-shared-services-function-activity-7240018586327519232-zbgj?utm_source=share&amp;utm_medium=member_desktop</v>
      </c>
    </row>
    <row r="61">
      <c r="A61" s="2">
        <f>IFERROR(__xludf.DUMMYFUNCTION("""COMPUTED_VALUE"""),45547.0)</f>
        <v>45547</v>
      </c>
      <c r="B61" s="1" t="str">
        <f>IFERROR(__xludf.DUMMYFUNCTION("""COMPUTED_VALUE"""),"ICF")</f>
        <v>ICF</v>
      </c>
      <c r="C61" s="1" t="str">
        <f>IFERROR(__xludf.DUMMYFUNCTION("""COMPUTED_VALUE"""),"Economics Analyst")</f>
        <v>Economics Analyst</v>
      </c>
      <c r="D61" s="1" t="str">
        <f>IFERROR(__xludf.DUMMYFUNCTION("""COMPUTED_VALUE"""),"Hybrid")</f>
        <v>Hybrid</v>
      </c>
      <c r="E61" s="3" t="str">
        <f>IFERROR(__xludf.DUMMYFUNCTION("""COMPUTED_VALUE"""),"$60k - $102k")</f>
        <v>$60k - $102k</v>
      </c>
      <c r="F61" s="1" t="str">
        <f>IFERROR(__xludf.DUMMYFUNCTION("""COMPUTED_VALUE"""),"0 - 2")</f>
        <v>0 - 2</v>
      </c>
      <c r="G61" s="1" t="str">
        <f>IFERROR(__xludf.DUMMYFUNCTION("""COMPUTED_VALUE"""),"Cambridge, MA/Reston, VA")</f>
        <v>Cambridge, MA/Reston, VA</v>
      </c>
      <c r="H61" s="4" t="str">
        <f>IFERROR(__xludf.DUMMYFUNCTION("""COMPUTED_VALUE"""),"https://www.linkedin.com/posts/summer-brenwald-m-a526211_economics-analyst-activity-7240004785435807744-T4UR?utm_source=share&amp;utm_medium=member_desktop")</f>
        <v>https://www.linkedin.com/posts/summer-brenwald-m-a526211_economics-analyst-activity-7240004785435807744-T4UR?utm_source=share&amp;utm_medium=member_desktop</v>
      </c>
    </row>
    <row r="62">
      <c r="A62" s="2">
        <f>IFERROR(__xludf.DUMMYFUNCTION("""COMPUTED_VALUE"""),45547.0)</f>
        <v>45547</v>
      </c>
      <c r="B62" s="1" t="str">
        <f>IFERROR(__xludf.DUMMYFUNCTION("""COMPUTED_VALUE"""),"IWorkForce Solutions LP")</f>
        <v>IWorkForce Solutions LP</v>
      </c>
      <c r="C62" s="1" t="str">
        <f>IFERROR(__xludf.DUMMYFUNCTION("""COMPUTED_VALUE"""),"Business Data Analyst")</f>
        <v>Business Data Analyst</v>
      </c>
      <c r="D62" s="1" t="str">
        <f>IFERROR(__xludf.DUMMYFUNCTION("""COMPUTED_VALUE"""),"On-Site")</f>
        <v>On-Site</v>
      </c>
      <c r="E62" s="3" t="str">
        <f>IFERROR(__xludf.DUMMYFUNCTION("""COMPUTED_VALUE"""),"$125k - $145k")</f>
        <v>$125k - $145k</v>
      </c>
      <c r="F62" s="1" t="str">
        <f>IFERROR(__xludf.DUMMYFUNCTION("""COMPUTED_VALUE"""),"6 - 9")</f>
        <v>6 - 9</v>
      </c>
      <c r="G62" s="1" t="str">
        <f>IFERROR(__xludf.DUMMYFUNCTION("""COMPUTED_VALUE"""),"Houston, TX")</f>
        <v>Houston, TX</v>
      </c>
      <c r="H62" s="4" t="str">
        <f>IFERROR(__xludf.DUMMYFUNCTION("""COMPUTED_VALUE"""),"https://www.linkedin.com/posts/cinthia-lorenzo004_iworkforce-solutions-business-data-analyst-activity-7239685782934802432-H_Gy?utm_source=share&amp;utm_medium=member_desktop")</f>
        <v>https://www.linkedin.com/posts/cinthia-lorenzo004_iworkforce-solutions-business-data-analyst-activity-7239685782934802432-H_Gy?utm_source=share&amp;utm_medium=member_desktop</v>
      </c>
    </row>
    <row r="63">
      <c r="A63" s="2">
        <f>IFERROR(__xludf.DUMMYFUNCTION("""COMPUTED_VALUE"""),45547.0)</f>
        <v>45547</v>
      </c>
      <c r="B63" s="1" t="str">
        <f>IFERROR(__xludf.DUMMYFUNCTION("""COMPUTED_VALUE"""),"Bank of America")</f>
        <v>Bank of America</v>
      </c>
      <c r="C63" s="1" t="str">
        <f>IFERROR(__xludf.DUMMYFUNCTION("""COMPUTED_VALUE"""),"Sr Data Analyst")</f>
        <v>Sr Data Analyst</v>
      </c>
      <c r="D63" s="1" t="str">
        <f>IFERROR(__xludf.DUMMYFUNCTION("""COMPUTED_VALUE"""),"Hybrid")</f>
        <v>Hybrid</v>
      </c>
      <c r="E63" s="3" t="str">
        <f>IFERROR(__xludf.DUMMYFUNCTION("""COMPUTED_VALUE"""),"N/A")</f>
        <v>N/A</v>
      </c>
      <c r="F63" s="1" t="str">
        <f>IFERROR(__xludf.DUMMYFUNCTION("""COMPUTED_VALUE"""),"3 - 5")</f>
        <v>3 - 5</v>
      </c>
      <c r="G63" s="1" t="str">
        <f>IFERROR(__xludf.DUMMYFUNCTION("""COMPUTED_VALUE"""),"Charlotte, NC")</f>
        <v>Charlotte, NC</v>
      </c>
      <c r="H63" s="4" t="str">
        <f>IFERROR(__xludf.DUMMYFUNCTION("""COMPUTED_VALUE"""),"https://www.linkedin.com/posts/erin-ross-79437b215_hiring-activity-7239964988872830978-q6BF?utm_source=share&amp;utm_medium=member_desktop")</f>
        <v>https://www.linkedin.com/posts/erin-ross-79437b215_hiring-activity-7239964988872830978-q6BF?utm_source=share&amp;utm_medium=member_desktop</v>
      </c>
    </row>
    <row r="64">
      <c r="A64" s="2">
        <f>IFERROR(__xludf.DUMMYFUNCTION("""COMPUTED_VALUE"""),45547.0)</f>
        <v>45547</v>
      </c>
      <c r="B64" s="1" t="str">
        <f>IFERROR(__xludf.DUMMYFUNCTION("""COMPUTED_VALUE"""),"Brewer Morris")</f>
        <v>Brewer Morris</v>
      </c>
      <c r="C64" s="1" t="str">
        <f>IFERROR(__xludf.DUMMYFUNCTION("""COMPUTED_VALUE"""),"Senior Financial Analyst")</f>
        <v>Senior Financial Analyst</v>
      </c>
      <c r="D64" s="1" t="str">
        <f>IFERROR(__xludf.DUMMYFUNCTION("""COMPUTED_VALUE"""),"Hybrid")</f>
        <v>Hybrid</v>
      </c>
      <c r="E64" s="3" t="str">
        <f>IFERROR(__xludf.DUMMYFUNCTION("""COMPUTED_VALUE"""),"$95k - $100k")</f>
        <v>$95k - $100k</v>
      </c>
      <c r="F64" s="1" t="str">
        <f>IFERROR(__xludf.DUMMYFUNCTION("""COMPUTED_VALUE"""),"0 - 2")</f>
        <v>0 - 2</v>
      </c>
      <c r="G64" s="1" t="str">
        <f>IFERROR(__xludf.DUMMYFUNCTION("""COMPUTED_VALUE"""),"Concord, NC")</f>
        <v>Concord, NC</v>
      </c>
      <c r="H64" s="4" t="str">
        <f>IFERROR(__xludf.DUMMYFUNCTION("""COMPUTED_VALUE"""),"https://www.linkedin.com/posts/amanda-theodore-63688ab5_senior-financial-analyst-activity-7240008636977012736-sFzo?utm_source=share&amp;utm_medium=member_desktop")</f>
        <v>https://www.linkedin.com/posts/amanda-theodore-63688ab5_senior-financial-analyst-activity-7240008636977012736-sFzo?utm_source=share&amp;utm_medium=member_desktop</v>
      </c>
    </row>
    <row r="65">
      <c r="A65" s="2">
        <f>IFERROR(__xludf.DUMMYFUNCTION("""COMPUTED_VALUE"""),45547.0)</f>
        <v>45547</v>
      </c>
      <c r="B65" s="1" t="str">
        <f>IFERROR(__xludf.DUMMYFUNCTION("""COMPUTED_VALUE"""),"Burnsall Associates")</f>
        <v>Burnsall Associates</v>
      </c>
      <c r="C65" s="1" t="str">
        <f>IFERROR(__xludf.DUMMYFUNCTION("""COMPUTED_VALUE"""),"Supply Chain Business Analyst")</f>
        <v>Supply Chain Business Analyst</v>
      </c>
      <c r="D65" s="1" t="str">
        <f>IFERROR(__xludf.DUMMYFUNCTION("""COMPUTED_VALUE"""),"Remote")</f>
        <v>Remote</v>
      </c>
      <c r="E65" s="3" t="str">
        <f>IFERROR(__xludf.DUMMYFUNCTION("""COMPUTED_VALUE"""),"$90k - $100k")</f>
        <v>$90k - $100k</v>
      </c>
      <c r="F65" s="1" t="str">
        <f>IFERROR(__xludf.DUMMYFUNCTION("""COMPUTED_VALUE"""),"0 - 2")</f>
        <v>0 - 2</v>
      </c>
      <c r="G65" s="1" t="str">
        <f>IFERROR(__xludf.DUMMYFUNCTION("""COMPUTED_VALUE"""),"USA")</f>
        <v>USA</v>
      </c>
      <c r="H65" s="4" t="str">
        <f>IFERROR(__xludf.DUMMYFUNCTION("""COMPUTED_VALUE"""),"https://www.linkedin.com/posts/williamjko_hiring-a-business-analyst-for-a-fast-growing-activity-7238851361692356610-wstu?utm_source=share&amp;utm_medium=member_desktop")</f>
        <v>https://www.linkedin.com/posts/williamjko_hiring-a-business-analyst-for-a-fast-growing-activity-7238851361692356610-wstu?utm_source=share&amp;utm_medium=member_desktop</v>
      </c>
    </row>
    <row r="66">
      <c r="A66" s="2">
        <f>IFERROR(__xludf.DUMMYFUNCTION("""COMPUTED_VALUE"""),45547.0)</f>
        <v>45547</v>
      </c>
      <c r="B66" s="1" t="str">
        <f>IFERROR(__xludf.DUMMYFUNCTION("""COMPUTED_VALUE"""),"Highmark Health")</f>
        <v>Highmark Health</v>
      </c>
      <c r="C66" s="1" t="str">
        <f>IFERROR(__xludf.DUMMYFUNCTION("""COMPUTED_VALUE"""),"Analytic Data Engineer – Databricks")</f>
        <v>Analytic Data Engineer – Databricks</v>
      </c>
      <c r="D66" s="1" t="str">
        <f>IFERROR(__xludf.DUMMYFUNCTION("""COMPUTED_VALUE"""),"Remote")</f>
        <v>Remote</v>
      </c>
      <c r="E66" s="3" t="str">
        <f>IFERROR(__xludf.DUMMYFUNCTION("""COMPUTED_VALUE"""),"$58k - $107k")</f>
        <v>$58k - $107k</v>
      </c>
      <c r="F66" s="1" t="str">
        <f>IFERROR(__xludf.DUMMYFUNCTION("""COMPUTED_VALUE"""),"3 - 5")</f>
        <v>3 - 5</v>
      </c>
      <c r="G66" s="1" t="str">
        <f>IFERROR(__xludf.DUMMYFUNCTION("""COMPUTED_VALUE"""),"USA")</f>
        <v>USA</v>
      </c>
      <c r="H66" s="4" t="str">
        <f>IFERROR(__xludf.DUMMYFUNCTION("""COMPUTED_VALUE"""),"https://www.linkedin.com/posts/heather-olsavsky-b41b57144_ready-to-build-data-driven-solutions-that-activity-7238950541098201088-ZOqU?utm_source=share&amp;utm_medium=member_desktop")</f>
        <v>https://www.linkedin.com/posts/heather-olsavsky-b41b57144_ready-to-build-data-driven-solutions-that-activity-7238950541098201088-ZOqU?utm_source=share&amp;utm_medium=member_desktop</v>
      </c>
    </row>
    <row r="67">
      <c r="A67" s="2">
        <f>IFERROR(__xludf.DUMMYFUNCTION("""COMPUTED_VALUE"""),45547.0)</f>
        <v>45547</v>
      </c>
      <c r="B67" s="1" t="str">
        <f>IFERROR(__xludf.DUMMYFUNCTION("""COMPUTED_VALUE"""),"When I Work")</f>
        <v>When I Work</v>
      </c>
      <c r="C67" s="1" t="str">
        <f>IFERROR(__xludf.DUMMYFUNCTION("""COMPUTED_VALUE"""),"Manager, Analytics")</f>
        <v>Manager, Analytics</v>
      </c>
      <c r="D67" s="1" t="str">
        <f>IFERROR(__xludf.DUMMYFUNCTION("""COMPUTED_VALUE"""),"Remote")</f>
        <v>Remote</v>
      </c>
      <c r="E67" s="3" t="str">
        <f>IFERROR(__xludf.DUMMYFUNCTION("""COMPUTED_VALUE"""),"N/A")</f>
        <v>N/A</v>
      </c>
      <c r="F67" s="1" t="str">
        <f>IFERROR(__xludf.DUMMYFUNCTION("""COMPUTED_VALUE"""),"3 - 5")</f>
        <v>3 - 5</v>
      </c>
      <c r="G67" s="1" t="str">
        <f>IFERROR(__xludf.DUMMYFUNCTION("""COMPUTED_VALUE"""),"USA")</f>
        <v>USA</v>
      </c>
      <c r="H67" s="4" t="str">
        <f>IFERROR(__xludf.DUMMYFUNCTION("""COMPUTED_VALUE"""),"https://www.linkedin.com/posts/michael-keaton_careers-at-when-i-work-activity-7239005362505326594-oiFM?utm_source=share&amp;utm_medium=member_desktop")</f>
        <v>https://www.linkedin.com/posts/michael-keaton_careers-at-when-i-work-activity-7239005362505326594-oiFM?utm_source=share&amp;utm_medium=member_desktop</v>
      </c>
    </row>
    <row r="68">
      <c r="A68" s="2">
        <f>IFERROR(__xludf.DUMMYFUNCTION("""COMPUTED_VALUE"""),45547.0)</f>
        <v>45547</v>
      </c>
      <c r="B68" s="1" t="str">
        <f>IFERROR(__xludf.DUMMYFUNCTION("""COMPUTED_VALUE"""),"Sogeti")</f>
        <v>Sogeti</v>
      </c>
      <c r="C68" s="1" t="str">
        <f>IFERROR(__xludf.DUMMYFUNCTION("""COMPUTED_VALUE"""),"Data Engineer")</f>
        <v>Data Engineer</v>
      </c>
      <c r="D68" s="1" t="str">
        <f>IFERROR(__xludf.DUMMYFUNCTION("""COMPUTED_VALUE"""),"Remote")</f>
        <v>Remote</v>
      </c>
      <c r="E68" s="3" t="str">
        <f>IFERROR(__xludf.DUMMYFUNCTION("""COMPUTED_VALUE"""),"N/A")</f>
        <v>N/A</v>
      </c>
      <c r="F68" s="1" t="str">
        <f>IFERROR(__xludf.DUMMYFUNCTION("""COMPUTED_VALUE"""),"3 - 5")</f>
        <v>3 - 5</v>
      </c>
      <c r="G68" s="1" t="str">
        <f>IFERROR(__xludf.DUMMYFUNCTION("""COMPUTED_VALUE"""),"Chicago, IL")</f>
        <v>Chicago, IL</v>
      </c>
      <c r="H68" s="4" t="str">
        <f>IFERROR(__xludf.DUMMYFUNCTION("""COMPUTED_VALUE"""),"https://www.linkedin.com/posts/evanspaige_sogeti-hiringthebest-activity-7239415540509761537-q9r_?utm_source=share&amp;utm_medium=member_desktop")</f>
        <v>https://www.linkedin.com/posts/evanspaige_sogeti-hiringthebest-activity-7239415540509761537-q9r_?utm_source=share&amp;utm_medium=member_desktop</v>
      </c>
    </row>
    <row r="69">
      <c r="A69" s="2">
        <f>IFERROR(__xludf.DUMMYFUNCTION("""COMPUTED_VALUE"""),45547.0)</f>
        <v>45547</v>
      </c>
      <c r="B69" s="1" t="str">
        <f>IFERROR(__xludf.DUMMYFUNCTION("""COMPUTED_VALUE"""),"Point32Health")</f>
        <v>Point32Health</v>
      </c>
      <c r="C69" s="1" t="str">
        <f>IFERROR(__xludf.DUMMYFUNCTION("""COMPUTED_VALUE"""),"Senior Manager, Network &amp; Provider Analytics")</f>
        <v>Senior Manager, Network &amp; Provider Analytics</v>
      </c>
      <c r="D69" s="1" t="str">
        <f>IFERROR(__xludf.DUMMYFUNCTION("""COMPUTED_VALUE"""),"Remote")</f>
        <v>Remote</v>
      </c>
      <c r="E69" s="3" t="str">
        <f>IFERROR(__xludf.DUMMYFUNCTION("""COMPUTED_VALUE"""),"N/A")</f>
        <v>N/A</v>
      </c>
      <c r="F69" s="1" t="str">
        <f>IFERROR(__xludf.DUMMYFUNCTION("""COMPUTED_VALUE"""),"6 - 9")</f>
        <v>6 - 9</v>
      </c>
      <c r="G69" s="1" t="str">
        <f>IFERROR(__xludf.DUMMYFUNCTION("""COMPUTED_VALUE"""),"Certain Locations")</f>
        <v>Certain Locations</v>
      </c>
      <c r="H69" s="4" t="str">
        <f>IFERROR(__xludf.DUMMYFUNCTION("""COMPUTED_VALUE"""),"https://www.linkedin.com/posts/ryan-lafond-60a64512b_senior-manager-network-provider-analytics-activity-7239414706673709057-fWN1?utm_source=share&amp;utm_medium=member_desktop")</f>
        <v>https://www.linkedin.com/posts/ryan-lafond-60a64512b_senior-manager-network-provider-analytics-activity-7239414706673709057-fWN1?utm_source=share&amp;utm_medium=member_desktop</v>
      </c>
    </row>
    <row r="70">
      <c r="A70" s="2">
        <f>IFERROR(__xludf.DUMMYFUNCTION("""COMPUTED_VALUE"""),45547.0)</f>
        <v>45547</v>
      </c>
      <c r="B70" s="1" t="str">
        <f>IFERROR(__xludf.DUMMYFUNCTION("""COMPUTED_VALUE"""),"Avaya")</f>
        <v>Avaya</v>
      </c>
      <c r="C70" s="1" t="str">
        <f>IFERROR(__xludf.DUMMYFUNCTION("""COMPUTED_VALUE"""),"Senior Manager, Marketing Analytics, Planning, and Business Operations (Remote)")</f>
        <v>Senior Manager, Marketing Analytics, Planning, and Business Operations (Remote)</v>
      </c>
      <c r="D70" s="1" t="str">
        <f>IFERROR(__xludf.DUMMYFUNCTION("""COMPUTED_VALUE"""),"Remote")</f>
        <v>Remote</v>
      </c>
      <c r="E70" s="3" t="str">
        <f>IFERROR(__xludf.DUMMYFUNCTION("""COMPUTED_VALUE"""),"$140k - $200k")</f>
        <v>$140k - $200k</v>
      </c>
      <c r="F70" s="1" t="str">
        <f>IFERROR(__xludf.DUMMYFUNCTION("""COMPUTED_VALUE"""),"6 - 9")</f>
        <v>6 - 9</v>
      </c>
      <c r="G70" s="1" t="str">
        <f>IFERROR(__xludf.DUMMYFUNCTION("""COMPUTED_VALUE"""),"USA")</f>
        <v>USA</v>
      </c>
      <c r="H70" s="4" t="str">
        <f>IFERROR(__xludf.DUMMYFUNCTION("""COMPUTED_VALUE"""),"https://www.linkedin.com/posts/saquib_were-hiring-join-avaya-as-a-sr-manager-activity-7239742454801780736-tcdx?utm_source=share&amp;utm_medium=member_desktop")</f>
        <v>https://www.linkedin.com/posts/saquib_were-hiring-join-avaya-as-a-sr-manager-activity-7239742454801780736-tcdx?utm_source=share&amp;utm_medium=member_desktop</v>
      </c>
    </row>
    <row r="71">
      <c r="A71" s="2">
        <f>IFERROR(__xludf.DUMMYFUNCTION("""COMPUTED_VALUE"""),45547.0)</f>
        <v>45547</v>
      </c>
      <c r="B71" s="1" t="str">
        <f>IFERROR(__xludf.DUMMYFUNCTION("""COMPUTED_VALUE"""),"Sandy Springs Bank")</f>
        <v>Sandy Springs Bank</v>
      </c>
      <c r="C71" s="1" t="str">
        <f>IFERROR(__xludf.DUMMYFUNCTION("""COMPUTED_VALUE"""),"Business Intelligence Analyst ")</f>
        <v>Business Intelligence Analyst </v>
      </c>
      <c r="D71" s="1" t="str">
        <f>IFERROR(__xludf.DUMMYFUNCTION("""COMPUTED_VALUE"""),"On-Site")</f>
        <v>On-Site</v>
      </c>
      <c r="E71" s="3" t="str">
        <f>IFERROR(__xludf.DUMMYFUNCTION("""COMPUTED_VALUE"""),"$72k - $116k")</f>
        <v>$72k - $116k</v>
      </c>
      <c r="F71" s="1" t="str">
        <f>IFERROR(__xludf.DUMMYFUNCTION("""COMPUTED_VALUE"""),"3 - 5")</f>
        <v>3 - 5</v>
      </c>
      <c r="G71" s="1" t="str">
        <f>IFERROR(__xludf.DUMMYFUNCTION("""COMPUTED_VALUE"""),"Columbia, MD")</f>
        <v>Columbia, MD</v>
      </c>
      <c r="H71" s="4" t="str">
        <f>IFERROR(__xludf.DUMMYFUNCTION("""COMPUTED_VALUE"""),"https://www.linkedin.com/posts/lisa-mk-brown-2b118213_powerbi-businessintelligence-analytics-activity-7239736827090284544-qviQ?utm_source=share&amp;utm_medium=member_desktop")</f>
        <v>https://www.linkedin.com/posts/lisa-mk-brown-2b118213_powerbi-businessintelligence-analytics-activity-7239736827090284544-qviQ?utm_source=share&amp;utm_medium=member_desktop</v>
      </c>
    </row>
    <row r="72">
      <c r="A72" s="2">
        <f>IFERROR(__xludf.DUMMYFUNCTION("""COMPUTED_VALUE"""),45547.0)</f>
        <v>45547</v>
      </c>
      <c r="B72" s="1" t="str">
        <f>IFERROR(__xludf.DUMMYFUNCTION("""COMPUTED_VALUE"""),"Zebra Technologies")</f>
        <v>Zebra Technologies</v>
      </c>
      <c r="C72" s="1" t="str">
        <f>IFERROR(__xludf.DUMMYFUNCTION("""COMPUTED_VALUE"""),"Supply Chain Design Analyst ")</f>
        <v>Supply Chain Design Analyst </v>
      </c>
      <c r="D72" s="1" t="str">
        <f>IFERROR(__xludf.DUMMYFUNCTION("""COMPUTED_VALUE"""),"Hybrid")</f>
        <v>Hybrid</v>
      </c>
      <c r="E72" s="3" t="str">
        <f>IFERROR(__xludf.DUMMYFUNCTION("""COMPUTED_VALUE"""),"$66k - $85k")</f>
        <v>$66k - $85k</v>
      </c>
      <c r="F72" s="1" t="str">
        <f>IFERROR(__xludf.DUMMYFUNCTION("""COMPUTED_VALUE"""),"0 - 2")</f>
        <v>0 - 2</v>
      </c>
      <c r="G72" s="1" t="str">
        <f>IFERROR(__xludf.DUMMYFUNCTION("""COMPUTED_VALUE"""),"Lincolnshire, IL ")</f>
        <v>Lincolnshire, IL </v>
      </c>
      <c r="H72" s="4" t="str">
        <f>IFERROR(__xludf.DUMMYFUNCTION("""COMPUTED_VALUE"""),"https://www.linkedin.com/posts/victor-xian_my-team-is-growing-we-are-looking-to-hire-activity-7239691872858750977-0-A_?utm_source=share&amp;utm_medium=member_desktop")</f>
        <v>https://www.linkedin.com/posts/victor-xian_my-team-is-growing-we-are-looking-to-hire-activity-7239691872858750977-0-A_?utm_source=share&amp;utm_medium=member_desktop</v>
      </c>
    </row>
    <row r="73">
      <c r="A73" s="2">
        <f>IFERROR(__xludf.DUMMYFUNCTION("""COMPUTED_VALUE"""),45547.0)</f>
        <v>45547</v>
      </c>
      <c r="B73" s="1" t="str">
        <f>IFERROR(__xludf.DUMMYFUNCTION("""COMPUTED_VALUE"""),"Slalom")</f>
        <v>Slalom</v>
      </c>
      <c r="C73" s="1" t="str">
        <f>IFERROR(__xludf.DUMMYFUNCTION("""COMPUTED_VALUE"""),"Data &amp; Analytics Solutions Director")</f>
        <v>Data &amp; Analytics Solutions Director</v>
      </c>
      <c r="D73" s="1" t="str">
        <f>IFERROR(__xludf.DUMMYFUNCTION("""COMPUTED_VALUE"""),"Hybrid")</f>
        <v>Hybrid</v>
      </c>
      <c r="E73" s="3" t="str">
        <f>IFERROR(__xludf.DUMMYFUNCTION("""COMPUTED_VALUE"""),"$175k - $281k")</f>
        <v>$175k - $281k</v>
      </c>
      <c r="F73" s="1" t="str">
        <f>IFERROR(__xludf.DUMMYFUNCTION("""COMPUTED_VALUE"""),"10 +")</f>
        <v>10 +</v>
      </c>
      <c r="G73" s="1" t="str">
        <f>IFERROR(__xludf.DUMMYFUNCTION("""COMPUTED_VALUE"""),"Los Angeles, CA")</f>
        <v>Los Angeles, CA</v>
      </c>
      <c r="H73" s="4" t="str">
        <f>IFERROR(__xludf.DUMMYFUNCTION("""COMPUTED_VALUE"""),"https://www.linkedin.com/posts/jerrysagmaquen_aws-snowflake-datanalytics-activity-7239716897393369090-jNTH?utm_source=share&amp;utm_medium=member_desktop")</f>
        <v>https://www.linkedin.com/posts/jerrysagmaquen_aws-snowflake-datanalytics-activity-7239716897393369090-jNTH?utm_source=share&amp;utm_medium=member_desktop</v>
      </c>
    </row>
    <row r="74">
      <c r="A74" s="2">
        <f>IFERROR(__xludf.DUMMYFUNCTION("""COMPUTED_VALUE"""),45547.0)</f>
        <v>45547</v>
      </c>
      <c r="B74" s="1" t="str">
        <f>IFERROR(__xludf.DUMMYFUNCTION("""COMPUTED_VALUE"""),"Custom Ink")</f>
        <v>Custom Ink</v>
      </c>
      <c r="C74" s="1" t="str">
        <f>IFERROR(__xludf.DUMMYFUNCTION("""COMPUTED_VALUE"""),"Senior Web Analyst")</f>
        <v>Senior Web Analyst</v>
      </c>
      <c r="D74" s="1" t="str">
        <f>IFERROR(__xludf.DUMMYFUNCTION("""COMPUTED_VALUE"""),"Remote")</f>
        <v>Remote</v>
      </c>
      <c r="E74" s="3" t="str">
        <f>IFERROR(__xludf.DUMMYFUNCTION("""COMPUTED_VALUE"""),"$113k - $147k")</f>
        <v>$113k - $147k</v>
      </c>
      <c r="F74" s="1" t="str">
        <f>IFERROR(__xludf.DUMMYFUNCTION("""COMPUTED_VALUE"""),"3 - 5")</f>
        <v>3 - 5</v>
      </c>
      <c r="G74" s="1" t="str">
        <f>IFERROR(__xludf.DUMMYFUNCTION("""COMPUTED_VALUE"""),"Certain Locations")</f>
        <v>Certain Locations</v>
      </c>
      <c r="H74" s="4" t="str">
        <f>IFERROR(__xludf.DUMMYFUNCTION("""COMPUTED_VALUE"""),"https://www.linkedin.com/posts/aubrey-cirillo_hiring-webanalytics-senioranalyst-ugcPost-7239741698992484353-m-vh?utm_source=share&amp;utm_medium=member_desktop")</f>
        <v>https://www.linkedin.com/posts/aubrey-cirillo_hiring-webanalytics-senioranalyst-ugcPost-7239741698992484353-m-vh?utm_source=share&amp;utm_medium=member_desktop</v>
      </c>
    </row>
    <row r="75">
      <c r="A75" s="2">
        <f>IFERROR(__xludf.DUMMYFUNCTION("""COMPUTED_VALUE"""),45547.0)</f>
        <v>45547</v>
      </c>
      <c r="B75" s="1" t="str">
        <f>IFERROR(__xludf.DUMMYFUNCTION("""COMPUTED_VALUE"""),"Tential Solutions")</f>
        <v>Tential Solutions</v>
      </c>
      <c r="C75" s="1" t="str">
        <f>IFERROR(__xludf.DUMMYFUNCTION("""COMPUTED_VALUE"""),"Adobe Analytics Consultant")</f>
        <v>Adobe Analytics Consultant</v>
      </c>
      <c r="D75" s="1" t="str">
        <f>IFERROR(__xludf.DUMMYFUNCTION("""COMPUTED_VALUE"""),"Remote")</f>
        <v>Remote</v>
      </c>
      <c r="E75" s="3" t="str">
        <f>IFERROR(__xludf.DUMMYFUNCTION("""COMPUTED_VALUE"""),"$73k - $94k")</f>
        <v>$73k - $94k</v>
      </c>
      <c r="F75" s="1" t="str">
        <f>IFERROR(__xludf.DUMMYFUNCTION("""COMPUTED_VALUE"""),"3 - 5")</f>
        <v>3 - 5</v>
      </c>
      <c r="G75" s="1" t="str">
        <f>IFERROR(__xludf.DUMMYFUNCTION("""COMPUTED_VALUE"""),"USA")</f>
        <v>USA</v>
      </c>
      <c r="H75" s="4" t="str">
        <f>IFERROR(__xludf.DUMMYFUNCTION("""COMPUTED_VALUE"""),"https://www.linkedin.com/posts/shannon-monaghan-964184111_adobeanalytics-digitalchannels-webanalytics-activity-7239735563010945026-hhS4?utm_source=share&amp;utm_medium=member_desktop")</f>
        <v>https://www.linkedin.com/posts/shannon-monaghan-964184111_adobeanalytics-digitalchannels-webanalytics-activity-7239735563010945026-hhS4?utm_source=share&amp;utm_medium=member_desktop</v>
      </c>
    </row>
    <row r="76">
      <c r="A76" s="2">
        <f>IFERROR(__xludf.DUMMYFUNCTION("""COMPUTED_VALUE"""),45547.0)</f>
        <v>45547</v>
      </c>
      <c r="B76" s="1" t="str">
        <f>IFERROR(__xludf.DUMMYFUNCTION("""COMPUTED_VALUE"""),"Clearcover")</f>
        <v>Clearcover</v>
      </c>
      <c r="C76" s="1" t="str">
        <f>IFERROR(__xludf.DUMMYFUNCTION("""COMPUTED_VALUE"""),"Sr. Financial Analyst")</f>
        <v>Sr. Financial Analyst</v>
      </c>
      <c r="D76" s="1" t="str">
        <f>IFERROR(__xludf.DUMMYFUNCTION("""COMPUTED_VALUE"""),"Remote")</f>
        <v>Remote</v>
      </c>
      <c r="E76" s="3" t="str">
        <f>IFERROR(__xludf.DUMMYFUNCTION("""COMPUTED_VALUE"""),"N/A")</f>
        <v>N/A</v>
      </c>
      <c r="F76" s="1" t="str">
        <f>IFERROR(__xludf.DUMMYFUNCTION("""COMPUTED_VALUE"""),"3 - 5")</f>
        <v>3 - 5</v>
      </c>
      <c r="G76" s="1" t="str">
        <f>IFERROR(__xludf.DUMMYFUNCTION("""COMPUTED_VALUE"""),"USA")</f>
        <v>USA</v>
      </c>
      <c r="H76" s="4" t="str">
        <f>IFERROR(__xludf.DUMMYFUNCTION("""COMPUTED_VALUE"""),"https://www.linkedin.com/posts/katie-king-00293945_my-team-is-hiring-we-have-an-open-spot-for-activity-7239737685861376000-GcHz?utm_source=share&amp;utm_medium=member_desktop")</f>
        <v>https://www.linkedin.com/posts/katie-king-00293945_my-team-is-hiring-we-have-an-open-spot-for-activity-7239737685861376000-GcHz?utm_source=share&amp;utm_medium=member_desktop</v>
      </c>
    </row>
    <row r="77">
      <c r="A77" s="2">
        <f>IFERROR(__xludf.DUMMYFUNCTION("""COMPUTED_VALUE"""),45547.0)</f>
        <v>45547</v>
      </c>
      <c r="B77" s="1" t="str">
        <f>IFERROR(__xludf.DUMMYFUNCTION("""COMPUTED_VALUE"""),"PowerToFly")</f>
        <v>PowerToFly</v>
      </c>
      <c r="C77" s="1" t="str">
        <f>IFERROR(__xludf.DUMMYFUNCTION("""COMPUTED_VALUE"""),"Quantitative Analytic Senior - Model Validation ")</f>
        <v>Quantitative Analytic Senior - Model Validation </v>
      </c>
      <c r="D77" s="1" t="str">
        <f>IFERROR(__xludf.DUMMYFUNCTION("""COMPUTED_VALUE"""),"Hybrid")</f>
        <v>Hybrid</v>
      </c>
      <c r="E77" s="3" t="str">
        <f>IFERROR(__xludf.DUMMYFUNCTION("""COMPUTED_VALUE"""),"$118k - $178k")</f>
        <v>$118k - $178k</v>
      </c>
      <c r="F77" s="1" t="str">
        <f>IFERROR(__xludf.DUMMYFUNCTION("""COMPUTED_VALUE"""),"3 - 5")</f>
        <v>3 - 5</v>
      </c>
      <c r="G77" s="1" t="str">
        <f>IFERROR(__xludf.DUMMYFUNCTION("""COMPUTED_VALUE"""),"Dallas, TX/McLean, VA")</f>
        <v>Dallas, TX/McLean, VA</v>
      </c>
      <c r="H77" s="4" t="str">
        <f>IFERROR(__xludf.DUMMYFUNCTION("""COMPUTED_VALUE"""),"https://www.linkedin.com/posts/destiny-molter-427b5535_quantitativeanalyst-modelvalidation-datascience-activity-7239725910558486528-aWRB?utm_source=share&amp;utm_medium=member_desktop")</f>
        <v>https://www.linkedin.com/posts/destiny-molter-427b5535_quantitativeanalyst-modelvalidation-datascience-activity-7239725910558486528-aWRB?utm_source=share&amp;utm_medium=member_desktop</v>
      </c>
    </row>
    <row r="78">
      <c r="A78" s="2">
        <f>IFERROR(__xludf.DUMMYFUNCTION("""COMPUTED_VALUE"""),45547.0)</f>
        <v>45547</v>
      </c>
      <c r="B78" s="1" t="str">
        <f>IFERROR(__xludf.DUMMYFUNCTION("""COMPUTED_VALUE"""),"INTEGRIS Health")</f>
        <v>INTEGRIS Health</v>
      </c>
      <c r="C78" s="1" t="str">
        <f>IFERROR(__xludf.DUMMYFUNCTION("""COMPUTED_VALUE"""),"Financial Analyst II")</f>
        <v>Financial Analyst II</v>
      </c>
      <c r="D78" s="1" t="str">
        <f>IFERROR(__xludf.DUMMYFUNCTION("""COMPUTED_VALUE"""),"On-Site")</f>
        <v>On-Site</v>
      </c>
      <c r="E78" s="3" t="str">
        <f>IFERROR(__xludf.DUMMYFUNCTION("""COMPUTED_VALUE"""),"N/A")</f>
        <v>N/A</v>
      </c>
      <c r="F78" s="1" t="str">
        <f>IFERROR(__xludf.DUMMYFUNCTION("""COMPUTED_VALUE"""),"0 - 2")</f>
        <v>0 - 2</v>
      </c>
      <c r="G78" s="1" t="str">
        <f>IFERROR(__xludf.DUMMYFUNCTION("""COMPUTED_VALUE"""),"Oklahoma City, OK")</f>
        <v>Oklahoma City, OK</v>
      </c>
      <c r="H78" s="4" t="str">
        <f>IFERROR(__xludf.DUMMYFUNCTION("""COMPUTED_VALUE"""),"https://www.linkedin.com/posts/troy-fite-373903b3_hiring-financialanalyst-healthcarejobs-activity-7239748608491692033-qnI-?utm_source=share&amp;utm_medium=member_desktop")</f>
        <v>https://www.linkedin.com/posts/troy-fite-373903b3_hiring-financialanalyst-healthcarejobs-activity-7239748608491692033-qnI-?utm_source=share&amp;utm_medium=member_desktop</v>
      </c>
    </row>
    <row r="79">
      <c r="A79" s="2">
        <f>IFERROR(__xludf.DUMMYFUNCTION("""COMPUTED_VALUE"""),45547.0)</f>
        <v>45547</v>
      </c>
      <c r="B79" s="1" t="str">
        <f>IFERROR(__xludf.DUMMYFUNCTION("""COMPUTED_VALUE"""),"LendingTree")</f>
        <v>LendingTree</v>
      </c>
      <c r="C79" s="1" t="str">
        <f>IFERROR(__xludf.DUMMYFUNCTION("""COMPUTED_VALUE"""),"Data Scientist")</f>
        <v>Data Scientist</v>
      </c>
      <c r="D79" s="1" t="str">
        <f>IFERROR(__xludf.DUMMYFUNCTION("""COMPUTED_VALUE"""),"Hybrid")</f>
        <v>Hybrid</v>
      </c>
      <c r="E79" s="3" t="str">
        <f>IFERROR(__xludf.DUMMYFUNCTION("""COMPUTED_VALUE"""),"$100k - $140k")</f>
        <v>$100k - $140k</v>
      </c>
      <c r="F79" s="1" t="str">
        <f>IFERROR(__xludf.DUMMYFUNCTION("""COMPUTED_VALUE"""),"0 - 2")</f>
        <v>0 - 2</v>
      </c>
      <c r="G79" s="1" t="str">
        <f>IFERROR(__xludf.DUMMYFUNCTION("""COMPUTED_VALUE"""),"Charlotte, NC")</f>
        <v>Charlotte, NC</v>
      </c>
      <c r="H79" s="4" t="str">
        <f>IFERROR(__xludf.DUMMYFUNCTION("""COMPUTED_VALUE"""),"https://www.linkedin.com/posts/sarah-guidry-bb3a9b19_data-scientist-activity-7239768570363084801-F7Zh?utm_source=share&amp;utm_medium=member_desktop")</f>
        <v>https://www.linkedin.com/posts/sarah-guidry-bb3a9b19_data-scientist-activity-7239768570363084801-F7Zh?utm_source=share&amp;utm_medium=member_desktop</v>
      </c>
    </row>
    <row r="80">
      <c r="A80" s="2">
        <f>IFERROR(__xludf.DUMMYFUNCTION("""COMPUTED_VALUE"""),45547.0)</f>
        <v>45547</v>
      </c>
      <c r="B80" s="1" t="str">
        <f>IFERROR(__xludf.DUMMYFUNCTION("""COMPUTED_VALUE"""),"Anthro")</f>
        <v>Anthro</v>
      </c>
      <c r="C80" s="1" t="str">
        <f>IFERROR(__xludf.DUMMYFUNCTION("""COMPUTED_VALUE"""),"Manager - Finance and Business Operations")</f>
        <v>Manager - Finance and Business Operations</v>
      </c>
      <c r="D80" s="1" t="str">
        <f>IFERROR(__xludf.DUMMYFUNCTION("""COMPUTED_VALUE"""),"On-Site")</f>
        <v>On-Site</v>
      </c>
      <c r="E80" s="3" t="str">
        <f>IFERROR(__xludf.DUMMYFUNCTION("""COMPUTED_VALUE"""),"N/A")</f>
        <v>N/A</v>
      </c>
      <c r="F80" s="1" t="str">
        <f>IFERROR(__xludf.DUMMYFUNCTION("""COMPUTED_VALUE"""),"6 - 9")</f>
        <v>6 - 9</v>
      </c>
      <c r="G80" s="1" t="str">
        <f>IFERROR(__xludf.DUMMYFUNCTION("""COMPUTED_VALUE"""),"Alameda, CA")</f>
        <v>Alameda, CA</v>
      </c>
      <c r="H80" s="4" t="str">
        <f>IFERROR(__xludf.DUMMYFUNCTION("""COMPUTED_VALUE"""),"https://www.linkedin.com/posts/david-mackanic_i-am-hiring-we-have-a-number-of-important-activity-7239795868789260288-aWHl?utm_source=share&amp;utm_medium=member_desktop")</f>
        <v>https://www.linkedin.com/posts/david-mackanic_i-am-hiring-we-have-a-number-of-important-activity-7239795868789260288-aWHl?utm_source=share&amp;utm_medium=member_desktop</v>
      </c>
    </row>
    <row r="81">
      <c r="A81" s="2">
        <f>IFERROR(__xludf.DUMMYFUNCTION("""COMPUTED_VALUE"""),45547.0)</f>
        <v>45547</v>
      </c>
      <c r="B81" s="1" t="str">
        <f>IFERROR(__xludf.DUMMYFUNCTION("""COMPUTED_VALUE"""),"Collibra")</f>
        <v>Collibra</v>
      </c>
      <c r="C81" s="1" t="str">
        <f>IFERROR(__xludf.DUMMYFUNCTION("""COMPUTED_VALUE"""),"Staff Data Scientist")</f>
        <v>Staff Data Scientist</v>
      </c>
      <c r="D81" s="1" t="str">
        <f>IFERROR(__xludf.DUMMYFUNCTION("""COMPUTED_VALUE"""),"Hybrid")</f>
        <v>Hybrid</v>
      </c>
      <c r="E81" s="3" t="str">
        <f>IFERROR(__xludf.DUMMYFUNCTION("""COMPUTED_VALUE"""),"$168k - $200k")</f>
        <v>$168k - $200k</v>
      </c>
      <c r="F81" s="1" t="str">
        <f>IFERROR(__xludf.DUMMYFUNCTION("""COMPUTED_VALUE"""),"6 - 9")</f>
        <v>6 - 9</v>
      </c>
      <c r="G81" s="1" t="str">
        <f>IFERROR(__xludf.DUMMYFUNCTION("""COMPUTED_VALUE"""),"Raleigh, NC")</f>
        <v>Raleigh, NC</v>
      </c>
      <c r="H81" s="4" t="str">
        <f>IFERROR(__xludf.DUMMYFUNCTION("""COMPUTED_VALUE"""),"https://www.linkedin.com/posts/seth-e-clark_staff-data-scientist-collibra-activity-7239747019504852994-lRNt?utm_source=share&amp;utm_medium=member_desktop")</f>
        <v>https://www.linkedin.com/posts/seth-e-clark_staff-data-scientist-collibra-activity-7239747019504852994-lRNt?utm_source=share&amp;utm_medium=member_desktop</v>
      </c>
    </row>
    <row r="82">
      <c r="A82" s="2">
        <f>IFERROR(__xludf.DUMMYFUNCTION("""COMPUTED_VALUE"""),45547.0)</f>
        <v>45547</v>
      </c>
      <c r="B82" s="1" t="str">
        <f>IFERROR(__xludf.DUMMYFUNCTION("""COMPUTED_VALUE"""),"Shake Shack")</f>
        <v>Shake Shack</v>
      </c>
      <c r="C82" s="1" t="str">
        <f>IFERROR(__xludf.DUMMYFUNCTION("""COMPUTED_VALUE"""),"Senior Digital Product Analyst")</f>
        <v>Senior Digital Product Analyst</v>
      </c>
      <c r="D82" s="1" t="str">
        <f>IFERROR(__xludf.DUMMYFUNCTION("""COMPUTED_VALUE"""),"Hybrid")</f>
        <v>Hybrid</v>
      </c>
      <c r="E82" s="3" t="str">
        <f>IFERROR(__xludf.DUMMYFUNCTION("""COMPUTED_VALUE"""),"$99k - $126k")</f>
        <v>$99k - $126k</v>
      </c>
      <c r="F82" s="1" t="str">
        <f>IFERROR(__xludf.DUMMYFUNCTION("""COMPUTED_VALUE"""),"3 - 5")</f>
        <v>3 - 5</v>
      </c>
      <c r="G82" s="1" t="str">
        <f>IFERROR(__xludf.DUMMYFUNCTION("""COMPUTED_VALUE"""),"New York, NY")</f>
        <v>New York, NY</v>
      </c>
      <c r="H82" s="4" t="str">
        <f>IFERROR(__xludf.DUMMYFUNCTION("""COMPUTED_VALUE"""),"https://www.linkedin.com/posts/stephso_hiring-activity-7239703573415014400-8m-u?utm_source=share&amp;utm_medium=member_desktop")</f>
        <v>https://www.linkedin.com/posts/stephso_hiring-activity-7239703573415014400-8m-u?utm_source=share&amp;utm_medium=member_desktop</v>
      </c>
    </row>
    <row r="83">
      <c r="A83" s="2">
        <f>IFERROR(__xludf.DUMMYFUNCTION("""COMPUTED_VALUE"""),45547.0)</f>
        <v>45547</v>
      </c>
      <c r="B83" s="1" t="str">
        <f>IFERROR(__xludf.DUMMYFUNCTION("""COMPUTED_VALUE"""),"NYC Taxi and Limousine Commission")</f>
        <v>NYC Taxi and Limousine Commission</v>
      </c>
      <c r="C83" s="1" t="str">
        <f>IFERROR(__xludf.DUMMYFUNCTION("""COMPUTED_VALUE"""),"Data Engineer")</f>
        <v>Data Engineer</v>
      </c>
      <c r="D83" s="1" t="str">
        <f>IFERROR(__xludf.DUMMYFUNCTION("""COMPUTED_VALUE"""),"On-Site")</f>
        <v>On-Site</v>
      </c>
      <c r="E83" s="3" t="str">
        <f>IFERROR(__xludf.DUMMYFUNCTION("""COMPUTED_VALUE"""),"$95k - $109k")</f>
        <v>$95k - $109k</v>
      </c>
      <c r="F83" s="1" t="str">
        <f>IFERROR(__xludf.DUMMYFUNCTION("""COMPUTED_VALUE"""),"3 - 5")</f>
        <v>3 - 5</v>
      </c>
      <c r="G83" s="1" t="str">
        <f>IFERROR(__xludf.DUMMYFUNCTION("""COMPUTED_VALUE"""),"New York, NY")</f>
        <v>New York, NY</v>
      </c>
      <c r="H83" s="4" t="str">
        <f>IFERROR(__xludf.DUMMYFUNCTION("""COMPUTED_VALUE"""),"https://www.linkedin.com/posts/avigail-vantu-5119218a_hiring-activity-7239720578759233538-fuVa?utm_source=share&amp;utm_medium=member_desktop")</f>
        <v>https://www.linkedin.com/posts/avigail-vantu-5119218a_hiring-activity-7239720578759233538-fuVa?utm_source=share&amp;utm_medium=member_desktop</v>
      </c>
    </row>
    <row r="84">
      <c r="A84" s="2">
        <f>IFERROR(__xludf.DUMMYFUNCTION("""COMPUTED_VALUE"""),45547.0)</f>
        <v>45547</v>
      </c>
      <c r="B84" s="1" t="str">
        <f>IFERROR(__xludf.DUMMYFUNCTION("""COMPUTED_VALUE"""),"Lincoln Property Company")</f>
        <v>Lincoln Property Company</v>
      </c>
      <c r="C84" s="1" t="str">
        <f>IFERROR(__xludf.DUMMYFUNCTION("""COMPUTED_VALUE"""),"Financial Analyst")</f>
        <v>Financial Analyst</v>
      </c>
      <c r="D84" s="1" t="str">
        <f>IFERROR(__xludf.DUMMYFUNCTION("""COMPUTED_VALUE"""),"On-Site")</f>
        <v>On-Site</v>
      </c>
      <c r="E84" s="3" t="str">
        <f>IFERROR(__xludf.DUMMYFUNCTION("""COMPUTED_VALUE"""),"$80k")</f>
        <v>$80k</v>
      </c>
      <c r="F84" s="1" t="str">
        <f>IFERROR(__xludf.DUMMYFUNCTION("""COMPUTED_VALUE"""),"0 - 2")</f>
        <v>0 - 2</v>
      </c>
      <c r="G84" s="1" t="str">
        <f>IFERROR(__xludf.DUMMYFUNCTION("""COMPUTED_VALUE"""),"El Segundo, CA")</f>
        <v>El Segundo, CA</v>
      </c>
      <c r="H84" s="4" t="str">
        <f>IFERROR(__xludf.DUMMYFUNCTION("""COMPUTED_VALUE"""),"https://www.linkedin.com/posts/stephen-lindgren-3338a09_we-are-hiring-a-financial-analyst-position-activity-7239447292167012352-EIAp?utm_source=share&amp;utm_medium=member_desktop")</f>
        <v>https://www.linkedin.com/posts/stephen-lindgren-3338a09_we-are-hiring-a-financial-analyst-position-activity-7239447292167012352-EIAp?utm_source=share&amp;utm_medium=member_desktop</v>
      </c>
    </row>
    <row r="85">
      <c r="A85" s="2">
        <f>IFERROR(__xludf.DUMMYFUNCTION("""COMPUTED_VALUE"""),45547.0)</f>
        <v>45547</v>
      </c>
      <c r="B85" s="1" t="str">
        <f>IFERROR(__xludf.DUMMYFUNCTION("""COMPUTED_VALUE"""),"H-E-B")</f>
        <v>H-E-B</v>
      </c>
      <c r="C85" s="1" t="str">
        <f>IFERROR(__xludf.DUMMYFUNCTION("""COMPUTED_VALUE"""),"Financial Analyst II")</f>
        <v>Financial Analyst II</v>
      </c>
      <c r="D85" s="1" t="str">
        <f>IFERROR(__xludf.DUMMYFUNCTION("""COMPUTED_VALUE"""),"On-Site")</f>
        <v>On-Site</v>
      </c>
      <c r="E85" s="3" t="str">
        <f>IFERROR(__xludf.DUMMYFUNCTION("""COMPUTED_VALUE"""),"N/A")</f>
        <v>N/A</v>
      </c>
      <c r="F85" s="1" t="str">
        <f>IFERROR(__xludf.DUMMYFUNCTION("""COMPUTED_VALUE"""),"6 - 9")</f>
        <v>6 - 9</v>
      </c>
      <c r="G85" s="1" t="str">
        <f>IFERROR(__xludf.DUMMYFUNCTION("""COMPUTED_VALUE"""),"Dallas, TX/San Antonio, TX")</f>
        <v>Dallas, TX/San Antonio, TX</v>
      </c>
      <c r="H85" s="4" t="str">
        <f>IFERROR(__xludf.DUMMYFUNCTION("""COMPUTED_VALUE"""),"https://www.linkedin.com/posts/rachel-jonkers-50148437_come-join-our-growing-planning-analysis-activity-7239743067115675648-aYFc?utm_source=share&amp;utm_medium=member_desktop")</f>
        <v>https://www.linkedin.com/posts/rachel-jonkers-50148437_come-join-our-growing-planning-analysis-activity-7239743067115675648-aYFc?utm_source=share&amp;utm_medium=member_desktop</v>
      </c>
    </row>
    <row r="86">
      <c r="A86" s="2">
        <f>IFERROR(__xludf.DUMMYFUNCTION("""COMPUTED_VALUE"""),45547.0)</f>
        <v>45547</v>
      </c>
      <c r="B86" s="1" t="str">
        <f>IFERROR(__xludf.DUMMYFUNCTION("""COMPUTED_VALUE"""),"Forbright Bank")</f>
        <v>Forbright Bank</v>
      </c>
      <c r="C86" s="1" t="str">
        <f>IFERROR(__xludf.DUMMYFUNCTION("""COMPUTED_VALUE"""),"Senior Product Analyst, Digital Banking")</f>
        <v>Senior Product Analyst, Digital Banking</v>
      </c>
      <c r="D86" s="1" t="str">
        <f>IFERROR(__xludf.DUMMYFUNCTION("""COMPUTED_VALUE"""),"Remote")</f>
        <v>Remote</v>
      </c>
      <c r="E86" s="3" t="str">
        <f>IFERROR(__xludf.DUMMYFUNCTION("""COMPUTED_VALUE"""),"$85k - $110k")</f>
        <v>$85k - $110k</v>
      </c>
      <c r="F86" s="1" t="str">
        <f>IFERROR(__xludf.DUMMYFUNCTION("""COMPUTED_VALUE"""),"3 - 5")</f>
        <v>3 - 5</v>
      </c>
      <c r="G86" s="1" t="str">
        <f>IFERROR(__xludf.DUMMYFUNCTION("""COMPUTED_VALUE"""),"USA")</f>
        <v>USA</v>
      </c>
      <c r="H86" s="4" t="str">
        <f>IFERROR(__xludf.DUMMYFUNCTION("""COMPUTED_VALUE"""),"https://www.linkedin.com/posts/yanika-limsiri_im-hiring-a-senior-product-analyst-who-is-activity-7239358809062699008-woT3?utm_source=share&amp;utm_medium=member_desktop")</f>
        <v>https://www.linkedin.com/posts/yanika-limsiri_im-hiring-a-senior-product-analyst-who-is-activity-7239358809062699008-woT3?utm_source=share&amp;utm_medium=member_desktop</v>
      </c>
    </row>
    <row r="87">
      <c r="A87" s="2">
        <f>IFERROR(__xludf.DUMMYFUNCTION("""COMPUTED_VALUE"""),45547.0)</f>
        <v>45547</v>
      </c>
      <c r="B87" s="1" t="str">
        <f>IFERROR(__xludf.DUMMYFUNCTION("""COMPUTED_VALUE"""),"VistaCare")</f>
        <v>VistaCare</v>
      </c>
      <c r="C87" s="1" t="str">
        <f>IFERROR(__xludf.DUMMYFUNCTION("""COMPUTED_VALUE"""),"Analyst - Financial Planning and Analysis (FP&amp;A)")</f>
        <v>Analyst - Financial Planning and Analysis (FP&amp;A)</v>
      </c>
      <c r="D87" s="1" t="str">
        <f>IFERROR(__xludf.DUMMYFUNCTION("""COMPUTED_VALUE"""),"Hybrid")</f>
        <v>Hybrid</v>
      </c>
      <c r="E87" s="3" t="str">
        <f>IFERROR(__xludf.DUMMYFUNCTION("""COMPUTED_VALUE"""),"$70k - $75k")</f>
        <v>$70k - $75k</v>
      </c>
      <c r="F87" s="1" t="str">
        <f>IFERROR(__xludf.DUMMYFUNCTION("""COMPUTED_VALUE"""),"0 - 2")</f>
        <v>0 - 2</v>
      </c>
      <c r="G87" s="1" t="str">
        <f>IFERROR(__xludf.DUMMYFUNCTION("""COMPUTED_VALUE"""),"Milwaukee, WI")</f>
        <v>Milwaukee, WI</v>
      </c>
      <c r="H87" s="4" t="str">
        <f>IFERROR(__xludf.DUMMYFUNCTION("""COMPUTED_VALUE"""),"https://www.linkedin.com/posts/activity-7239633851172450305-TqI6?utm_source=share&amp;utm_medium=member_desktop")</f>
        <v>https://www.linkedin.com/posts/activity-7239633851172450305-TqI6?utm_source=share&amp;utm_medium=member_desktop</v>
      </c>
    </row>
    <row r="88">
      <c r="A88" s="2">
        <f>IFERROR(__xludf.DUMMYFUNCTION("""COMPUTED_VALUE"""),45547.0)</f>
        <v>45547</v>
      </c>
      <c r="B88" s="1" t="str">
        <f>IFERROR(__xludf.DUMMYFUNCTION("""COMPUTED_VALUE"""),"Freeman Mathis &amp; Gary, LLP")</f>
        <v>Freeman Mathis &amp; Gary, LLP</v>
      </c>
      <c r="C88" s="1" t="str">
        <f>IFERROR(__xludf.DUMMYFUNCTION("""COMPUTED_VALUE"""),"Senior Pricing Analyst")</f>
        <v>Senior Pricing Analyst</v>
      </c>
      <c r="D88" s="1" t="str">
        <f>IFERROR(__xludf.DUMMYFUNCTION("""COMPUTED_VALUE"""),"On-Site")</f>
        <v>On-Site</v>
      </c>
      <c r="E88" s="3" t="str">
        <f>IFERROR(__xludf.DUMMYFUNCTION("""COMPUTED_VALUE"""),"N/A")</f>
        <v>N/A</v>
      </c>
      <c r="F88" s="1" t="str">
        <f>IFERROR(__xludf.DUMMYFUNCTION("""COMPUTED_VALUE"""),"3 - 5")</f>
        <v>3 - 5</v>
      </c>
      <c r="G88" s="1" t="str">
        <f>IFERROR(__xludf.DUMMYFUNCTION("""COMPUTED_VALUE"""),"Atlanta, GA")</f>
        <v>Atlanta, GA</v>
      </c>
      <c r="H88" s="4" t="str">
        <f>IFERROR(__xludf.DUMMYFUNCTION("""COMPUTED_VALUE"""),"https://www.linkedin.com/posts/austin-jarrette-crcr-2b2183150_litigation-budgets-hiring-activity-7239711513207353345-heet?utm_source=share&amp;utm_medium=member_desktop")</f>
        <v>https://www.linkedin.com/posts/austin-jarrette-crcr-2b2183150_litigation-budgets-hiring-activity-7239711513207353345-heet?utm_source=share&amp;utm_medium=member_desktop</v>
      </c>
    </row>
    <row r="89">
      <c r="A89" s="2">
        <f>IFERROR(__xludf.DUMMYFUNCTION("""COMPUTED_VALUE"""),45547.0)</f>
        <v>45547</v>
      </c>
      <c r="B89" s="1" t="str">
        <f>IFERROR(__xludf.DUMMYFUNCTION("""COMPUTED_VALUE"""),"oHHo ‘Plants with Benefits’")</f>
        <v>oHHo ‘Plants with Benefits’</v>
      </c>
      <c r="C89" s="1" t="str">
        <f>IFERROR(__xludf.DUMMYFUNCTION("""COMPUTED_VALUE"""),"Financial Analyst")</f>
        <v>Financial Analyst</v>
      </c>
      <c r="D89" s="1" t="str">
        <f>IFERROR(__xludf.DUMMYFUNCTION("""COMPUTED_VALUE"""),"Hybrid")</f>
        <v>Hybrid</v>
      </c>
      <c r="E89" s="3" t="str">
        <f>IFERROR(__xludf.DUMMYFUNCTION("""COMPUTED_VALUE"""),"$75k - $120k")</f>
        <v>$75k - $120k</v>
      </c>
      <c r="F89" s="1" t="str">
        <f>IFERROR(__xludf.DUMMYFUNCTION("""COMPUTED_VALUE"""),"3 - 5")</f>
        <v>3 - 5</v>
      </c>
      <c r="G89" s="1" t="str">
        <f>IFERROR(__xludf.DUMMYFUNCTION("""COMPUTED_VALUE"""),"Bedford, NY")</f>
        <v>Bedford, NY</v>
      </c>
      <c r="H89" s="4" t="str">
        <f>IFERROR(__xludf.DUMMYFUNCTION("""COMPUTED_VALUE"""),"https://www.linkedin.com/posts/activity-7239725154753294337-H0v0?utm_source=share&amp;utm_medium=member_desktop")</f>
        <v>https://www.linkedin.com/posts/activity-7239725154753294337-H0v0?utm_source=share&amp;utm_medium=member_desktop</v>
      </c>
    </row>
    <row r="90">
      <c r="A90" s="2">
        <f>IFERROR(__xludf.DUMMYFUNCTION("""COMPUTED_VALUE"""),45547.0)</f>
        <v>45547</v>
      </c>
      <c r="B90" s="1" t="str">
        <f>IFERROR(__xludf.DUMMYFUNCTION("""COMPUTED_VALUE"""),"AbbVie")</f>
        <v>AbbVie</v>
      </c>
      <c r="C90" s="1" t="str">
        <f>IFERROR(__xludf.DUMMYFUNCTION("""COMPUTED_VALUE"""),"Senior Analyst - Office of Safety Operations")</f>
        <v>Senior Analyst - Office of Safety Operations</v>
      </c>
      <c r="D90" s="1" t="str">
        <f>IFERROR(__xludf.DUMMYFUNCTION("""COMPUTED_VALUE"""),"Remote")</f>
        <v>Remote</v>
      </c>
      <c r="E90" s="3" t="str">
        <f>IFERROR(__xludf.DUMMYFUNCTION("""COMPUTED_VALUE"""),"$81k - $153k")</f>
        <v>$81k - $153k</v>
      </c>
      <c r="F90" s="1" t="str">
        <f>IFERROR(__xludf.DUMMYFUNCTION("""COMPUTED_VALUE"""),"3 - 5")</f>
        <v>3 - 5</v>
      </c>
      <c r="G90" s="1" t="str">
        <f>IFERROR(__xludf.DUMMYFUNCTION("""COMPUTED_VALUE"""),"Certain Locations")</f>
        <v>Certain Locations</v>
      </c>
      <c r="H90" s="4" t="str">
        <f>IFERROR(__xludf.DUMMYFUNCTION("""COMPUTED_VALUE"""),"https://www.linkedin.com/posts/termeh-djahed_senior-analyst-office-of-safety-operations-activity-7239044952934989825-LukP?utm_source=share&amp;utm_medium=member_desktop")</f>
        <v>https://www.linkedin.com/posts/termeh-djahed_senior-analyst-office-of-safety-operations-activity-7239044952934989825-LukP?utm_source=share&amp;utm_medium=member_desktop</v>
      </c>
    </row>
    <row r="91">
      <c r="A91" s="2">
        <f>IFERROR(__xludf.DUMMYFUNCTION("""COMPUTED_VALUE"""),45547.0)</f>
        <v>45547</v>
      </c>
      <c r="B91" s="1" t="str">
        <f>IFERROR(__xludf.DUMMYFUNCTION("""COMPUTED_VALUE"""),"Sureify")</f>
        <v>Sureify</v>
      </c>
      <c r="C91" s="1" t="str">
        <f>IFERROR(__xludf.DUMMYFUNCTION("""COMPUTED_VALUE"""),"Business Analyst - Customer Delivery")</f>
        <v>Business Analyst - Customer Delivery</v>
      </c>
      <c r="D91" s="1" t="str">
        <f>IFERROR(__xludf.DUMMYFUNCTION("""COMPUTED_VALUE"""),"Remote")</f>
        <v>Remote</v>
      </c>
      <c r="E91" s="3" t="str">
        <f>IFERROR(__xludf.DUMMYFUNCTION("""COMPUTED_VALUE"""),"$105k - $150k")</f>
        <v>$105k - $150k</v>
      </c>
      <c r="F91" s="1" t="str">
        <f>IFERROR(__xludf.DUMMYFUNCTION("""COMPUTED_VALUE"""),"3 - 5")</f>
        <v>3 - 5</v>
      </c>
      <c r="G91" s="1" t="str">
        <f>IFERROR(__xludf.DUMMYFUNCTION("""COMPUTED_VALUE"""),"USA")</f>
        <v>USA</v>
      </c>
      <c r="H91" s="4" t="str">
        <f>IFERROR(__xludf.DUMMYFUNCTION("""COMPUTED_VALUE"""),"https://www.linkedin.com/posts/kristyburns_hey-friends-we-are-hiring-for-a-business-activity-7239778213952897024-1T19?utm_source=share&amp;utm_medium=member_desktop")</f>
        <v>https://www.linkedin.com/posts/kristyburns_hey-friends-we-are-hiring-for-a-business-activity-7239778213952897024-1T19?utm_source=share&amp;utm_medium=member_desktop</v>
      </c>
    </row>
    <row r="92">
      <c r="A92" s="2">
        <f>IFERROR(__xludf.DUMMYFUNCTION("""COMPUTED_VALUE"""),45547.0)</f>
        <v>45547</v>
      </c>
      <c r="B92" s="1" t="str">
        <f>IFERROR(__xludf.DUMMYFUNCTION("""COMPUTED_VALUE"""),"Liberty Mutual Insurance")</f>
        <v>Liberty Mutual Insurance</v>
      </c>
      <c r="C92" s="1" t="str">
        <f>IFERROR(__xludf.DUMMYFUNCTION("""COMPUTED_VALUE"""),"Lead Financial Analyst")</f>
        <v>Lead Financial Analyst</v>
      </c>
      <c r="D92" s="1" t="str">
        <f>IFERROR(__xludf.DUMMYFUNCTION("""COMPUTED_VALUE"""),"Hybrid")</f>
        <v>Hybrid</v>
      </c>
      <c r="E92" s="3" t="str">
        <f>IFERROR(__xludf.DUMMYFUNCTION("""COMPUTED_VALUE"""),"$66k - $152k")</f>
        <v>$66k - $152k</v>
      </c>
      <c r="F92" s="1" t="str">
        <f>IFERROR(__xludf.DUMMYFUNCTION("""COMPUTED_VALUE"""),"3 - 5")</f>
        <v>3 - 5</v>
      </c>
      <c r="G92" s="1" t="str">
        <f>IFERROR(__xludf.DUMMYFUNCTION("""COMPUTED_VALUE"""),"Certain Locations")</f>
        <v>Certain Locations</v>
      </c>
      <c r="H92" s="4" t="str">
        <f>IFERROR(__xludf.DUMMYFUNCTION("""COMPUTED_VALUE"""),"https://www.linkedin.com/posts/david-bremser-5b0b0792_hiring-ugcPost-7239257407703367680-AGQM?utm_source=share&amp;utm_medium=member_desktop")</f>
        <v>https://www.linkedin.com/posts/david-bremser-5b0b0792_hiring-ugcPost-7239257407703367680-AGQM?utm_source=share&amp;utm_medium=member_desktop</v>
      </c>
    </row>
    <row r="93">
      <c r="A93" s="2">
        <f>IFERROR(__xludf.DUMMYFUNCTION("""COMPUTED_VALUE"""),45547.0)</f>
        <v>45547</v>
      </c>
      <c r="B93" s="1" t="str">
        <f>IFERROR(__xludf.DUMMYFUNCTION("""COMPUTED_VALUE"""),"Carnival")</f>
        <v>Carnival</v>
      </c>
      <c r="C93" s="1" t="str">
        <f>IFERROR(__xludf.DUMMYFUNCTION("""COMPUTED_VALUE"""),"Health Informatics Data Analyst I")</f>
        <v>Health Informatics Data Analyst I</v>
      </c>
      <c r="D93" s="1" t="str">
        <f>IFERROR(__xludf.DUMMYFUNCTION("""COMPUTED_VALUE"""),"Hybrid")</f>
        <v>Hybrid</v>
      </c>
      <c r="E93" s="3" t="str">
        <f>IFERROR(__xludf.DUMMYFUNCTION("""COMPUTED_VALUE"""),"N/A")</f>
        <v>N/A</v>
      </c>
      <c r="F93" s="1" t="str">
        <f>IFERROR(__xludf.DUMMYFUNCTION("""COMPUTED_VALUE"""),"0 - 2")</f>
        <v>0 - 2</v>
      </c>
      <c r="G93" s="1" t="str">
        <f>IFERROR(__xludf.DUMMYFUNCTION("""COMPUTED_VALUE"""),"Miami, FL")</f>
        <v>Miami, FL</v>
      </c>
      <c r="H93" s="4" t="str">
        <f>IFERROR(__xludf.DUMMYFUNCTION("""COMPUTED_VALUE"""),"https://www.linkedin.com/posts/dennis-peyton-jr-648b6561_health-informatics-data-analyst-i-at-carnival-activity-7239675619062525952-6ZtP?utm_source=share&amp;utm_medium=member_desktop")</f>
        <v>https://www.linkedin.com/posts/dennis-peyton-jr-648b6561_health-informatics-data-analyst-i-at-carnival-activity-7239675619062525952-6ZtP?utm_source=share&amp;utm_medium=member_desktop</v>
      </c>
    </row>
    <row r="94">
      <c r="A94" s="2">
        <f>IFERROR(__xludf.DUMMYFUNCTION("""COMPUTED_VALUE"""),45547.0)</f>
        <v>45547</v>
      </c>
      <c r="B94" s="1" t="str">
        <f>IFERROR(__xludf.DUMMYFUNCTION("""COMPUTED_VALUE"""),"Anaqua")</f>
        <v>Anaqua</v>
      </c>
      <c r="C94" s="1" t="str">
        <f>IFERROR(__xludf.DUMMYFUNCTION("""COMPUTED_VALUE"""),"FP&amp;A Analyst")</f>
        <v>FP&amp;A Analyst</v>
      </c>
      <c r="D94" s="1" t="str">
        <f>IFERROR(__xludf.DUMMYFUNCTION("""COMPUTED_VALUE"""),"Hybrid")</f>
        <v>Hybrid</v>
      </c>
      <c r="E94" s="3" t="str">
        <f>IFERROR(__xludf.DUMMYFUNCTION("""COMPUTED_VALUE"""),"N/A")</f>
        <v>N/A</v>
      </c>
      <c r="F94" s="1" t="str">
        <f>IFERROR(__xludf.DUMMYFUNCTION("""COMPUTED_VALUE"""),"0 - 2")</f>
        <v>0 - 2</v>
      </c>
      <c r="G94" s="1" t="str">
        <f>IFERROR(__xludf.DUMMYFUNCTION("""COMPUTED_VALUE"""),"Boston, MA")</f>
        <v>Boston, MA</v>
      </c>
      <c r="H94" s="4" t="str">
        <f>IFERROR(__xludf.DUMMYFUNCTION("""COMPUTED_VALUE"""),"https://www.linkedin.com/posts/mcucinelli_fpa-analyst-activity-7239743781766385664-csA1?utm_source=share&amp;utm_medium=member_desktop")</f>
        <v>https://www.linkedin.com/posts/mcucinelli_fpa-analyst-activity-7239743781766385664-csA1?utm_source=share&amp;utm_medium=member_desktop</v>
      </c>
    </row>
    <row r="95">
      <c r="A95" s="2">
        <f>IFERROR(__xludf.DUMMYFUNCTION("""COMPUTED_VALUE"""),45547.0)</f>
        <v>45547</v>
      </c>
      <c r="B95" s="1" t="str">
        <f>IFERROR(__xludf.DUMMYFUNCTION("""COMPUTED_VALUE"""),"ORIGIN®")</f>
        <v>ORIGIN®</v>
      </c>
      <c r="C95" s="1" t="str">
        <f>IFERROR(__xludf.DUMMYFUNCTION("""COMPUTED_VALUE"""),"Senior Financial Analyst")</f>
        <v>Senior Financial Analyst</v>
      </c>
      <c r="D95" s="1" t="str">
        <f>IFERROR(__xludf.DUMMYFUNCTION("""COMPUTED_VALUE"""),"On-Site")</f>
        <v>On-Site</v>
      </c>
      <c r="E95" s="3" t="str">
        <f>IFERROR(__xludf.DUMMYFUNCTION("""COMPUTED_VALUE"""),"$75k - $90k")</f>
        <v>$75k - $90k</v>
      </c>
      <c r="F95" s="1" t="str">
        <f>IFERROR(__xludf.DUMMYFUNCTION("""COMPUTED_VALUE"""),"3 - 5")</f>
        <v>3 - 5</v>
      </c>
      <c r="G95" s="1" t="str">
        <f>IFERROR(__xludf.DUMMYFUNCTION("""COMPUTED_VALUE"""),"Asheboro, NC")</f>
        <v>Asheboro, NC</v>
      </c>
      <c r="H95" s="4" t="str">
        <f>IFERROR(__xludf.DUMMYFUNCTION("""COMPUTED_VALUE"""),"https://www.linkedin.com/posts/katherineabratcher_hey-network-im-hiring-for-a-financial-analyst-activity-7239327908475904000-sHWm?utm_source=share&amp;utm_medium=member_desktop")</f>
        <v>https://www.linkedin.com/posts/katherineabratcher_hey-network-im-hiring-for-a-financial-analyst-activity-7239327908475904000-sHWm?utm_source=share&amp;utm_medium=member_desktop</v>
      </c>
    </row>
    <row r="96">
      <c r="A96" s="2">
        <f>IFERROR(__xludf.DUMMYFUNCTION("""COMPUTED_VALUE"""),45547.0)</f>
        <v>45547</v>
      </c>
      <c r="B96" s="1" t="str">
        <f>IFERROR(__xludf.DUMMYFUNCTION("""COMPUTED_VALUE"""),"Workday")</f>
        <v>Workday</v>
      </c>
      <c r="C96" s="1" t="str">
        <f>IFERROR(__xludf.DUMMYFUNCTION("""COMPUTED_VALUE"""),"Sr. Business Intelligence Analyst, Global Procurement Office")</f>
        <v>Sr. Business Intelligence Analyst, Global Procurement Office</v>
      </c>
      <c r="D96" s="1" t="str">
        <f>IFERROR(__xludf.DUMMYFUNCTION("""COMPUTED_VALUE"""),"Hybrid")</f>
        <v>Hybrid</v>
      </c>
      <c r="E96" s="3" t="str">
        <f>IFERROR(__xludf.DUMMYFUNCTION("""COMPUTED_VALUE"""),"$113k - $198k")</f>
        <v>$113k - $198k</v>
      </c>
      <c r="F96" s="1" t="str">
        <f>IFERROR(__xludf.DUMMYFUNCTION("""COMPUTED_VALUE"""),"6 - 9")</f>
        <v>6 - 9</v>
      </c>
      <c r="G96" s="1" t="str">
        <f>IFERROR(__xludf.DUMMYFUNCTION("""COMPUTED_VALUE"""),"Certain Locations")</f>
        <v>Certain Locations</v>
      </c>
      <c r="H96" s="4" t="str">
        <f>IFERROR(__xludf.DUMMYFUNCTION("""COMPUTED_VALUE"""),"https://www.linkedin.com/posts/sara-mantlik_sr-business-intelligence-analyst-activity-7239754113498914816-IHS-?utm_source=share&amp;utm_medium=member_desktop")</f>
        <v>https://www.linkedin.com/posts/sara-mantlik_sr-business-intelligence-analyst-activity-7239754113498914816-IHS-?utm_source=share&amp;utm_medium=member_desktop</v>
      </c>
    </row>
    <row r="97">
      <c r="A97" s="2">
        <f>IFERROR(__xludf.DUMMYFUNCTION("""COMPUTED_VALUE"""),45547.0)</f>
        <v>45547</v>
      </c>
      <c r="B97" s="1" t="str">
        <f>IFERROR(__xludf.DUMMYFUNCTION("""COMPUTED_VALUE"""),"Bread Financial")</f>
        <v>Bread Financial</v>
      </c>
      <c r="C97" s="1" t="str">
        <f>IFERROR(__xludf.DUMMYFUNCTION("""COMPUTED_VALUE"""),"Senior Financial Strategy Analyst")</f>
        <v>Senior Financial Strategy Analyst</v>
      </c>
      <c r="D97" s="1" t="str">
        <f>IFERROR(__xludf.DUMMYFUNCTION("""COMPUTED_VALUE"""),"Hybrid")</f>
        <v>Hybrid</v>
      </c>
      <c r="E97" s="3" t="str">
        <f>IFERROR(__xludf.DUMMYFUNCTION("""COMPUTED_VALUE"""),"$80k - $180k")</f>
        <v>$80k - $180k</v>
      </c>
      <c r="F97" s="1" t="str">
        <f>IFERROR(__xludf.DUMMYFUNCTION("""COMPUTED_VALUE"""),"3 - 5")</f>
        <v>3 - 5</v>
      </c>
      <c r="G97" s="1" t="str">
        <f>IFERROR(__xludf.DUMMYFUNCTION("""COMPUTED_VALUE"""),"Certain Locations")</f>
        <v>Certain Locations</v>
      </c>
      <c r="H97" s="4" t="str">
        <f>IFERROR(__xludf.DUMMYFUNCTION("""COMPUTED_VALUE"""),"https://www.linkedin.com/posts/katina-wilson-47239b121_senior-financial-strategy-analyst-activity-7239367380705968128-GfXV?utm_source=share&amp;utm_medium=member_desktop")</f>
        <v>https://www.linkedin.com/posts/katina-wilson-47239b121_senior-financial-strategy-analyst-activity-7239367380705968128-GfXV?utm_source=share&amp;utm_medium=member_desktop</v>
      </c>
    </row>
    <row r="98">
      <c r="A98" s="2">
        <f>IFERROR(__xludf.DUMMYFUNCTION("""COMPUTED_VALUE"""),45547.0)</f>
        <v>45547</v>
      </c>
      <c r="B98" s="1" t="str">
        <f>IFERROR(__xludf.DUMMYFUNCTION("""COMPUTED_VALUE"""),"AMBA")</f>
        <v>AMBA</v>
      </c>
      <c r="C98" s="1" t="str">
        <f>IFERROR(__xludf.DUMMYFUNCTION("""COMPUTED_VALUE"""),"Senior Marketing Analyst")</f>
        <v>Senior Marketing Analyst</v>
      </c>
      <c r="D98" s="1" t="str">
        <f>IFERROR(__xludf.DUMMYFUNCTION("""COMPUTED_VALUE"""),"On-Site")</f>
        <v>On-Site</v>
      </c>
      <c r="E98" s="3" t="str">
        <f>IFERROR(__xludf.DUMMYFUNCTION("""COMPUTED_VALUE"""),"N/A")</f>
        <v>N/A</v>
      </c>
      <c r="F98" s="1" t="str">
        <f>IFERROR(__xludf.DUMMYFUNCTION("""COMPUTED_VALUE"""),"3 - 5")</f>
        <v>3 - 5</v>
      </c>
      <c r="G98" s="1" t="str">
        <f>IFERROR(__xludf.DUMMYFUNCTION("""COMPUTED_VALUE"""),"Urbandale, IA")</f>
        <v>Urbandale, IA</v>
      </c>
      <c r="H98" s="4" t="str">
        <f>IFERROR(__xludf.DUMMYFUNCTION("""COMPUTED_VALUE"""),"https://www.linkedin.com/posts/theresa-sawyer-374398b_come-join-my-analytics-team-looking-for-activity-7239826834882707456-9omD?utm_source=share&amp;utm_medium=member_desktop")</f>
        <v>https://www.linkedin.com/posts/theresa-sawyer-374398b_come-join-my-analytics-team-looking-for-activity-7239826834882707456-9omD?utm_source=share&amp;utm_medium=member_desktop</v>
      </c>
    </row>
    <row r="99">
      <c r="A99" s="2">
        <f>IFERROR(__xludf.DUMMYFUNCTION("""COMPUTED_VALUE"""),45547.0)</f>
        <v>45547</v>
      </c>
      <c r="B99" s="1" t="str">
        <f>IFERROR(__xludf.DUMMYFUNCTION("""COMPUTED_VALUE"""),"Delta Dental Ins.")</f>
        <v>Delta Dental Ins.</v>
      </c>
      <c r="C99" s="1" t="str">
        <f>IFERROR(__xludf.DUMMYFUNCTION("""COMPUTED_VALUE"""),"Digital Analyst - Adobe Analytics")</f>
        <v>Digital Analyst - Adobe Analytics</v>
      </c>
      <c r="D99" s="1" t="str">
        <f>IFERROR(__xludf.DUMMYFUNCTION("""COMPUTED_VALUE"""),"Remote")</f>
        <v>Remote</v>
      </c>
      <c r="E99" s="3" t="str">
        <f>IFERROR(__xludf.DUMMYFUNCTION("""COMPUTED_VALUE"""),"$64k - $134k")</f>
        <v>$64k - $134k</v>
      </c>
      <c r="F99" s="1" t="str">
        <f>IFERROR(__xludf.DUMMYFUNCTION("""COMPUTED_VALUE"""),"3 - 5")</f>
        <v>3 - 5</v>
      </c>
      <c r="G99" s="1" t="str">
        <f>IFERROR(__xludf.DUMMYFUNCTION("""COMPUTED_VALUE"""),"Certain Locations")</f>
        <v>Certain Locations</v>
      </c>
      <c r="H99" s="4" t="str">
        <f>IFERROR(__xludf.DUMMYFUNCTION("""COMPUTED_VALUE"""),"https://www.linkedin.com/posts/cgehring11_hiringnow-digitalanalytics-dataanalysis-activity-7239662114083151872-W-x7?utm_source=share&amp;utm_medium=member_desktop")</f>
        <v>https://www.linkedin.com/posts/cgehring11_hiringnow-digitalanalytics-dataanalysis-activity-7239662114083151872-W-x7?utm_source=share&amp;utm_medium=member_desktop</v>
      </c>
    </row>
    <row r="100">
      <c r="A100" s="2">
        <f>IFERROR(__xludf.DUMMYFUNCTION("""COMPUTED_VALUE"""),45547.0)</f>
        <v>45547</v>
      </c>
      <c r="B100" s="1" t="str">
        <f>IFERROR(__xludf.DUMMYFUNCTION("""COMPUTED_VALUE"""),"Applied Systems")</f>
        <v>Applied Systems</v>
      </c>
      <c r="C100" s="1" t="str">
        <f>IFERROR(__xludf.DUMMYFUNCTION("""COMPUTED_VALUE"""),"Financial Analyst")</f>
        <v>Financial Analyst</v>
      </c>
      <c r="D100" s="1" t="str">
        <f>IFERROR(__xludf.DUMMYFUNCTION("""COMPUTED_VALUE"""),"Hybrid")</f>
        <v>Hybrid</v>
      </c>
      <c r="E100" s="3" t="str">
        <f>IFERROR(__xludf.DUMMYFUNCTION("""COMPUTED_VALUE"""),"N/A")</f>
        <v>N/A</v>
      </c>
      <c r="F100" s="1" t="str">
        <f>IFERROR(__xludf.DUMMYFUNCTION("""COMPUTED_VALUE"""),"0 - 2")</f>
        <v>0 - 2</v>
      </c>
      <c r="G100" s="1" t="str">
        <f>IFERROR(__xludf.DUMMYFUNCTION("""COMPUTED_VALUE"""),"Chicago, IL")</f>
        <v>Chicago, IL</v>
      </c>
      <c r="H100" s="4" t="str">
        <f>IFERROR(__xludf.DUMMYFUNCTION("""COMPUTED_VALUE"""),"https://www.linkedin.com/posts/kelly-daly-14910192_im-excited-to-share-that-im-looking-for-activity-7239810397124407296-qboh?utm_source=share&amp;utm_medium=member_desktop")</f>
        <v>https://www.linkedin.com/posts/kelly-daly-14910192_im-excited-to-share-that-im-looking-for-activity-7239810397124407296-qboh?utm_source=share&amp;utm_medium=member_desktop</v>
      </c>
    </row>
    <row r="101">
      <c r="A101" s="2">
        <f>IFERROR(__xludf.DUMMYFUNCTION("""COMPUTED_VALUE"""),45547.0)</f>
        <v>45547</v>
      </c>
      <c r="B101" s="1" t="str">
        <f>IFERROR(__xludf.DUMMYFUNCTION("""COMPUTED_VALUE"""),"AEG")</f>
        <v>AEG</v>
      </c>
      <c r="C101" s="1" t="str">
        <f>IFERROR(__xludf.DUMMYFUNCTION("""COMPUTED_VALUE"""),"Sr Partnership Data Analyst")</f>
        <v>Sr Partnership Data Analyst</v>
      </c>
      <c r="D101" s="1" t="str">
        <f>IFERROR(__xludf.DUMMYFUNCTION("""COMPUTED_VALUE"""),"On-Site")</f>
        <v>On-Site</v>
      </c>
      <c r="E101" s="3" t="str">
        <f>IFERROR(__xludf.DUMMYFUNCTION("""COMPUTED_VALUE"""),"$67k - $98k")</f>
        <v>$67k - $98k</v>
      </c>
      <c r="F101" s="1" t="str">
        <f>IFERROR(__xludf.DUMMYFUNCTION("""COMPUTED_VALUE"""),"3 - 5")</f>
        <v>3 - 5</v>
      </c>
      <c r="G101" s="1" t="str">
        <f>IFERROR(__xludf.DUMMYFUNCTION("""COMPUTED_VALUE"""),"Los Angeles, CA")</f>
        <v>Los Angeles, CA</v>
      </c>
      <c r="H101" s="4" t="str">
        <f>IFERROR(__xludf.DUMMYFUNCTION("""COMPUTED_VALUE"""),"https://www.linkedin.com/posts/mattlawler_sr-partnership-data-analyst-activity-7239315455708909569-JYxY?utm_source=share&amp;utm_medium=member_desktop")</f>
        <v>https://www.linkedin.com/posts/mattlawler_sr-partnership-data-analyst-activity-7239315455708909569-JYxY?utm_source=share&amp;utm_medium=member_desktop</v>
      </c>
    </row>
    <row r="102">
      <c r="A102" s="2">
        <f>IFERROR(__xludf.DUMMYFUNCTION("""COMPUTED_VALUE"""),45547.0)</f>
        <v>45547</v>
      </c>
      <c r="B102" s="1" t="str">
        <f>IFERROR(__xludf.DUMMYFUNCTION("""COMPUTED_VALUE"""),"The J.M Smucker Co.")</f>
        <v>The J.M Smucker Co.</v>
      </c>
      <c r="C102" s="1" t="str">
        <f>IFERROR(__xludf.DUMMYFUNCTION("""COMPUTED_VALUE"""),"Lead Analyst, Plant Finance Services")</f>
        <v>Lead Analyst, Plant Finance Services</v>
      </c>
      <c r="D102" s="1" t="str">
        <f>IFERROR(__xludf.DUMMYFUNCTION("""COMPUTED_VALUE"""),"On-Site")</f>
        <v>On-Site</v>
      </c>
      <c r="E102" s="3" t="str">
        <f>IFERROR(__xludf.DUMMYFUNCTION("""COMPUTED_VALUE"""),"N/A")</f>
        <v>N/A</v>
      </c>
      <c r="F102" s="1" t="str">
        <f>IFERROR(__xludf.DUMMYFUNCTION("""COMPUTED_VALUE"""),"3 - 5")</f>
        <v>3 - 5</v>
      </c>
      <c r="G102" s="1" t="str">
        <f>IFERROR(__xludf.DUMMYFUNCTION("""COMPUTED_VALUE"""),"New Orleans, LA")</f>
        <v>New Orleans, LA</v>
      </c>
      <c r="H102" s="4" t="str">
        <f>IFERROR(__xludf.DUMMYFUNCTION("""COMPUTED_VALUE"""),"https://www.linkedin.com/posts/darussell_lead-analyst-plant-finance-services-activity-7239767554016100353-zYjb?utm_source=share&amp;utm_medium=member_desktop")</f>
        <v>https://www.linkedin.com/posts/darussell_lead-analyst-plant-finance-services-activity-7239767554016100353-zYjb?utm_source=share&amp;utm_medium=member_desktop</v>
      </c>
    </row>
    <row r="103">
      <c r="A103" s="2">
        <f>IFERROR(__xludf.DUMMYFUNCTION("""COMPUTED_VALUE"""),45547.0)</f>
        <v>45547</v>
      </c>
      <c r="B103" s="4" t="str">
        <f>IFERROR(__xludf.DUMMYFUNCTION("""COMPUTED_VALUE"""),"Jiffy.com")</f>
        <v>Jiffy.com</v>
      </c>
      <c r="C103" s="1" t="str">
        <f>IFERROR(__xludf.DUMMYFUNCTION("""COMPUTED_VALUE"""),"Data Analyst")</f>
        <v>Data Analyst</v>
      </c>
      <c r="D103" s="1" t="str">
        <f>IFERROR(__xludf.DUMMYFUNCTION("""COMPUTED_VALUE"""),"Remote")</f>
        <v>Remote</v>
      </c>
      <c r="E103" s="3" t="str">
        <f>IFERROR(__xludf.DUMMYFUNCTION("""COMPUTED_VALUE"""),"N/A")</f>
        <v>N/A</v>
      </c>
      <c r="F103" s="1" t="str">
        <f>IFERROR(__xludf.DUMMYFUNCTION("""COMPUTED_VALUE"""),"3 - 5")</f>
        <v>3 - 5</v>
      </c>
      <c r="G103" s="1" t="str">
        <f>IFERROR(__xludf.DUMMYFUNCTION("""COMPUTED_VALUE"""),"USA")</f>
        <v>USA</v>
      </c>
      <c r="H103" s="4" t="str">
        <f>IFERROR(__xludf.DUMMYFUNCTION("""COMPUTED_VALUE"""),"https://www.linkedin.com/posts/activity-7239343326955544577-fUHj?utm_source=share&amp;utm_medium=member_desktop")</f>
        <v>https://www.linkedin.com/posts/activity-7239343326955544577-fUHj?utm_source=share&amp;utm_medium=member_desktop</v>
      </c>
    </row>
    <row r="104">
      <c r="A104" s="2">
        <f>IFERROR(__xludf.DUMMYFUNCTION("""COMPUTED_VALUE"""),45547.0)</f>
        <v>45547</v>
      </c>
      <c r="B104" s="1" t="str">
        <f>IFERROR(__xludf.DUMMYFUNCTION("""COMPUTED_VALUE"""),"Ropes &amp; Gray LLP")</f>
        <v>Ropes &amp; Gray LLP</v>
      </c>
      <c r="C104" s="1" t="str">
        <f>IFERROR(__xludf.DUMMYFUNCTION("""COMPUTED_VALUE"""),"Financial Analyst")</f>
        <v>Financial Analyst</v>
      </c>
      <c r="D104" s="1" t="str">
        <f>IFERROR(__xludf.DUMMYFUNCTION("""COMPUTED_VALUE"""),"Hybrid")</f>
        <v>Hybrid</v>
      </c>
      <c r="E104" s="3" t="str">
        <f>IFERROR(__xludf.DUMMYFUNCTION("""COMPUTED_VALUE"""),"$69k - $103k")</f>
        <v>$69k - $103k</v>
      </c>
      <c r="F104" s="1" t="str">
        <f>IFERROR(__xludf.DUMMYFUNCTION("""COMPUTED_VALUE"""),"0 - 2")</f>
        <v>0 - 2</v>
      </c>
      <c r="G104" s="1" t="str">
        <f>IFERROR(__xludf.DUMMYFUNCTION("""COMPUTED_VALUE"""),"Boston, MA")</f>
        <v>Boston, MA</v>
      </c>
      <c r="H104" s="4" t="str">
        <f>IFERROR(__xludf.DUMMYFUNCTION("""COMPUTED_VALUE"""),"https://www.linkedin.com/posts/albertinamcdermott_rockstars-financialanalyst-financialplanningandanalysis-activity-7239629657573117952--ySz?utm_source=share&amp;utm_medium=member_desktop")</f>
        <v>https://www.linkedin.com/posts/albertinamcdermott_rockstars-financialanalyst-financialplanningandanalysis-activity-7239629657573117952--ySz?utm_source=share&amp;utm_medium=member_desktop</v>
      </c>
    </row>
    <row r="105">
      <c r="A105" s="2">
        <f>IFERROR(__xludf.DUMMYFUNCTION("""COMPUTED_VALUE"""),45547.0)</f>
        <v>45547</v>
      </c>
      <c r="B105" s="1" t="str">
        <f>IFERROR(__xludf.DUMMYFUNCTION("""COMPUTED_VALUE"""),"CLEAResult")</f>
        <v>CLEAResult</v>
      </c>
      <c r="C105" s="1" t="str">
        <f>IFERROR(__xludf.DUMMYFUNCTION("""COMPUTED_VALUE"""),"Business Analyst")</f>
        <v>Business Analyst</v>
      </c>
      <c r="D105" s="1" t="str">
        <f>IFERROR(__xludf.DUMMYFUNCTION("""COMPUTED_VALUE"""),"Remote")</f>
        <v>Remote</v>
      </c>
      <c r="E105" s="3" t="str">
        <f>IFERROR(__xludf.DUMMYFUNCTION("""COMPUTED_VALUE"""),"N/A")</f>
        <v>N/A</v>
      </c>
      <c r="F105" s="1" t="str">
        <f>IFERROR(__xludf.DUMMYFUNCTION("""COMPUTED_VALUE"""),"3 - 5")</f>
        <v>3 - 5</v>
      </c>
      <c r="G105" s="1" t="str">
        <f>IFERROR(__xludf.DUMMYFUNCTION("""COMPUTED_VALUE"""),"Certain Locations")</f>
        <v>Certain Locations</v>
      </c>
      <c r="H105" s="4" t="str">
        <f>IFERROR(__xludf.DUMMYFUNCTION("""COMPUTED_VALUE"""),"https://www.linkedin.com/posts/nohelymiranda_sravanthi-ramadugu-is-looking-for-a-business-activity-7239328626318417921-Wze3?utm_source=share&amp;utm_medium=member_desktop")</f>
        <v>https://www.linkedin.com/posts/nohelymiranda_sravanthi-ramadugu-is-looking-for-a-business-activity-7239328626318417921-Wze3?utm_source=share&amp;utm_medium=member_desktop</v>
      </c>
    </row>
    <row r="106">
      <c r="A106" s="2">
        <f>IFERROR(__xludf.DUMMYFUNCTION("""COMPUTED_VALUE"""),45547.0)</f>
        <v>45547</v>
      </c>
      <c r="B106" s="1" t="str">
        <f>IFERROR(__xludf.DUMMYFUNCTION("""COMPUTED_VALUE"""),"Life360")</f>
        <v>Life360</v>
      </c>
      <c r="C106" s="1" t="str">
        <f>IFERROR(__xludf.DUMMYFUNCTION("""COMPUTED_VALUE"""),"Director of Growth Product Analytics")</f>
        <v>Director of Growth Product Analytics</v>
      </c>
      <c r="D106" s="1" t="str">
        <f>IFERROR(__xludf.DUMMYFUNCTION("""COMPUTED_VALUE"""),"Remote")</f>
        <v>Remote</v>
      </c>
      <c r="E106" s="3" t="str">
        <f>IFERROR(__xludf.DUMMYFUNCTION("""COMPUTED_VALUE"""),"$205k - $290k")</f>
        <v>$205k - $290k</v>
      </c>
      <c r="F106" s="1" t="str">
        <f>IFERROR(__xludf.DUMMYFUNCTION("""COMPUTED_VALUE"""),"10 +")</f>
        <v>10 +</v>
      </c>
      <c r="G106" s="1" t="str">
        <f>IFERROR(__xludf.DUMMYFUNCTION("""COMPUTED_VALUE"""),"USA")</f>
        <v>USA</v>
      </c>
      <c r="H106" s="4" t="str">
        <f>IFERROR(__xludf.DUMMYFUNCTION("""COMPUTED_VALUE"""),"https://www.linkedin.com/posts/gcontestabile_were-looking-for-an-experienced-technically-activity-7239636347181805569-XIoW?utm_source=share&amp;utm_medium=member_desktop")</f>
        <v>https://www.linkedin.com/posts/gcontestabile_were-looking-for-an-experienced-technically-activity-7239636347181805569-XIoW?utm_source=share&amp;utm_medium=member_desktop</v>
      </c>
    </row>
    <row r="107">
      <c r="A107" s="2">
        <f>IFERROR(__xludf.DUMMYFUNCTION("""COMPUTED_VALUE"""),45547.0)</f>
        <v>45547</v>
      </c>
      <c r="B107" s="1" t="str">
        <f>IFERROR(__xludf.DUMMYFUNCTION("""COMPUTED_VALUE"""),"Gartner, Inc.")</f>
        <v>Gartner, Inc.</v>
      </c>
      <c r="C107" s="1" t="str">
        <f>IFERROR(__xludf.DUMMYFUNCTION("""COMPUTED_VALUE"""),"Senior Data Analyst")</f>
        <v>Senior Data Analyst</v>
      </c>
      <c r="D107" s="1" t="str">
        <f>IFERROR(__xludf.DUMMYFUNCTION("""COMPUTED_VALUE"""),"Hybrid")</f>
        <v>Hybrid</v>
      </c>
      <c r="E107" s="3" t="str">
        <f>IFERROR(__xludf.DUMMYFUNCTION("""COMPUTED_VALUE"""),"$82k - $106k")</f>
        <v>$82k - $106k</v>
      </c>
      <c r="F107" s="1" t="str">
        <f>IFERROR(__xludf.DUMMYFUNCTION("""COMPUTED_VALUE"""),"3 - 5")</f>
        <v>3 - 5</v>
      </c>
      <c r="G107" s="1" t="str">
        <f>IFERROR(__xludf.DUMMYFUNCTION("""COMPUTED_VALUE"""),"Irving, TX")</f>
        <v>Irving, TX</v>
      </c>
      <c r="H107" s="4" t="str">
        <f>IFERROR(__xludf.DUMMYFUNCTION("""COMPUTED_VALUE"""),"https://www.linkedin.com/posts/megan-del-vecchio-62535212a_data-lifeatgartner-activity-7239617442862239745-1chR?utm_source=share&amp;utm_medium=member_desktop")</f>
        <v>https://www.linkedin.com/posts/megan-del-vecchio-62535212a_data-lifeatgartner-activity-7239617442862239745-1chR?utm_source=share&amp;utm_medium=member_desktop</v>
      </c>
    </row>
    <row r="108">
      <c r="A108" s="2">
        <f>IFERROR(__xludf.DUMMYFUNCTION("""COMPUTED_VALUE"""),45547.0)</f>
        <v>45547</v>
      </c>
      <c r="B108" s="1" t="str">
        <f>IFERROR(__xludf.DUMMYFUNCTION("""COMPUTED_VALUE"""),"U.S. Bank")</f>
        <v>U.S. Bank</v>
      </c>
      <c r="C108" s="1" t="str">
        <f>IFERROR(__xludf.DUMMYFUNCTION("""COMPUTED_VALUE"""),"Digital Analyst")</f>
        <v>Digital Analyst</v>
      </c>
      <c r="D108" s="1" t="str">
        <f>IFERROR(__xludf.DUMMYFUNCTION("""COMPUTED_VALUE"""),"Hybrid")</f>
        <v>Hybrid</v>
      </c>
      <c r="E108" s="3" t="str">
        <f>IFERROR(__xludf.DUMMYFUNCTION("""COMPUTED_VALUE"""),"$116k - $180k")</f>
        <v>$116k - $180k</v>
      </c>
      <c r="F108" s="1" t="str">
        <f>IFERROR(__xludf.DUMMYFUNCTION("""COMPUTED_VALUE"""),"6 - 9")</f>
        <v>6 - 9</v>
      </c>
      <c r="G108" s="1" t="str">
        <f>IFERROR(__xludf.DUMMYFUNCTION("""COMPUTED_VALUE"""),"Minneapolis, MN")</f>
        <v>Minneapolis, MN</v>
      </c>
      <c r="H108" s="4" t="str">
        <f>IFERROR(__xludf.DUMMYFUNCTION("""COMPUTED_VALUE"""),"https://www.linkedin.com/posts/vannessa-m-brown-9889462_digital-analyst-in-minneapolis-mn-united-activity-7239473089749606401-_TUf?utm_source=share&amp;utm_medium=member_desktop")</f>
        <v>https://www.linkedin.com/posts/vannessa-m-brown-9889462_digital-analyst-in-minneapolis-mn-united-activity-7239473089749606401-_TUf?utm_source=share&amp;utm_medium=member_desktop</v>
      </c>
    </row>
    <row r="109">
      <c r="A109" s="2">
        <f>IFERROR(__xludf.DUMMYFUNCTION("""COMPUTED_VALUE"""),45547.0)</f>
        <v>45547</v>
      </c>
      <c r="B109" s="1" t="str">
        <f>IFERROR(__xludf.DUMMYFUNCTION("""COMPUTED_VALUE"""),"Freeosk")</f>
        <v>Freeosk</v>
      </c>
      <c r="C109" s="1" t="str">
        <f>IFERROR(__xludf.DUMMYFUNCTION("""COMPUTED_VALUE"""),"Data Insights Analyst")</f>
        <v>Data Insights Analyst</v>
      </c>
      <c r="D109" s="1" t="str">
        <f>IFERROR(__xludf.DUMMYFUNCTION("""COMPUTED_VALUE"""),"Remote")</f>
        <v>Remote</v>
      </c>
      <c r="E109" s="3" t="str">
        <f>IFERROR(__xludf.DUMMYFUNCTION("""COMPUTED_VALUE"""),"N/A")</f>
        <v>N/A</v>
      </c>
      <c r="F109" s="1" t="str">
        <f>IFERROR(__xludf.DUMMYFUNCTION("""COMPUTED_VALUE"""),"3 - 5")</f>
        <v>3 - 5</v>
      </c>
      <c r="G109" s="1" t="str">
        <f>IFERROR(__xludf.DUMMYFUNCTION("""COMPUTED_VALUE"""),"USA")</f>
        <v>USA</v>
      </c>
      <c r="H109" s="4" t="str">
        <f>IFERROR(__xludf.DUMMYFUNCTION("""COMPUTED_VALUE"""),"https://www.linkedin.com/posts/ashleigh-covello_freeosk-data-insights-analyst-activity-7238909005392175104-XDjN?utm_source=share&amp;utm_medium=member_desktop")</f>
        <v>https://www.linkedin.com/posts/ashleigh-covello_freeosk-data-insights-analyst-activity-7238909005392175104-XDjN?utm_source=share&amp;utm_medium=member_desktop</v>
      </c>
    </row>
    <row r="110">
      <c r="A110" s="2">
        <f>IFERROR(__xludf.DUMMYFUNCTION("""COMPUTED_VALUE"""),45547.0)</f>
        <v>45547</v>
      </c>
      <c r="B110" s="1" t="str">
        <f>IFERROR(__xludf.DUMMYFUNCTION("""COMPUTED_VALUE"""),"Renaissance")</f>
        <v>Renaissance</v>
      </c>
      <c r="C110" s="1" t="str">
        <f>IFERROR(__xludf.DUMMYFUNCTION("""COMPUTED_VALUE"""),"Director, Business Intelligence &amp; Analytics")</f>
        <v>Director, Business Intelligence &amp; Analytics</v>
      </c>
      <c r="D110" s="1" t="str">
        <f>IFERROR(__xludf.DUMMYFUNCTION("""COMPUTED_VALUE"""),"Remote")</f>
        <v>Remote</v>
      </c>
      <c r="E110" s="3" t="str">
        <f>IFERROR(__xludf.DUMMYFUNCTION("""COMPUTED_VALUE"""),"N/A")</f>
        <v>N/A</v>
      </c>
      <c r="F110" s="1" t="str">
        <f>IFERROR(__xludf.DUMMYFUNCTION("""COMPUTED_VALUE"""),"6 - 9")</f>
        <v>6 - 9</v>
      </c>
      <c r="G110" s="1" t="str">
        <f>IFERROR(__xludf.DUMMYFUNCTION("""COMPUTED_VALUE"""),"USA")</f>
        <v>USA</v>
      </c>
      <c r="H110" s="4" t="str">
        <f>IFERROR(__xludf.DUMMYFUNCTION("""COMPUTED_VALUE"""),"https://www.linkedin.com/posts/earl-shaw_director-business-intelligence-analytics-activity-7239352806430679040-hMmZ?utm_source=share&amp;utm_medium=member_desktop")</f>
        <v>https://www.linkedin.com/posts/earl-shaw_director-business-intelligence-analytics-activity-7239352806430679040-hMmZ?utm_source=share&amp;utm_medium=member_desktop</v>
      </c>
    </row>
    <row r="111">
      <c r="A111" s="2">
        <f>IFERROR(__xludf.DUMMYFUNCTION("""COMPUTED_VALUE"""),45547.0)</f>
        <v>45547</v>
      </c>
      <c r="B111" s="1" t="str">
        <f>IFERROR(__xludf.DUMMYFUNCTION("""COMPUTED_VALUE"""),"Modivcare")</f>
        <v>Modivcare</v>
      </c>
      <c r="C111" s="1" t="str">
        <f>IFERROR(__xludf.DUMMYFUNCTION("""COMPUTED_VALUE"""),"Senior Manager - Organizational Data Analytics and Insights")</f>
        <v>Senior Manager - Organizational Data Analytics and Insights</v>
      </c>
      <c r="D111" s="1" t="str">
        <f>IFERROR(__xludf.DUMMYFUNCTION("""COMPUTED_VALUE"""),"Remote")</f>
        <v>Remote</v>
      </c>
      <c r="E111" s="3" t="str">
        <f>IFERROR(__xludf.DUMMYFUNCTION("""COMPUTED_VALUE"""),"$111k - $150k")</f>
        <v>$111k - $150k</v>
      </c>
      <c r="F111" s="1" t="str">
        <f>IFERROR(__xludf.DUMMYFUNCTION("""COMPUTED_VALUE"""),"6 - 9")</f>
        <v>6 - 9</v>
      </c>
      <c r="G111" s="1" t="str">
        <f>IFERROR(__xludf.DUMMYFUNCTION("""COMPUTED_VALUE"""),"USA")</f>
        <v>USA</v>
      </c>
      <c r="H111" s="4" t="str">
        <f>IFERROR(__xludf.DUMMYFUNCTION("""COMPUTED_VALUE"""),"https://www.linkedin.com/posts/anna-broussard-a76841a8_hrdata-peopledata-workday-activity-7239636186355351553-aQxo?utm_source=share&amp;utm_medium=member_desktop")</f>
        <v>https://www.linkedin.com/posts/anna-broussard-a76841a8_hrdata-peopledata-workday-activity-7239636186355351553-aQxo?utm_source=share&amp;utm_medium=member_desktop</v>
      </c>
    </row>
    <row r="112">
      <c r="A112" s="2">
        <f>IFERROR(__xludf.DUMMYFUNCTION("""COMPUTED_VALUE"""),45546.0)</f>
        <v>45546</v>
      </c>
      <c r="B112" s="1" t="str">
        <f>IFERROR(__xludf.DUMMYFUNCTION("""COMPUTED_VALUE"""),"Elevance Health")</f>
        <v>Elevance Health</v>
      </c>
      <c r="C112" s="1" t="str">
        <f>IFERROR(__xludf.DUMMYFUNCTION("""COMPUTED_VALUE"""),"Advanced Analytics Analyst Senior")</f>
        <v>Advanced Analytics Analyst Senior</v>
      </c>
      <c r="D112" s="1" t="str">
        <f>IFERROR(__xludf.DUMMYFUNCTION("""COMPUTED_VALUE"""),"Hybrid")</f>
        <v>Hybrid</v>
      </c>
      <c r="E112" s="3" t="str">
        <f>IFERROR(__xludf.DUMMYFUNCTION("""COMPUTED_VALUE"""),"N/A")</f>
        <v>N/A</v>
      </c>
      <c r="F112" s="1" t="str">
        <f>IFERROR(__xludf.DUMMYFUNCTION("""COMPUTED_VALUE"""),"3 - 5")</f>
        <v>3 - 5</v>
      </c>
      <c r="G112" s="1" t="str">
        <f>IFERROR(__xludf.DUMMYFUNCTION("""COMPUTED_VALUE"""),"Certain Locations")</f>
        <v>Certain Locations</v>
      </c>
      <c r="H112" s="4" t="str">
        <f>IFERROR(__xludf.DUMMYFUNCTION("""COMPUTED_VALUE"""),"https://www.linkedin.com/posts/rojitadatta_advanced-analytics-analyst-senior-activity-7239729105967964161-Zfio?utm_source=share&amp;utm_medium=member_desktop")</f>
        <v>https://www.linkedin.com/posts/rojitadatta_advanced-analytics-analyst-senior-activity-7239729105967964161-Zfio?utm_source=share&amp;utm_medium=member_desktop</v>
      </c>
    </row>
    <row r="113">
      <c r="A113" s="2">
        <f>IFERROR(__xludf.DUMMYFUNCTION("""COMPUTED_VALUE"""),45546.0)</f>
        <v>45546</v>
      </c>
      <c r="B113" s="1" t="str">
        <f>IFERROR(__xludf.DUMMYFUNCTION("""COMPUTED_VALUE"""),"The Home Depot")</f>
        <v>The Home Depot</v>
      </c>
      <c r="C113" s="1" t="str">
        <f>IFERROR(__xludf.DUMMYFUNCTION("""COMPUTED_VALUE"""),"Senior Data Analyst - Services - Atlanta, GA ")</f>
        <v>Senior Data Analyst - Services - Atlanta, GA </v>
      </c>
      <c r="D113" s="1" t="str">
        <f>IFERROR(__xludf.DUMMYFUNCTION("""COMPUTED_VALUE"""),"Hybrid")</f>
        <v>Hybrid</v>
      </c>
      <c r="E113" s="3" t="str">
        <f>IFERROR(__xludf.DUMMYFUNCTION("""COMPUTED_VALUE"""),"N/A")</f>
        <v>N/A</v>
      </c>
      <c r="F113" s="1" t="str">
        <f>IFERROR(__xludf.DUMMYFUNCTION("""COMPUTED_VALUE"""),"6 - 9")</f>
        <v>6 - 9</v>
      </c>
      <c r="G113" s="1" t="str">
        <f>IFERROR(__xludf.DUMMYFUNCTION("""COMPUTED_VALUE"""),"Atlanta, GA")</f>
        <v>Atlanta, GA</v>
      </c>
      <c r="H113" s="4" t="str">
        <f>IFERROR(__xludf.DUMMYFUNCTION("""COMPUTED_VALUE"""),"https://www.linkedin.com/posts/benharris01_hiring-activity-7239689604554002433-_fsz?utm_source=share&amp;utm_medium=member_desktop")</f>
        <v>https://www.linkedin.com/posts/benharris01_hiring-activity-7239689604554002433-_fsz?utm_source=share&amp;utm_medium=member_desktop</v>
      </c>
    </row>
    <row r="114">
      <c r="A114" s="2">
        <f>IFERROR(__xludf.DUMMYFUNCTION("""COMPUTED_VALUE"""),45546.0)</f>
        <v>45546</v>
      </c>
      <c r="B114" s="1" t="str">
        <f>IFERROR(__xludf.DUMMYFUNCTION("""COMPUTED_VALUE"""),"Sunrun")</f>
        <v>Sunrun</v>
      </c>
      <c r="C114" s="1" t="str">
        <f>IFERROR(__xludf.DUMMYFUNCTION("""COMPUTED_VALUE"""),"Staff Strategy and Business Intelligence Analyst")</f>
        <v>Staff Strategy and Business Intelligence Analyst</v>
      </c>
      <c r="D114" s="1" t="str">
        <f>IFERROR(__xludf.DUMMYFUNCTION("""COMPUTED_VALUE"""),"On-Site")</f>
        <v>On-Site</v>
      </c>
      <c r="E114" s="3" t="str">
        <f>IFERROR(__xludf.DUMMYFUNCTION("""COMPUTED_VALUE"""),"$103k - $138k")</f>
        <v>$103k - $138k</v>
      </c>
      <c r="F114" s="1" t="str">
        <f>IFERROR(__xludf.DUMMYFUNCTION("""COMPUTED_VALUE"""),"3 - 5")</f>
        <v>3 - 5</v>
      </c>
      <c r="G114" s="1" t="str">
        <f>IFERROR(__xludf.DUMMYFUNCTION("""COMPUTED_VALUE"""),"Lehi, UT")</f>
        <v>Lehi, UT</v>
      </c>
      <c r="H114" s="4" t="str">
        <f>IFERROR(__xludf.DUMMYFUNCTION("""COMPUTED_VALUE"""),"https://www.linkedin.com/posts/alysia-dupuy_we-are-hiring-for-a-rockstar-staff-analyst-activity-7239347951284670464-6Y-n?utm_source=share&amp;utm_medium=member_desktop")</f>
        <v>https://www.linkedin.com/posts/alysia-dupuy_we-are-hiring-for-a-rockstar-staff-analyst-activity-7239347951284670464-6Y-n?utm_source=share&amp;utm_medium=member_desktop</v>
      </c>
    </row>
    <row r="115">
      <c r="A115" s="2">
        <f>IFERROR(__xludf.DUMMYFUNCTION("""COMPUTED_VALUE"""),45546.0)</f>
        <v>45546</v>
      </c>
      <c r="B115" s="1" t="str">
        <f>IFERROR(__xludf.DUMMYFUNCTION("""COMPUTED_VALUE"""),"Instacart")</f>
        <v>Instacart</v>
      </c>
      <c r="C115" s="1" t="str">
        <f>IFERROR(__xludf.DUMMYFUNCTION("""COMPUTED_VALUE"""),"Sr. Data Scientist - Growth &amp; Marketing Tech")</f>
        <v>Sr. Data Scientist - Growth &amp; Marketing Tech</v>
      </c>
      <c r="D115" s="1" t="str">
        <f>IFERROR(__xludf.DUMMYFUNCTION("""COMPUTED_VALUE"""),"Remote")</f>
        <v>Remote</v>
      </c>
      <c r="E115" s="3" t="str">
        <f>IFERROR(__xludf.DUMMYFUNCTION("""COMPUTED_VALUE"""),"$153k - $230k")</f>
        <v>$153k - $230k</v>
      </c>
      <c r="F115" s="1" t="str">
        <f>IFERROR(__xludf.DUMMYFUNCTION("""COMPUTED_VALUE"""),"6 - 9")</f>
        <v>6 - 9</v>
      </c>
      <c r="G115" s="1" t="str">
        <f>IFERROR(__xludf.DUMMYFUNCTION("""COMPUTED_VALUE"""),"USA")</f>
        <v>USA</v>
      </c>
      <c r="H115" s="4" t="str">
        <f>IFERROR(__xludf.DUMMYFUNCTION("""COMPUTED_VALUE"""),"https://www.linkedin.com/posts/genetabach_hiring-remote-datascience-activity-7239763216715694080-KjKO?utm_source=share&amp;utm_medium=member_desktop")</f>
        <v>https://www.linkedin.com/posts/genetabach_hiring-remote-datascience-activity-7239763216715694080-KjKO?utm_source=share&amp;utm_medium=member_desktop</v>
      </c>
    </row>
    <row r="116">
      <c r="A116" s="2">
        <f>IFERROR(__xludf.DUMMYFUNCTION("""COMPUTED_VALUE"""),45546.0)</f>
        <v>45546</v>
      </c>
      <c r="B116" s="1" t="str">
        <f>IFERROR(__xludf.DUMMYFUNCTION("""COMPUTED_VALUE"""),"CVS Health")</f>
        <v>CVS Health</v>
      </c>
      <c r="C116" s="1" t="str">
        <f>IFERROR(__xludf.DUMMYFUNCTION("""COMPUTED_VALUE"""),"Sr Data Scientist - Growth Analytics")</f>
        <v>Sr Data Scientist - Growth Analytics</v>
      </c>
      <c r="D116" s="1" t="str">
        <f>IFERROR(__xludf.DUMMYFUNCTION("""COMPUTED_VALUE"""),"Hybrid")</f>
        <v>Hybrid</v>
      </c>
      <c r="E116" s="3" t="str">
        <f>IFERROR(__xludf.DUMMYFUNCTION("""COMPUTED_VALUE"""),"$102k - $222k")</f>
        <v>$102k - $222k</v>
      </c>
      <c r="F116" s="1" t="str">
        <f>IFERROR(__xludf.DUMMYFUNCTION("""COMPUTED_VALUE"""),"3 - 5")</f>
        <v>3 - 5</v>
      </c>
      <c r="G116" s="1" t="str">
        <f>IFERROR(__xludf.DUMMYFUNCTION("""COMPUTED_VALUE"""),"Certain Locations")</f>
        <v>Certain Locations</v>
      </c>
      <c r="H116" s="4" t="str">
        <f>IFERROR(__xludf.DUMMYFUNCTION("""COMPUTED_VALUE"""),"https://www.linkedin.com/posts/activity-7239673711069392896-WNe-?utm_source=share&amp;utm_medium=member_desktop")</f>
        <v>https://www.linkedin.com/posts/activity-7239673711069392896-WNe-?utm_source=share&amp;utm_medium=member_desktop</v>
      </c>
    </row>
    <row r="117">
      <c r="A117" s="2">
        <f>IFERROR(__xludf.DUMMYFUNCTION("""COMPUTED_VALUE"""),45546.0)</f>
        <v>45546</v>
      </c>
      <c r="B117" s="1" t="str">
        <f>IFERROR(__xludf.DUMMYFUNCTION("""COMPUTED_VALUE"""),"Chewy")</f>
        <v>Chewy</v>
      </c>
      <c r="C117" s="1" t="str">
        <f>IFERROR(__xludf.DUMMYFUNCTION("""COMPUTED_VALUE"""),"Business Intelligence Engineer II")</f>
        <v>Business Intelligence Engineer II</v>
      </c>
      <c r="D117" s="1" t="str">
        <f>IFERROR(__xludf.DUMMYFUNCTION("""COMPUTED_VALUE"""),"Hybrid")</f>
        <v>Hybrid</v>
      </c>
      <c r="E117" s="3" t="str">
        <f>IFERROR(__xludf.DUMMYFUNCTION("""COMPUTED_VALUE"""),"$116k - $184k")</f>
        <v>$116k - $184k</v>
      </c>
      <c r="F117" s="1" t="str">
        <f>IFERROR(__xludf.DUMMYFUNCTION("""COMPUTED_VALUE"""),"0 - 2")</f>
        <v>0 - 2</v>
      </c>
      <c r="G117" s="1" t="str">
        <f>IFERROR(__xludf.DUMMYFUNCTION("""COMPUTED_VALUE"""),"Bellevue, WA")</f>
        <v>Bellevue, WA</v>
      </c>
      <c r="H117" s="4" t="str">
        <f>IFERROR(__xludf.DUMMYFUNCTION("""COMPUTED_VALUE"""),"https://www.linkedin.com/posts/saket-dabi-500835132_hiring-jobopening-businessintelligence-activity-7239747046092460033-XNbX?utm_source=share&amp;utm_medium=member_desktop")</f>
        <v>https://www.linkedin.com/posts/saket-dabi-500835132_hiring-jobopening-businessintelligence-activity-7239747046092460033-XNbX?utm_source=share&amp;utm_medium=member_desktop</v>
      </c>
    </row>
    <row r="118">
      <c r="A118" s="2">
        <f>IFERROR(__xludf.DUMMYFUNCTION("""COMPUTED_VALUE"""),45546.0)</f>
        <v>45546</v>
      </c>
      <c r="B118" s="1" t="str">
        <f>IFERROR(__xludf.DUMMYFUNCTION("""COMPUTED_VALUE"""),"Netflix")</f>
        <v>Netflix</v>
      </c>
      <c r="C118" s="1" t="str">
        <f>IFERROR(__xludf.DUMMYFUNCTION("""COMPUTED_VALUE"""),"Data Scientist (L5) - Ads (Experimentation)")</f>
        <v>Data Scientist (L5) - Ads (Experimentation)</v>
      </c>
      <c r="D118" s="1" t="str">
        <f>IFERROR(__xludf.DUMMYFUNCTION("""COMPUTED_VALUE"""),"Remote")</f>
        <v>Remote</v>
      </c>
      <c r="E118" s="3" t="str">
        <f>IFERROR(__xludf.DUMMYFUNCTION("""COMPUTED_VALUE"""),"$100k - $720k")</f>
        <v>$100k - $720k</v>
      </c>
      <c r="F118" s="1" t="str">
        <f>IFERROR(__xludf.DUMMYFUNCTION("""COMPUTED_VALUE"""),"6 - 9")</f>
        <v>6 - 9</v>
      </c>
      <c r="G118" s="1" t="str">
        <f>IFERROR(__xludf.DUMMYFUNCTION("""COMPUTED_VALUE"""),"New York, NY")</f>
        <v>New York, NY</v>
      </c>
      <c r="H118" s="4" t="str">
        <f>IFERROR(__xludf.DUMMYFUNCTION("""COMPUTED_VALUE"""),"https://www.linkedin.com/posts/mjrowell_we-are-hiring-a-data-scientist-to-work-on-activity-7239721065810157568-qad3?utm_source=share&amp;utm_medium=member_desktop")</f>
        <v>https://www.linkedin.com/posts/mjrowell_we-are-hiring-a-data-scientist-to-work-on-activity-7239721065810157568-qad3?utm_source=share&amp;utm_medium=member_desktop</v>
      </c>
    </row>
    <row r="119">
      <c r="A119" s="2">
        <f>IFERROR(__xludf.DUMMYFUNCTION("""COMPUTED_VALUE"""),45546.0)</f>
        <v>45546</v>
      </c>
      <c r="B119" s="1" t="str">
        <f>IFERROR(__xludf.DUMMYFUNCTION("""COMPUTED_VALUE"""),"Symbotic")</f>
        <v>Symbotic</v>
      </c>
      <c r="C119" s="1" t="str">
        <f>IFERROR(__xludf.DUMMYFUNCTION("""COMPUTED_VALUE"""),"Qlik Analyst")</f>
        <v>Qlik Analyst</v>
      </c>
      <c r="D119" s="1" t="str">
        <f>IFERROR(__xludf.DUMMYFUNCTION("""COMPUTED_VALUE"""),"Remote")</f>
        <v>Remote</v>
      </c>
      <c r="E119" s="3" t="str">
        <f>IFERROR(__xludf.DUMMYFUNCTION("""COMPUTED_VALUE"""),"N/A")</f>
        <v>N/A</v>
      </c>
      <c r="F119" s="1" t="str">
        <f>IFERROR(__xludf.DUMMYFUNCTION("""COMPUTED_VALUE"""),"3 - 5")</f>
        <v>3 - 5</v>
      </c>
      <c r="G119" s="1" t="str">
        <f>IFERROR(__xludf.DUMMYFUNCTION("""COMPUTED_VALUE"""),"USA")</f>
        <v>USA</v>
      </c>
      <c r="H119" s="4" t="str">
        <f>IFERROR(__xludf.DUMMYFUNCTION("""COMPUTED_VALUE"""),"https://www.linkedin.com/posts/abdoksh_hiring-for-a-business-data-analyst-role-activity-7237818378554384385-F0Xw?utm_source=share&amp;utm_medium=member_desktop")</f>
        <v>https://www.linkedin.com/posts/abdoksh_hiring-for-a-business-data-analyst-role-activity-7237818378554384385-F0Xw?utm_source=share&amp;utm_medium=member_desktop</v>
      </c>
    </row>
    <row r="120">
      <c r="A120" s="2">
        <f>IFERROR(__xludf.DUMMYFUNCTION("""COMPUTED_VALUE"""),45546.0)</f>
        <v>45546</v>
      </c>
      <c r="B120" s="1" t="str">
        <f>IFERROR(__xludf.DUMMYFUNCTION("""COMPUTED_VALUE"""),"Gainwell Technologies")</f>
        <v>Gainwell Technologies</v>
      </c>
      <c r="C120" s="1" t="str">
        <f>IFERROR(__xludf.DUMMYFUNCTION("""COMPUTED_VALUE"""),"Data Reporting Analyst")</f>
        <v>Data Reporting Analyst</v>
      </c>
      <c r="D120" s="1" t="str">
        <f>IFERROR(__xludf.DUMMYFUNCTION("""COMPUTED_VALUE"""),"Remote")</f>
        <v>Remote</v>
      </c>
      <c r="E120" s="3" t="str">
        <f>IFERROR(__xludf.DUMMYFUNCTION("""COMPUTED_VALUE"""),"$74k - $106k")</f>
        <v>$74k - $106k</v>
      </c>
      <c r="F120" s="1" t="str">
        <f>IFERROR(__xludf.DUMMYFUNCTION("""COMPUTED_VALUE"""),"3 - 5")</f>
        <v>3 - 5</v>
      </c>
      <c r="G120" s="1" t="str">
        <f>IFERROR(__xludf.DUMMYFUNCTION("""COMPUTED_VALUE"""),"USA")</f>
        <v>USA</v>
      </c>
      <c r="H120" s="4" t="str">
        <f>IFERROR(__xludf.DUMMYFUNCTION("""COMPUTED_VALUE"""),"https://www.linkedin.com/posts/lashandra-austin-price-6b2a32220_gainwell-hiring-wearehiring-activity-7238910366842339328-KI2l?utm_source=share&amp;utm_medium=member_desktop")</f>
        <v>https://www.linkedin.com/posts/lashandra-austin-price-6b2a32220_gainwell-hiring-wearehiring-activity-7238910366842339328-KI2l?utm_source=share&amp;utm_medium=member_desktop</v>
      </c>
    </row>
    <row r="121">
      <c r="A121" s="2">
        <f>IFERROR(__xludf.DUMMYFUNCTION("""COMPUTED_VALUE"""),45546.0)</f>
        <v>45546</v>
      </c>
      <c r="B121" s="1" t="str">
        <f>IFERROR(__xludf.DUMMYFUNCTION("""COMPUTED_VALUE"""),"University of Maryland, College Park")</f>
        <v>University of Maryland, College Park</v>
      </c>
      <c r="C121" s="1" t="str">
        <f>IFERROR(__xludf.DUMMYFUNCTION("""COMPUTED_VALUE"""),"Analyst")</f>
        <v>Analyst</v>
      </c>
      <c r="D121" s="1" t="str">
        <f>IFERROR(__xludf.DUMMYFUNCTION("""COMPUTED_VALUE"""),"Hybrid")</f>
        <v>Hybrid</v>
      </c>
      <c r="E121" s="3" t="str">
        <f>IFERROR(__xludf.DUMMYFUNCTION("""COMPUTED_VALUE"""),"$80k - $90k")</f>
        <v>$80k - $90k</v>
      </c>
      <c r="F121" s="1" t="str">
        <f>IFERROR(__xludf.DUMMYFUNCTION("""COMPUTED_VALUE"""),"0 - 2")</f>
        <v>0 - 2</v>
      </c>
      <c r="G121" s="1" t="str">
        <f>IFERROR(__xludf.DUMMYFUNCTION("""COMPUTED_VALUE"""),"College Park, MD")</f>
        <v>College Park, MD</v>
      </c>
      <c r="H121" s="4" t="str">
        <f>IFERROR(__xludf.DUMMYFUNCTION("""COMPUTED_VALUE"""),"https://www.linkedin.com/posts/karenegypt_data-analyst-activity-7237733400172789760-FrpU?utm_source=share&amp;utm_medium=member_desktop")</f>
        <v>https://www.linkedin.com/posts/karenegypt_data-analyst-activity-7237733400172789760-FrpU?utm_source=share&amp;utm_medium=member_desktop</v>
      </c>
    </row>
    <row r="122">
      <c r="A122" s="2">
        <f>IFERROR(__xludf.DUMMYFUNCTION("""COMPUTED_VALUE"""),45546.0)</f>
        <v>45546</v>
      </c>
      <c r="B122" s="1" t="str">
        <f>IFERROR(__xludf.DUMMYFUNCTION("""COMPUTED_VALUE"""),"Hubspot")</f>
        <v>Hubspot</v>
      </c>
      <c r="C122" s="1" t="str">
        <f>IFERROR(__xludf.DUMMYFUNCTION("""COMPUTED_VALUE"""),"Senior Success Strategy &amp; Operations Analyst")</f>
        <v>Senior Success Strategy &amp; Operations Analyst</v>
      </c>
      <c r="D122" s="1" t="str">
        <f>IFERROR(__xludf.DUMMYFUNCTION("""COMPUTED_VALUE"""),"Remote")</f>
        <v>Remote</v>
      </c>
      <c r="E122" s="3" t="str">
        <f>IFERROR(__xludf.DUMMYFUNCTION("""COMPUTED_VALUE"""),"$119k - $190k")</f>
        <v>$119k - $190k</v>
      </c>
      <c r="F122" s="1" t="str">
        <f>IFERROR(__xludf.DUMMYFUNCTION("""COMPUTED_VALUE"""),"3 - 5")</f>
        <v>3 - 5</v>
      </c>
      <c r="G122" s="1" t="str">
        <f>IFERROR(__xludf.DUMMYFUNCTION("""COMPUTED_VALUE"""),"USA")</f>
        <v>USA</v>
      </c>
      <c r="H122" s="4" t="str">
        <f>IFERROR(__xludf.DUMMYFUNCTION("""COMPUTED_VALUE"""),"https://www.linkedin.com/posts/drew-mooney-data_data-analytics-hiring-activity-7239656986408067072-99g_?utm_source=share&amp;utm_medium=member_desktop")</f>
        <v>https://www.linkedin.com/posts/drew-mooney-data_data-analytics-hiring-activity-7239656986408067072-99g_?utm_source=share&amp;utm_medium=member_desktop</v>
      </c>
    </row>
    <row r="123">
      <c r="A123" s="2">
        <f>IFERROR(__xludf.DUMMYFUNCTION("""COMPUTED_VALUE"""),45546.0)</f>
        <v>45546</v>
      </c>
      <c r="B123" s="1" t="str">
        <f>IFERROR(__xludf.DUMMYFUNCTION("""COMPUTED_VALUE"""),"Bain &amp; Company")</f>
        <v>Bain &amp; Company</v>
      </c>
      <c r="C123" s="1" t="str">
        <f>IFERROR(__xludf.DUMMYFUNCTION("""COMPUTED_VALUE"""),"Financial Analyst, Global Partner Analyst")</f>
        <v>Financial Analyst, Global Partner Analyst</v>
      </c>
      <c r="D123" s="1" t="str">
        <f>IFERROR(__xludf.DUMMYFUNCTION("""COMPUTED_VALUE"""),"Hybrid")</f>
        <v>Hybrid</v>
      </c>
      <c r="E123" s="3" t="str">
        <f>IFERROR(__xludf.DUMMYFUNCTION("""COMPUTED_VALUE"""),"N/A")</f>
        <v>N/A</v>
      </c>
      <c r="F123" s="1" t="str">
        <f>IFERROR(__xludf.DUMMYFUNCTION("""COMPUTED_VALUE"""),"3 - 5")</f>
        <v>3 - 5</v>
      </c>
      <c r="G123" s="1" t="str">
        <f>IFERROR(__xludf.DUMMYFUNCTION("""COMPUTED_VALUE"""),"Certain Locations")</f>
        <v>Certain Locations</v>
      </c>
      <c r="H123" s="4" t="str">
        <f>IFERROR(__xludf.DUMMYFUNCTION("""COMPUTED_VALUE"""),"https://www.linkedin.com/posts/paigemahrenholz_we-are-looking-for-a-financial-analyst-to-activity-7239625324487942144-zTP3?utm_source=share&amp;utm_medium=member_desktop")</f>
        <v>https://www.linkedin.com/posts/paigemahrenholz_we-are-looking-for-a-financial-analyst-to-activity-7239625324487942144-zTP3?utm_source=share&amp;utm_medium=member_desktop</v>
      </c>
    </row>
    <row r="124">
      <c r="A124" s="2">
        <f>IFERROR(__xludf.DUMMYFUNCTION("""COMPUTED_VALUE"""),45546.0)</f>
        <v>45546</v>
      </c>
      <c r="B124" s="1" t="str">
        <f>IFERROR(__xludf.DUMMYFUNCTION("""COMPUTED_VALUE"""),"Global Atlantic Financial Group")</f>
        <v>Global Atlantic Financial Group</v>
      </c>
      <c r="C124" s="1" t="str">
        <f>IFERROR(__xludf.DUMMYFUNCTION("""COMPUTED_VALUE"""),"Analyst, Financial Reporting")</f>
        <v>Analyst, Financial Reporting</v>
      </c>
      <c r="D124" s="1" t="str">
        <f>IFERROR(__xludf.DUMMYFUNCTION("""COMPUTED_VALUE"""),"Hybrid")</f>
        <v>Hybrid</v>
      </c>
      <c r="E124" s="3" t="str">
        <f>IFERROR(__xludf.DUMMYFUNCTION("""COMPUTED_VALUE"""),"$46k - $89k")</f>
        <v>$46k - $89k</v>
      </c>
      <c r="F124" s="1" t="str">
        <f>IFERROR(__xludf.DUMMYFUNCTION("""COMPUTED_VALUE"""),"0 - 2")</f>
        <v>0 - 2</v>
      </c>
      <c r="G124" s="1" t="str">
        <f>IFERROR(__xludf.DUMMYFUNCTION("""COMPUTED_VALUE"""),"Certain Locations")</f>
        <v>Certain Locations</v>
      </c>
      <c r="H124" s="4" t="str">
        <f>IFERROR(__xludf.DUMMYFUNCTION("""COMPUTED_VALUE"""),"https://www.linkedin.com/posts/donaldeddy_analyst-financial-reporting-activity-7239626240565923840-9nP5?utm_source=share&amp;utm_medium=member_desktop")</f>
        <v>https://www.linkedin.com/posts/donaldeddy_analyst-financial-reporting-activity-7239626240565923840-9nP5?utm_source=share&amp;utm_medium=member_desktop</v>
      </c>
    </row>
    <row r="125">
      <c r="A125" s="2">
        <f>IFERROR(__xludf.DUMMYFUNCTION("""COMPUTED_VALUE"""),45546.0)</f>
        <v>45546</v>
      </c>
      <c r="B125" s="1" t="str">
        <f>IFERROR(__xludf.DUMMYFUNCTION("""COMPUTED_VALUE"""),"Akumin")</f>
        <v>Akumin</v>
      </c>
      <c r="C125" s="1" t="str">
        <f>IFERROR(__xludf.DUMMYFUNCTION("""COMPUTED_VALUE"""),"Business Intelligence Analyst")</f>
        <v>Business Intelligence Analyst</v>
      </c>
      <c r="D125" s="1" t="str">
        <f>IFERROR(__xludf.DUMMYFUNCTION("""COMPUTED_VALUE"""),"Remote")</f>
        <v>Remote</v>
      </c>
      <c r="E125" s="3" t="str">
        <f>IFERROR(__xludf.DUMMYFUNCTION("""COMPUTED_VALUE"""),"N/A")</f>
        <v>N/A</v>
      </c>
      <c r="F125" s="1" t="str">
        <f>IFERROR(__xludf.DUMMYFUNCTION("""COMPUTED_VALUE"""),"3 - 5")</f>
        <v>3 - 5</v>
      </c>
      <c r="G125" s="1" t="str">
        <f>IFERROR(__xludf.DUMMYFUNCTION("""COMPUTED_VALUE"""),"USA")</f>
        <v>USA</v>
      </c>
      <c r="H125" s="4" t="str">
        <f>IFERROR(__xludf.DUMMYFUNCTION("""COMPUTED_VALUE"""),"https://www.linkedin.com/posts/hadiamadni_im-hiring-for-a-business-analyst-role-and-activity-7239436522762944512-RfZH?utm_source=share&amp;utm_medium=member_desktop")</f>
        <v>https://www.linkedin.com/posts/hadiamadni_im-hiring-for-a-business-analyst-role-and-activity-7239436522762944512-RfZH?utm_source=share&amp;utm_medium=member_desktop</v>
      </c>
    </row>
    <row r="126">
      <c r="A126" s="2">
        <f>IFERROR(__xludf.DUMMYFUNCTION("""COMPUTED_VALUE"""),45546.0)</f>
        <v>45546</v>
      </c>
      <c r="B126" s="1" t="str">
        <f>IFERROR(__xludf.DUMMYFUNCTION("""COMPUTED_VALUE"""),"Target")</f>
        <v>Target</v>
      </c>
      <c r="C126" s="1" t="str">
        <f>IFERROR(__xludf.DUMMYFUNCTION("""COMPUTED_VALUE"""),"Sr Analyst Everyday Pricing Insights - Frequency &amp; Discretionary")</f>
        <v>Sr Analyst Everyday Pricing Insights - Frequency &amp; Discretionary</v>
      </c>
      <c r="D126" s="1" t="str">
        <f>IFERROR(__xludf.DUMMYFUNCTION("""COMPUTED_VALUE"""),"Hybrid")</f>
        <v>Hybrid</v>
      </c>
      <c r="E126" s="3" t="str">
        <f>IFERROR(__xludf.DUMMYFUNCTION("""COMPUTED_VALUE"""),"$69k - $124k")</f>
        <v>$69k - $124k</v>
      </c>
      <c r="F126" s="1" t="str">
        <f>IFERROR(__xludf.DUMMYFUNCTION("""COMPUTED_VALUE"""),"3 - 5")</f>
        <v>3 - 5</v>
      </c>
      <c r="G126" s="1" t="str">
        <f>IFERROR(__xludf.DUMMYFUNCTION("""COMPUTED_VALUE"""),"Minneapolis, MN")</f>
        <v>Minneapolis, MN</v>
      </c>
      <c r="H126" s="4" t="str">
        <f>IFERROR(__xludf.DUMMYFUNCTION("""COMPUTED_VALUE"""),"https://www.linkedin.com/posts/kristen-podbelski-a0a2392b_sr-analyst-everyday-pricing-insights-frequency-activity-7239330324990545921-i_YK?utm_source=share&amp;utm_medium=member_desktop")</f>
        <v>https://www.linkedin.com/posts/kristen-podbelski-a0a2392b_sr-analyst-everyday-pricing-insights-frequency-activity-7239330324990545921-i_YK?utm_source=share&amp;utm_medium=member_desktop</v>
      </c>
    </row>
    <row r="127">
      <c r="A127" s="2">
        <f>IFERROR(__xludf.DUMMYFUNCTION("""COMPUTED_VALUE"""),45546.0)</f>
        <v>45546</v>
      </c>
      <c r="B127" s="1" t="str">
        <f>IFERROR(__xludf.DUMMYFUNCTION("""COMPUTED_VALUE"""),"Lucid Motors")</f>
        <v>Lucid Motors</v>
      </c>
      <c r="C127" s="1" t="str">
        <f>IFERROR(__xludf.DUMMYFUNCTION("""COMPUTED_VALUE"""),"Senior Data Analyst, Battery Software")</f>
        <v>Senior Data Analyst, Battery Software</v>
      </c>
      <c r="D127" s="1" t="str">
        <f>IFERROR(__xludf.DUMMYFUNCTION("""COMPUTED_VALUE"""),"Hybrid")</f>
        <v>Hybrid</v>
      </c>
      <c r="E127" s="3" t="str">
        <f>IFERROR(__xludf.DUMMYFUNCTION("""COMPUTED_VALUE"""),"$130k - $178k")</f>
        <v>$130k - $178k</v>
      </c>
      <c r="F127" s="1" t="str">
        <f>IFERROR(__xludf.DUMMYFUNCTION("""COMPUTED_VALUE"""),"3 - 5")</f>
        <v>3 - 5</v>
      </c>
      <c r="G127" s="1" t="str">
        <f>IFERROR(__xludf.DUMMYFUNCTION("""COMPUTED_VALUE"""),"Newark, CA")</f>
        <v>Newark, CA</v>
      </c>
      <c r="H127" s="4" t="str">
        <f>IFERROR(__xludf.DUMMYFUNCTION("""COMPUTED_VALUE"""),"https://www.linkedin.com/posts/rohith-srr_senior-data-analyst-battery-software-activity-7239424963529596930-yE_r?utm_source=share&amp;utm_medium=member_desktop")</f>
        <v>https://www.linkedin.com/posts/rohith-srr_senior-data-analyst-battery-software-activity-7239424963529596930-yE_r?utm_source=share&amp;utm_medium=member_desktop</v>
      </c>
    </row>
    <row r="128">
      <c r="A128" s="2">
        <f>IFERROR(__xludf.DUMMYFUNCTION("""COMPUTED_VALUE"""),45546.0)</f>
        <v>45546</v>
      </c>
      <c r="B128" s="1" t="str">
        <f>IFERROR(__xludf.DUMMYFUNCTION("""COMPUTED_VALUE"""),"CDK")</f>
        <v>CDK</v>
      </c>
      <c r="C128" s="1" t="str">
        <f>IFERROR(__xludf.DUMMYFUNCTION("""COMPUTED_VALUE"""),"Sr Business Operations Analyst")</f>
        <v>Sr Business Operations Analyst</v>
      </c>
      <c r="D128" s="1" t="str">
        <f>IFERROR(__xludf.DUMMYFUNCTION("""COMPUTED_VALUE"""),"Remote")</f>
        <v>Remote</v>
      </c>
      <c r="E128" s="3" t="str">
        <f>IFERROR(__xludf.DUMMYFUNCTION("""COMPUTED_VALUE"""),"$75k - $90k")</f>
        <v>$75k - $90k</v>
      </c>
      <c r="F128" s="1" t="str">
        <f>IFERROR(__xludf.DUMMYFUNCTION("""COMPUTED_VALUE"""),"0 - 2")</f>
        <v>0 - 2</v>
      </c>
      <c r="G128" s="1" t="str">
        <f>IFERROR(__xludf.DUMMYFUNCTION("""COMPUTED_VALUE"""),"USA")</f>
        <v>USA</v>
      </c>
      <c r="H128" s="4" t="str">
        <f>IFERROR(__xludf.DUMMYFUNCTION("""COMPUTED_VALUE"""),"https://www.linkedin.com/posts/jessica-bouthillier-8611791_sr-business-operations-analyst-activity-7239352320839340032-4Yi2?utm_source=share&amp;utm_medium=member_desktop")</f>
        <v>https://www.linkedin.com/posts/jessica-bouthillier-8611791_sr-business-operations-analyst-activity-7239352320839340032-4Yi2?utm_source=share&amp;utm_medium=member_desktop</v>
      </c>
    </row>
    <row r="129">
      <c r="A129" s="2">
        <f>IFERROR(__xludf.DUMMYFUNCTION("""COMPUTED_VALUE"""),45546.0)</f>
        <v>45546</v>
      </c>
      <c r="B129" s="1" t="str">
        <f>IFERROR(__xludf.DUMMYFUNCTION("""COMPUTED_VALUE"""),"ONEOK")</f>
        <v>ONEOK</v>
      </c>
      <c r="C129" s="1" t="str">
        <f>IFERROR(__xludf.DUMMYFUNCTION("""COMPUTED_VALUE"""),"Human Capital Analyst - Senior")</f>
        <v>Human Capital Analyst - Senior</v>
      </c>
      <c r="D129" s="1" t="str">
        <f>IFERROR(__xludf.DUMMYFUNCTION("""COMPUTED_VALUE"""),"On-Site")</f>
        <v>On-Site</v>
      </c>
      <c r="E129" s="3" t="str">
        <f>IFERROR(__xludf.DUMMYFUNCTION("""COMPUTED_VALUE"""),"$87k - $131k")</f>
        <v>$87k - $131k</v>
      </c>
      <c r="F129" s="1" t="str">
        <f>IFERROR(__xludf.DUMMYFUNCTION("""COMPUTED_VALUE"""),"3 - 5")</f>
        <v>3 - 5</v>
      </c>
      <c r="G129" s="1" t="str">
        <f>IFERROR(__xludf.DUMMYFUNCTION("""COMPUTED_VALUE"""),"Tulsa, OK")</f>
        <v>Tulsa, OK</v>
      </c>
      <c r="H129" s="4" t="str">
        <f>IFERROR(__xludf.DUMMYFUNCTION("""COMPUTED_VALUE"""),"https://www.linkedin.com/posts/activity-7239641613436657667-LL7l?utm_source=share&amp;utm_medium=member_desktop")</f>
        <v>https://www.linkedin.com/posts/activity-7239641613436657667-LL7l?utm_source=share&amp;utm_medium=member_desktop</v>
      </c>
    </row>
    <row r="130">
      <c r="A130" s="2">
        <f>IFERROR(__xludf.DUMMYFUNCTION("""COMPUTED_VALUE"""),45546.0)</f>
        <v>45546</v>
      </c>
      <c r="B130" s="1" t="str">
        <f>IFERROR(__xludf.DUMMYFUNCTION("""COMPUTED_VALUE"""),"Roark Capital")</f>
        <v>Roark Capital</v>
      </c>
      <c r="C130" s="1" t="str">
        <f>IFERROR(__xludf.DUMMYFUNCTION("""COMPUTED_VALUE"""),"Data Analyst")</f>
        <v>Data Analyst</v>
      </c>
      <c r="D130" s="1" t="str">
        <f>IFERROR(__xludf.DUMMYFUNCTION("""COMPUTED_VALUE"""),"On-Site")</f>
        <v>On-Site</v>
      </c>
      <c r="E130" s="3" t="str">
        <f>IFERROR(__xludf.DUMMYFUNCTION("""COMPUTED_VALUE"""),"N/A")</f>
        <v>N/A</v>
      </c>
      <c r="F130" s="1" t="str">
        <f>IFERROR(__xludf.DUMMYFUNCTION("""COMPUTED_VALUE"""),"0 - 2")</f>
        <v>0 - 2</v>
      </c>
      <c r="G130" s="1" t="str">
        <f>IFERROR(__xludf.DUMMYFUNCTION("""COMPUTED_VALUE"""),"Atlanta, GA")</f>
        <v>Atlanta, GA</v>
      </c>
      <c r="H130" s="4" t="str">
        <f>IFERROR(__xludf.DUMMYFUNCTION("""COMPUTED_VALUE"""),"https://www.linkedin.com/posts/nicholas-keith-40a41921_we-continue-to-expand-our-data-analytics-activity-7239452697823760384-u-in?utm_source=share&amp;utm_medium=member_desktop")</f>
        <v>https://www.linkedin.com/posts/nicholas-keith-40a41921_we-continue-to-expand-our-data-analytics-activity-7239452697823760384-u-in?utm_source=share&amp;utm_medium=member_desktop</v>
      </c>
    </row>
    <row r="131">
      <c r="A131" s="2">
        <f>IFERROR(__xludf.DUMMYFUNCTION("""COMPUTED_VALUE"""),45546.0)</f>
        <v>45546</v>
      </c>
      <c r="B131" s="1" t="str">
        <f>IFERROR(__xludf.DUMMYFUNCTION("""COMPUTED_VALUE"""),"Chelsoft Solutions Co.")</f>
        <v>Chelsoft Solutions Co.</v>
      </c>
      <c r="C131" s="1" t="str">
        <f>IFERROR(__xludf.DUMMYFUNCTION("""COMPUTED_VALUE"""),"Data Scientist")</f>
        <v>Data Scientist</v>
      </c>
      <c r="D131" s="1" t="str">
        <f>IFERROR(__xludf.DUMMYFUNCTION("""COMPUTED_VALUE"""),"Hybrid")</f>
        <v>Hybrid</v>
      </c>
      <c r="E131" s="3" t="str">
        <f>IFERROR(__xludf.DUMMYFUNCTION("""COMPUTED_VALUE"""),"N/A")</f>
        <v>N/A</v>
      </c>
      <c r="F131" s="1" t="str">
        <f>IFERROR(__xludf.DUMMYFUNCTION("""COMPUTED_VALUE"""),"3 - 5")</f>
        <v>3 - 5</v>
      </c>
      <c r="G131" s="1" t="str">
        <f>IFERROR(__xludf.DUMMYFUNCTION("""COMPUTED_VALUE"""),"Peoria, IL")</f>
        <v>Peoria, IL</v>
      </c>
      <c r="H131" s="4" t="str">
        <f>IFERROR(__xludf.DUMMYFUNCTION("""COMPUTED_VALUE"""),"https://www.linkedin.com/posts/sri-bhuvana-99a775187_data-scientist-w2-only-hybrid-il-activity-7239640761661583361-joDS?utm_source=share&amp;utm_medium=member_desktop")</f>
        <v>https://www.linkedin.com/posts/sri-bhuvana-99a775187_data-scientist-w2-only-hybrid-il-activity-7239640761661583361-joDS?utm_source=share&amp;utm_medium=member_desktop</v>
      </c>
    </row>
    <row r="132">
      <c r="A132" s="2">
        <f>IFERROR(__xludf.DUMMYFUNCTION("""COMPUTED_VALUE"""),45546.0)</f>
        <v>45546</v>
      </c>
      <c r="B132" s="1" t="str">
        <f>IFERROR(__xludf.DUMMYFUNCTION("""COMPUTED_VALUE"""),"Heinen's Grocery Store")</f>
        <v>Heinen's Grocery Store</v>
      </c>
      <c r="C132" s="1" t="str">
        <f>IFERROR(__xludf.DUMMYFUNCTION("""COMPUTED_VALUE"""),"Data Visualization Specialist")</f>
        <v>Data Visualization Specialist</v>
      </c>
      <c r="D132" s="1" t="str">
        <f>IFERROR(__xludf.DUMMYFUNCTION("""COMPUTED_VALUE"""),"Hybrid")</f>
        <v>Hybrid</v>
      </c>
      <c r="E132" s="3" t="str">
        <f>IFERROR(__xludf.DUMMYFUNCTION("""COMPUTED_VALUE"""),"N/A")</f>
        <v>N/A</v>
      </c>
      <c r="F132" s="1" t="str">
        <f>IFERROR(__xludf.DUMMYFUNCTION("""COMPUTED_VALUE"""),"0 - 2")</f>
        <v>0 - 2</v>
      </c>
      <c r="G132" s="1" t="str">
        <f>IFERROR(__xludf.DUMMYFUNCTION("""COMPUTED_VALUE"""),"Cleveland, OH")</f>
        <v>Cleveland, OH</v>
      </c>
      <c r="H132" s="4" t="str">
        <f>IFERROR(__xludf.DUMMYFUNCTION("""COMPUTED_VALUE"""),"https://www.linkedin.com/posts/amii-lang-4218044_im-hiring-for-an-exciting-role-on-our-data-activity-7239639734925344769-TdGp?utm_source=share&amp;utm_medium=member_desktop")</f>
        <v>https://www.linkedin.com/posts/amii-lang-4218044_im-hiring-for-an-exciting-role-on-our-data-activity-7239639734925344769-TdGp?utm_source=share&amp;utm_medium=member_desktop</v>
      </c>
    </row>
    <row r="133">
      <c r="A133" s="2">
        <f>IFERROR(__xludf.DUMMYFUNCTION("""COMPUTED_VALUE"""),45546.0)</f>
        <v>45546</v>
      </c>
      <c r="B133" s="1" t="str">
        <f>IFERROR(__xludf.DUMMYFUNCTION("""COMPUTED_VALUE"""),"Cohere Health")</f>
        <v>Cohere Health</v>
      </c>
      <c r="C133" s="1" t="str">
        <f>IFERROR(__xludf.DUMMYFUNCTION("""COMPUTED_VALUE"""),"Trend Innovation Specialist")</f>
        <v>Trend Innovation Specialist</v>
      </c>
      <c r="D133" s="1" t="str">
        <f>IFERROR(__xludf.DUMMYFUNCTION("""COMPUTED_VALUE"""),"Remote")</f>
        <v>Remote</v>
      </c>
      <c r="E133" s="3" t="str">
        <f>IFERROR(__xludf.DUMMYFUNCTION("""COMPUTED_VALUE"""),"$80k - $100k")</f>
        <v>$80k - $100k</v>
      </c>
      <c r="F133" s="1" t="str">
        <f>IFERROR(__xludf.DUMMYFUNCTION("""COMPUTED_VALUE"""),"0 - 2")</f>
        <v>0 - 2</v>
      </c>
      <c r="G133" s="1" t="str">
        <f>IFERROR(__xludf.DUMMYFUNCTION("""COMPUTED_VALUE"""),"USA")</f>
        <v>USA</v>
      </c>
      <c r="H133" s="4" t="str">
        <f>IFERROR(__xludf.DUMMYFUNCTION("""COMPUTED_VALUE"""),"https://www.linkedin.com/posts/autumn-hollingshead-13b1a557_careers-activity-7239637176890593280-E9BA?utm_source=share&amp;utm_medium=member_desktop")</f>
        <v>https://www.linkedin.com/posts/autumn-hollingshead-13b1a557_careers-activity-7239637176890593280-E9BA?utm_source=share&amp;utm_medium=member_desktop</v>
      </c>
    </row>
    <row r="134">
      <c r="A134" s="2">
        <f>IFERROR(__xludf.DUMMYFUNCTION("""COMPUTED_VALUE"""),45546.0)</f>
        <v>45546</v>
      </c>
      <c r="B134" s="1" t="str">
        <f>IFERROR(__xludf.DUMMYFUNCTION("""COMPUTED_VALUE"""),"Credit One Bank")</f>
        <v>Credit One Bank</v>
      </c>
      <c r="C134" s="1" t="str">
        <f>IFERROR(__xludf.DUMMYFUNCTION("""COMPUTED_VALUE"""),"Operations Analytics Senior Manager")</f>
        <v>Operations Analytics Senior Manager</v>
      </c>
      <c r="D134" s="1" t="str">
        <f>IFERROR(__xludf.DUMMYFUNCTION("""COMPUTED_VALUE"""),"Hybrid")</f>
        <v>Hybrid</v>
      </c>
      <c r="E134" s="3" t="str">
        <f>IFERROR(__xludf.DUMMYFUNCTION("""COMPUTED_VALUE"""),"N/A")</f>
        <v>N/A</v>
      </c>
      <c r="F134" s="1" t="str">
        <f>IFERROR(__xludf.DUMMYFUNCTION("""COMPUTED_VALUE"""),"3 - 5")</f>
        <v>3 - 5</v>
      </c>
      <c r="G134" s="1" t="str">
        <f>IFERROR(__xludf.DUMMYFUNCTION("""COMPUTED_VALUE"""),"Las Vegas, NV")</f>
        <v>Las Vegas, NV</v>
      </c>
      <c r="H134" s="4" t="str">
        <f>IFERROR(__xludf.DUMMYFUNCTION("""COMPUTED_VALUE"""),"https://www.linkedin.com/posts/tpmiller07_hiring-activity-7239418438564114432-Xxj7?utm_source=share&amp;utm_medium=member_desktop")</f>
        <v>https://www.linkedin.com/posts/tpmiller07_hiring-activity-7239418438564114432-Xxj7?utm_source=share&amp;utm_medium=member_desktop</v>
      </c>
    </row>
    <row r="135">
      <c r="A135" s="2">
        <f>IFERROR(__xludf.DUMMYFUNCTION("""COMPUTED_VALUE"""),45546.0)</f>
        <v>45546</v>
      </c>
      <c r="B135" s="1" t="str">
        <f>IFERROR(__xludf.DUMMYFUNCTION("""COMPUTED_VALUE"""),"Bell Partners")</f>
        <v>Bell Partners</v>
      </c>
      <c r="C135" s="1" t="str">
        <f>IFERROR(__xludf.DUMMYFUNCTION("""COMPUTED_VALUE"""),"Power BI Developer")</f>
        <v>Power BI Developer</v>
      </c>
      <c r="D135" s="1" t="str">
        <f>IFERROR(__xludf.DUMMYFUNCTION("""COMPUTED_VALUE"""),"On-Site")</f>
        <v>On-Site</v>
      </c>
      <c r="E135" s="3" t="str">
        <f>IFERROR(__xludf.DUMMYFUNCTION("""COMPUTED_VALUE"""),"N/A")</f>
        <v>N/A</v>
      </c>
      <c r="F135" s="1" t="str">
        <f>IFERROR(__xludf.DUMMYFUNCTION("""COMPUTED_VALUE"""),"3 - 5")</f>
        <v>3 - 5</v>
      </c>
      <c r="G135" s="1" t="str">
        <f>IFERROR(__xludf.DUMMYFUNCTION("""COMPUTED_VALUE"""),"Raleigh, NC")</f>
        <v>Raleigh, NC</v>
      </c>
      <c r="H135" s="4" t="str">
        <f>IFERROR(__xludf.DUMMYFUNCTION("""COMPUTED_VALUE"""),"https://www.linkedin.com/posts/activity-7239371024247451648-ssn8?utm_source=share&amp;utm_medium=member_desktop")</f>
        <v>https://www.linkedin.com/posts/activity-7239371024247451648-ssn8?utm_source=share&amp;utm_medium=member_desktop</v>
      </c>
    </row>
    <row r="136">
      <c r="A136" s="2">
        <f>IFERROR(__xludf.DUMMYFUNCTION("""COMPUTED_VALUE"""),45545.0)</f>
        <v>45545</v>
      </c>
      <c r="B136" s="1" t="str">
        <f>IFERROR(__xludf.DUMMYFUNCTION("""COMPUTED_VALUE"""),"Thomas Reuters")</f>
        <v>Thomas Reuters</v>
      </c>
      <c r="C136" s="1" t="str">
        <f>IFERROR(__xludf.DUMMYFUNCTION("""COMPUTED_VALUE"""),"Product Marketing Analyst")</f>
        <v>Product Marketing Analyst</v>
      </c>
      <c r="D136" s="1" t="str">
        <f>IFERROR(__xludf.DUMMYFUNCTION("""COMPUTED_VALUE"""),"Hybrid")</f>
        <v>Hybrid</v>
      </c>
      <c r="E136" s="3" t="str">
        <f>IFERROR(__xludf.DUMMYFUNCTION("""COMPUTED_VALUE"""),"N/A")</f>
        <v>N/A</v>
      </c>
      <c r="F136" s="1" t="str">
        <f>IFERROR(__xludf.DUMMYFUNCTION("""COMPUTED_VALUE"""),"3 - 5")</f>
        <v>3 - 5</v>
      </c>
      <c r="G136" s="1" t="str">
        <f>IFERROR(__xludf.DUMMYFUNCTION("""COMPUTED_VALUE"""),"Certain Locations")</f>
        <v>Certain Locations</v>
      </c>
      <c r="H136" s="4" t="str">
        <f>IFERROR(__xludf.DUMMYFUNCTION("""COMPUTED_VALUE"""),"https://www.linkedin.com/posts/justinbrianhines_product-marketing-analyst-in-eagan-minnesota-activity-7239293859854176259-hW8k?utm_source=share&amp;utm_medium=member_desktop")</f>
        <v>https://www.linkedin.com/posts/justinbrianhines_product-marketing-analyst-in-eagan-minnesota-activity-7239293859854176259-hW8k?utm_source=share&amp;utm_medium=member_desktop</v>
      </c>
    </row>
    <row r="137">
      <c r="A137" s="2">
        <f>IFERROR(__xludf.DUMMYFUNCTION("""COMPUTED_VALUE"""),45545.0)</f>
        <v>45545</v>
      </c>
      <c r="B137" s="1" t="str">
        <f>IFERROR(__xludf.DUMMYFUNCTION("""COMPUTED_VALUE"""),"ClassDojo")</f>
        <v>ClassDojo</v>
      </c>
      <c r="C137" s="1" t="str">
        <f>IFERROR(__xludf.DUMMYFUNCTION("""COMPUTED_VALUE"""),"Staff Data Engineer")</f>
        <v>Staff Data Engineer</v>
      </c>
      <c r="D137" s="1" t="str">
        <f>IFERROR(__xludf.DUMMYFUNCTION("""COMPUTED_VALUE"""),"Remote")</f>
        <v>Remote</v>
      </c>
      <c r="E137" s="3" t="str">
        <f>IFERROR(__xludf.DUMMYFUNCTION("""COMPUTED_VALUE"""),"$146k - $244k")</f>
        <v>$146k - $244k</v>
      </c>
      <c r="F137" s="1" t="str">
        <f>IFERROR(__xludf.DUMMYFUNCTION("""COMPUTED_VALUE"""),"6 - 9")</f>
        <v>6 - 9</v>
      </c>
      <c r="G137" s="1" t="str">
        <f>IFERROR(__xludf.DUMMYFUNCTION("""COMPUTED_VALUE"""),"USA")</f>
        <v>USA</v>
      </c>
      <c r="H137" s="4" t="str">
        <f>IFERROR(__xludf.DUMMYFUNCTION("""COMPUTED_VALUE"""),"https://www.linkedin.com/posts/andrewdbs_staff-data-engineer-activity-7239322307402350592--F3L?utm_source=share&amp;utm_medium=member_desktop")</f>
        <v>https://www.linkedin.com/posts/andrewdbs_staff-data-engineer-activity-7239322307402350592--F3L?utm_source=share&amp;utm_medium=member_desktop</v>
      </c>
    </row>
    <row r="138">
      <c r="A138" s="2">
        <f>IFERROR(__xludf.DUMMYFUNCTION("""COMPUTED_VALUE"""),45545.0)</f>
        <v>45545</v>
      </c>
      <c r="B138" s="1" t="str">
        <f>IFERROR(__xludf.DUMMYFUNCTION("""COMPUTED_VALUE"""),"Microsoft")</f>
        <v>Microsoft</v>
      </c>
      <c r="C138" s="1" t="str">
        <f>IFERROR(__xludf.DUMMYFUNCTION("""COMPUTED_VALUE"""),"Business &amp; Data Analyst")</f>
        <v>Business &amp; Data Analyst</v>
      </c>
      <c r="D138" s="1" t="str">
        <f>IFERROR(__xludf.DUMMYFUNCTION("""COMPUTED_VALUE"""),"Hybrid")</f>
        <v>Hybrid</v>
      </c>
      <c r="E138" s="3" t="str">
        <f>IFERROR(__xludf.DUMMYFUNCTION("""COMPUTED_VALUE"""),"$83k - $168k")</f>
        <v>$83k - $168k</v>
      </c>
      <c r="F138" s="1" t="str">
        <f>IFERROR(__xludf.DUMMYFUNCTION("""COMPUTED_VALUE"""),"0 - 2")</f>
        <v>0 - 2</v>
      </c>
      <c r="G138" s="1" t="str">
        <f>IFERROR(__xludf.DUMMYFUNCTION("""COMPUTED_VALUE"""),"Certain Locations")</f>
        <v>Certain Locations</v>
      </c>
      <c r="H138" s="4" t="str">
        <f>IFERROR(__xludf.DUMMYFUNCTION("""COMPUTED_VALUE"""),"https://www.linkedin.com/posts/davidweinman_business-data-analyst-in-redmond-washington-activity-7239346805543518208-iYux?utm_source=share&amp;utm_medium=member_desktop")</f>
        <v>https://www.linkedin.com/posts/davidweinman_business-data-analyst-in-redmond-washington-activity-7239346805543518208-iYux?utm_source=share&amp;utm_medium=member_desktop</v>
      </c>
    </row>
    <row r="139">
      <c r="A139" s="2">
        <f>IFERROR(__xludf.DUMMYFUNCTION("""COMPUTED_VALUE"""),45545.0)</f>
        <v>45545</v>
      </c>
      <c r="B139" s="1" t="str">
        <f>IFERROR(__xludf.DUMMYFUNCTION("""COMPUTED_VALUE"""),"Capital One")</f>
        <v>Capital One</v>
      </c>
      <c r="C139" s="1" t="str">
        <f>IFERROR(__xludf.DUMMYFUNCTION("""COMPUTED_VALUE"""),"Principal Quantitative Analyst - Commercial Finance")</f>
        <v>Principal Quantitative Analyst - Commercial Finance</v>
      </c>
      <c r="D139" s="1" t="str">
        <f>IFERROR(__xludf.DUMMYFUNCTION("""COMPUTED_VALUE"""),"Hybrid")</f>
        <v>Hybrid</v>
      </c>
      <c r="E139" s="3" t="str">
        <f>IFERROR(__xludf.DUMMYFUNCTION("""COMPUTED_VALUE"""),"$165k - $188k")</f>
        <v>$165k - $188k</v>
      </c>
      <c r="F139" s="1" t="str">
        <f>IFERROR(__xludf.DUMMYFUNCTION("""COMPUTED_VALUE"""),"3 - 5")</f>
        <v>3 - 5</v>
      </c>
      <c r="G139" s="1" t="str">
        <f>IFERROR(__xludf.DUMMYFUNCTION("""COMPUTED_VALUE"""),"New York, NY")</f>
        <v>New York, NY</v>
      </c>
      <c r="H139" s="4" t="str">
        <f>IFERROR(__xludf.DUMMYFUNCTION("""COMPUTED_VALUE"""),"https://www.linkedin.com/posts/jacquelinerubino_principal-quantitative-analyst-commercial-activity-7239293827734261765-DjvO?utm_source=share&amp;utm_medium=member_desktop")</f>
        <v>https://www.linkedin.com/posts/jacquelinerubino_principal-quantitative-analyst-commercial-activity-7239293827734261765-DjvO?utm_source=share&amp;utm_medium=member_desktop</v>
      </c>
    </row>
    <row r="140">
      <c r="A140" s="2">
        <f>IFERROR(__xludf.DUMMYFUNCTION("""COMPUTED_VALUE"""),45545.0)</f>
        <v>45545</v>
      </c>
      <c r="B140" s="1" t="str">
        <f>IFERROR(__xludf.DUMMYFUNCTION("""COMPUTED_VALUE"""),"Colliers")</f>
        <v>Colliers</v>
      </c>
      <c r="C140" s="1" t="str">
        <f>IFERROR(__xludf.DUMMYFUNCTION("""COMPUTED_VALUE"""),"Financial Analyst")</f>
        <v>Financial Analyst</v>
      </c>
      <c r="D140" s="1" t="str">
        <f>IFERROR(__xludf.DUMMYFUNCTION("""COMPUTED_VALUE"""),"On-Site")</f>
        <v>On-Site</v>
      </c>
      <c r="E140" s="3" t="str">
        <f>IFERROR(__xludf.DUMMYFUNCTION("""COMPUTED_VALUE"""),"N/A")</f>
        <v>N/A</v>
      </c>
      <c r="F140" s="1" t="str">
        <f>IFERROR(__xludf.DUMMYFUNCTION("""COMPUTED_VALUE"""),"3 - 5")</f>
        <v>3 - 5</v>
      </c>
      <c r="G140" s="1" t="str">
        <f>IFERROR(__xludf.DUMMYFUNCTION("""COMPUTED_VALUE"""),"Orlando, FL")</f>
        <v>Orlando, FL</v>
      </c>
      <c r="H140" s="4" t="str">
        <f>IFERROR(__xludf.DUMMYFUNCTION("""COMPUTED_VALUE"""),"https://www.linkedin.com/posts/whitaker-leonhardt-0a07666_financial-analyst-activity-7239337671809015808-LJyy?utm_source=share&amp;utm_medium=member_desktop")</f>
        <v>https://www.linkedin.com/posts/whitaker-leonhardt-0a07666_financial-analyst-activity-7239337671809015808-LJyy?utm_source=share&amp;utm_medium=member_desktop</v>
      </c>
    </row>
    <row r="141">
      <c r="A141" s="2">
        <f>IFERROR(__xludf.DUMMYFUNCTION("""COMPUTED_VALUE"""),45545.0)</f>
        <v>45545</v>
      </c>
      <c r="B141" s="1" t="str">
        <f>IFERROR(__xludf.DUMMYFUNCTION("""COMPUTED_VALUE"""),"Staples")</f>
        <v>Staples</v>
      </c>
      <c r="C141" s="1" t="str">
        <f>IFERROR(__xludf.DUMMYFUNCTION("""COMPUTED_VALUE"""),"Senior Analyst Financial II (Hybrid)")</f>
        <v>Senior Analyst Financial II (Hybrid)</v>
      </c>
      <c r="D141" s="1" t="str">
        <f>IFERROR(__xludf.DUMMYFUNCTION("""COMPUTED_VALUE"""),"Hybrid")</f>
        <v>Hybrid</v>
      </c>
      <c r="E141" s="3" t="str">
        <f>IFERROR(__xludf.DUMMYFUNCTION("""COMPUTED_VALUE"""),"N/A")</f>
        <v>N/A</v>
      </c>
      <c r="F141" s="1" t="str">
        <f>IFERROR(__xludf.DUMMYFUNCTION("""COMPUTED_VALUE"""),"3 - 5")</f>
        <v>3 - 5</v>
      </c>
      <c r="G141" s="1" t="str">
        <f>IFERROR(__xludf.DUMMYFUNCTION("""COMPUTED_VALUE"""),"Framingham, MA")</f>
        <v>Framingham, MA</v>
      </c>
      <c r="H141" s="4" t="str">
        <f>IFERROR(__xludf.DUMMYFUNCTION("""COMPUTED_VALUE"""),"https://www.linkedin.com/posts/davidli2_senior-analyst-financial-ii-hybrid-activity-7239304335090675714-TnPi?utm_source=share&amp;utm_medium=member_desktop")</f>
        <v>https://www.linkedin.com/posts/davidli2_senior-analyst-financial-ii-hybrid-activity-7239304335090675714-TnPi?utm_source=share&amp;utm_medium=member_desktop</v>
      </c>
    </row>
    <row r="142">
      <c r="A142" s="2">
        <f>IFERROR(__xludf.DUMMYFUNCTION("""COMPUTED_VALUE"""),45545.0)</f>
        <v>45545</v>
      </c>
      <c r="B142" s="1" t="str">
        <f>IFERROR(__xludf.DUMMYFUNCTION("""COMPUTED_VALUE"""),"Thermo Fisher Scientific")</f>
        <v>Thermo Fisher Scientific</v>
      </c>
      <c r="C142" s="1" t="str">
        <f>IFERROR(__xludf.DUMMYFUNCTION("""COMPUTED_VALUE"""),"Sales Operations Analyst")</f>
        <v>Sales Operations Analyst</v>
      </c>
      <c r="D142" s="1" t="str">
        <f>IFERROR(__xludf.DUMMYFUNCTION("""COMPUTED_VALUE"""),"Remote")</f>
        <v>Remote</v>
      </c>
      <c r="E142" s="3" t="str">
        <f>IFERROR(__xludf.DUMMYFUNCTION("""COMPUTED_VALUE"""),"N/A")</f>
        <v>N/A</v>
      </c>
      <c r="F142" s="1" t="str">
        <f>IFERROR(__xludf.DUMMYFUNCTION("""COMPUTED_VALUE"""),"3 - 5")</f>
        <v>3 - 5</v>
      </c>
      <c r="G142" s="1" t="str">
        <f>IFERROR(__xludf.DUMMYFUNCTION("""COMPUTED_VALUE"""),"USA")</f>
        <v>USA</v>
      </c>
      <c r="H142" s="4" t="str">
        <f>IFERROR(__xludf.DUMMYFUNCTION("""COMPUTED_VALUE"""),"https://www.linkedin.com/posts/irina-summey_sales-operations-analyst-iii-in-remote-georgia-activity-7239347819994656770-XngL?utm_source=share&amp;utm_medium=member_desktop")</f>
        <v>https://www.linkedin.com/posts/irina-summey_sales-operations-analyst-iii-in-remote-georgia-activity-7239347819994656770-XngL?utm_source=share&amp;utm_medium=member_desktop</v>
      </c>
    </row>
    <row r="143">
      <c r="A143" s="2">
        <f>IFERROR(__xludf.DUMMYFUNCTION("""COMPUTED_VALUE"""),45545.0)</f>
        <v>45545</v>
      </c>
      <c r="B143" s="1" t="str">
        <f>IFERROR(__xludf.DUMMYFUNCTION("""COMPUTED_VALUE"""),"Angi")</f>
        <v>Angi</v>
      </c>
      <c r="C143" s="1" t="str">
        <f>IFERROR(__xludf.DUMMYFUNCTION("""COMPUTED_VALUE"""),"Senior Marketing Analyst")</f>
        <v>Senior Marketing Analyst</v>
      </c>
      <c r="D143" s="1" t="str">
        <f>IFERROR(__xludf.DUMMYFUNCTION("""COMPUTED_VALUE"""),"Remote")</f>
        <v>Remote</v>
      </c>
      <c r="E143" s="3" t="str">
        <f>IFERROR(__xludf.DUMMYFUNCTION("""COMPUTED_VALUE"""),"$85k - $150k")</f>
        <v>$85k - $150k</v>
      </c>
      <c r="F143" s="1" t="str">
        <f>IFERROR(__xludf.DUMMYFUNCTION("""COMPUTED_VALUE"""),"3 - 5")</f>
        <v>3 - 5</v>
      </c>
      <c r="G143" s="1" t="str">
        <f>IFERROR(__xludf.DUMMYFUNCTION("""COMPUTED_VALUE"""),"Certain Locations")</f>
        <v>Certain Locations</v>
      </c>
      <c r="H143" s="4" t="str">
        <f>IFERROR(__xludf.DUMMYFUNCTION("""COMPUTED_VALUE"""),"https://www.linkedin.com/posts/activity-7239360548138536960-d0Oy?utm_source=share&amp;utm_medium=member_desktop")</f>
        <v>https://www.linkedin.com/posts/activity-7239360548138536960-d0Oy?utm_source=share&amp;utm_medium=member_desktop</v>
      </c>
    </row>
    <row r="144">
      <c r="A144" s="2">
        <f>IFERROR(__xludf.DUMMYFUNCTION("""COMPUTED_VALUE"""),45545.0)</f>
        <v>45545</v>
      </c>
      <c r="B144" s="1" t="str">
        <f>IFERROR(__xludf.DUMMYFUNCTION("""COMPUTED_VALUE"""),"Disney")</f>
        <v>Disney</v>
      </c>
      <c r="C144" s="1" t="str">
        <f>IFERROR(__xludf.DUMMYFUNCTION("""COMPUTED_VALUE"""),"Senior Analyst-Revenue Management &amp; Analytics")</f>
        <v>Senior Analyst-Revenue Management &amp; Analytics</v>
      </c>
      <c r="D144" s="1" t="str">
        <f>IFERROR(__xludf.DUMMYFUNCTION("""COMPUTED_VALUE"""),"Hybrid")</f>
        <v>Hybrid</v>
      </c>
      <c r="E144" s="3" t="str">
        <f>IFERROR(__xludf.DUMMYFUNCTION("""COMPUTED_VALUE"""),"$102k - $124k")</f>
        <v>$102k - $124k</v>
      </c>
      <c r="F144" s="1" t="str">
        <f>IFERROR(__xludf.DUMMYFUNCTION("""COMPUTED_VALUE"""),"0 - 2")</f>
        <v>0 - 2</v>
      </c>
      <c r="G144" s="1" t="str">
        <f>IFERROR(__xludf.DUMMYFUNCTION("""COMPUTED_VALUE"""),"Anaheim, CA")</f>
        <v>Anaheim, CA</v>
      </c>
      <c r="H144" s="4" t="str">
        <f>IFERROR(__xludf.DUMMYFUNCTION("""COMPUTED_VALUE"""),"https://www.linkedin.com/posts/lauwyna-newsome-1467162_senior-analyst-revenue-management-analytics-activity-7239326034666434560-EzFn?utm_source=share&amp;utm_medium=member_desktop")</f>
        <v>https://www.linkedin.com/posts/lauwyna-newsome-1467162_senior-analyst-revenue-management-analytics-activity-7239326034666434560-EzFn?utm_source=share&amp;utm_medium=member_desktop</v>
      </c>
    </row>
    <row r="145">
      <c r="A145" s="2">
        <f>IFERROR(__xludf.DUMMYFUNCTION("""COMPUTED_VALUE"""),45545.0)</f>
        <v>45545</v>
      </c>
      <c r="B145" s="1" t="str">
        <f>IFERROR(__xludf.DUMMYFUNCTION("""COMPUTED_VALUE"""),"LetsGetChecked")</f>
        <v>LetsGetChecked</v>
      </c>
      <c r="C145" s="1" t="str">
        <f>IFERROR(__xludf.DUMMYFUNCTION("""COMPUTED_VALUE"""),"GTM Operations Analyst")</f>
        <v>GTM Operations Analyst</v>
      </c>
      <c r="D145" s="1" t="str">
        <f>IFERROR(__xludf.DUMMYFUNCTION("""COMPUTED_VALUE"""),"Remote")</f>
        <v>Remote</v>
      </c>
      <c r="E145" s="3" t="str">
        <f>IFERROR(__xludf.DUMMYFUNCTION("""COMPUTED_VALUE"""),"$90k - $95k ")</f>
        <v>$90k - $95k </v>
      </c>
      <c r="F145" s="1" t="str">
        <f>IFERROR(__xludf.DUMMYFUNCTION("""COMPUTED_VALUE"""),"0 - 2")</f>
        <v>0 - 2</v>
      </c>
      <c r="G145" s="1" t="str">
        <f>IFERROR(__xludf.DUMMYFUNCTION("""COMPUTED_VALUE"""),"USA")</f>
        <v>USA</v>
      </c>
      <c r="H145" s="4" t="str">
        <f>IFERROR(__xludf.DUMMYFUNCTION("""COMPUTED_VALUE"""),"https://www.linkedin.com/posts/jen-kane-mba-7085231_hiring-activity-7239351998968475648-0YQP?utm_source=share&amp;utm_medium=member_desktop")</f>
        <v>https://www.linkedin.com/posts/jen-kane-mba-7085231_hiring-activity-7239351998968475648-0YQP?utm_source=share&amp;utm_medium=member_desktop</v>
      </c>
    </row>
    <row r="146">
      <c r="A146" s="2">
        <f>IFERROR(__xludf.DUMMYFUNCTION("""COMPUTED_VALUE"""),45545.0)</f>
        <v>45545</v>
      </c>
      <c r="B146" s="1" t="str">
        <f>IFERROR(__xludf.DUMMYFUNCTION("""COMPUTED_VALUE"""),"Bamboo Health")</f>
        <v>Bamboo Health</v>
      </c>
      <c r="C146" s="1" t="str">
        <f>IFERROR(__xludf.DUMMYFUNCTION("""COMPUTED_VALUE"""),"Analytics Engineer")</f>
        <v>Analytics Engineer</v>
      </c>
      <c r="D146" s="1" t="str">
        <f>IFERROR(__xludf.DUMMYFUNCTION("""COMPUTED_VALUE"""),"Remote")</f>
        <v>Remote</v>
      </c>
      <c r="E146" s="3" t="str">
        <f>IFERROR(__xludf.DUMMYFUNCTION("""COMPUTED_VALUE"""),"N/A")</f>
        <v>N/A</v>
      </c>
      <c r="F146" s="1" t="str">
        <f>IFERROR(__xludf.DUMMYFUNCTION("""COMPUTED_VALUE"""),"0 - 2")</f>
        <v>0 - 2</v>
      </c>
      <c r="G146" s="1" t="str">
        <f>IFERROR(__xludf.DUMMYFUNCTION("""COMPUTED_VALUE"""),"USA")</f>
        <v>USA</v>
      </c>
      <c r="H146" s="4" t="str">
        <f>IFERROR(__xludf.DUMMYFUNCTION("""COMPUTED_VALUE"""),"https://www.linkedin.com/posts/alyssa-crane-767367185_behavioralhealth-analytics-healthcare-activity-7239352003192143872-d_e3?utm_source=share&amp;utm_medium=member_desktop")</f>
        <v>https://www.linkedin.com/posts/alyssa-crane-767367185_behavioralhealth-analytics-healthcare-activity-7239352003192143872-d_e3?utm_source=share&amp;utm_medium=member_desktop</v>
      </c>
    </row>
    <row r="147">
      <c r="A147" s="2">
        <f>IFERROR(__xludf.DUMMYFUNCTION("""COMPUTED_VALUE"""),45545.0)</f>
        <v>45545</v>
      </c>
      <c r="B147" s="1" t="str">
        <f>IFERROR(__xludf.DUMMYFUNCTION("""COMPUTED_VALUE"""),"ShipBob")</f>
        <v>ShipBob</v>
      </c>
      <c r="C147" s="1" t="str">
        <f>IFERROR(__xludf.DUMMYFUNCTION("""COMPUTED_VALUE"""),"Data Scientist III")</f>
        <v>Data Scientist III</v>
      </c>
      <c r="D147" s="1" t="str">
        <f>IFERROR(__xludf.DUMMYFUNCTION("""COMPUTED_VALUE"""),"Remote")</f>
        <v>Remote</v>
      </c>
      <c r="E147" s="3" t="str">
        <f>IFERROR(__xludf.DUMMYFUNCTION("""COMPUTED_VALUE"""),"$127k - $212k")</f>
        <v>$127k - $212k</v>
      </c>
      <c r="F147" s="1" t="str">
        <f>IFERROR(__xludf.DUMMYFUNCTION("""COMPUTED_VALUE"""),"3 - 5")</f>
        <v>3 - 5</v>
      </c>
      <c r="G147" s="1" t="str">
        <f>IFERROR(__xludf.DUMMYFUNCTION("""COMPUTED_VALUE"""),"Certain Locations")</f>
        <v>Certain Locations</v>
      </c>
      <c r="H147" s="4" t="str">
        <f>IFERROR(__xludf.DUMMYFUNCTION("""COMPUTED_VALUE"""),"https://www.linkedin.com/posts/candice-weijing-zhang-5187727b_data-scientist-iii-activity-7239085911651602432-oBK5?utm_source=share&amp;utm_medium=member_desktop")</f>
        <v>https://www.linkedin.com/posts/candice-weijing-zhang-5187727b_data-scientist-iii-activity-7239085911651602432-oBK5?utm_source=share&amp;utm_medium=member_desktop</v>
      </c>
    </row>
    <row r="148">
      <c r="A148" s="2">
        <f>IFERROR(__xludf.DUMMYFUNCTION("""COMPUTED_VALUE"""),45545.0)</f>
        <v>45545</v>
      </c>
      <c r="B148" s="1" t="str">
        <f>IFERROR(__xludf.DUMMYFUNCTION("""COMPUTED_VALUE"""),"Zora")</f>
        <v>Zora</v>
      </c>
      <c r="C148" s="1" t="str">
        <f>IFERROR(__xludf.DUMMYFUNCTION("""COMPUTED_VALUE"""),"Senior Data Scientist (Growth)")</f>
        <v>Senior Data Scientist (Growth)</v>
      </c>
      <c r="D148" s="1" t="str">
        <f>IFERROR(__xludf.DUMMYFUNCTION("""COMPUTED_VALUE"""),"Remote")</f>
        <v>Remote</v>
      </c>
      <c r="E148" s="3" t="str">
        <f>IFERROR(__xludf.DUMMYFUNCTION("""COMPUTED_VALUE"""),"N/A")</f>
        <v>N/A</v>
      </c>
      <c r="F148" s="1" t="str">
        <f>IFERROR(__xludf.DUMMYFUNCTION("""COMPUTED_VALUE"""),"3 - 5")</f>
        <v>3 - 5</v>
      </c>
      <c r="G148" s="1" t="str">
        <f>IFERROR(__xludf.DUMMYFUNCTION("""COMPUTED_VALUE"""),"USA")</f>
        <v>USA</v>
      </c>
      <c r="H148" s="4" t="str">
        <f>IFERROR(__xludf.DUMMYFUNCTION("""COMPUTED_VALUE"""),"https://www.linkedin.com/posts/kevinotte_staff-data-scientist-activity-7237132090566164481-pxqq?utm_source=share&amp;utm_medium=member_desktop")</f>
        <v>https://www.linkedin.com/posts/kevinotte_staff-data-scientist-activity-7237132090566164481-pxqq?utm_source=share&amp;utm_medium=member_desktop</v>
      </c>
    </row>
    <row r="149">
      <c r="A149" s="2">
        <f>IFERROR(__xludf.DUMMYFUNCTION("""COMPUTED_VALUE"""),45545.0)</f>
        <v>45545</v>
      </c>
      <c r="B149" s="1" t="str">
        <f>IFERROR(__xludf.DUMMYFUNCTION("""COMPUTED_VALUE"""),"Codex")</f>
        <v>Codex</v>
      </c>
      <c r="C149" s="1" t="str">
        <f>IFERROR(__xludf.DUMMYFUNCTION("""COMPUTED_VALUE"""),"Senior Financial Analyst")</f>
        <v>Senior Financial Analyst</v>
      </c>
      <c r="D149" s="1" t="str">
        <f>IFERROR(__xludf.DUMMYFUNCTION("""COMPUTED_VALUE"""),"Hybrid")</f>
        <v>Hybrid</v>
      </c>
      <c r="E149" s="3" t="str">
        <f>IFERROR(__xludf.DUMMYFUNCTION("""COMPUTED_VALUE"""),"$100k - $125k")</f>
        <v>$100k - $125k</v>
      </c>
      <c r="F149" s="1" t="str">
        <f>IFERROR(__xludf.DUMMYFUNCTION("""COMPUTED_VALUE"""),"3 - 5")</f>
        <v>3 - 5</v>
      </c>
      <c r="G149" s="1" t="str">
        <f>IFERROR(__xludf.DUMMYFUNCTION("""COMPUTED_VALUE"""),"New York, NY")</f>
        <v>New York, NY</v>
      </c>
      <c r="H149" s="4" t="str">
        <f>IFERROR(__xludf.DUMMYFUNCTION("""COMPUTED_VALUE"""),"https://www.linkedin.com/posts/sofia-lazcano_hiring-adaptiveplanning-workdayadaptive-activity-7239350081148104705-E5qA?utm_source=share&amp;utm_medium=member_desktop")</f>
        <v>https://www.linkedin.com/posts/sofia-lazcano_hiring-adaptiveplanning-workdayadaptive-activity-7239350081148104705-E5qA?utm_source=share&amp;utm_medium=member_desktop</v>
      </c>
    </row>
    <row r="150">
      <c r="A150" s="2">
        <f>IFERROR(__xludf.DUMMYFUNCTION("""COMPUTED_VALUE"""),45545.0)</f>
        <v>45545</v>
      </c>
      <c r="B150" s="1" t="str">
        <f>IFERROR(__xludf.DUMMYFUNCTION("""COMPUTED_VALUE"""),"Straive")</f>
        <v>Straive</v>
      </c>
      <c r="C150" s="1" t="str">
        <f>IFERROR(__xludf.DUMMYFUNCTION("""COMPUTED_VALUE"""),"BI Developer (Analytics)")</f>
        <v>BI Developer (Analytics)</v>
      </c>
      <c r="D150" s="1" t="str">
        <f>IFERROR(__xludf.DUMMYFUNCTION("""COMPUTED_VALUE"""),"Remote")</f>
        <v>Remote</v>
      </c>
      <c r="E150" s="3" t="str">
        <f>IFERROR(__xludf.DUMMYFUNCTION("""COMPUTED_VALUE"""),"N/A")</f>
        <v>N/A</v>
      </c>
      <c r="F150" s="1" t="str">
        <f>IFERROR(__xludf.DUMMYFUNCTION("""COMPUTED_VALUE"""),"3 - 5")</f>
        <v>3 - 5</v>
      </c>
      <c r="G150" s="1" t="str">
        <f>IFERROR(__xludf.DUMMYFUNCTION("""COMPUTED_VALUE"""),"New York, NY")</f>
        <v>New York, NY</v>
      </c>
      <c r="H150" s="4" t="str">
        <f>IFERROR(__xludf.DUMMYFUNCTION("""COMPUTED_VALUE"""),"https://www.linkedin.com/posts/swarnadipmandal_hiring-fulltimeroles-usajobs-activity-7238894821254258688-7zo6?utm_source=share&amp;utm_medium=member_desktop")</f>
        <v>https://www.linkedin.com/posts/swarnadipmandal_hiring-fulltimeroles-usajobs-activity-7238894821254258688-7zo6?utm_source=share&amp;utm_medium=member_desktop</v>
      </c>
    </row>
    <row r="151">
      <c r="A151" s="2">
        <f>IFERROR(__xludf.DUMMYFUNCTION("""COMPUTED_VALUE"""),45545.0)</f>
        <v>45545</v>
      </c>
      <c r="B151" s="1" t="str">
        <f>IFERROR(__xludf.DUMMYFUNCTION("""COMPUTED_VALUE"""),"SimpleTire")</f>
        <v>SimpleTire</v>
      </c>
      <c r="C151" s="1" t="str">
        <f>IFERROR(__xludf.DUMMYFUNCTION("""COMPUTED_VALUE"""),"Pricing and Profitability Senior Analyst")</f>
        <v>Pricing and Profitability Senior Analyst</v>
      </c>
      <c r="D151" s="1" t="str">
        <f>IFERROR(__xludf.DUMMYFUNCTION("""COMPUTED_VALUE"""),"Remote")</f>
        <v>Remote</v>
      </c>
      <c r="E151" s="3" t="str">
        <f>IFERROR(__xludf.DUMMYFUNCTION("""COMPUTED_VALUE"""),"$90k - $100k")</f>
        <v>$90k - $100k</v>
      </c>
      <c r="F151" s="1" t="str">
        <f>IFERROR(__xludf.DUMMYFUNCTION("""COMPUTED_VALUE"""),"3 - 5")</f>
        <v>3 - 5</v>
      </c>
      <c r="G151" s="1" t="str">
        <f>IFERROR(__xludf.DUMMYFUNCTION("""COMPUTED_VALUE"""),"USA")</f>
        <v>USA</v>
      </c>
      <c r="H151" s="4" t="str">
        <f>IFERROR(__xludf.DUMMYFUNCTION("""COMPUTED_VALUE"""),"https://www.linkedin.com/posts/ivanncabral_excited-to-expand-my-team-hiring-a-pricing-activity-7239104735394328576-nbOH?utm_source=share&amp;utm_medium=member_desktop")</f>
        <v>https://www.linkedin.com/posts/ivanncabral_excited-to-expand-my-team-hiring-a-pricing-activity-7239104735394328576-nbOH?utm_source=share&amp;utm_medium=member_desktop</v>
      </c>
    </row>
    <row r="152">
      <c r="A152" s="2">
        <f>IFERROR(__xludf.DUMMYFUNCTION("""COMPUTED_VALUE"""),45545.0)</f>
        <v>45545</v>
      </c>
      <c r="B152" s="1" t="str">
        <f>IFERROR(__xludf.DUMMYFUNCTION("""COMPUTED_VALUE"""),"ARInsights")</f>
        <v>ARInsights</v>
      </c>
      <c r="C152" s="1" t="str">
        <f>IFERROR(__xludf.DUMMYFUNCTION("""COMPUTED_VALUE"""),"Senior Data Scientist")</f>
        <v>Senior Data Scientist</v>
      </c>
      <c r="D152" s="1" t="str">
        <f>IFERROR(__xludf.DUMMYFUNCTION("""COMPUTED_VALUE"""),"Remote")</f>
        <v>Remote</v>
      </c>
      <c r="E152" s="3" t="str">
        <f>IFERROR(__xludf.DUMMYFUNCTION("""COMPUTED_VALUE"""),"$150k - $190k")</f>
        <v>$150k - $190k</v>
      </c>
      <c r="F152" s="1" t="str">
        <f>IFERROR(__xludf.DUMMYFUNCTION("""COMPUTED_VALUE"""),"6 - 9")</f>
        <v>6 - 9</v>
      </c>
      <c r="G152" s="1" t="str">
        <f>IFERROR(__xludf.DUMMYFUNCTION("""COMPUTED_VALUE"""),"USA")</f>
        <v>USA</v>
      </c>
      <c r="H152" s="4" t="str">
        <f>IFERROR(__xludf.DUMMYFUNCTION("""COMPUTED_VALUE"""),"https://www.linkedin.com/posts/hkogan_join-the-arinsights-team-activity-7239011510344167424-a0gi?utm_source=share&amp;utm_medium=member_desktop")</f>
        <v>https://www.linkedin.com/posts/hkogan_join-the-arinsights-team-activity-7239011510344167424-a0gi?utm_source=share&amp;utm_medium=member_desktop</v>
      </c>
    </row>
    <row r="153">
      <c r="A153" s="2">
        <f>IFERROR(__xludf.DUMMYFUNCTION("""COMPUTED_VALUE"""),45545.0)</f>
        <v>45545</v>
      </c>
      <c r="B153" s="1" t="str">
        <f>IFERROR(__xludf.DUMMYFUNCTION("""COMPUTED_VALUE"""),"LendingTree")</f>
        <v>LendingTree</v>
      </c>
      <c r="C153" s="1" t="str">
        <f>IFERROR(__xludf.DUMMYFUNCTION("""COMPUTED_VALUE"""),"Data Scientist")</f>
        <v>Data Scientist</v>
      </c>
      <c r="D153" s="1" t="str">
        <f>IFERROR(__xludf.DUMMYFUNCTION("""COMPUTED_VALUE"""),"Hybrid")</f>
        <v>Hybrid</v>
      </c>
      <c r="E153" s="3" t="str">
        <f>IFERROR(__xludf.DUMMYFUNCTION("""COMPUTED_VALUE"""),"$100k - $140k")</f>
        <v>$100k - $140k</v>
      </c>
      <c r="F153" s="1" t="str">
        <f>IFERROR(__xludf.DUMMYFUNCTION("""COMPUTED_VALUE"""),"0 - 2")</f>
        <v>0 - 2</v>
      </c>
      <c r="G153" s="1" t="str">
        <f>IFERROR(__xludf.DUMMYFUNCTION("""COMPUTED_VALUE"""),"Charlotte, NC")</f>
        <v>Charlotte, NC</v>
      </c>
      <c r="H153" s="4" t="str">
        <f>IFERROR(__xludf.DUMMYFUNCTION("""COMPUTED_VALUE"""),"https://www.linkedin.com/posts/thomas-josephsohn-ph-d-5180b566_data-scientist-activity-7239280599457296384-tciE?utm_source=share&amp;utm_medium=member_desktop")</f>
        <v>https://www.linkedin.com/posts/thomas-josephsohn-ph-d-5180b566_data-scientist-activity-7239280599457296384-tciE?utm_source=share&amp;utm_medium=member_desktop</v>
      </c>
    </row>
    <row r="154">
      <c r="A154" s="2">
        <f>IFERROR(__xludf.DUMMYFUNCTION("""COMPUTED_VALUE"""),45545.0)</f>
        <v>45545</v>
      </c>
      <c r="B154" s="1" t="str">
        <f>IFERROR(__xludf.DUMMYFUNCTION("""COMPUTED_VALUE"""),"Morgan Stanley")</f>
        <v>Morgan Stanley</v>
      </c>
      <c r="C154" s="1" t="str">
        <f>IFERROR(__xludf.DUMMYFUNCTION("""COMPUTED_VALUE"""),"Data Strategy AVP")</f>
        <v>Data Strategy AVP</v>
      </c>
      <c r="D154" s="1" t="str">
        <f>IFERROR(__xludf.DUMMYFUNCTION("""COMPUTED_VALUE"""),"On-Site")</f>
        <v>On-Site</v>
      </c>
      <c r="E154" s="3" t="str">
        <f>IFERROR(__xludf.DUMMYFUNCTION("""COMPUTED_VALUE"""),"$100k - $135k")</f>
        <v>$100k - $135k</v>
      </c>
      <c r="F154" s="1" t="str">
        <f>IFERROR(__xludf.DUMMYFUNCTION("""COMPUTED_VALUE"""),"6 - 9")</f>
        <v>6 - 9</v>
      </c>
      <c r="G154" s="1" t="str">
        <f>IFERROR(__xludf.DUMMYFUNCTION("""COMPUTED_VALUE"""),"Jersey City, NJ")</f>
        <v>Jersey City, NJ</v>
      </c>
      <c r="H154" s="4" t="str">
        <f>IFERROR(__xludf.DUMMYFUNCTION("""COMPUTED_VALUE"""),"https://www.linkedin.com/posts/hrakesh_data-strategy-avp-jersey-city-new-jersey-activity-7239333299712593920-FqE9?utm_source=share&amp;utm_medium=member_desktop")</f>
        <v>https://www.linkedin.com/posts/hrakesh_data-strategy-avp-jersey-city-new-jersey-activity-7239333299712593920-FqE9?utm_source=share&amp;utm_medium=member_desktop</v>
      </c>
    </row>
    <row r="155">
      <c r="A155" s="2">
        <f>IFERROR(__xludf.DUMMYFUNCTION("""COMPUTED_VALUE"""),45545.0)</f>
        <v>45545</v>
      </c>
      <c r="B155" s="1" t="str">
        <f>IFERROR(__xludf.DUMMYFUNCTION("""COMPUTED_VALUE"""),"Genmab")</f>
        <v>Genmab</v>
      </c>
      <c r="C155" s="1" t="str">
        <f>IFERROR(__xludf.DUMMYFUNCTION("""COMPUTED_VALUE"""),"Senior Scientist, Commercial Data Science")</f>
        <v>Senior Scientist, Commercial Data Science</v>
      </c>
      <c r="D155" s="1" t="str">
        <f>IFERROR(__xludf.DUMMYFUNCTION("""COMPUTED_VALUE"""),"Hybrid")</f>
        <v>Hybrid</v>
      </c>
      <c r="E155" s="3" t="str">
        <f>IFERROR(__xludf.DUMMYFUNCTION("""COMPUTED_VALUE"""),"$114k - $191k")</f>
        <v>$114k - $191k</v>
      </c>
      <c r="F155" s="1" t="str">
        <f>IFERROR(__xludf.DUMMYFUNCTION("""COMPUTED_VALUE"""),"6 - 9")</f>
        <v>6 - 9</v>
      </c>
      <c r="G155" s="1" t="str">
        <f>IFERROR(__xludf.DUMMYFUNCTION("""COMPUTED_VALUE"""),"Princeton, NJ")</f>
        <v>Princeton, NJ</v>
      </c>
      <c r="H155" s="4" t="str">
        <f>IFERROR(__xludf.DUMMYFUNCTION("""COMPUTED_VALUE"""),"https://www.linkedin.com/posts/chanbulgin_are-you-a-passionate-hands-on-data-scientist-activity-7239253970936897536-WEUI?utm_source=share&amp;utm_medium=member_desktop")</f>
        <v>https://www.linkedin.com/posts/chanbulgin_are-you-a-passionate-hands-on-data-scientist-activity-7239253970936897536-WEUI?utm_source=share&amp;utm_medium=member_desktop</v>
      </c>
    </row>
    <row r="156">
      <c r="A156" s="2">
        <f>IFERROR(__xludf.DUMMYFUNCTION("""COMPUTED_VALUE"""),45545.0)</f>
        <v>45545</v>
      </c>
      <c r="B156" s="1" t="str">
        <f>IFERROR(__xludf.DUMMYFUNCTION("""COMPUTED_VALUE"""),"Cox")</f>
        <v>Cox</v>
      </c>
      <c r="C156" s="1" t="str">
        <f>IFERROR(__xludf.DUMMYFUNCTION("""COMPUTED_VALUE"""),"Data Analyst II Cox Communities")</f>
        <v>Data Analyst II Cox Communities</v>
      </c>
      <c r="D156" s="1" t="str">
        <f>IFERROR(__xludf.DUMMYFUNCTION("""COMPUTED_VALUE"""),"Hybrid")</f>
        <v>Hybrid</v>
      </c>
      <c r="E156" s="3" t="str">
        <f>IFERROR(__xludf.DUMMYFUNCTION("""COMPUTED_VALUE"""),"$64k - $96k")</f>
        <v>$64k - $96k</v>
      </c>
      <c r="F156" s="1" t="str">
        <f>IFERROR(__xludf.DUMMYFUNCTION("""COMPUTED_VALUE"""),"0 - 2")</f>
        <v>0 - 2</v>
      </c>
      <c r="G156" s="1" t="str">
        <f>IFERROR(__xludf.DUMMYFUNCTION("""COMPUTED_VALUE"""),"Certain Locations")</f>
        <v>Certain Locations</v>
      </c>
      <c r="H156" s="4" t="str">
        <f>IFERROR(__xludf.DUMMYFUNCTION("""COMPUTED_VALUE"""),"https://www.linkedin.com/posts/randall-rice-432aa2109_data-analyst-ii-cox-communities-activity-7239086724935561217-dqkZ?utm_source=share&amp;utm_medium=member_desktop")</f>
        <v>https://www.linkedin.com/posts/randall-rice-432aa2109_data-analyst-ii-cox-communities-activity-7239086724935561217-dqkZ?utm_source=share&amp;utm_medium=member_desktop</v>
      </c>
    </row>
    <row r="157">
      <c r="A157" s="2">
        <f>IFERROR(__xludf.DUMMYFUNCTION("""COMPUTED_VALUE"""),45545.0)</f>
        <v>45545</v>
      </c>
      <c r="B157" s="1" t="str">
        <f>IFERROR(__xludf.DUMMYFUNCTION("""COMPUTED_VALUE"""),"Ducommun")</f>
        <v>Ducommun</v>
      </c>
      <c r="C157" s="1" t="str">
        <f>IFERROR(__xludf.DUMMYFUNCTION("""COMPUTED_VALUE"""),"Financial Analyst")</f>
        <v>Financial Analyst</v>
      </c>
      <c r="D157" s="1" t="str">
        <f>IFERROR(__xludf.DUMMYFUNCTION("""COMPUTED_VALUE"""),"Hybrid")</f>
        <v>Hybrid</v>
      </c>
      <c r="E157" s="3" t="str">
        <f>IFERROR(__xludf.DUMMYFUNCTION("""COMPUTED_VALUE"""),"$70k - $85k")</f>
        <v>$70k - $85k</v>
      </c>
      <c r="F157" s="1" t="str">
        <f>IFERROR(__xludf.DUMMYFUNCTION("""COMPUTED_VALUE"""),"0 - 2")</f>
        <v>0 - 2</v>
      </c>
      <c r="G157" s="1" t="str">
        <f>IFERROR(__xludf.DUMMYFUNCTION("""COMPUTED_VALUE"""),"Costa Mesa, CA")</f>
        <v>Costa Mesa, CA</v>
      </c>
      <c r="H157" s="4" t="str">
        <f>IFERROR(__xludf.DUMMYFUNCTION("""COMPUTED_VALUE"""),"https://www.linkedin.com/posts/christian-prezgay-54aa33_financial-analyst-activity-7239329054716313601-Gt3-?utm_source=share&amp;utm_medium=member_desktop")</f>
        <v>https://www.linkedin.com/posts/christian-prezgay-54aa33_financial-analyst-activity-7239329054716313601-Gt3-?utm_source=share&amp;utm_medium=member_desktop</v>
      </c>
    </row>
    <row r="158">
      <c r="A158" s="2">
        <f>IFERROR(__xludf.DUMMYFUNCTION("""COMPUTED_VALUE"""),45545.0)</f>
        <v>45545</v>
      </c>
      <c r="B158" s="1" t="str">
        <f>IFERROR(__xludf.DUMMYFUNCTION("""COMPUTED_VALUE"""),"Walmart")</f>
        <v>Walmart</v>
      </c>
      <c r="C158" s="1" t="str">
        <f>IFERROR(__xludf.DUMMYFUNCTION("""COMPUTED_VALUE"""),"Senior Analyst, Operations - Shopping &amp; Delivery, Fulfillment")</f>
        <v>Senior Analyst, Operations - Shopping &amp; Delivery, Fulfillment</v>
      </c>
      <c r="D158" s="1" t="str">
        <f>IFERROR(__xludf.DUMMYFUNCTION("""COMPUTED_VALUE"""),"On-Site")</f>
        <v>On-Site</v>
      </c>
      <c r="E158" s="3" t="str">
        <f>IFERROR(__xludf.DUMMYFUNCTION("""COMPUTED_VALUE"""),"$60k - $110k")</f>
        <v>$60k - $110k</v>
      </c>
      <c r="F158" s="1" t="str">
        <f>IFERROR(__xludf.DUMMYFUNCTION("""COMPUTED_VALUE"""),"0 - 2")</f>
        <v>0 - 2</v>
      </c>
      <c r="G158" s="1" t="str">
        <f>IFERROR(__xludf.DUMMYFUNCTION("""COMPUTED_VALUE"""),"Bentonville, AR")</f>
        <v>Bentonville, AR</v>
      </c>
      <c r="H158" s="4" t="str">
        <f>IFERROR(__xludf.DUMMYFUNCTION("""COMPUTED_VALUE"""),"https://www.linkedin.com/posts/activity-7239315568565047296--FAV?utm_source=share&amp;utm_medium=member_desktop")</f>
        <v>https://www.linkedin.com/posts/activity-7239315568565047296--FAV?utm_source=share&amp;utm_medium=member_desktop</v>
      </c>
    </row>
    <row r="159">
      <c r="A159" s="2">
        <f>IFERROR(__xludf.DUMMYFUNCTION("""COMPUTED_VALUE"""),45545.0)</f>
        <v>45545</v>
      </c>
      <c r="B159" s="1" t="str">
        <f>IFERROR(__xludf.DUMMYFUNCTION("""COMPUTED_VALUE"""),"Solo")</f>
        <v>Solo</v>
      </c>
      <c r="C159" s="1" t="str">
        <f>IFERROR(__xludf.DUMMYFUNCTION("""COMPUTED_VALUE"""),"Data Analyst")</f>
        <v>Data Analyst</v>
      </c>
      <c r="D159" s="1" t="str">
        <f>IFERROR(__xludf.DUMMYFUNCTION("""COMPUTED_VALUE"""),"Hybrid")</f>
        <v>Hybrid</v>
      </c>
      <c r="E159" s="3" t="str">
        <f>IFERROR(__xludf.DUMMYFUNCTION("""COMPUTED_VALUE"""),"$90k - $115k")</f>
        <v>$90k - $115k</v>
      </c>
      <c r="F159" s="1" t="str">
        <f>IFERROR(__xludf.DUMMYFUNCTION("""COMPUTED_VALUE"""),"3 - 5")</f>
        <v>3 - 5</v>
      </c>
      <c r="G159" s="1" t="str">
        <f>IFERROR(__xludf.DUMMYFUNCTION("""COMPUTED_VALUE"""),"Seattle, WA")</f>
        <v>Seattle, WA</v>
      </c>
      <c r="H159" s="4" t="str">
        <f>IFERROR(__xludf.DUMMYFUNCTION("""COMPUTED_VALUE"""),"https://www.linkedin.com/posts/nate-bek-07625b16b_data-analyst-at-solo-seattle-activity-7239310772391043073-KNTP?utm_source=share&amp;utm_medium=member_desktop")</f>
        <v>https://www.linkedin.com/posts/nate-bek-07625b16b_data-analyst-at-solo-seattle-activity-7239310772391043073-KNTP?utm_source=share&amp;utm_medium=member_desktop</v>
      </c>
    </row>
    <row r="160">
      <c r="A160" s="2">
        <f>IFERROR(__xludf.DUMMYFUNCTION("""COMPUTED_VALUE"""),45545.0)</f>
        <v>45545</v>
      </c>
      <c r="B160" s="1" t="str">
        <f>IFERROR(__xludf.DUMMYFUNCTION("""COMPUTED_VALUE"""),"Morning Brew")</f>
        <v>Morning Brew</v>
      </c>
      <c r="C160" s="1" t="str">
        <f>IFERROR(__xludf.DUMMYFUNCTION("""COMPUTED_VALUE"""),"Senior Analyst, Revenue Strategy")</f>
        <v>Senior Analyst, Revenue Strategy</v>
      </c>
      <c r="D160" s="1" t="str">
        <f>IFERROR(__xludf.DUMMYFUNCTION("""COMPUTED_VALUE"""),"Hybrid")</f>
        <v>Hybrid</v>
      </c>
      <c r="E160" s="3" t="str">
        <f>IFERROR(__xludf.DUMMYFUNCTION("""COMPUTED_VALUE"""),"$75k - $85k")</f>
        <v>$75k - $85k</v>
      </c>
      <c r="F160" s="1" t="str">
        <f>IFERROR(__xludf.DUMMYFUNCTION("""COMPUTED_VALUE"""),"0 - 2")</f>
        <v>0 - 2</v>
      </c>
      <c r="G160" s="1" t="str">
        <f>IFERROR(__xludf.DUMMYFUNCTION("""COMPUTED_VALUE"""),"New York, NY")</f>
        <v>New York, NY</v>
      </c>
      <c r="H160" s="4" t="str">
        <f>IFERROR(__xludf.DUMMYFUNCTION("""COMPUTED_VALUE"""),"https://www.linkedin.com/posts/rob-lutin-3b8722b_hiring-for-a-senior-analyst-position-within-activity-7239262901918732288-x4J7?utm_source=share&amp;utm_medium=member_desktop")</f>
        <v>https://www.linkedin.com/posts/rob-lutin-3b8722b_hiring-for-a-senior-analyst-position-within-activity-7239262901918732288-x4J7?utm_source=share&amp;utm_medium=member_desktop</v>
      </c>
    </row>
    <row r="161">
      <c r="A161" s="2">
        <f>IFERROR(__xludf.DUMMYFUNCTION("""COMPUTED_VALUE"""),45545.0)</f>
        <v>45545</v>
      </c>
      <c r="B161" s="1" t="str">
        <f>IFERROR(__xludf.DUMMYFUNCTION("""COMPUTED_VALUE"""),"Rinsed")</f>
        <v>Rinsed</v>
      </c>
      <c r="C161" s="1" t="str">
        <f>IFERROR(__xludf.DUMMYFUNCTION("""COMPUTED_VALUE"""),"Data Analyst")</f>
        <v>Data Analyst</v>
      </c>
      <c r="D161" s="1" t="str">
        <f>IFERROR(__xludf.DUMMYFUNCTION("""COMPUTED_VALUE"""),"Remote")</f>
        <v>Remote</v>
      </c>
      <c r="E161" s="3" t="str">
        <f>IFERROR(__xludf.DUMMYFUNCTION("""COMPUTED_VALUE"""),"$120k - $145k")</f>
        <v>$120k - $145k</v>
      </c>
      <c r="F161" s="1" t="str">
        <f>IFERROR(__xludf.DUMMYFUNCTION("""COMPUTED_VALUE"""),"0 - 2")</f>
        <v>0 - 2</v>
      </c>
      <c r="G161" s="1" t="str">
        <f>IFERROR(__xludf.DUMMYFUNCTION("""COMPUTED_VALUE"""),"USA")</f>
        <v>USA</v>
      </c>
      <c r="H161" s="4" t="str">
        <f>IFERROR(__xludf.DUMMYFUNCTION("""COMPUTED_VALUE"""),"https://www.linkedin.com/posts/evan-tesei-2877ab100_data-analyst-activity-7239025400100667392-GbFp?utm_source=share&amp;utm_medium=member_desktop")</f>
        <v>https://www.linkedin.com/posts/evan-tesei-2877ab100_data-analyst-activity-7239025400100667392-GbFp?utm_source=share&amp;utm_medium=member_desktop</v>
      </c>
    </row>
    <row r="162">
      <c r="A162" s="2">
        <f>IFERROR(__xludf.DUMMYFUNCTION("""COMPUTED_VALUE"""),45545.0)</f>
        <v>45545</v>
      </c>
      <c r="B162" s="1" t="str">
        <f>IFERROR(__xludf.DUMMYFUNCTION("""COMPUTED_VALUE"""),"Tonal")</f>
        <v>Tonal</v>
      </c>
      <c r="C162" s="1" t="str">
        <f>IFERROR(__xludf.DUMMYFUNCTION("""COMPUTED_VALUE"""),"Senior Data Scientist, Analytics")</f>
        <v>Senior Data Scientist, Analytics</v>
      </c>
      <c r="D162" s="1" t="str">
        <f>IFERROR(__xludf.DUMMYFUNCTION("""COMPUTED_VALUE"""),"On-Site")</f>
        <v>On-Site</v>
      </c>
      <c r="E162" s="3" t="str">
        <f>IFERROR(__xludf.DUMMYFUNCTION("""COMPUTED_VALUE"""),"$136k - $190k")</f>
        <v>$136k - $190k</v>
      </c>
      <c r="F162" s="1" t="str">
        <f>IFERROR(__xludf.DUMMYFUNCTION("""COMPUTED_VALUE"""),"3 - 5")</f>
        <v>3 - 5</v>
      </c>
      <c r="G162" s="1" t="str">
        <f>IFERROR(__xludf.DUMMYFUNCTION("""COMPUTED_VALUE"""),"San Francisco, CA")</f>
        <v>San Francisco, CA</v>
      </c>
      <c r="H162" s="4" t="str">
        <f>IFERROR(__xludf.DUMMYFUNCTION("""COMPUTED_VALUE"""),"https://www.linkedin.com/posts/kristi-korsberg-5674922a_senior-data-scientist-analytics-activity-7239273452510072832-DieF?utm_source=share&amp;utm_medium=member_desktop")</f>
        <v>https://www.linkedin.com/posts/kristi-korsberg-5674922a_senior-data-scientist-analytics-activity-7239273452510072832-DieF?utm_source=share&amp;utm_medium=member_desktop</v>
      </c>
    </row>
    <row r="163">
      <c r="A163" s="2">
        <f>IFERROR(__xludf.DUMMYFUNCTION("""COMPUTED_VALUE"""),45545.0)</f>
        <v>45545</v>
      </c>
      <c r="B163" s="1" t="str">
        <f>IFERROR(__xludf.DUMMYFUNCTION("""COMPUTED_VALUE"""),"WHOOP")</f>
        <v>WHOOP</v>
      </c>
      <c r="C163" s="1" t="str">
        <f>IFERROR(__xludf.DUMMYFUNCTION("""COMPUTED_VALUE"""),"Business Analyst II (Growth Product)")</f>
        <v>Business Analyst II (Growth Product)</v>
      </c>
      <c r="D163" s="1" t="str">
        <f>IFERROR(__xludf.DUMMYFUNCTION("""COMPUTED_VALUE"""),"On-Site")</f>
        <v>On-Site</v>
      </c>
      <c r="E163" s="3" t="str">
        <f>IFERROR(__xludf.DUMMYFUNCTION("""COMPUTED_VALUE"""),"N/A")</f>
        <v>N/A</v>
      </c>
      <c r="F163" s="1" t="str">
        <f>IFERROR(__xludf.DUMMYFUNCTION("""COMPUTED_VALUE"""),"0 - 2")</f>
        <v>0 - 2</v>
      </c>
      <c r="G163" s="1" t="str">
        <f>IFERROR(__xludf.DUMMYFUNCTION("""COMPUTED_VALUE"""),"Boston, MA")</f>
        <v>Boston, MA</v>
      </c>
      <c r="H163" s="4" t="str">
        <f>IFERROR(__xludf.DUMMYFUNCTION("""COMPUTED_VALUE"""),"https://www.linkedin.com/posts/emily-ehrnschwender_whoop-business-analyst-ii-growth-product-activity-7239022848898453504-rXtI?utm_source=share&amp;utm_medium=member_desktop")</f>
        <v>https://www.linkedin.com/posts/emily-ehrnschwender_whoop-business-analyst-ii-growth-product-activity-7239022848898453504-rXtI?utm_source=share&amp;utm_medium=member_desktop</v>
      </c>
    </row>
    <row r="164">
      <c r="A164" s="2">
        <f>IFERROR(__xludf.DUMMYFUNCTION("""COMPUTED_VALUE"""),45544.0)</f>
        <v>45544</v>
      </c>
      <c r="B164" s="1" t="str">
        <f>IFERROR(__xludf.DUMMYFUNCTION("""COMPUTED_VALUE"""),"Newell Brands")</f>
        <v>Newell Brands</v>
      </c>
      <c r="C164" s="1" t="str">
        <f>IFERROR(__xludf.DUMMYFUNCTION("""COMPUTED_VALUE"""),"Data Engineer, Supply Chain")</f>
        <v>Data Engineer, Supply Chain</v>
      </c>
      <c r="D164" s="1" t="str">
        <f>IFERROR(__xludf.DUMMYFUNCTION("""COMPUTED_VALUE"""),"Hybrid")</f>
        <v>Hybrid</v>
      </c>
      <c r="E164" s="3" t="str">
        <f>IFERROR(__xludf.DUMMYFUNCTION("""COMPUTED_VALUE"""),"N/A")</f>
        <v>N/A</v>
      </c>
      <c r="F164" s="1" t="str">
        <f>IFERROR(__xludf.DUMMYFUNCTION("""COMPUTED_VALUE"""),"3 - 5")</f>
        <v>3 - 5</v>
      </c>
      <c r="G164" s="1" t="str">
        <f>IFERROR(__xludf.DUMMYFUNCTION("""COMPUTED_VALUE"""),"Sandy Springs, GA")</f>
        <v>Sandy Springs, GA</v>
      </c>
      <c r="H164" s="4" t="str">
        <f>IFERROR(__xludf.DUMMYFUNCTION("""COMPUTED_VALUE"""),"https://www.linkedin.com/posts/william-ward-0b257377_data-engineer-supply-chain-activity-7238921671842107393-rOSI?utm_source=share&amp;utm_medium=member_desktop")</f>
        <v>https://www.linkedin.com/posts/william-ward-0b257377_data-engineer-supply-chain-activity-7238921671842107393-rOSI?utm_source=share&amp;utm_medium=member_desktop</v>
      </c>
    </row>
    <row r="165">
      <c r="A165" s="2">
        <f>IFERROR(__xludf.DUMMYFUNCTION("""COMPUTED_VALUE"""),45544.0)</f>
        <v>45544</v>
      </c>
      <c r="B165" s="1" t="str">
        <f>IFERROR(__xludf.DUMMYFUNCTION("""COMPUTED_VALUE"""),"Goorin Bros., Inc.")</f>
        <v>Goorin Bros., Inc.</v>
      </c>
      <c r="C165" s="1" t="str">
        <f>IFERROR(__xludf.DUMMYFUNCTION("""COMPUTED_VALUE"""),"Operations Analyst")</f>
        <v>Operations Analyst</v>
      </c>
      <c r="D165" s="1" t="str">
        <f>IFERROR(__xludf.DUMMYFUNCTION("""COMPUTED_VALUE"""),"Remote")</f>
        <v>Remote</v>
      </c>
      <c r="E165" s="3" t="str">
        <f>IFERROR(__xludf.DUMMYFUNCTION("""COMPUTED_VALUE"""),"$60k - $80k")</f>
        <v>$60k - $80k</v>
      </c>
      <c r="F165" s="1" t="str">
        <f>IFERROR(__xludf.DUMMYFUNCTION("""COMPUTED_VALUE"""),"0 - 2")</f>
        <v>0 - 2</v>
      </c>
      <c r="G165" s="1" t="str">
        <f>IFERROR(__xludf.DUMMYFUNCTION("""COMPUTED_VALUE"""),"USA")</f>
        <v>USA</v>
      </c>
      <c r="H165" s="4" t="str">
        <f>IFERROR(__xludf.DUMMYFUNCTION("""COMPUTED_VALUE"""),"https://www.linkedin.com/posts/lee-mccoin_join-our-team-check-out-this-job-at-goorin-activity-7238919304258232320-40Ha?utm_source=share&amp;utm_medium=member_desktop")</f>
        <v>https://www.linkedin.com/posts/lee-mccoin_join-our-team-check-out-this-job-at-goorin-activity-7238919304258232320-40Ha?utm_source=share&amp;utm_medium=member_desktop</v>
      </c>
    </row>
    <row r="166">
      <c r="A166" s="2">
        <f>IFERROR(__xludf.DUMMYFUNCTION("""COMPUTED_VALUE"""),45544.0)</f>
        <v>45544</v>
      </c>
      <c r="B166" s="1" t="str">
        <f>IFERROR(__xludf.DUMMYFUNCTION("""COMPUTED_VALUE"""),"Spring Health")</f>
        <v>Spring Health</v>
      </c>
      <c r="C166" s="1" t="str">
        <f>IFERROR(__xludf.DUMMYFUNCTION("""COMPUTED_VALUE"""),"Director of Financial Reporting &amp; Technical Accounting")</f>
        <v>Director of Financial Reporting &amp; Technical Accounting</v>
      </c>
      <c r="D166" s="1" t="str">
        <f>IFERROR(__xludf.DUMMYFUNCTION("""COMPUTED_VALUE"""),"Hybrid")</f>
        <v>Hybrid</v>
      </c>
      <c r="E166" s="3" t="str">
        <f>IFERROR(__xludf.DUMMYFUNCTION("""COMPUTED_VALUE"""),"$154k - $205k")</f>
        <v>$154k - $205k</v>
      </c>
      <c r="F166" s="1" t="str">
        <f>IFERROR(__xludf.DUMMYFUNCTION("""COMPUTED_VALUE"""),"6 - 9")</f>
        <v>6 - 9</v>
      </c>
      <c r="G166" s="1" t="str">
        <f>IFERROR(__xludf.DUMMYFUNCTION("""COMPUTED_VALUE"""),"New York, NY")</f>
        <v>New York, NY</v>
      </c>
      <c r="H166" s="4" t="str">
        <f>IFERROR(__xludf.DUMMYFUNCTION("""COMPUTED_VALUE"""),"https://www.linkedin.com/posts/dolev-nissani-5ab16a75_director-of-financial-reporting-technical-activity-7238956649242140673-aHjb?utm_source=share&amp;utm_medium=member_desktop")</f>
        <v>https://www.linkedin.com/posts/dolev-nissani-5ab16a75_director-of-financial-reporting-technical-activity-7238956649242140673-aHjb?utm_source=share&amp;utm_medium=member_desktop</v>
      </c>
    </row>
    <row r="167">
      <c r="A167" s="2">
        <f>IFERROR(__xludf.DUMMYFUNCTION("""COMPUTED_VALUE"""),45544.0)</f>
        <v>45544</v>
      </c>
      <c r="B167" s="1" t="str">
        <f>IFERROR(__xludf.DUMMYFUNCTION("""COMPUTED_VALUE"""),"Science and Medicine Group")</f>
        <v>Science and Medicine Group</v>
      </c>
      <c r="C167" s="1" t="str">
        <f>IFERROR(__xludf.DUMMYFUNCTION("""COMPUTED_VALUE"""),"Senior Data Analyst")</f>
        <v>Senior Data Analyst</v>
      </c>
      <c r="D167" s="1" t="str">
        <f>IFERROR(__xludf.DUMMYFUNCTION("""COMPUTED_VALUE"""),"Remote")</f>
        <v>Remote</v>
      </c>
      <c r="E167" s="3" t="str">
        <f>IFERROR(__xludf.DUMMYFUNCTION("""COMPUTED_VALUE"""),"$70k - $80k")</f>
        <v>$70k - $80k</v>
      </c>
      <c r="F167" s="1" t="str">
        <f>IFERROR(__xludf.DUMMYFUNCTION("""COMPUTED_VALUE"""),"3 - 5")</f>
        <v>3 - 5</v>
      </c>
      <c r="G167" s="1" t="str">
        <f>IFERROR(__xludf.DUMMYFUNCTION("""COMPUTED_VALUE"""),"USA")</f>
        <v>USA</v>
      </c>
      <c r="H167" s="4" t="str">
        <f>IFERROR(__xludf.DUMMYFUNCTION("""COMPUTED_VALUE"""),"https://www.linkedin.com/posts/damekawilliams-research_im-looking-for-senior-data-analysts-with-activity-7238977445037572096-ffXQ?utm_source=share&amp;utm_medium=member_desktop")</f>
        <v>https://www.linkedin.com/posts/damekawilliams-research_im-looking-for-senior-data-analysts-with-activity-7238977445037572096-ffXQ?utm_source=share&amp;utm_medium=member_desktop</v>
      </c>
    </row>
    <row r="168">
      <c r="A168" s="2">
        <f>IFERROR(__xludf.DUMMYFUNCTION("""COMPUTED_VALUE"""),45544.0)</f>
        <v>45544</v>
      </c>
      <c r="B168" s="1" t="str">
        <f>IFERROR(__xludf.DUMMYFUNCTION("""COMPUTED_VALUE"""),"Kimberly-Clark")</f>
        <v>Kimberly-Clark</v>
      </c>
      <c r="C168" s="1" t="str">
        <f>IFERROR(__xludf.DUMMYFUNCTION("""COMPUTED_VALUE"""),"Senior Manager, Consumer Analytics - KCNA Baby Childcare")</f>
        <v>Senior Manager, Consumer Analytics - KCNA Baby Childcare</v>
      </c>
      <c r="D168" s="1" t="str">
        <f>IFERROR(__xludf.DUMMYFUNCTION("""COMPUTED_VALUE"""),"Hybrid")</f>
        <v>Hybrid</v>
      </c>
      <c r="E168" s="3" t="str">
        <f>IFERROR(__xludf.DUMMYFUNCTION("""COMPUTED_VALUE"""),"N/A")</f>
        <v>N/A</v>
      </c>
      <c r="F168" s="1" t="str">
        <f>IFERROR(__xludf.DUMMYFUNCTION("""COMPUTED_VALUE"""),"6 - 9")</f>
        <v>6 - 9</v>
      </c>
      <c r="G168" s="1" t="str">
        <f>IFERROR(__xludf.DUMMYFUNCTION("""COMPUTED_VALUE"""),"Chicago, IL")</f>
        <v>Chicago, IL</v>
      </c>
      <c r="H168" s="4" t="str">
        <f>IFERROR(__xludf.DUMMYFUNCTION("""COMPUTED_VALUE"""),"https://www.linkedin.com/posts/robertcal_senior-manager-consumer-analytics-kcna-activity-7238979828882817024-fjDH?utm_source=share&amp;utm_medium=member_desktop")</f>
        <v>https://www.linkedin.com/posts/robertcal_senior-manager-consumer-analytics-kcna-activity-7238979828882817024-fjDH?utm_source=share&amp;utm_medium=member_desktop</v>
      </c>
    </row>
    <row r="169">
      <c r="A169" s="2">
        <f>IFERROR(__xludf.DUMMYFUNCTION("""COMPUTED_VALUE"""),45544.0)</f>
        <v>45544</v>
      </c>
      <c r="B169" s="1" t="str">
        <f>IFERROR(__xludf.DUMMYFUNCTION("""COMPUTED_VALUE"""),"Rad Power Bikes")</f>
        <v>Rad Power Bikes</v>
      </c>
      <c r="C169" s="1" t="str">
        <f>IFERROR(__xludf.DUMMYFUNCTION("""COMPUTED_VALUE"""),"Senior Data Analytics Engineer")</f>
        <v>Senior Data Analytics Engineer</v>
      </c>
      <c r="D169" s="1" t="str">
        <f>IFERROR(__xludf.DUMMYFUNCTION("""COMPUTED_VALUE"""),"Remote")</f>
        <v>Remote</v>
      </c>
      <c r="E169" s="3" t="str">
        <f>IFERROR(__xludf.DUMMYFUNCTION("""COMPUTED_VALUE"""),"$120k - $150k")</f>
        <v>$120k - $150k</v>
      </c>
      <c r="F169" s="1" t="str">
        <f>IFERROR(__xludf.DUMMYFUNCTION("""COMPUTED_VALUE"""),"3 - 5")</f>
        <v>3 - 5</v>
      </c>
      <c r="G169" s="1" t="str">
        <f>IFERROR(__xludf.DUMMYFUNCTION("""COMPUTED_VALUE"""),"USA")</f>
        <v>USA</v>
      </c>
      <c r="H169" s="4" t="str">
        <f>IFERROR(__xludf.DUMMYFUNCTION("""COMPUTED_VALUE"""),"https://www.linkedin.com/posts/rachellegleason_rad-power-bikes-inc-senior-data-analytics-activity-7238956193535139841-pFg0?utm_source=share&amp;utm_medium=member_desktop")</f>
        <v>https://www.linkedin.com/posts/rachellegleason_rad-power-bikes-inc-senior-data-analytics-activity-7238956193535139841-pFg0?utm_source=share&amp;utm_medium=member_desktop</v>
      </c>
    </row>
    <row r="170">
      <c r="A170" s="2">
        <f>IFERROR(__xludf.DUMMYFUNCTION("""COMPUTED_VALUE"""),45544.0)</f>
        <v>45544</v>
      </c>
      <c r="B170" s="1" t="str">
        <f>IFERROR(__xludf.DUMMYFUNCTION("""COMPUTED_VALUE"""),"Newell Brands")</f>
        <v>Newell Brands</v>
      </c>
      <c r="C170" s="1" t="str">
        <f>IFERROR(__xludf.DUMMYFUNCTION("""COMPUTED_VALUE"""),"Sr. Analyst, BI Analytics")</f>
        <v>Sr. Analyst, BI Analytics</v>
      </c>
      <c r="D170" s="1" t="str">
        <f>IFERROR(__xludf.DUMMYFUNCTION("""COMPUTED_VALUE"""),"On-Site")</f>
        <v>On-Site</v>
      </c>
      <c r="E170" s="3" t="str">
        <f>IFERROR(__xludf.DUMMYFUNCTION("""COMPUTED_VALUE"""),"N/A")</f>
        <v>N/A</v>
      </c>
      <c r="F170" s="1" t="str">
        <f>IFERROR(__xludf.DUMMYFUNCTION("""COMPUTED_VALUE"""),"0 - 2")</f>
        <v>0 - 2</v>
      </c>
      <c r="G170" s="1" t="str">
        <f>IFERROR(__xludf.DUMMYFUNCTION("""COMPUTED_VALUE"""),"Sandy Springs, GA")</f>
        <v>Sandy Springs, GA</v>
      </c>
      <c r="H170" s="4" t="str">
        <f>IFERROR(__xludf.DUMMYFUNCTION("""COMPUTED_VALUE"""),"https://www.linkedin.com/posts/javiernunot_were-hiring-are-you-passionate-about-activity-7238726794202292224-E_fG?utm_source=share&amp;utm_medium=member_desktop")</f>
        <v>https://www.linkedin.com/posts/javiernunot_were-hiring-are-you-passionate-about-activity-7238726794202292224-E_fG?utm_source=share&amp;utm_medium=member_desktop</v>
      </c>
    </row>
    <row r="171">
      <c r="A171" s="2">
        <f>IFERROR(__xludf.DUMMYFUNCTION("""COMPUTED_VALUE"""),45544.0)</f>
        <v>45544</v>
      </c>
      <c r="B171" s="1" t="str">
        <f>IFERROR(__xludf.DUMMYFUNCTION("""COMPUTED_VALUE"""),"Optum")</f>
        <v>Optum</v>
      </c>
      <c r="C171" s="1" t="str">
        <f>IFERROR(__xludf.DUMMYFUNCTION("""COMPUTED_VALUE"""),"Data Engineer - Remote")</f>
        <v>Data Engineer - Remote</v>
      </c>
      <c r="D171" s="1" t="str">
        <f>IFERROR(__xludf.DUMMYFUNCTION("""COMPUTED_VALUE"""),"Remote")</f>
        <v>Remote</v>
      </c>
      <c r="E171" s="3" t="str">
        <f>IFERROR(__xludf.DUMMYFUNCTION("""COMPUTED_VALUE"""),"$70k - $138k")</f>
        <v>$70k - $138k</v>
      </c>
      <c r="F171" s="1" t="str">
        <f>IFERROR(__xludf.DUMMYFUNCTION("""COMPUTED_VALUE"""),"3 - 5")</f>
        <v>3 - 5</v>
      </c>
      <c r="G171" s="1" t="str">
        <f>IFERROR(__xludf.DUMMYFUNCTION("""COMPUTED_VALUE"""),"USA")</f>
        <v>USA</v>
      </c>
      <c r="H171" s="4" t="str">
        <f>IFERROR(__xludf.DUMMYFUNCTION("""COMPUTED_VALUE"""),"https://www.linkedin.com/posts/lindsey-henin-7a952183_data-engineer-remote-in-brentwood-tn-activity-7238912420176371713-FeD8?utm_source=share&amp;utm_medium=member_desktop")</f>
        <v>https://www.linkedin.com/posts/lindsey-henin-7a952183_data-engineer-remote-in-brentwood-tn-activity-7238912420176371713-FeD8?utm_source=share&amp;utm_medium=member_desktop</v>
      </c>
    </row>
    <row r="172">
      <c r="A172" s="2">
        <f>IFERROR(__xludf.DUMMYFUNCTION("""COMPUTED_VALUE"""),45544.0)</f>
        <v>45544</v>
      </c>
      <c r="B172" s="1" t="str">
        <f>IFERROR(__xludf.DUMMYFUNCTION("""COMPUTED_VALUE"""),"Affirm")</f>
        <v>Affirm</v>
      </c>
      <c r="C172" s="1" t="str">
        <f>IFERROR(__xludf.DUMMYFUNCTION("""COMPUTED_VALUE"""),"Strategy &amp; Development Analyst II")</f>
        <v>Strategy &amp; Development Analyst II</v>
      </c>
      <c r="D172" s="1" t="str">
        <f>IFERROR(__xludf.DUMMYFUNCTION("""COMPUTED_VALUE"""),"Remote")</f>
        <v>Remote</v>
      </c>
      <c r="E172" s="3" t="str">
        <f>IFERROR(__xludf.DUMMYFUNCTION("""COMPUTED_VALUE"""),"$102k - $155k")</f>
        <v>$102k - $155k</v>
      </c>
      <c r="F172" s="1" t="str">
        <f>IFERROR(__xludf.DUMMYFUNCTION("""COMPUTED_VALUE"""),"3 - 5")</f>
        <v>3 - 5</v>
      </c>
      <c r="G172" s="1" t="str">
        <f>IFERROR(__xludf.DUMMYFUNCTION("""COMPUTED_VALUE"""),"USA")</f>
        <v>USA</v>
      </c>
      <c r="H172" s="4" t="str">
        <f>IFERROR(__xludf.DUMMYFUNCTION("""COMPUTED_VALUE"""),"https://www.linkedin.com/posts/kelseyditto_im-hiring-for-2-roles-on-my-team-at-affirm-activity-7238928138947248129-KgpU?utm_source=share&amp;utm_medium=member_desktop")</f>
        <v>https://www.linkedin.com/posts/kelseyditto_im-hiring-for-2-roles-on-my-team-at-affirm-activity-7238928138947248129-KgpU?utm_source=share&amp;utm_medium=member_desktop</v>
      </c>
    </row>
    <row r="173">
      <c r="A173" s="2">
        <f>IFERROR(__xludf.DUMMYFUNCTION("""COMPUTED_VALUE"""),45544.0)</f>
        <v>45544</v>
      </c>
      <c r="B173" s="1" t="str">
        <f>IFERROR(__xludf.DUMMYFUNCTION("""COMPUTED_VALUE"""),"Affirm")</f>
        <v>Affirm</v>
      </c>
      <c r="C173" s="1" t="str">
        <f>IFERROR(__xludf.DUMMYFUNCTION("""COMPUTED_VALUE"""),"Analyst II, Strategic Insights")</f>
        <v>Analyst II, Strategic Insights</v>
      </c>
      <c r="D173" s="1" t="str">
        <f>IFERROR(__xludf.DUMMYFUNCTION("""COMPUTED_VALUE"""),"Remote")</f>
        <v>Remote</v>
      </c>
      <c r="E173" s="3" t="str">
        <f>IFERROR(__xludf.DUMMYFUNCTION("""COMPUTED_VALUE"""),"$102k - $155k")</f>
        <v>$102k - $155k</v>
      </c>
      <c r="F173" s="1" t="str">
        <f>IFERROR(__xludf.DUMMYFUNCTION("""COMPUTED_VALUE"""),"3 - 5")</f>
        <v>3 - 5</v>
      </c>
      <c r="G173" s="1" t="str">
        <f>IFERROR(__xludf.DUMMYFUNCTION("""COMPUTED_VALUE"""),"USA")</f>
        <v>USA</v>
      </c>
      <c r="H173" s="4" t="str">
        <f>IFERROR(__xludf.DUMMYFUNCTION("""COMPUTED_VALUE"""),"https://www.linkedin.com/posts/kelseyditto_im-hiring-for-2-roles-on-my-team-at-affirm-activity-7238928138947248129-KgpU?utm_source=share&amp;utm_medium=member_desktop")</f>
        <v>https://www.linkedin.com/posts/kelseyditto_im-hiring-for-2-roles-on-my-team-at-affirm-activity-7238928138947248129-KgpU?utm_source=share&amp;utm_medium=member_desktop</v>
      </c>
    </row>
    <row r="174">
      <c r="A174" s="2">
        <f>IFERROR(__xludf.DUMMYFUNCTION("""COMPUTED_VALUE"""),45544.0)</f>
        <v>45544</v>
      </c>
      <c r="B174" s="1" t="str">
        <f>IFERROR(__xludf.DUMMYFUNCTION("""COMPUTED_VALUE"""),"Cedar")</f>
        <v>Cedar</v>
      </c>
      <c r="C174" s="1" t="str">
        <f>IFERROR(__xludf.DUMMYFUNCTION("""COMPUTED_VALUE"""),"Analyst, Value Analytics &amp; Operations")</f>
        <v>Analyst, Value Analytics &amp; Operations</v>
      </c>
      <c r="D174" s="1" t="str">
        <f>IFERROR(__xludf.DUMMYFUNCTION("""COMPUTED_VALUE"""),"Remote")</f>
        <v>Remote</v>
      </c>
      <c r="E174" s="3" t="str">
        <f>IFERROR(__xludf.DUMMYFUNCTION("""COMPUTED_VALUE"""),"$76k - $100k")</f>
        <v>$76k - $100k</v>
      </c>
      <c r="F174" s="1" t="str">
        <f>IFERROR(__xludf.DUMMYFUNCTION("""COMPUTED_VALUE"""),"0 - 2")</f>
        <v>0 - 2</v>
      </c>
      <c r="G174" s="1" t="str">
        <f>IFERROR(__xludf.DUMMYFUNCTION("""COMPUTED_VALUE"""),"USA")</f>
        <v>USA</v>
      </c>
      <c r="H174" s="4" t="str">
        <f>IFERROR(__xludf.DUMMYFUNCTION("""COMPUTED_VALUE"""),"https://www.linkedin.com/posts/allisoneschbach_open-roles-at-cedar-analyst-value-analytics-activity-7238939242767290370-Cf40?utm_source=share&amp;utm_medium=member_desktop")</f>
        <v>https://www.linkedin.com/posts/allisoneschbach_open-roles-at-cedar-analyst-value-analytics-activity-7238939242767290370-Cf40?utm_source=share&amp;utm_medium=member_desktop</v>
      </c>
    </row>
    <row r="175">
      <c r="A175" s="2">
        <f>IFERROR(__xludf.DUMMYFUNCTION("""COMPUTED_VALUE"""),45544.0)</f>
        <v>45544</v>
      </c>
      <c r="B175" s="1" t="str">
        <f>IFERROR(__xludf.DUMMYFUNCTION("""COMPUTED_VALUE"""),"RPA")</f>
        <v>RPA</v>
      </c>
      <c r="C175" s="1" t="str">
        <f>IFERROR(__xludf.DUMMYFUNCTION("""COMPUTED_VALUE"""),"Senior Web Analyst")</f>
        <v>Senior Web Analyst</v>
      </c>
      <c r="D175" s="1" t="str">
        <f>IFERROR(__xludf.DUMMYFUNCTION("""COMPUTED_VALUE"""),"Hybrid")</f>
        <v>Hybrid</v>
      </c>
      <c r="E175" s="3" t="str">
        <f>IFERROR(__xludf.DUMMYFUNCTION("""COMPUTED_VALUE"""),"$85k - $95k")</f>
        <v>$85k - $95k</v>
      </c>
      <c r="F175" s="1" t="str">
        <f>IFERROR(__xludf.DUMMYFUNCTION("""COMPUTED_VALUE"""),"3 - 5")</f>
        <v>3 - 5</v>
      </c>
      <c r="G175" s="1" t="str">
        <f>IFERROR(__xludf.DUMMYFUNCTION("""COMPUTED_VALUE"""),"Santa Monica, CA")</f>
        <v>Santa Monica, CA</v>
      </c>
      <c r="H175" s="4" t="str">
        <f>IFERROR(__xludf.DUMMYFUNCTION("""COMPUTED_VALUE"""),"https://www.linkedin.com/posts/chippeck_senior-web-analyst-activity-7237133038978023425-n7lo?utm_source=share&amp;utm_medium=member_desktop")</f>
        <v>https://www.linkedin.com/posts/chippeck_senior-web-analyst-activity-7237133038978023425-n7lo?utm_source=share&amp;utm_medium=member_desktop</v>
      </c>
    </row>
    <row r="176">
      <c r="A176" s="2">
        <f>IFERROR(__xludf.DUMMYFUNCTION("""COMPUTED_VALUE"""),45544.0)</f>
        <v>45544</v>
      </c>
      <c r="B176" s="1" t="str">
        <f>IFERROR(__xludf.DUMMYFUNCTION("""COMPUTED_VALUE"""),"Generac")</f>
        <v>Generac</v>
      </c>
      <c r="C176" s="1" t="str">
        <f>IFERROR(__xludf.DUMMYFUNCTION("""COMPUTED_VALUE"""),"Senior Data Scientist")</f>
        <v>Senior Data Scientist</v>
      </c>
      <c r="D176" s="1" t="str">
        <f>IFERROR(__xludf.DUMMYFUNCTION("""COMPUTED_VALUE"""),"On-Site")</f>
        <v>On-Site</v>
      </c>
      <c r="E176" s="3" t="str">
        <f>IFERROR(__xludf.DUMMYFUNCTION("""COMPUTED_VALUE"""),"N/A")</f>
        <v>N/A</v>
      </c>
      <c r="F176" s="1" t="str">
        <f>IFERROR(__xludf.DUMMYFUNCTION("""COMPUTED_VALUE"""),"3 - 5")</f>
        <v>3 - 5</v>
      </c>
      <c r="G176" s="1" t="str">
        <f>IFERROR(__xludf.DUMMYFUNCTION("""COMPUTED_VALUE"""),"Pewaukee, WI")</f>
        <v>Pewaukee, WI</v>
      </c>
      <c r="H176" s="4" t="str">
        <f>IFERROR(__xludf.DUMMYFUNCTION("""COMPUTED_VALUE"""),"https://www.linkedin.com/posts/sarah-schmidt-cdr-5204a0198_hiring-generac-activity-7236728854516506624-yJYr?utm_source=share&amp;utm_medium=member_desktop")</f>
        <v>https://www.linkedin.com/posts/sarah-schmidt-cdr-5204a0198_hiring-generac-activity-7236728854516506624-yJYr?utm_source=share&amp;utm_medium=member_desktop</v>
      </c>
    </row>
    <row r="177">
      <c r="A177" s="2">
        <f>IFERROR(__xludf.DUMMYFUNCTION("""COMPUTED_VALUE"""),45544.0)</f>
        <v>45544</v>
      </c>
      <c r="B177" s="1" t="str">
        <f>IFERROR(__xludf.DUMMYFUNCTION("""COMPUTED_VALUE"""),"Chegg")</f>
        <v>Chegg</v>
      </c>
      <c r="C177" s="1" t="str">
        <f>IFERROR(__xludf.DUMMYFUNCTION("""COMPUTED_VALUE"""),"Marketing Data Scientist ")</f>
        <v>Marketing Data Scientist </v>
      </c>
      <c r="D177" s="1" t="str">
        <f>IFERROR(__xludf.DUMMYFUNCTION("""COMPUTED_VALUE"""),"Hybrid")</f>
        <v>Hybrid</v>
      </c>
      <c r="E177" s="3" t="str">
        <f>IFERROR(__xludf.DUMMYFUNCTION("""COMPUTED_VALUE"""),"$107k - $198k")</f>
        <v>$107k - $198k</v>
      </c>
      <c r="F177" s="1" t="str">
        <f>IFERROR(__xludf.DUMMYFUNCTION("""COMPUTED_VALUE"""),"3 - 5")</f>
        <v>3 - 5</v>
      </c>
      <c r="G177" s="1" t="str">
        <f>IFERROR(__xludf.DUMMYFUNCTION("""COMPUTED_VALUE"""),"Santa Clara, CA")</f>
        <v>Santa Clara, CA</v>
      </c>
      <c r="H177" s="4" t="str">
        <f>IFERROR(__xludf.DUMMYFUNCTION("""COMPUTED_VALUE"""),"https://www.linkedin.com/posts/shirley-ni_marketing-data-scientist-activity-7235397112073437184-qqw5?utm_source=share&amp;utm_medium=member_desktop")</f>
        <v>https://www.linkedin.com/posts/shirley-ni_marketing-data-scientist-activity-7235397112073437184-qqw5?utm_source=share&amp;utm_medium=member_desktop</v>
      </c>
    </row>
    <row r="178">
      <c r="A178" s="2">
        <f>IFERROR(__xludf.DUMMYFUNCTION("""COMPUTED_VALUE"""),45544.0)</f>
        <v>45544</v>
      </c>
      <c r="B178" s="1" t="str">
        <f>IFERROR(__xludf.DUMMYFUNCTION("""COMPUTED_VALUE"""),"Global Atlantic Financial Group")</f>
        <v>Global Atlantic Financial Group</v>
      </c>
      <c r="C178" s="1" t="str">
        <f>IFERROR(__xludf.DUMMYFUNCTION("""COMPUTED_VALUE"""),"Director, Business Analytics")</f>
        <v>Director, Business Analytics</v>
      </c>
      <c r="D178" s="1" t="str">
        <f>IFERROR(__xludf.DUMMYFUNCTION("""COMPUTED_VALUE"""),"Hybrid")</f>
        <v>Hybrid</v>
      </c>
      <c r="E178" s="3" t="str">
        <f>IFERROR(__xludf.DUMMYFUNCTION("""COMPUTED_VALUE"""),"$110k - $209k")</f>
        <v>$110k - $209k</v>
      </c>
      <c r="F178" s="1" t="str">
        <f>IFERROR(__xludf.DUMMYFUNCTION("""COMPUTED_VALUE"""),"10 +")</f>
        <v>10 +</v>
      </c>
      <c r="G178" s="1" t="str">
        <f>IFERROR(__xludf.DUMMYFUNCTION("""COMPUTED_VALUE"""),"Boston, MA")</f>
        <v>Boston, MA</v>
      </c>
      <c r="H178" s="4" t="str">
        <f>IFERROR(__xludf.DUMMYFUNCTION("""COMPUTED_VALUE"""),"https://www.linkedin.com/posts/donaldeddy_director-business-analytics-activity-7235964612729339904-GK2G?utm_source=share&amp;utm_medium=member_desktop")</f>
        <v>https://www.linkedin.com/posts/donaldeddy_director-business-analytics-activity-7235964612729339904-GK2G?utm_source=share&amp;utm_medium=member_desktop</v>
      </c>
    </row>
    <row r="179">
      <c r="A179" s="2">
        <f>IFERROR(__xludf.DUMMYFUNCTION("""COMPUTED_VALUE"""),45544.0)</f>
        <v>45544</v>
      </c>
      <c r="B179" s="1" t="str">
        <f>IFERROR(__xludf.DUMMYFUNCTION("""COMPUTED_VALUE"""),"hims &amp; hers")</f>
        <v>hims &amp; hers</v>
      </c>
      <c r="C179" s="1" t="str">
        <f>IFERROR(__xludf.DUMMYFUNCTION("""COMPUTED_VALUE"""),"Lead Data Analyst, Operations")</f>
        <v>Lead Data Analyst, Operations</v>
      </c>
      <c r="D179" s="1" t="str">
        <f>IFERROR(__xludf.DUMMYFUNCTION("""COMPUTED_VALUE"""),"Remote")</f>
        <v>Remote</v>
      </c>
      <c r="E179" s="3" t="str">
        <f>IFERROR(__xludf.DUMMYFUNCTION("""COMPUTED_VALUE"""),"$150k - $170k ")</f>
        <v>$150k - $170k </v>
      </c>
      <c r="F179" s="1" t="str">
        <f>IFERROR(__xludf.DUMMYFUNCTION("""COMPUTED_VALUE"""),"3 - 5")</f>
        <v>3 - 5</v>
      </c>
      <c r="G179" s="1" t="str">
        <f>IFERROR(__xludf.DUMMYFUNCTION("""COMPUTED_VALUE"""),"USA")</f>
        <v>USA</v>
      </c>
      <c r="H179" s="4" t="str">
        <f>IFERROR(__xludf.DUMMYFUNCTION("""COMPUTED_VALUE"""),"https://www.linkedin.com/posts/davidgalipp_hiring-analytics-data-activity-7235007730392952832-ZpJX?utm_source=share&amp;utm_medium=member_desktop")</f>
        <v>https://www.linkedin.com/posts/davidgalipp_hiring-analytics-data-activity-7235007730392952832-ZpJX?utm_source=share&amp;utm_medium=member_desktop</v>
      </c>
    </row>
    <row r="180">
      <c r="A180" s="2">
        <f>IFERROR(__xludf.DUMMYFUNCTION("""COMPUTED_VALUE"""),45544.0)</f>
        <v>45544</v>
      </c>
      <c r="B180" s="1" t="str">
        <f>IFERROR(__xludf.DUMMYFUNCTION("""COMPUTED_VALUE"""),"The Hartford Insurance")</f>
        <v>The Hartford Insurance</v>
      </c>
      <c r="C180" s="1" t="str">
        <f>IFERROR(__xludf.DUMMYFUNCTION("""COMPUTED_VALUE"""),"Director- Data Science (hybrid)")</f>
        <v>Director- Data Science (hybrid)</v>
      </c>
      <c r="D180" s="1" t="str">
        <f>IFERROR(__xludf.DUMMYFUNCTION("""COMPUTED_VALUE"""),"Hybrid")</f>
        <v>Hybrid</v>
      </c>
      <c r="E180" s="3" t="str">
        <f>IFERROR(__xludf.DUMMYFUNCTION("""COMPUTED_VALUE"""),"$148k - $222k ")</f>
        <v>$148k - $222k </v>
      </c>
      <c r="F180" s="1" t="str">
        <f>IFERROR(__xludf.DUMMYFUNCTION("""COMPUTED_VALUE"""),"6 - 9")</f>
        <v>6 - 9</v>
      </c>
      <c r="G180" s="1" t="str">
        <f>IFERROR(__xludf.DUMMYFUNCTION("""COMPUTED_VALUE"""),"Certain Locations")</f>
        <v>Certain Locations</v>
      </c>
      <c r="H180" s="4" t="str">
        <f>IFERROR(__xludf.DUMMYFUNCTION("""COMPUTED_VALUE"""),"https://www.linkedin.com/posts/kristybortle_director-data-science-hybrid-activity-7237872736356765696-A1x_?utm_source=share&amp;utm_medium=member_desktop")</f>
        <v>https://www.linkedin.com/posts/kristybortle_director-data-science-hybrid-activity-7237872736356765696-A1x_?utm_source=share&amp;utm_medium=member_desktop</v>
      </c>
    </row>
    <row r="181">
      <c r="A181" s="2">
        <f>IFERROR(__xludf.DUMMYFUNCTION("""COMPUTED_VALUE"""),45544.0)</f>
        <v>45544</v>
      </c>
      <c r="B181" s="1" t="str">
        <f>IFERROR(__xludf.DUMMYFUNCTION("""COMPUTED_VALUE"""),"KeyBank")</f>
        <v>KeyBank</v>
      </c>
      <c r="C181" s="1" t="str">
        <f>IFERROR(__xludf.DUMMYFUNCTION("""COMPUTED_VALUE"""),"Quantitative Analytics Manager")</f>
        <v>Quantitative Analytics Manager</v>
      </c>
      <c r="D181" s="1" t="str">
        <f>IFERROR(__xludf.DUMMYFUNCTION("""COMPUTED_VALUE"""),"On-Site")</f>
        <v>On-Site</v>
      </c>
      <c r="E181" s="3" t="str">
        <f>IFERROR(__xludf.DUMMYFUNCTION("""COMPUTED_VALUE"""),"$150k - $170k ")</f>
        <v>$150k - $170k </v>
      </c>
      <c r="F181" s="1" t="str">
        <f>IFERROR(__xludf.DUMMYFUNCTION("""COMPUTED_VALUE"""),"6 - 9")</f>
        <v>6 - 9</v>
      </c>
      <c r="G181" s="1" t="str">
        <f>IFERROR(__xludf.DUMMYFUNCTION("""COMPUTED_VALUE"""),"Cleveland, OH")</f>
        <v>Cleveland, OH</v>
      </c>
      <c r="H181" s="4" t="str">
        <f>IFERROR(__xludf.DUMMYFUNCTION("""COMPUTED_VALUE"""),"https://www.linkedin.com/posts/keenan-moukarzel-b8bab9111_looking-for-a-dynamic-reporting-analytics-activity-7238992245155143683--wpm?utm_source=share&amp;utm_medium=member_desktop")</f>
        <v>https://www.linkedin.com/posts/keenan-moukarzel-b8bab9111_looking-for-a-dynamic-reporting-analytics-activity-7238992245155143683--wpm?utm_source=share&amp;utm_medium=member_desktop</v>
      </c>
    </row>
    <row r="182">
      <c r="A182" s="2">
        <f>IFERROR(__xludf.DUMMYFUNCTION("""COMPUTED_VALUE"""),45544.0)</f>
        <v>45544</v>
      </c>
      <c r="B182" s="1" t="str">
        <f>IFERROR(__xludf.DUMMYFUNCTION("""COMPUTED_VALUE"""),"Acxiom")</f>
        <v>Acxiom</v>
      </c>
      <c r="C182" s="1" t="str">
        <f>IFERROR(__xludf.DUMMYFUNCTION("""COMPUTED_VALUE"""),"Expert Data Strategist (Remote)")</f>
        <v>Expert Data Strategist (Remote)</v>
      </c>
      <c r="D182" s="1" t="str">
        <f>IFERROR(__xludf.DUMMYFUNCTION("""COMPUTED_VALUE"""),"Remote")</f>
        <v>Remote</v>
      </c>
      <c r="E182" s="3" t="str">
        <f>IFERROR(__xludf.DUMMYFUNCTION("""COMPUTED_VALUE"""),"N/A")</f>
        <v>N/A</v>
      </c>
      <c r="F182" s="1" t="str">
        <f>IFERROR(__xludf.DUMMYFUNCTION("""COMPUTED_VALUE"""),"6 - 9")</f>
        <v>6 - 9</v>
      </c>
      <c r="G182" s="1" t="str">
        <f>IFERROR(__xludf.DUMMYFUNCTION("""COMPUTED_VALUE"""),"USA")</f>
        <v>USA</v>
      </c>
      <c r="H182" s="4" t="str">
        <f>IFERROR(__xludf.DUMMYFUNCTION("""COMPUTED_VALUE"""),"https://www.linkedin.com/posts/amadeustunis_expert-data-strategist-remote-activity-7238996885225545728-v2ru?utm_source=share&amp;utm_medium=member_desktop")</f>
        <v>https://www.linkedin.com/posts/amadeustunis_expert-data-strategist-remote-activity-7238996885225545728-v2ru?utm_source=share&amp;utm_medium=member_desktop</v>
      </c>
    </row>
    <row r="183">
      <c r="A183" s="2">
        <f>IFERROR(__xludf.DUMMYFUNCTION("""COMPUTED_VALUE"""),45544.0)</f>
        <v>45544</v>
      </c>
      <c r="B183" s="1" t="str">
        <f>IFERROR(__xludf.DUMMYFUNCTION("""COMPUTED_VALUE"""),"Nationwide Marketing Group")</f>
        <v>Nationwide Marketing Group</v>
      </c>
      <c r="C183" s="1" t="str">
        <f>IFERROR(__xludf.DUMMYFUNCTION("""COMPUTED_VALUE"""),"Sr. Data Steward")</f>
        <v>Sr. Data Steward</v>
      </c>
      <c r="D183" s="1" t="str">
        <f>IFERROR(__xludf.DUMMYFUNCTION("""COMPUTED_VALUE"""),"Remote")</f>
        <v>Remote</v>
      </c>
      <c r="E183" s="3" t="str">
        <f>IFERROR(__xludf.DUMMYFUNCTION("""COMPUTED_VALUE"""),"N/A")</f>
        <v>N/A</v>
      </c>
      <c r="F183" s="1" t="str">
        <f>IFERROR(__xludf.DUMMYFUNCTION("""COMPUTED_VALUE"""),"6 - 9")</f>
        <v>6 - 9</v>
      </c>
      <c r="G183" s="1" t="str">
        <f>IFERROR(__xludf.DUMMYFUNCTION("""COMPUTED_VALUE"""),"USA")</f>
        <v>USA</v>
      </c>
      <c r="H183" s="4" t="str">
        <f>IFERROR(__xludf.DUMMYFUNCTION("""COMPUTED_VALUE"""),"https://www.linkedin.com/posts/activity-7238968275857022977-NNZo?utm_source=share&amp;utm_medium=member_desktop")</f>
        <v>https://www.linkedin.com/posts/activity-7238968275857022977-NNZo?utm_source=share&amp;utm_medium=member_desktop</v>
      </c>
    </row>
    <row r="184">
      <c r="A184" s="2">
        <f>IFERROR(__xludf.DUMMYFUNCTION("""COMPUTED_VALUE"""),45544.0)</f>
        <v>45544</v>
      </c>
      <c r="B184" s="1" t="str">
        <f>IFERROR(__xludf.DUMMYFUNCTION("""COMPUTED_VALUE"""),"Monster Energy")</f>
        <v>Monster Energy</v>
      </c>
      <c r="C184" s="1" t="str">
        <f>IFERROR(__xludf.DUMMYFUNCTION("""COMPUTED_VALUE"""),"Sr. Sales Analyst")</f>
        <v>Sr. Sales Analyst</v>
      </c>
      <c r="D184" s="1" t="str">
        <f>IFERROR(__xludf.DUMMYFUNCTION("""COMPUTED_VALUE"""),"On-Site")</f>
        <v>On-Site</v>
      </c>
      <c r="E184" s="3" t="str">
        <f>IFERROR(__xludf.DUMMYFUNCTION("""COMPUTED_VALUE"""),"$77k - $91k")</f>
        <v>$77k - $91k</v>
      </c>
      <c r="F184" s="1" t="str">
        <f>IFERROR(__xludf.DUMMYFUNCTION("""COMPUTED_VALUE"""),"6 - 9")</f>
        <v>6 - 9</v>
      </c>
      <c r="G184" s="1" t="str">
        <f>IFERROR(__xludf.DUMMYFUNCTION("""COMPUTED_VALUE"""),"Corona, CA")</f>
        <v>Corona, CA</v>
      </c>
      <c r="H184" s="4" t="str">
        <f>IFERROR(__xludf.DUMMYFUNCTION("""COMPUTED_VALUE"""),"https://www.linkedin.com/posts/lloyds_hiring-senioranalyst-datamastery-activity-7238954635875491842-dse0?utm_source=share&amp;utm_medium=member_desktop")</f>
        <v>https://www.linkedin.com/posts/lloyds_hiring-senioranalyst-datamastery-activity-7238954635875491842-dse0?utm_source=share&amp;utm_medium=member_desktop</v>
      </c>
    </row>
    <row r="185">
      <c r="A185" s="2">
        <f>IFERROR(__xludf.DUMMYFUNCTION("""COMPUTED_VALUE"""),45544.0)</f>
        <v>45544</v>
      </c>
      <c r="B185" s="1" t="str">
        <f>IFERROR(__xludf.DUMMYFUNCTION("""COMPUTED_VALUE"""),"Waste Management (WM)")</f>
        <v>Waste Management (WM)</v>
      </c>
      <c r="C185" s="1" t="str">
        <f>IFERROR(__xludf.DUMMYFUNCTION("""COMPUTED_VALUE"""),"Data Scientist - Forecasting")</f>
        <v>Data Scientist - Forecasting</v>
      </c>
      <c r="D185" s="1" t="str">
        <f>IFERROR(__xludf.DUMMYFUNCTION("""COMPUTED_VALUE"""),"Hybrid")</f>
        <v>Hybrid</v>
      </c>
      <c r="E185" s="3" t="str">
        <f>IFERROR(__xludf.DUMMYFUNCTION("""COMPUTED_VALUE"""),"N/A")</f>
        <v>N/A</v>
      </c>
      <c r="F185" s="1" t="str">
        <f>IFERROR(__xludf.DUMMYFUNCTION("""COMPUTED_VALUE"""),"3 - 5")</f>
        <v>3 - 5</v>
      </c>
      <c r="G185" s="1" t="str">
        <f>IFERROR(__xludf.DUMMYFUNCTION("""COMPUTED_VALUE"""),"Houston,TX")</f>
        <v>Houston,TX</v>
      </c>
      <c r="H185" s="4" t="str">
        <f>IFERROR(__xludf.DUMMYFUNCTION("""COMPUTED_VALUE"""),"https://www.linkedin.com/posts/dana-hunsucker-b331195_data-scientist-forecasting-activity-7238943278870487040-mAip?utm_source=share&amp;utm_medium=member_desktop")</f>
        <v>https://www.linkedin.com/posts/dana-hunsucker-b331195_data-scientist-forecasting-activity-7238943278870487040-mAip?utm_source=share&amp;utm_medium=member_desktop</v>
      </c>
    </row>
    <row r="186">
      <c r="A186" s="2">
        <f>IFERROR(__xludf.DUMMYFUNCTION("""COMPUTED_VALUE"""),45544.0)</f>
        <v>45544</v>
      </c>
      <c r="B186" s="1" t="str">
        <f>IFERROR(__xludf.DUMMYFUNCTION("""COMPUTED_VALUE"""),"Sam's Club")</f>
        <v>Sam's Club</v>
      </c>
      <c r="C186" s="1" t="str">
        <f>IFERROR(__xludf.DUMMYFUNCTION("""COMPUTED_VALUE"""),"Data Scientist III")</f>
        <v>Data Scientist III</v>
      </c>
      <c r="D186" s="1" t="str">
        <f>IFERROR(__xludf.DUMMYFUNCTION("""COMPUTED_VALUE"""),"Hybrid")</f>
        <v>Hybrid</v>
      </c>
      <c r="E186" s="3" t="str">
        <f>IFERROR(__xludf.DUMMYFUNCTION("""COMPUTED_VALUE"""),"$90k - $180k")</f>
        <v>$90k - $180k</v>
      </c>
      <c r="F186" s="1" t="str">
        <f>IFERROR(__xludf.DUMMYFUNCTION("""COMPUTED_VALUE"""),"3 - 5")</f>
        <v>3 - 5</v>
      </c>
      <c r="G186" s="1" t="str">
        <f>IFERROR(__xludf.DUMMYFUNCTION("""COMPUTED_VALUE"""),"Bentonville, AR")</f>
        <v>Bentonville, AR</v>
      </c>
      <c r="H186" s="4" t="str">
        <f>IFERROR(__xludf.DUMMYFUNCTION("""COMPUTED_VALUE"""),"https://www.linkedin.com/posts/lijunzh_data-scientist-iii-activity-7237479147915141122-7stc?utm_source=share&amp;utm_medium=member_desktop")</f>
        <v>https://www.linkedin.com/posts/lijunzh_data-scientist-iii-activity-7237479147915141122-7stc?utm_source=share&amp;utm_medium=member_desktop</v>
      </c>
    </row>
    <row r="187">
      <c r="A187" s="2">
        <f>IFERROR(__xludf.DUMMYFUNCTION("""COMPUTED_VALUE"""),45544.0)</f>
        <v>45544</v>
      </c>
      <c r="B187" s="1" t="str">
        <f>IFERROR(__xludf.DUMMYFUNCTION("""COMPUTED_VALUE"""),"Optomi")</f>
        <v>Optomi</v>
      </c>
      <c r="C187" s="1" t="str">
        <f>IFERROR(__xludf.DUMMYFUNCTION("""COMPUTED_VALUE"""),"Senior Data Engineer")</f>
        <v>Senior Data Engineer</v>
      </c>
      <c r="D187" s="1" t="str">
        <f>IFERROR(__xludf.DUMMYFUNCTION("""COMPUTED_VALUE"""),"Hybrid")</f>
        <v>Hybrid</v>
      </c>
      <c r="E187" s="3" t="str">
        <f>IFERROR(__xludf.DUMMYFUNCTION("""COMPUTED_VALUE"""),"$130k")</f>
        <v>$130k</v>
      </c>
      <c r="F187" s="1" t="str">
        <f>IFERROR(__xludf.DUMMYFUNCTION("""COMPUTED_VALUE"""),"3 - 5")</f>
        <v>3 - 5</v>
      </c>
      <c r="G187" s="1" t="str">
        <f>IFERROR(__xludf.DUMMYFUNCTION("""COMPUTED_VALUE"""),"Atlanta, GA")</f>
        <v>Atlanta, GA</v>
      </c>
      <c r="H187" s="4" t="str">
        <f>IFERROR(__xludf.DUMMYFUNCTION("""COMPUTED_VALUE"""),"https://www.linkedin.com/posts/ethan-hadaway_we-have-an-exciting-senior-data-engineer-activity-7238970005193707520-JJfM?utm_source=share&amp;utm_medium=member_desktop")</f>
        <v>https://www.linkedin.com/posts/ethan-hadaway_we-have-an-exciting-senior-data-engineer-activity-7238970005193707520-JJfM?utm_source=share&amp;utm_medium=member_desktop</v>
      </c>
    </row>
    <row r="188">
      <c r="A188" s="2">
        <f>IFERROR(__xludf.DUMMYFUNCTION("""COMPUTED_VALUE"""),45544.0)</f>
        <v>45544</v>
      </c>
      <c r="B188" s="1" t="str">
        <f>IFERROR(__xludf.DUMMYFUNCTION("""COMPUTED_VALUE"""),"CVS Health")</f>
        <v>CVS Health</v>
      </c>
      <c r="C188" s="1" t="str">
        <f>IFERROR(__xludf.DUMMYFUNCTION("""COMPUTED_VALUE"""),"Data engineer (Python, SQL, GCP)")</f>
        <v>Data engineer (Python, SQL, GCP)</v>
      </c>
      <c r="D188" s="1" t="str">
        <f>IFERROR(__xludf.DUMMYFUNCTION("""COMPUTED_VALUE"""),"Hybrid")</f>
        <v>Hybrid</v>
      </c>
      <c r="E188" s="3" t="str">
        <f>IFERROR(__xludf.DUMMYFUNCTION("""COMPUTED_VALUE"""),"$79k - $173k")</f>
        <v>$79k - $173k</v>
      </c>
      <c r="F188" s="1" t="str">
        <f>IFERROR(__xludf.DUMMYFUNCTION("""COMPUTED_VALUE"""),"3 - 5")</f>
        <v>3 - 5</v>
      </c>
      <c r="G188" s="1" t="str">
        <f>IFERROR(__xludf.DUMMYFUNCTION("""COMPUTED_VALUE"""),"Certain Locations")</f>
        <v>Certain Locations</v>
      </c>
      <c r="H188" s="4" t="str">
        <f>IFERROR(__xludf.DUMMYFUNCTION("""COMPUTED_VALUE"""),"https://www.linkedin.com/posts/chris-merritt-cssr-prc-80441016_data-engineer-python-sql-gcp-activity-7238964820429938689-GQ70?utm_source=share&amp;utm_medium=member_desktop")</f>
        <v>https://www.linkedin.com/posts/chris-merritt-cssr-prc-80441016_data-engineer-python-sql-gcp-activity-7238964820429938689-GQ70?utm_source=share&amp;utm_medium=member_desktop</v>
      </c>
    </row>
    <row r="189">
      <c r="A189" s="2">
        <f>IFERROR(__xludf.DUMMYFUNCTION("""COMPUTED_VALUE"""),45544.0)</f>
        <v>45544</v>
      </c>
      <c r="B189" s="1" t="str">
        <f>IFERROR(__xludf.DUMMYFUNCTION("""COMPUTED_VALUE"""),"Axos Bank")</f>
        <v>Axos Bank</v>
      </c>
      <c r="C189" s="1" t="str">
        <f>IFERROR(__xludf.DUMMYFUNCTION("""COMPUTED_VALUE"""),"Sr. Business Analyst")</f>
        <v>Sr. Business Analyst</v>
      </c>
      <c r="D189" s="1" t="str">
        <f>IFERROR(__xludf.DUMMYFUNCTION("""COMPUTED_VALUE"""),"On-Site")</f>
        <v>On-Site</v>
      </c>
      <c r="E189" s="3" t="str">
        <f>IFERROR(__xludf.DUMMYFUNCTION("""COMPUTED_VALUE"""),"$85k - $105k")</f>
        <v>$85k - $105k</v>
      </c>
      <c r="F189" s="1"/>
      <c r="G189" s="1" t="str">
        <f>IFERROR(__xludf.DUMMYFUNCTION("""COMPUTED_VALUE"""),"San Diego, CA")</f>
        <v>San Diego, CA</v>
      </c>
      <c r="H189" s="4" t="str">
        <f>IFERROR(__xludf.DUMMYFUNCTION("""COMPUTED_VALUE"""),"https://www.linkedin.com/posts/manasipuranik_sr-business-analyst-activity-7238757570776027137-EUn6?utm_source=share&amp;utm_medium=member_desktop")</f>
        <v>https://www.linkedin.com/posts/manasipuranik_sr-business-analyst-activity-7238757570776027137-EUn6?utm_source=share&amp;utm_medium=member_desktop</v>
      </c>
    </row>
    <row r="190">
      <c r="A190" s="2">
        <f>IFERROR(__xludf.DUMMYFUNCTION("""COMPUTED_VALUE"""),45544.0)</f>
        <v>45544</v>
      </c>
      <c r="B190" s="1" t="str">
        <f>IFERROR(__xludf.DUMMYFUNCTION("""COMPUTED_VALUE"""),"Iron Mountain")</f>
        <v>Iron Mountain</v>
      </c>
      <c r="C190" s="1" t="str">
        <f>IFERROR(__xludf.DUMMYFUNCTION("""COMPUTED_VALUE"""),"Analyst, Third Party Risk Management")</f>
        <v>Analyst, Third Party Risk Management</v>
      </c>
      <c r="D190" s="1" t="str">
        <f>IFERROR(__xludf.DUMMYFUNCTION("""COMPUTED_VALUE"""),"Remote")</f>
        <v>Remote</v>
      </c>
      <c r="E190" s="3" t="str">
        <f>IFERROR(__xludf.DUMMYFUNCTION("""COMPUTED_VALUE"""),"$71k - $89k")</f>
        <v>$71k - $89k</v>
      </c>
      <c r="F190" s="1" t="str">
        <f>IFERROR(__xludf.DUMMYFUNCTION("""COMPUTED_VALUE"""),"3 - 5")</f>
        <v>3 - 5</v>
      </c>
      <c r="G190" s="1" t="str">
        <f>IFERROR(__xludf.DUMMYFUNCTION("""COMPUTED_VALUE"""),"Certain Locations")</f>
        <v>Certain Locations</v>
      </c>
      <c r="H190" s="4" t="str">
        <f>IFERROR(__xludf.DUMMYFUNCTION("""COMPUTED_VALUE"""),"https://www.linkedin.com/posts/falicia-foster-cruz-72502910_analyst-third-party-risk-management-activity-7238947146748583937-DnBo?utm_source=share&amp;utm_medium=member_desktop")</f>
        <v>https://www.linkedin.com/posts/falicia-foster-cruz-72502910_analyst-third-party-risk-management-activity-7238947146748583937-DnBo?utm_source=share&amp;utm_medium=member_desktop</v>
      </c>
    </row>
    <row r="191">
      <c r="A191" s="2">
        <f>IFERROR(__xludf.DUMMYFUNCTION("""COMPUTED_VALUE"""),45544.0)</f>
        <v>45544</v>
      </c>
      <c r="B191" s="1" t="str">
        <f>IFERROR(__xludf.DUMMYFUNCTION("""COMPUTED_VALUE"""),"Washington Metropolitan Area Transit Authority (WMATA)")</f>
        <v>Washington Metropolitan Area Transit Authority (WMATA)</v>
      </c>
      <c r="C191" s="1" t="str">
        <f>IFERROR(__xludf.DUMMYFUNCTION("""COMPUTED_VALUE"""),"Policy Analyst")</f>
        <v>Policy Analyst</v>
      </c>
      <c r="D191" s="1" t="str">
        <f>IFERROR(__xludf.DUMMYFUNCTION("""COMPUTED_VALUE"""),"Hybrid")</f>
        <v>Hybrid</v>
      </c>
      <c r="E191" s="3" t="str">
        <f>IFERROR(__xludf.DUMMYFUNCTION("""COMPUTED_VALUE"""),"N/A")</f>
        <v>N/A</v>
      </c>
      <c r="F191" s="1" t="str">
        <f>IFERROR(__xludf.DUMMYFUNCTION("""COMPUTED_VALUE"""),"0 - 2")</f>
        <v>0 - 2</v>
      </c>
      <c r="G191" s="1" t="str">
        <f>IFERROR(__xludf.DUMMYFUNCTION("""COMPUTED_VALUE"""),"Washington, DC")</f>
        <v>Washington, DC</v>
      </c>
      <c r="H191" s="4" t="str">
        <f>IFERROR(__xludf.DUMMYFUNCTION("""COMPUTED_VALUE"""),"https://www.linkedin.com/posts/erik-jensen_our-team-at-metro-is-hiring-a-policy-analyst-activity-7238911635967340546-sVz5?utm_source=share&amp;utm_medium=member_desktop")</f>
        <v>https://www.linkedin.com/posts/erik-jensen_our-team-at-metro-is-hiring-a-policy-analyst-activity-7238911635967340546-sVz5?utm_source=share&amp;utm_medium=member_desktop</v>
      </c>
    </row>
    <row r="192">
      <c r="A192" s="2">
        <f>IFERROR(__xludf.DUMMYFUNCTION("""COMPUTED_VALUE"""),45544.0)</f>
        <v>45544</v>
      </c>
      <c r="B192" s="1" t="str">
        <f>IFERROR(__xludf.DUMMYFUNCTION("""COMPUTED_VALUE"""),"Acrisure")</f>
        <v>Acrisure</v>
      </c>
      <c r="C192" s="1" t="str">
        <f>IFERROR(__xludf.DUMMYFUNCTION("""COMPUTED_VALUE"""),"Growth Marketing Analyst")</f>
        <v>Growth Marketing Analyst</v>
      </c>
      <c r="D192" s="1" t="str">
        <f>IFERROR(__xludf.DUMMYFUNCTION("""COMPUTED_VALUE"""),"Hybrid")</f>
        <v>Hybrid</v>
      </c>
      <c r="E192" s="3" t="str">
        <f>IFERROR(__xludf.DUMMYFUNCTION("""COMPUTED_VALUE"""),"N/A")</f>
        <v>N/A</v>
      </c>
      <c r="F192" s="1" t="str">
        <f>IFERROR(__xludf.DUMMYFUNCTION("""COMPUTED_VALUE"""),"3 - 5")</f>
        <v>3 - 5</v>
      </c>
      <c r="G192" s="1" t="str">
        <f>IFERROR(__xludf.DUMMYFUNCTION("""COMPUTED_VALUE"""),"Boston, MA")</f>
        <v>Boston, MA</v>
      </c>
      <c r="H192" s="4" t="str">
        <f>IFERROR(__xludf.DUMMYFUNCTION("""COMPUTED_VALUE"""),"https://www.linkedin.com/posts/activity-7238903726164295680-QHah?utm_source=share&amp;utm_medium=member_desktop")</f>
        <v>https://www.linkedin.com/posts/activity-7238903726164295680-QHah?utm_source=share&amp;utm_medium=member_desktop</v>
      </c>
    </row>
    <row r="193">
      <c r="A193" s="2">
        <f>IFERROR(__xludf.DUMMYFUNCTION("""COMPUTED_VALUE"""),45544.0)</f>
        <v>45544</v>
      </c>
      <c r="B193" s="1" t="str">
        <f>IFERROR(__xludf.DUMMYFUNCTION("""COMPUTED_VALUE"""),"Global Atlantic Financial Group")</f>
        <v>Global Atlantic Financial Group</v>
      </c>
      <c r="C193" s="1" t="str">
        <f>IFERROR(__xludf.DUMMYFUNCTION("""COMPUTED_VALUE"""),"Asset Allocation, Program Analyst")</f>
        <v>Asset Allocation, Program Analyst</v>
      </c>
      <c r="D193" s="1" t="str">
        <f>IFERROR(__xludf.DUMMYFUNCTION("""COMPUTED_VALUE"""),"Hybrid")</f>
        <v>Hybrid</v>
      </c>
      <c r="E193" s="3" t="str">
        <f>IFERROR(__xludf.DUMMYFUNCTION("""COMPUTED_VALUE"""),"$105k - $125k")</f>
        <v>$105k - $125k</v>
      </c>
      <c r="F193" s="1" t="str">
        <f>IFERROR(__xludf.DUMMYFUNCTION("""COMPUTED_VALUE"""),"0 - 2")</f>
        <v>0 - 2</v>
      </c>
      <c r="G193" s="1" t="str">
        <f>IFERROR(__xludf.DUMMYFUNCTION("""COMPUTED_VALUE"""),"New York, NY")</f>
        <v>New York, NY</v>
      </c>
      <c r="H193" s="4" t="str">
        <f>IFERROR(__xludf.DUMMYFUNCTION("""COMPUTED_VALUE"""),"https://www.linkedin.com/posts/donaldeddy_asset-allocation-program-analyst-activity-7238999614471770115-c253?utm_source=share&amp;utm_medium=member_desktop")</f>
        <v>https://www.linkedin.com/posts/donaldeddy_asset-allocation-program-analyst-activity-7238999614471770115-c253?utm_source=share&amp;utm_medium=member_desktop</v>
      </c>
    </row>
    <row r="194">
      <c r="A194" s="2">
        <f>IFERROR(__xludf.DUMMYFUNCTION("""COMPUTED_VALUE"""),45544.0)</f>
        <v>45544</v>
      </c>
      <c r="B194" s="1" t="str">
        <f>IFERROR(__xludf.DUMMYFUNCTION("""COMPUTED_VALUE"""),"MongoDB")</f>
        <v>MongoDB</v>
      </c>
      <c r="C194" s="1" t="str">
        <f>IFERROR(__xludf.DUMMYFUNCTION("""COMPUTED_VALUE"""),"Staff Product Analyst")</f>
        <v>Staff Product Analyst</v>
      </c>
      <c r="D194" s="1" t="str">
        <f>IFERROR(__xludf.DUMMYFUNCTION("""COMPUTED_VALUE"""),"Remote")</f>
        <v>Remote</v>
      </c>
      <c r="E194" s="3" t="str">
        <f>IFERROR(__xludf.DUMMYFUNCTION("""COMPUTED_VALUE"""),"$112k - $220k")</f>
        <v>$112k - $220k</v>
      </c>
      <c r="F194" s="1" t="str">
        <f>IFERROR(__xludf.DUMMYFUNCTION("""COMPUTED_VALUE"""),"6 - 9")</f>
        <v>6 - 9</v>
      </c>
      <c r="G194" s="1" t="str">
        <f>IFERROR(__xludf.DUMMYFUNCTION("""COMPUTED_VALUE"""),"USA")</f>
        <v>USA</v>
      </c>
      <c r="H194" s="4" t="str">
        <f>IFERROR(__xludf.DUMMYFUNCTION("""COMPUTED_VALUE"""),"https://www.linkedin.com/posts/jiawei-zhou-50223078_staff-product-analyst-activity-7238910994788364288-UmI_?utm_source=share&amp;utm_medium=member_desktop")</f>
        <v>https://www.linkedin.com/posts/jiawei-zhou-50223078_staff-product-analyst-activity-7238910994788364288-UmI_?utm_source=share&amp;utm_medium=member_desktop</v>
      </c>
    </row>
    <row r="195">
      <c r="A195" s="2">
        <f>IFERROR(__xludf.DUMMYFUNCTION("""COMPUTED_VALUE"""),45544.0)</f>
        <v>45544</v>
      </c>
      <c r="B195" s="1" t="str">
        <f>IFERROR(__xludf.DUMMYFUNCTION("""COMPUTED_VALUE"""),"Warby Parker")</f>
        <v>Warby Parker</v>
      </c>
      <c r="C195" s="1" t="str">
        <f>IFERROR(__xludf.DUMMYFUNCTION("""COMPUTED_VALUE"""),"Analyst, Contact Lens Business")</f>
        <v>Analyst, Contact Lens Business</v>
      </c>
      <c r="D195" s="1" t="str">
        <f>IFERROR(__xludf.DUMMYFUNCTION("""COMPUTED_VALUE"""),"Hybrid")</f>
        <v>Hybrid</v>
      </c>
      <c r="E195" s="3" t="str">
        <f>IFERROR(__xludf.DUMMYFUNCTION("""COMPUTED_VALUE"""),"$61k - $70k")</f>
        <v>$61k - $70k</v>
      </c>
      <c r="F195" s="1" t="str">
        <f>IFERROR(__xludf.DUMMYFUNCTION("""COMPUTED_VALUE"""),"0 - 2")</f>
        <v>0 - 2</v>
      </c>
      <c r="G195" s="1" t="str">
        <f>IFERROR(__xludf.DUMMYFUNCTION("""COMPUTED_VALUE"""),"New York, NY")</f>
        <v>New York, NY</v>
      </c>
      <c r="H195" s="4" t="str">
        <f>IFERROR(__xludf.DUMMYFUNCTION("""COMPUTED_VALUE"""),"https://www.linkedin.com/posts/ziqin-liu-a7239196_warby-parker-is-hiring-warby-parker-is-activity-7238944456081625088-wHZP?utm_source=share&amp;utm_medium=member_desktop")</f>
        <v>https://www.linkedin.com/posts/ziqin-liu-a7239196_warby-parker-is-hiring-warby-parker-is-activity-7238944456081625088-wHZP?utm_source=share&amp;utm_medium=member_desktop</v>
      </c>
    </row>
    <row r="196">
      <c r="A196" s="2">
        <f>IFERROR(__xludf.DUMMYFUNCTION("""COMPUTED_VALUE"""),45544.0)</f>
        <v>45544</v>
      </c>
      <c r="B196" s="1" t="str">
        <f>IFERROR(__xludf.DUMMYFUNCTION("""COMPUTED_VALUE"""),"Walgreens")</f>
        <v>Walgreens</v>
      </c>
      <c r="C196" s="1" t="str">
        <f>IFERROR(__xludf.DUMMYFUNCTION("""COMPUTED_VALUE"""),"Data Scientist, Merchandising")</f>
        <v>Data Scientist, Merchandising</v>
      </c>
      <c r="D196" s="1" t="str">
        <f>IFERROR(__xludf.DUMMYFUNCTION("""COMPUTED_VALUE"""),"On-Site")</f>
        <v>On-Site</v>
      </c>
      <c r="E196" s="3" t="str">
        <f>IFERROR(__xludf.DUMMYFUNCTION("""COMPUTED_VALUE"""),"$99k - $157k")</f>
        <v>$99k - $157k</v>
      </c>
      <c r="F196" s="1" t="str">
        <f>IFERROR(__xludf.DUMMYFUNCTION("""COMPUTED_VALUE"""),"0 - 2")</f>
        <v>0 - 2</v>
      </c>
      <c r="G196" s="1" t="str">
        <f>IFERROR(__xludf.DUMMYFUNCTION("""COMPUTED_VALUE"""),"Deerfield, IL")</f>
        <v>Deerfield, IL</v>
      </c>
      <c r="H196" s="4" t="str">
        <f>IFERROR(__xludf.DUMMYFUNCTION("""COMPUTED_VALUE"""),"https://www.linkedin.com/posts/benperner_data-scientist-merchandising-walgreens-activity-7238996666022838273-Oob1?utm_source=share&amp;utm_medium=member_desktop")</f>
        <v>https://www.linkedin.com/posts/benperner_data-scientist-merchandising-walgreens-activity-7238996666022838273-Oob1?utm_source=share&amp;utm_medium=member_desktop</v>
      </c>
    </row>
    <row r="197">
      <c r="A197" s="2">
        <f>IFERROR(__xludf.DUMMYFUNCTION("""COMPUTED_VALUE"""),45544.0)</f>
        <v>45544</v>
      </c>
      <c r="B197" s="1" t="str">
        <f>IFERROR(__xludf.DUMMYFUNCTION("""COMPUTED_VALUE"""),"Goldman Sachs")</f>
        <v>Goldman Sachs</v>
      </c>
      <c r="C197" s="1" t="str">
        <f>IFERROR(__xludf.DUMMYFUNCTION("""COMPUTED_VALUE"""),"Business Operations | Analyst")</f>
        <v>Business Operations | Analyst</v>
      </c>
      <c r="D197" s="1" t="str">
        <f>IFERROR(__xludf.DUMMYFUNCTION("""COMPUTED_VALUE"""),"On-Site")</f>
        <v>On-Site</v>
      </c>
      <c r="E197" s="3" t="str">
        <f>IFERROR(__xludf.DUMMYFUNCTION("""COMPUTED_VALUE"""),"$60k - $100k")</f>
        <v>$60k - $100k</v>
      </c>
      <c r="F197" s="1" t="str">
        <f>IFERROR(__xludf.DUMMYFUNCTION("""COMPUTED_VALUE"""),"0 - 2")</f>
        <v>0 - 2</v>
      </c>
      <c r="G197" s="1" t="str">
        <f>IFERROR(__xludf.DUMMYFUNCTION("""COMPUTED_VALUE"""),"New York, NY")</f>
        <v>New York, NY</v>
      </c>
      <c r="H197" s="4" t="str">
        <f>IFERROR(__xludf.DUMMYFUNCTION("""COMPUTED_VALUE"""),"https://www.linkedin.com/posts/irem-yudzhel-05538893_hiring-newyork-financialmarkets-activity-7237912969542537216-IR8l?utm_source=share&amp;utm_medium=member_desktop")</f>
        <v>https://www.linkedin.com/posts/irem-yudzhel-05538893_hiring-newyork-financialmarkets-activity-7237912969542537216-IR8l?utm_source=share&amp;utm_medium=member_desktop</v>
      </c>
    </row>
    <row r="198">
      <c r="A198" s="2">
        <f>IFERROR(__xludf.DUMMYFUNCTION("""COMPUTED_VALUE"""),45544.0)</f>
        <v>45544</v>
      </c>
      <c r="B198" s="1" t="str">
        <f>IFERROR(__xludf.DUMMYFUNCTION("""COMPUTED_VALUE"""),"Klaviyo")</f>
        <v>Klaviyo</v>
      </c>
      <c r="C198" s="1" t="str">
        <f>IFERROR(__xludf.DUMMYFUNCTION("""COMPUTED_VALUE"""),"Senior Marketing Analyst, Web and Experimentation")</f>
        <v>Senior Marketing Analyst, Web and Experimentation</v>
      </c>
      <c r="D198" s="1" t="str">
        <f>IFERROR(__xludf.DUMMYFUNCTION("""COMPUTED_VALUE"""),"Hybrid")</f>
        <v>Hybrid</v>
      </c>
      <c r="E198" s="3" t="str">
        <f>IFERROR(__xludf.DUMMYFUNCTION("""COMPUTED_VALUE"""),"$92k - $138k")</f>
        <v>$92k - $138k</v>
      </c>
      <c r="F198" s="1" t="str">
        <f>IFERROR(__xludf.DUMMYFUNCTION("""COMPUTED_VALUE"""),"3 - 5")</f>
        <v>3 - 5</v>
      </c>
      <c r="G198" s="1" t="str">
        <f>IFERROR(__xludf.DUMMYFUNCTION("""COMPUTED_VALUE"""),"Boston, MA")</f>
        <v>Boston, MA</v>
      </c>
      <c r="H198" s="4" t="str">
        <f>IFERROR(__xludf.DUMMYFUNCTION("""COMPUTED_VALUE"""),"https://www.linkedin.com/posts/stevensandiford_senior-marketing-analyst-web-and-experimentation-activity-7237984854229860352-Wciu?utm_source=share&amp;utm_medium=member_desktop")</f>
        <v>https://www.linkedin.com/posts/stevensandiford_senior-marketing-analyst-web-and-experimentation-activity-7237984854229860352-Wciu?utm_source=share&amp;utm_medium=member_desktop</v>
      </c>
    </row>
    <row r="199">
      <c r="A199" s="2">
        <f>IFERROR(__xludf.DUMMYFUNCTION("""COMPUTED_VALUE"""),45544.0)</f>
        <v>45544</v>
      </c>
      <c r="B199" s="1" t="str">
        <f>IFERROR(__xludf.DUMMYFUNCTION("""COMPUTED_VALUE"""),"Tandem")</f>
        <v>Tandem</v>
      </c>
      <c r="C199" s="1" t="str">
        <f>IFERROR(__xludf.DUMMYFUNCTION("""COMPUTED_VALUE"""),"Data Scientist")</f>
        <v>Data Scientist</v>
      </c>
      <c r="D199" s="1" t="str">
        <f>IFERROR(__xludf.DUMMYFUNCTION("""COMPUTED_VALUE"""),"On-Site")</f>
        <v>On-Site</v>
      </c>
      <c r="E199" s="3" t="str">
        <f>IFERROR(__xludf.DUMMYFUNCTION("""COMPUTED_VALUE"""),"$120k - $200k")</f>
        <v>$120k - $200k</v>
      </c>
      <c r="F199" s="1" t="str">
        <f>IFERROR(__xludf.DUMMYFUNCTION("""COMPUTED_VALUE"""),"0 - 2")</f>
        <v>0 - 2</v>
      </c>
      <c r="G199" s="1" t="str">
        <f>IFERROR(__xludf.DUMMYFUNCTION("""COMPUTED_VALUE"""),"New York, NY")</f>
        <v>New York, NY</v>
      </c>
      <c r="H199" s="4" t="str">
        <f>IFERROR(__xludf.DUMMYFUNCTION("""COMPUTED_VALUE"""),"https://www.linkedin.com/posts/dbrauner_data-scientist-activity-7237206885228056578-29Qw?utm_source=share&amp;utm_medium=member_desktop")</f>
        <v>https://www.linkedin.com/posts/dbrauner_data-scientist-activity-7237206885228056578-29Qw?utm_source=share&amp;utm_medium=member_desktop</v>
      </c>
    </row>
    <row r="200">
      <c r="A200" s="2">
        <f>IFERROR(__xludf.DUMMYFUNCTION("""COMPUTED_VALUE"""),45544.0)</f>
        <v>45544</v>
      </c>
      <c r="B200" s="1" t="str">
        <f>IFERROR(__xludf.DUMMYFUNCTION("""COMPUTED_VALUE"""),"Silicon Data")</f>
        <v>Silicon Data</v>
      </c>
      <c r="C200" s="1" t="str">
        <f>IFERROR(__xludf.DUMMYFUNCTION("""COMPUTED_VALUE"""),"Lead Data Scientist / Quant Analyst")</f>
        <v>Lead Data Scientist / Quant Analyst</v>
      </c>
      <c r="D200" s="1" t="str">
        <f>IFERROR(__xludf.DUMMYFUNCTION("""COMPUTED_VALUE"""),"Remote")</f>
        <v>Remote</v>
      </c>
      <c r="E200" s="3" t="str">
        <f>IFERROR(__xludf.DUMMYFUNCTION("""COMPUTED_VALUE"""),"N/A")</f>
        <v>N/A</v>
      </c>
      <c r="F200" s="1" t="str">
        <f>IFERROR(__xludf.DUMMYFUNCTION("""COMPUTED_VALUE"""),"3 - 5")</f>
        <v>3 - 5</v>
      </c>
      <c r="G200" s="1" t="str">
        <f>IFERROR(__xludf.DUMMYFUNCTION("""COMPUTED_VALUE"""),"USA")</f>
        <v>USA</v>
      </c>
      <c r="H200" s="4" t="str">
        <f>IFERROR(__xludf.DUMMYFUNCTION("""COMPUTED_VALUE"""),"https://www.linkedin.com/posts/carmenrli_datascience-quantanalysis-ai-activity-7237681543563943936-2ciU?utm_source=share&amp;utm_medium=member_desktop")</f>
        <v>https://www.linkedin.com/posts/carmenrli_datascience-quantanalysis-ai-activity-7237681543563943936-2ciU?utm_source=share&amp;utm_medium=member_desktop</v>
      </c>
    </row>
    <row r="201">
      <c r="A201" s="2">
        <f>IFERROR(__xludf.DUMMYFUNCTION("""COMPUTED_VALUE"""),45544.0)</f>
        <v>45544</v>
      </c>
      <c r="B201" s="1" t="str">
        <f>IFERROR(__xludf.DUMMYFUNCTION("""COMPUTED_VALUE"""),"Discord")</f>
        <v>Discord</v>
      </c>
      <c r="C201" s="1" t="str">
        <f>IFERROR(__xludf.DUMMYFUNCTION("""COMPUTED_VALUE"""),"Senior Data Scientist, Analytics - Revenue Growth")</f>
        <v>Senior Data Scientist, Analytics - Revenue Growth</v>
      </c>
      <c r="D201" s="1" t="str">
        <f>IFERROR(__xludf.DUMMYFUNCTION("""COMPUTED_VALUE"""),"Remote")</f>
        <v>Remote</v>
      </c>
      <c r="E201" s="3" t="str">
        <f>IFERROR(__xludf.DUMMYFUNCTION("""COMPUTED_VALUE"""),"$183k - $201k")</f>
        <v>$183k - $201k</v>
      </c>
      <c r="F201" s="1" t="str">
        <f>IFERROR(__xludf.DUMMYFUNCTION("""COMPUTED_VALUE"""),"3 - 5")</f>
        <v>3 - 5</v>
      </c>
      <c r="G201" s="1" t="str">
        <f>IFERROR(__xludf.DUMMYFUNCTION("""COMPUTED_VALUE"""),"USA")</f>
        <v>USA</v>
      </c>
      <c r="H201" s="4" t="str">
        <f>IFERROR(__xludf.DUMMYFUNCTION("""COMPUTED_VALUE"""),"https://www.linkedin.com/posts/tinggu9608_were-hiring-a-senior-data-scientist-for-activity-7237946727759028224-H6ts?utm_source=share&amp;utm_medium=member_desktop")</f>
        <v>https://www.linkedin.com/posts/tinggu9608_were-hiring-a-senior-data-scientist-for-activity-7237946727759028224-H6ts?utm_source=share&amp;utm_medium=member_desktop</v>
      </c>
    </row>
    <row r="202">
      <c r="A202" s="2">
        <f>IFERROR(__xludf.DUMMYFUNCTION("""COMPUTED_VALUE"""),45541.0)</f>
        <v>45541</v>
      </c>
      <c r="B202" s="1" t="str">
        <f>IFERROR(__xludf.DUMMYFUNCTION("""COMPUTED_VALUE"""),"Block")</f>
        <v>Block</v>
      </c>
      <c r="C202" s="1" t="str">
        <f>IFERROR(__xludf.DUMMYFUNCTION("""COMPUTED_VALUE"""),"Senior People Systems Analyst, Workday")</f>
        <v>Senior People Systems Analyst, Workday</v>
      </c>
      <c r="D202" s="1" t="str">
        <f>IFERROR(__xludf.DUMMYFUNCTION("""COMPUTED_VALUE"""),"Remote")</f>
        <v>Remote</v>
      </c>
      <c r="E202" s="3" t="str">
        <f>IFERROR(__xludf.DUMMYFUNCTION("""COMPUTED_VALUE"""),"$105k - $184k")</f>
        <v>$105k - $184k</v>
      </c>
      <c r="F202" s="1" t="str">
        <f>IFERROR(__xludf.DUMMYFUNCTION("""COMPUTED_VALUE"""),"3 - 5")</f>
        <v>3 - 5</v>
      </c>
      <c r="G202" s="1" t="str">
        <f>IFERROR(__xludf.DUMMYFUNCTION("""COMPUTED_VALUE"""),"USA")</f>
        <v>USA</v>
      </c>
      <c r="H202" s="4" t="str">
        <f>IFERROR(__xludf.DUMMYFUNCTION("""COMPUTED_VALUE"""),"https://www.linkedin.com/posts/jenna-barham_senior-people-systems-analyst-workday-activity-7237967068518572032-DJVP?utm_source=share&amp;utm_medium=member_desktop")</f>
        <v>https://www.linkedin.com/posts/jenna-barham_senior-people-systems-analyst-workday-activity-7237967068518572032-DJVP?utm_source=share&amp;utm_medium=member_desktop</v>
      </c>
    </row>
    <row r="203">
      <c r="A203" s="2">
        <f>IFERROR(__xludf.DUMMYFUNCTION("""COMPUTED_VALUE"""),45541.0)</f>
        <v>45541</v>
      </c>
      <c r="B203" s="1" t="str">
        <f>IFERROR(__xludf.DUMMYFUNCTION("""COMPUTED_VALUE"""),"Ochsner Health")</f>
        <v>Ochsner Health</v>
      </c>
      <c r="C203" s="1" t="str">
        <f>IFERROR(__xludf.DUMMYFUNCTION("""COMPUTED_VALUE"""),"Insights Analyst (IS Data Consultant)")</f>
        <v>Insights Analyst (IS Data Consultant)</v>
      </c>
      <c r="D203" s="1" t="str">
        <f>IFERROR(__xludf.DUMMYFUNCTION("""COMPUTED_VALUE"""),"Remote")</f>
        <v>Remote</v>
      </c>
      <c r="E203" s="3" t="str">
        <f>IFERROR(__xludf.DUMMYFUNCTION("""COMPUTED_VALUE"""),"N/A")</f>
        <v>N/A</v>
      </c>
      <c r="F203" s="1" t="str">
        <f>IFERROR(__xludf.DUMMYFUNCTION("""COMPUTED_VALUE"""),"6 - 9")</f>
        <v>6 - 9</v>
      </c>
      <c r="G203" s="1" t="str">
        <f>IFERROR(__xludf.DUMMYFUNCTION("""COMPUTED_VALUE"""),"Certain Locations")</f>
        <v>Certain Locations</v>
      </c>
      <c r="H203" s="4" t="str">
        <f>IFERROR(__xludf.DUMMYFUNCTION("""COMPUTED_VALUE"""),"https://www.linkedin.com/posts/michael--rivers_insights-analyst-is-data-consultant-activity-7237920629977456640-aEpl?utm_source=share&amp;utm_medium=member_desktop")</f>
        <v>https://www.linkedin.com/posts/michael--rivers_insights-analyst-is-data-consultant-activity-7237920629977456640-aEpl?utm_source=share&amp;utm_medium=member_desktop</v>
      </c>
    </row>
    <row r="204">
      <c r="A204" s="2">
        <f>IFERROR(__xludf.DUMMYFUNCTION("""COMPUTED_VALUE"""),45541.0)</f>
        <v>45541</v>
      </c>
      <c r="B204" s="1" t="str">
        <f>IFERROR(__xludf.DUMMYFUNCTION("""COMPUTED_VALUE"""),"McGraw Hill")</f>
        <v>McGraw Hill</v>
      </c>
      <c r="C204" s="1" t="str">
        <f>IFERROR(__xludf.DUMMYFUNCTION("""COMPUTED_VALUE"""),"Manager, Digital Reporting &amp; Insights")</f>
        <v>Manager, Digital Reporting &amp; Insights</v>
      </c>
      <c r="D204" s="1" t="str">
        <f>IFERROR(__xludf.DUMMYFUNCTION("""COMPUTED_VALUE"""),"Remote")</f>
        <v>Remote</v>
      </c>
      <c r="E204" s="3" t="str">
        <f>IFERROR(__xludf.DUMMYFUNCTION("""COMPUTED_VALUE"""),"$82k - $130k")</f>
        <v>$82k - $130k</v>
      </c>
      <c r="F204" s="1" t="str">
        <f>IFERROR(__xludf.DUMMYFUNCTION("""COMPUTED_VALUE"""),"3 - 5")</f>
        <v>3 - 5</v>
      </c>
      <c r="G204" s="1" t="str">
        <f>IFERROR(__xludf.DUMMYFUNCTION("""COMPUTED_VALUE"""),"USA")</f>
        <v>USA</v>
      </c>
      <c r="H204" s="4" t="str">
        <f>IFERROR(__xludf.DUMMYFUNCTION("""COMPUTED_VALUE"""),"https://www.linkedin.com/posts/kate-gemmellaro_hiring-ugcPost-7237791380452900864-1AwL?utm_source=share&amp;utm_medium=member_desktop")</f>
        <v>https://www.linkedin.com/posts/kate-gemmellaro_hiring-ugcPost-7237791380452900864-1AwL?utm_source=share&amp;utm_medium=member_desktop</v>
      </c>
    </row>
    <row r="205">
      <c r="A205" s="2">
        <f>IFERROR(__xludf.DUMMYFUNCTION("""COMPUTED_VALUE"""),45541.0)</f>
        <v>45541</v>
      </c>
      <c r="B205" s="1" t="str">
        <f>IFERROR(__xludf.DUMMYFUNCTION("""COMPUTED_VALUE"""),"Novant Health")</f>
        <v>Novant Health</v>
      </c>
      <c r="C205" s="1" t="str">
        <f>IFERROR(__xludf.DUMMYFUNCTION("""COMPUTED_VALUE"""),"Marketing Intel Analyst Senior")</f>
        <v>Marketing Intel Analyst Senior</v>
      </c>
      <c r="D205" s="1" t="str">
        <f>IFERROR(__xludf.DUMMYFUNCTION("""COMPUTED_VALUE"""),"Remote")</f>
        <v>Remote</v>
      </c>
      <c r="E205" s="3" t="str">
        <f>IFERROR(__xludf.DUMMYFUNCTION("""COMPUTED_VALUE"""),"N/A")</f>
        <v>N/A</v>
      </c>
      <c r="F205" s="1" t="str">
        <f>IFERROR(__xludf.DUMMYFUNCTION("""COMPUTED_VALUE"""),"3 - 5")</f>
        <v>3 - 5</v>
      </c>
      <c r="G205" s="1" t="str">
        <f>IFERROR(__xludf.DUMMYFUNCTION("""COMPUTED_VALUE"""),"Certain Locations")</f>
        <v>Certain Locations</v>
      </c>
      <c r="H205" s="4" t="str">
        <f>IFERROR(__xludf.DUMMYFUNCTION("""COMPUTED_VALUE"""),"https://www.linkedin.com/posts/maststacy_marketing-intel-analyst-senior-in-remote-activity-7237887405947514883-Te2s?utm_source=share&amp;utm_medium=member_desktop")</f>
        <v>https://www.linkedin.com/posts/maststacy_marketing-intel-analyst-senior-in-remote-activity-7237887405947514883-Te2s?utm_source=share&amp;utm_medium=member_desktop</v>
      </c>
    </row>
    <row r="206">
      <c r="A206" s="2">
        <f>IFERROR(__xludf.DUMMYFUNCTION("""COMPUTED_VALUE"""),45541.0)</f>
        <v>45541</v>
      </c>
      <c r="B206" s="1" t="str">
        <f>IFERROR(__xludf.DUMMYFUNCTION("""COMPUTED_VALUE"""),"2U")</f>
        <v>2U</v>
      </c>
      <c r="C206" s="1" t="str">
        <f>IFERROR(__xludf.DUMMYFUNCTION("""COMPUTED_VALUE"""),"Senior Data Scientist")</f>
        <v>Senior Data Scientist</v>
      </c>
      <c r="D206" s="1" t="str">
        <f>IFERROR(__xludf.DUMMYFUNCTION("""COMPUTED_VALUE"""),"Remote")</f>
        <v>Remote</v>
      </c>
      <c r="E206" s="3" t="str">
        <f>IFERROR(__xludf.DUMMYFUNCTION("""COMPUTED_VALUE"""),"$145k - $170k")</f>
        <v>$145k - $170k</v>
      </c>
      <c r="F206" s="1" t="str">
        <f>IFERROR(__xludf.DUMMYFUNCTION("""COMPUTED_VALUE"""),"6 - 9")</f>
        <v>6 - 9</v>
      </c>
      <c r="G206" s="1" t="str">
        <f>IFERROR(__xludf.DUMMYFUNCTION("""COMPUTED_VALUE"""),"USA")</f>
        <v>USA</v>
      </c>
      <c r="H206" s="4" t="str">
        <f>IFERROR(__xludf.DUMMYFUNCTION("""COMPUTED_VALUE"""),"https://www.linkedin.com/posts/lsrollins_senior-data-scientist-activity-7237855799929131009-sR_Y?utm_source=share&amp;utm_medium=member_desktop")</f>
        <v>https://www.linkedin.com/posts/lsrollins_senior-data-scientist-activity-7237855799929131009-sR_Y?utm_source=share&amp;utm_medium=member_desktop</v>
      </c>
    </row>
    <row r="207">
      <c r="A207" s="2">
        <f>IFERROR(__xludf.DUMMYFUNCTION("""COMPUTED_VALUE"""),45541.0)</f>
        <v>45541</v>
      </c>
      <c r="B207" s="1" t="str">
        <f>IFERROR(__xludf.DUMMYFUNCTION("""COMPUTED_VALUE"""),"Spectrum Brands, Inc")</f>
        <v>Spectrum Brands, Inc</v>
      </c>
      <c r="C207" s="1" t="str">
        <f>IFERROR(__xludf.DUMMYFUNCTION("""COMPUTED_VALUE"""),"Senior Demand Analyst")</f>
        <v>Senior Demand Analyst</v>
      </c>
      <c r="D207" s="1" t="str">
        <f>IFERROR(__xludf.DUMMYFUNCTION("""COMPUTED_VALUE"""),"Remote")</f>
        <v>Remote</v>
      </c>
      <c r="E207" s="3" t="str">
        <f>IFERROR(__xludf.DUMMYFUNCTION("""COMPUTED_VALUE"""),"N/A")</f>
        <v>N/A</v>
      </c>
      <c r="F207" s="1" t="str">
        <f>IFERROR(__xludf.DUMMYFUNCTION("""COMPUTED_VALUE"""),"3 - 5")</f>
        <v>3 - 5</v>
      </c>
      <c r="G207" s="1" t="str">
        <f>IFERROR(__xludf.DUMMYFUNCTION("""COMPUTED_VALUE"""),"USA")</f>
        <v>USA</v>
      </c>
      <c r="H207" s="4" t="str">
        <f>IFERROR(__xludf.DUMMYFUNCTION("""COMPUTED_VALUE"""),"https://www.linkedin.com/posts/tera-berkey-19663935_hiring-remote-jobopportunity-activity-7237884653905309696-Tx57?utm_source=share&amp;utm_medium=member_desktop")</f>
        <v>https://www.linkedin.com/posts/tera-berkey-19663935_hiring-remote-jobopportunity-activity-7237884653905309696-Tx57?utm_source=share&amp;utm_medium=member_desktop</v>
      </c>
    </row>
    <row r="208">
      <c r="A208" s="2">
        <f>IFERROR(__xludf.DUMMYFUNCTION("""COMPUTED_VALUE"""),45541.0)</f>
        <v>45541</v>
      </c>
      <c r="B208" s="1" t="str">
        <f>IFERROR(__xludf.DUMMYFUNCTION("""COMPUTED_VALUE"""),"SimpliSafe")</f>
        <v>SimpliSafe</v>
      </c>
      <c r="C208" s="1" t="str">
        <f>IFERROR(__xludf.DUMMYFUNCTION("""COMPUTED_VALUE"""),"Customer Experience Data Analyst")</f>
        <v>Customer Experience Data Analyst</v>
      </c>
      <c r="D208" s="1" t="str">
        <f>IFERROR(__xludf.DUMMYFUNCTION("""COMPUTED_VALUE"""),"Hybrid")</f>
        <v>Hybrid</v>
      </c>
      <c r="E208" s="3" t="str">
        <f>IFERROR(__xludf.DUMMYFUNCTION("""COMPUTED_VALUE"""),"N/A")</f>
        <v>N/A</v>
      </c>
      <c r="F208" s="1" t="str">
        <f>IFERROR(__xludf.DUMMYFUNCTION("""COMPUTED_VALUE"""),"3 - 5")</f>
        <v>3 - 5</v>
      </c>
      <c r="G208" s="1" t="str">
        <f>IFERROR(__xludf.DUMMYFUNCTION("""COMPUTED_VALUE"""),"Boston, MA")</f>
        <v>Boston, MA</v>
      </c>
      <c r="H208" s="4" t="str">
        <f>IFERROR(__xludf.DUMMYFUNCTION("""COMPUTED_VALUE"""),"https://www.linkedin.com/posts/pbhealy_come-join-our-team-in-this-critical-role-activity-7237902896506294272-HIaG?utm_source=share&amp;utm_medium=member_desktop")</f>
        <v>https://www.linkedin.com/posts/pbhealy_come-join-our-team-in-this-critical-role-activity-7237902896506294272-HIaG?utm_source=share&amp;utm_medium=member_desktop</v>
      </c>
    </row>
    <row r="209">
      <c r="A209" s="2">
        <f>IFERROR(__xludf.DUMMYFUNCTION("""COMPUTED_VALUE"""),45541.0)</f>
        <v>45541</v>
      </c>
      <c r="B209" s="1" t="str">
        <f>IFERROR(__xludf.DUMMYFUNCTION("""COMPUTED_VALUE"""),"Root Inc.")</f>
        <v>Root Inc.</v>
      </c>
      <c r="C209" s="1" t="str">
        <f>IFERROR(__xludf.DUMMYFUNCTION("""COMPUTED_VALUE"""),"Data Science Manager II, Growth")</f>
        <v>Data Science Manager II, Growth</v>
      </c>
      <c r="D209" s="1" t="str">
        <f>IFERROR(__xludf.DUMMYFUNCTION("""COMPUTED_VALUE"""),"Remote")</f>
        <v>Remote</v>
      </c>
      <c r="E209" s="3" t="str">
        <f>IFERROR(__xludf.DUMMYFUNCTION("""COMPUTED_VALUE"""),"$174k - $200k")</f>
        <v>$174k - $200k</v>
      </c>
      <c r="F209" s="1" t="str">
        <f>IFERROR(__xludf.DUMMYFUNCTION("""COMPUTED_VALUE"""),"3 - 5")</f>
        <v>3 - 5</v>
      </c>
      <c r="G209" s="1" t="str">
        <f>IFERROR(__xludf.DUMMYFUNCTION("""COMPUTED_VALUE"""),"USA")</f>
        <v>USA</v>
      </c>
      <c r="H209" s="4" t="str">
        <f>IFERROR(__xludf.DUMMYFUNCTION("""COMPUTED_VALUE"""),"https://www.linkedin.com/posts/anniefyang_come-help-shape-the-future-of-marketing-activity-7237977509462429696-bD-A?utm_source=share&amp;utm_medium=member_desktop")</f>
        <v>https://www.linkedin.com/posts/anniefyang_come-help-shape-the-future-of-marketing-activity-7237977509462429696-bD-A?utm_source=share&amp;utm_medium=member_desktop</v>
      </c>
    </row>
    <row r="210">
      <c r="A210" s="2">
        <f>IFERROR(__xludf.DUMMYFUNCTION("""COMPUTED_VALUE"""),45541.0)</f>
        <v>45541</v>
      </c>
      <c r="B210" s="1" t="str">
        <f>IFERROR(__xludf.DUMMYFUNCTION("""COMPUTED_VALUE"""),"Root Inc.")</f>
        <v>Root Inc.</v>
      </c>
      <c r="C210" s="1" t="str">
        <f>IFERROR(__xludf.DUMMYFUNCTION("""COMPUTED_VALUE"""),"Director of Data Science, Growth")</f>
        <v>Director of Data Science, Growth</v>
      </c>
      <c r="D210" s="1" t="str">
        <f>IFERROR(__xludf.DUMMYFUNCTION("""COMPUTED_VALUE"""),"Remote")</f>
        <v>Remote</v>
      </c>
      <c r="E210" s="3" t="str">
        <f>IFERROR(__xludf.DUMMYFUNCTION("""COMPUTED_VALUE"""),"$225k - $275k")</f>
        <v>$225k - $275k</v>
      </c>
      <c r="F210" s="1" t="str">
        <f>IFERROR(__xludf.DUMMYFUNCTION("""COMPUTED_VALUE"""),"6 - 9")</f>
        <v>6 - 9</v>
      </c>
      <c r="G210" s="1" t="str">
        <f>IFERROR(__xludf.DUMMYFUNCTION("""COMPUTED_VALUE"""),"USA")</f>
        <v>USA</v>
      </c>
      <c r="H210" s="4" t="str">
        <f>IFERROR(__xludf.DUMMYFUNCTION("""COMPUTED_VALUE"""),"https://www.linkedin.com/posts/anniefyang_come-help-shape-the-future-of-marketing-activity-7237977509462429696-bD-A?utm_source=share&amp;utm_medium=member_desktop")</f>
        <v>https://www.linkedin.com/posts/anniefyang_come-help-shape-the-future-of-marketing-activity-7237977509462429696-bD-A?utm_source=share&amp;utm_medium=member_desktop</v>
      </c>
    </row>
    <row r="211">
      <c r="A211" s="2">
        <f>IFERROR(__xludf.DUMMYFUNCTION("""COMPUTED_VALUE"""),45541.0)</f>
        <v>45541</v>
      </c>
      <c r="B211" s="1" t="str">
        <f>IFERROR(__xludf.DUMMYFUNCTION("""COMPUTED_VALUE"""),"Expedia Group")</f>
        <v>Expedia Group</v>
      </c>
      <c r="C211" s="1" t="str">
        <f>IFERROR(__xludf.DUMMYFUNCTION("""COMPUTED_VALUE"""),"Senior Business Intelligence Manager")</f>
        <v>Senior Business Intelligence Manager</v>
      </c>
      <c r="D211" s="1" t="str">
        <f>IFERROR(__xludf.DUMMYFUNCTION("""COMPUTED_VALUE"""),"Hybrid")</f>
        <v>Hybrid</v>
      </c>
      <c r="E211" s="3" t="str">
        <f>IFERROR(__xludf.DUMMYFUNCTION("""COMPUTED_VALUE"""),"$146k - $217k")</f>
        <v>$146k - $217k</v>
      </c>
      <c r="F211" s="1" t="str">
        <f>IFERROR(__xludf.DUMMYFUNCTION("""COMPUTED_VALUE"""),"6 - 9")</f>
        <v>6 - 9</v>
      </c>
      <c r="G211" s="1" t="str">
        <f>IFERROR(__xludf.DUMMYFUNCTION("""COMPUTED_VALUE"""),"Certain Locations")</f>
        <v>Certain Locations</v>
      </c>
      <c r="H211" s="4" t="str">
        <f>IFERROR(__xludf.DUMMYFUNCTION("""COMPUTED_VALUE"""),"https://www.linkedin.com/posts/kelsi-lee_senior-business-intelligence-manager-activity-7237565451654864897-tTk0?utm_source=share&amp;utm_medium=member_desktop")</f>
        <v>https://www.linkedin.com/posts/kelsi-lee_senior-business-intelligence-manager-activity-7237565451654864897-tTk0?utm_source=share&amp;utm_medium=member_desktop</v>
      </c>
    </row>
    <row r="212">
      <c r="A212" s="2">
        <f>IFERROR(__xludf.DUMMYFUNCTION("""COMPUTED_VALUE"""),45541.0)</f>
        <v>45541</v>
      </c>
      <c r="B212" s="1" t="str">
        <f>IFERROR(__xludf.DUMMYFUNCTION("""COMPUTED_VALUE"""),"Fortune Brands Innovations")</f>
        <v>Fortune Brands Innovations</v>
      </c>
      <c r="C212" s="1" t="str">
        <f>IFERROR(__xludf.DUMMYFUNCTION("""COMPUTED_VALUE"""),"Senior IoT Data Scientist - Technical Lead")</f>
        <v>Senior IoT Data Scientist - Technical Lead</v>
      </c>
      <c r="D212" s="1" t="str">
        <f>IFERROR(__xludf.DUMMYFUNCTION("""COMPUTED_VALUE"""),"Remote")</f>
        <v>Remote</v>
      </c>
      <c r="E212" s="3" t="str">
        <f>IFERROR(__xludf.DUMMYFUNCTION("""COMPUTED_VALUE"""),"$120k - $193k")</f>
        <v>$120k - $193k</v>
      </c>
      <c r="F212" s="1" t="str">
        <f>IFERROR(__xludf.DUMMYFUNCTION("""COMPUTED_VALUE"""),"6 - 9")</f>
        <v>6 - 9</v>
      </c>
      <c r="G212" s="1" t="str">
        <f>IFERROR(__xludf.DUMMYFUNCTION("""COMPUTED_VALUE"""),"USA")</f>
        <v>USA</v>
      </c>
      <c r="H212" s="4" t="str">
        <f>IFERROR(__xludf.DUMMYFUNCTION("""COMPUTED_VALUE"""),"https://www.linkedin.com/posts/zacharyelewitz_senior-data-scientist-technical-lead-activity-7237550150468993024-EqtX?utm_source=share&amp;utm_medium=member_desktop")</f>
        <v>https://www.linkedin.com/posts/zacharyelewitz_senior-data-scientist-technical-lead-activity-7237550150468993024-EqtX?utm_source=share&amp;utm_medium=member_desktop</v>
      </c>
    </row>
    <row r="213">
      <c r="A213" s="2">
        <f>IFERROR(__xludf.DUMMYFUNCTION("""COMPUTED_VALUE"""),45541.0)</f>
        <v>45541</v>
      </c>
      <c r="B213" s="1" t="str">
        <f>IFERROR(__xludf.DUMMYFUNCTION("""COMPUTED_VALUE"""),"Congo Brands")</f>
        <v>Congo Brands</v>
      </c>
      <c r="C213" s="1" t="str">
        <f>IFERROR(__xludf.DUMMYFUNCTION("""COMPUTED_VALUE"""),"Senior Operations Analyst, Inventory")</f>
        <v>Senior Operations Analyst, Inventory</v>
      </c>
      <c r="D213" s="1" t="str">
        <f>IFERROR(__xludf.DUMMYFUNCTION("""COMPUTED_VALUE"""),"Hybrid")</f>
        <v>Hybrid</v>
      </c>
      <c r="E213" s="3" t="str">
        <f>IFERROR(__xludf.DUMMYFUNCTION("""COMPUTED_VALUE"""),"N/A")</f>
        <v>N/A</v>
      </c>
      <c r="F213" s="1" t="str">
        <f>IFERROR(__xludf.DUMMYFUNCTION("""COMPUTED_VALUE"""),"3 - 5")</f>
        <v>3 - 5</v>
      </c>
      <c r="G213" s="1" t="str">
        <f>IFERROR(__xludf.DUMMYFUNCTION("""COMPUTED_VALUE"""),"Louisville, KY")</f>
        <v>Louisville, KY</v>
      </c>
      <c r="H213" s="4" t="str">
        <f>IFERROR(__xludf.DUMMYFUNCTION("""COMPUTED_VALUE"""),"https://www.linkedin.com/posts/saraventre_hiring-operations-inventory-activity-7237518749975605248-hF7s?utm_source=share&amp;utm_medium=member_desktop")</f>
        <v>https://www.linkedin.com/posts/saraventre_hiring-operations-inventory-activity-7237518749975605248-hF7s?utm_source=share&amp;utm_medium=member_desktop</v>
      </c>
    </row>
    <row r="214">
      <c r="A214" s="2">
        <f>IFERROR(__xludf.DUMMYFUNCTION("""COMPUTED_VALUE"""),45541.0)</f>
        <v>45541</v>
      </c>
      <c r="B214" s="1" t="str">
        <f>IFERROR(__xludf.DUMMYFUNCTION("""COMPUTED_VALUE"""),"JetBlue")</f>
        <v>JetBlue</v>
      </c>
      <c r="C214" s="1" t="str">
        <f>IFERROR(__xludf.DUMMYFUNCTION("""COMPUTED_VALUE"""),"Senior Analyst Financial Systems")</f>
        <v>Senior Analyst Financial Systems</v>
      </c>
      <c r="D214" s="1" t="str">
        <f>IFERROR(__xludf.DUMMYFUNCTION("""COMPUTED_VALUE"""),"On-Site")</f>
        <v>On-Site</v>
      </c>
      <c r="E214" s="3" t="str">
        <f>IFERROR(__xludf.DUMMYFUNCTION("""COMPUTED_VALUE"""),"$64k - $103k")</f>
        <v>$64k - $103k</v>
      </c>
      <c r="F214" s="1" t="str">
        <f>IFERROR(__xludf.DUMMYFUNCTION("""COMPUTED_VALUE"""),"3 - 5")</f>
        <v>3 - 5</v>
      </c>
      <c r="G214" s="1" t="str">
        <f>IFERROR(__xludf.DUMMYFUNCTION("""COMPUTED_VALUE"""),"Long Island City, NY")</f>
        <v>Long Island City, NY</v>
      </c>
      <c r="H214" s="4" t="str">
        <f>IFERROR(__xludf.DUMMYFUNCTION("""COMPUTED_VALUE"""),"https://www.linkedin.com/posts/lucas-lauber-shrm-cp-5a811670_senior-analyst-financial-systems-activity-7237516804934291458-vPj_?utm_source=share&amp;utm_medium=member_desktop")</f>
        <v>https://www.linkedin.com/posts/lucas-lauber-shrm-cp-5a811670_senior-analyst-financial-systems-activity-7237516804934291458-vPj_?utm_source=share&amp;utm_medium=member_desktop</v>
      </c>
    </row>
    <row r="215">
      <c r="A215" s="2">
        <f>IFERROR(__xludf.DUMMYFUNCTION("""COMPUTED_VALUE"""),45541.0)</f>
        <v>45541</v>
      </c>
      <c r="B215" s="1" t="str">
        <f>IFERROR(__xludf.DUMMYFUNCTION("""COMPUTED_VALUE"""),"First Student")</f>
        <v>First Student</v>
      </c>
      <c r="C215" s="1" t="str">
        <f>IFERROR(__xludf.DUMMYFUNCTION("""COMPUTED_VALUE"""),"Senior Financial Analyst")</f>
        <v>Senior Financial Analyst</v>
      </c>
      <c r="D215" s="1" t="str">
        <f>IFERROR(__xludf.DUMMYFUNCTION("""COMPUTED_VALUE"""),"Hybrid")</f>
        <v>Hybrid</v>
      </c>
      <c r="E215" s="3" t="str">
        <f>IFERROR(__xludf.DUMMYFUNCTION("""COMPUTED_VALUE"""),"N/A")</f>
        <v>N/A</v>
      </c>
      <c r="F215" s="1" t="str">
        <f>IFERROR(__xludf.DUMMYFUNCTION("""COMPUTED_VALUE"""),"3 - 5")</f>
        <v>3 - 5</v>
      </c>
      <c r="G215" s="1" t="str">
        <f>IFERROR(__xludf.DUMMYFUNCTION("""COMPUTED_VALUE"""),"Cincinatti, OH")</f>
        <v>Cincinatti, OH</v>
      </c>
      <c r="H215" s="4" t="str">
        <f>IFERROR(__xludf.DUMMYFUNCTION("""COMPUTED_VALUE"""),"https://www.linkedin.com/posts/januarydurbin_who-activity-7237554144167784448-8oWW?utm_source=share&amp;utm_medium=member_desktop")</f>
        <v>https://www.linkedin.com/posts/januarydurbin_who-activity-7237554144167784448-8oWW?utm_source=share&amp;utm_medium=member_desktop</v>
      </c>
    </row>
    <row r="216">
      <c r="A216" s="2">
        <f>IFERROR(__xludf.DUMMYFUNCTION("""COMPUTED_VALUE"""),45541.0)</f>
        <v>45541</v>
      </c>
      <c r="B216" s="1" t="str">
        <f>IFERROR(__xludf.DUMMYFUNCTION("""COMPUTED_VALUE"""),"ASSA ABLOY")</f>
        <v>ASSA ABLOY</v>
      </c>
      <c r="C216" s="1" t="str">
        <f>IFERROR(__xludf.DUMMYFUNCTION("""COMPUTED_VALUE"""),"Senior Financial Analyst")</f>
        <v>Senior Financial Analyst</v>
      </c>
      <c r="D216" s="1" t="str">
        <f>IFERROR(__xludf.DUMMYFUNCTION("""COMPUTED_VALUE"""),"Hybrid")</f>
        <v>Hybrid</v>
      </c>
      <c r="E216" s="3" t="str">
        <f>IFERROR(__xludf.DUMMYFUNCTION("""COMPUTED_VALUE"""),"$82k - $120k")</f>
        <v>$82k - $120k</v>
      </c>
      <c r="F216" s="1" t="str">
        <f>IFERROR(__xludf.DUMMYFUNCTION("""COMPUTED_VALUE"""),"3 - 5")</f>
        <v>3 - 5</v>
      </c>
      <c r="G216" s="1" t="str">
        <f>IFERROR(__xludf.DUMMYFUNCTION("""COMPUTED_VALUE"""),"Lake Forest, CA")</f>
        <v>Lake Forest, CA</v>
      </c>
      <c r="H216" s="4" t="str">
        <f>IFERROR(__xludf.DUMMYFUNCTION("""COMPUTED_VALUE"""),"https://www.linkedin.com/posts/mpham01_assa-abloy-senior-financial-analyst-activity-7237583018863771648-RV2D?utm_source=share&amp;utm_medium=member_desktop")</f>
        <v>https://www.linkedin.com/posts/mpham01_assa-abloy-senior-financial-analyst-activity-7237583018863771648-RV2D?utm_source=share&amp;utm_medium=member_desktop</v>
      </c>
    </row>
    <row r="217">
      <c r="A217" s="2">
        <f>IFERROR(__xludf.DUMMYFUNCTION("""COMPUTED_VALUE"""),45541.0)</f>
        <v>45541</v>
      </c>
      <c r="B217" s="1" t="str">
        <f>IFERROR(__xludf.DUMMYFUNCTION("""COMPUTED_VALUE"""),"LeadStack Inc.")</f>
        <v>LeadStack Inc.</v>
      </c>
      <c r="C217" s="1" t="str">
        <f>IFERROR(__xludf.DUMMYFUNCTION("""COMPUTED_VALUE"""),"Operations and Finance/Accounting Analyst")</f>
        <v>Operations and Finance/Accounting Analyst</v>
      </c>
      <c r="D217" s="1" t="str">
        <f>IFERROR(__xludf.DUMMYFUNCTION("""COMPUTED_VALUE"""),"Remote")</f>
        <v>Remote</v>
      </c>
      <c r="E217" s="3" t="str">
        <f>IFERROR(__xludf.DUMMYFUNCTION("""COMPUTED_VALUE"""),"N/A")</f>
        <v>N/A</v>
      </c>
      <c r="F217" s="1" t="str">
        <f>IFERROR(__xludf.DUMMYFUNCTION("""COMPUTED_VALUE"""),"0 - 2")</f>
        <v>0 - 2</v>
      </c>
      <c r="G217" s="1" t="str">
        <f>IFERROR(__xludf.DUMMYFUNCTION("""COMPUTED_VALUE"""),"USA")</f>
        <v>USA</v>
      </c>
      <c r="H217" s="4" t="str">
        <f>IFERROR(__xludf.DUMMYFUNCTION("""COMPUTED_VALUE"""),"https://www.linkedin.com/posts/activity-7237583975890706434-XOcf?utm_source=share&amp;utm_medium=member_desktop")</f>
        <v>https://www.linkedin.com/posts/activity-7237583975890706434-XOcf?utm_source=share&amp;utm_medium=member_desktop</v>
      </c>
    </row>
    <row r="218">
      <c r="A218" s="2">
        <f>IFERROR(__xludf.DUMMYFUNCTION("""COMPUTED_VALUE"""),45541.0)</f>
        <v>45541</v>
      </c>
      <c r="B218" s="1" t="str">
        <f>IFERROR(__xludf.DUMMYFUNCTION("""COMPUTED_VALUE"""),"AgVantis, Inc.")</f>
        <v>AgVantis, Inc.</v>
      </c>
      <c r="C218" s="1" t="str">
        <f>IFERROR(__xludf.DUMMYFUNCTION("""COMPUTED_VALUE"""),"Senior Data Analyst")</f>
        <v>Senior Data Analyst</v>
      </c>
      <c r="D218" s="1" t="str">
        <f>IFERROR(__xludf.DUMMYFUNCTION("""COMPUTED_VALUE"""),"On-Site")</f>
        <v>On-Site</v>
      </c>
      <c r="E218" s="3" t="str">
        <f>IFERROR(__xludf.DUMMYFUNCTION("""COMPUTED_VALUE"""),"N/A")</f>
        <v>N/A</v>
      </c>
      <c r="F218" s="1" t="str">
        <f>IFERROR(__xludf.DUMMYFUNCTION("""COMPUTED_VALUE"""),"3 - 5")</f>
        <v>3 - 5</v>
      </c>
      <c r="G218" s="1" t="str">
        <f>IFERROR(__xludf.DUMMYFUNCTION("""COMPUTED_VALUE"""),"Wichita, KS")</f>
        <v>Wichita, KS</v>
      </c>
      <c r="H218" s="4" t="str">
        <f>IFERROR(__xludf.DUMMYFUNCTION("""COMPUTED_VALUE"""),"https://www.linkedin.com/posts/christi-nicholson-b9185b13_check-out-this-job-at-agvantis-inc-senior-activity-7237600348637388800-Q8Ll?utm_source=share&amp;utm_medium=member_desktop")</f>
        <v>https://www.linkedin.com/posts/christi-nicholson-b9185b13_check-out-this-job-at-agvantis-inc-senior-activity-7237600348637388800-Q8Ll?utm_source=share&amp;utm_medium=member_desktop</v>
      </c>
    </row>
    <row r="219">
      <c r="A219" s="2">
        <f>IFERROR(__xludf.DUMMYFUNCTION("""COMPUTED_VALUE"""),45541.0)</f>
        <v>45541</v>
      </c>
      <c r="B219" s="1" t="str">
        <f>IFERROR(__xludf.DUMMYFUNCTION("""COMPUTED_VALUE"""),"BetterHelp")</f>
        <v>BetterHelp</v>
      </c>
      <c r="C219" s="1" t="str">
        <f>IFERROR(__xludf.DUMMYFUNCTION("""COMPUTED_VALUE"""),"Senior Data Scientist, Marketing Models")</f>
        <v>Senior Data Scientist, Marketing Models</v>
      </c>
      <c r="D219" s="1" t="str">
        <f>IFERROR(__xludf.DUMMYFUNCTION("""COMPUTED_VALUE"""),"Hybrid")</f>
        <v>Hybrid</v>
      </c>
      <c r="E219" s="3" t="str">
        <f>IFERROR(__xludf.DUMMYFUNCTION("""COMPUTED_VALUE"""),"$150k - $207k")</f>
        <v>$150k - $207k</v>
      </c>
      <c r="F219" s="1" t="str">
        <f>IFERROR(__xludf.DUMMYFUNCTION("""COMPUTED_VALUE"""),"6 - 9")</f>
        <v>6 - 9</v>
      </c>
      <c r="G219" s="1" t="str">
        <f>IFERROR(__xludf.DUMMYFUNCTION("""COMPUTED_VALUE"""),"Mountain View, CA")</f>
        <v>Mountain View, CA</v>
      </c>
      <c r="H219" s="4" t="str">
        <f>IFERROR(__xludf.DUMMYFUNCTION("""COMPUTED_VALUE"""),"https://www.linkedin.com/posts/brittanyclevenger_senior-data-scientist-marketing-models-activity-7237559737838419968-oAGE?utm_source=share&amp;utm_medium=member_desktop")</f>
        <v>https://www.linkedin.com/posts/brittanyclevenger_senior-data-scientist-marketing-models-activity-7237559737838419968-oAGE?utm_source=share&amp;utm_medium=member_desktop</v>
      </c>
    </row>
    <row r="220">
      <c r="A220" s="2">
        <f>IFERROR(__xludf.DUMMYFUNCTION("""COMPUTED_VALUE"""),45541.0)</f>
        <v>45541</v>
      </c>
      <c r="B220" s="1" t="str">
        <f>IFERROR(__xludf.DUMMYFUNCTION("""COMPUTED_VALUE"""),"Newell Brands")</f>
        <v>Newell Brands</v>
      </c>
      <c r="C220" s="1" t="str">
        <f>IFERROR(__xludf.DUMMYFUNCTION("""COMPUTED_VALUE"""),"Senior Financial Analyst")</f>
        <v>Senior Financial Analyst</v>
      </c>
      <c r="D220" s="1" t="str">
        <f>IFERROR(__xludf.DUMMYFUNCTION("""COMPUTED_VALUE"""),"On-Site")</f>
        <v>On-Site</v>
      </c>
      <c r="E220" s="3" t="str">
        <f>IFERROR(__xludf.DUMMYFUNCTION("""COMPUTED_VALUE"""),"N/A")</f>
        <v>N/A</v>
      </c>
      <c r="F220" s="1" t="str">
        <f>IFERROR(__xludf.DUMMYFUNCTION("""COMPUTED_VALUE"""),"3 - 5")</f>
        <v>3 - 5</v>
      </c>
      <c r="G220" s="1" t="str">
        <f>IFERROR(__xludf.DUMMYFUNCTION("""COMPUTED_VALUE"""),"Whately, MA")</f>
        <v>Whately, MA</v>
      </c>
      <c r="H220" s="4" t="str">
        <f>IFERROR(__xludf.DUMMYFUNCTION("""COMPUTED_VALUE"""),"https://www.linkedin.com/posts/david-wells-0b08566_hiring-activity-7237554299549945856-wsVs?utm_source=share&amp;utm_medium=member_desktop")</f>
        <v>https://www.linkedin.com/posts/david-wells-0b08566_hiring-activity-7237554299549945856-wsVs?utm_source=share&amp;utm_medium=member_desktop</v>
      </c>
    </row>
    <row r="221">
      <c r="A221" s="2">
        <f>IFERROR(__xludf.DUMMYFUNCTION("""COMPUTED_VALUE"""),45541.0)</f>
        <v>45541</v>
      </c>
      <c r="B221" s="1" t="str">
        <f>IFERROR(__xludf.DUMMYFUNCTION("""COMPUTED_VALUE"""),"Suno")</f>
        <v>Suno</v>
      </c>
      <c r="C221" s="1" t="str">
        <f>IFERROR(__xludf.DUMMYFUNCTION("""COMPUTED_VALUE"""),"Senior Data Scientist")</f>
        <v>Senior Data Scientist</v>
      </c>
      <c r="D221" s="1" t="str">
        <f>IFERROR(__xludf.DUMMYFUNCTION("""COMPUTED_VALUE"""),"Remote")</f>
        <v>Remote</v>
      </c>
      <c r="E221" s="3" t="str">
        <f>IFERROR(__xludf.DUMMYFUNCTION("""COMPUTED_VALUE"""),"$170k - $230k")</f>
        <v>$170k - $230k</v>
      </c>
      <c r="F221" s="1" t="str">
        <f>IFERROR(__xludf.DUMMYFUNCTION("""COMPUTED_VALUE"""),"3 - 5")</f>
        <v>3 - 5</v>
      </c>
      <c r="G221" s="1" t="str">
        <f>IFERROR(__xludf.DUMMYFUNCTION("""COMPUTED_VALUE"""),"USA")</f>
        <v>USA</v>
      </c>
      <c r="H221" s="4" t="str">
        <f>IFERROR(__xludf.DUMMYFUNCTION("""COMPUTED_VALUE"""),"https://www.linkedin.com/posts/margaret-tian_im-hiring-looking-for-a-senior-data-scientist-activity-7237615121261305856-riE_?utm_source=share&amp;utm_medium=member_desktop")</f>
        <v>https://www.linkedin.com/posts/margaret-tian_im-hiring-looking-for-a-senior-data-scientist-activity-7237615121261305856-riE_?utm_source=share&amp;utm_medium=member_desktop</v>
      </c>
    </row>
    <row r="222">
      <c r="A222" s="2">
        <f>IFERROR(__xludf.DUMMYFUNCTION("""COMPUTED_VALUE"""),45541.0)</f>
        <v>45541</v>
      </c>
      <c r="B222" s="1" t="str">
        <f>IFERROR(__xludf.DUMMYFUNCTION("""COMPUTED_VALUE"""),"Honor")</f>
        <v>Honor</v>
      </c>
      <c r="C222" s="1" t="str">
        <f>IFERROR(__xludf.DUMMYFUNCTION("""COMPUTED_VALUE"""),"Staff Data Scientist")</f>
        <v>Staff Data Scientist</v>
      </c>
      <c r="D222" s="1" t="str">
        <f>IFERROR(__xludf.DUMMYFUNCTION("""COMPUTED_VALUE"""),"Remote")</f>
        <v>Remote</v>
      </c>
      <c r="E222" s="3" t="str">
        <f>IFERROR(__xludf.DUMMYFUNCTION("""COMPUTED_VALUE"""),"$192k - $225k")</f>
        <v>$192k - $225k</v>
      </c>
      <c r="F222" s="1" t="str">
        <f>IFERROR(__xludf.DUMMYFUNCTION("""COMPUTED_VALUE"""),"3 - 5")</f>
        <v>3 - 5</v>
      </c>
      <c r="G222" s="1" t="str">
        <f>IFERROR(__xludf.DUMMYFUNCTION("""COMPUTED_VALUE"""),"USA")</f>
        <v>USA</v>
      </c>
      <c r="H222" s="4" t="str">
        <f>IFERROR(__xludf.DUMMYFUNCTION("""COMPUTED_VALUE"""),"https://www.linkedin.com/posts/somhegyi_staff-data-scientist-remote-activity-7237578990733901824-urT1?utm_source=share&amp;utm_medium=member_desktop")</f>
        <v>https://www.linkedin.com/posts/somhegyi_staff-data-scientist-remote-activity-7237578990733901824-urT1?utm_source=share&amp;utm_medium=member_desktop</v>
      </c>
    </row>
    <row r="223">
      <c r="A223" s="2">
        <f>IFERROR(__xludf.DUMMYFUNCTION("""COMPUTED_VALUE"""),45541.0)</f>
        <v>45541</v>
      </c>
      <c r="B223" s="1" t="str">
        <f>IFERROR(__xludf.DUMMYFUNCTION("""COMPUTED_VALUE"""),"Softrams")</f>
        <v>Softrams</v>
      </c>
      <c r="C223" s="1" t="str">
        <f>IFERROR(__xludf.DUMMYFUNCTION("""COMPUTED_VALUE"""),"Senior Data Engineer")</f>
        <v>Senior Data Engineer</v>
      </c>
      <c r="D223" s="1" t="str">
        <f>IFERROR(__xludf.DUMMYFUNCTION("""COMPUTED_VALUE"""),"Remote")</f>
        <v>Remote</v>
      </c>
      <c r="E223" s="3" t="str">
        <f>IFERROR(__xludf.DUMMYFUNCTION("""COMPUTED_VALUE"""),"N/A")</f>
        <v>N/A</v>
      </c>
      <c r="F223" s="1" t="str">
        <f>IFERROR(__xludf.DUMMYFUNCTION("""COMPUTED_VALUE"""),"3 - 5")</f>
        <v>3 - 5</v>
      </c>
      <c r="G223" s="1" t="str">
        <f>IFERROR(__xludf.DUMMYFUNCTION("""COMPUTED_VALUE"""),"USA")</f>
        <v>USA</v>
      </c>
      <c r="H223" s="4" t="str">
        <f>IFERROR(__xludf.DUMMYFUNCTION("""COMPUTED_VALUE"""),"https://www.linkedin.com/posts/kyle-apfel-b8839a70_were-currently-hiring-a-senior-data-engineer-activity-7237661713850884097-AoeH?utm_source=share&amp;utm_medium=member_desktop")</f>
        <v>https://www.linkedin.com/posts/kyle-apfel-b8839a70_were-currently-hiring-a-senior-data-engineer-activity-7237661713850884097-AoeH?utm_source=share&amp;utm_medium=member_desktop</v>
      </c>
    </row>
    <row r="224">
      <c r="A224" s="2">
        <f>IFERROR(__xludf.DUMMYFUNCTION("""COMPUTED_VALUE"""),45541.0)</f>
        <v>45541</v>
      </c>
      <c r="B224" s="1" t="str">
        <f>IFERROR(__xludf.DUMMYFUNCTION("""COMPUTED_VALUE"""),"AbbVie")</f>
        <v>AbbVie</v>
      </c>
      <c r="C224" s="1" t="str">
        <f>IFERROR(__xludf.DUMMYFUNCTION("""COMPUTED_VALUE"""),"Lead Data and Analytics Engineer")</f>
        <v>Lead Data and Analytics Engineer</v>
      </c>
      <c r="D224" s="1" t="str">
        <f>IFERROR(__xludf.DUMMYFUNCTION("""COMPUTED_VALUE"""),"On-Site")</f>
        <v>On-Site</v>
      </c>
      <c r="E224" s="3" t="str">
        <f>IFERROR(__xludf.DUMMYFUNCTION("""COMPUTED_VALUE"""),"$92k - $174k")</f>
        <v>$92k - $174k</v>
      </c>
      <c r="F224" s="1" t="str">
        <f>IFERROR(__xludf.DUMMYFUNCTION("""COMPUTED_VALUE"""),"6 - 9")</f>
        <v>6 - 9</v>
      </c>
      <c r="G224" s="1" t="str">
        <f>IFERROR(__xludf.DUMMYFUNCTION("""COMPUTED_VALUE"""),"North Chicago, IL")</f>
        <v>North Chicago, IL</v>
      </c>
      <c r="H224" s="4" t="str">
        <f>IFERROR(__xludf.DUMMYFUNCTION("""COMPUTED_VALUE"""),"https://www.linkedin.com/posts/tinathomaseapen_lead-data-and-analytics-engineer-activity-7237463823421464576-7JY9?utm_source=share&amp;utm_medium=member_desktop")</f>
        <v>https://www.linkedin.com/posts/tinathomaseapen_lead-data-and-analytics-engineer-activity-7237463823421464576-7JY9?utm_source=share&amp;utm_medium=member_desktop</v>
      </c>
    </row>
    <row r="225">
      <c r="A225" s="2">
        <f>IFERROR(__xludf.DUMMYFUNCTION("""COMPUTED_VALUE"""),45541.0)</f>
        <v>45541</v>
      </c>
      <c r="B225" s="1" t="str">
        <f>IFERROR(__xludf.DUMMYFUNCTION("""COMPUTED_VALUE"""),"Bloomberg")</f>
        <v>Bloomberg</v>
      </c>
      <c r="C225" s="1" t="str">
        <f>IFERROR(__xludf.DUMMYFUNCTION("""COMPUTED_VALUE"""),"Editorial Data Analyst")</f>
        <v>Editorial Data Analyst</v>
      </c>
      <c r="D225" s="1" t="str">
        <f>IFERROR(__xludf.DUMMYFUNCTION("""COMPUTED_VALUE"""),"On-Site")</f>
        <v>On-Site</v>
      </c>
      <c r="E225" s="3" t="str">
        <f>IFERROR(__xludf.DUMMYFUNCTION("""COMPUTED_VALUE"""),"$80k - $95k")</f>
        <v>$80k - $95k</v>
      </c>
      <c r="F225" s="1" t="str">
        <f>IFERROR(__xludf.DUMMYFUNCTION("""COMPUTED_VALUE"""),"3 - 5")</f>
        <v>3 - 5</v>
      </c>
      <c r="G225" s="1" t="str">
        <f>IFERROR(__xludf.DUMMYFUNCTION("""COMPUTED_VALUE"""),"New York, NY")</f>
        <v>New York, NY</v>
      </c>
      <c r="H225" s="4" t="str">
        <f>IFERROR(__xludf.DUMMYFUNCTION("""COMPUTED_VALUE"""),"https://www.linkedin.com/posts/mehess_editorial-data-analyst-activity-7237548826079694850-xCxr?utm_source=share&amp;utm_medium=member_desktop")</f>
        <v>https://www.linkedin.com/posts/mehess_editorial-data-analyst-activity-7237548826079694850-xCxr?utm_source=share&amp;utm_medium=member_desktop</v>
      </c>
    </row>
    <row r="226">
      <c r="A226" s="2">
        <f>IFERROR(__xludf.DUMMYFUNCTION("""COMPUTED_VALUE"""),45541.0)</f>
        <v>45541</v>
      </c>
      <c r="B226" s="1" t="str">
        <f>IFERROR(__xludf.DUMMYFUNCTION("""COMPUTED_VALUE"""),"Fanatics")</f>
        <v>Fanatics</v>
      </c>
      <c r="C226" s="1" t="str">
        <f>IFERROR(__xludf.DUMMYFUNCTION("""COMPUTED_VALUE"""),"Sr Data Scientist")</f>
        <v>Sr Data Scientist</v>
      </c>
      <c r="D226" s="1" t="str">
        <f>IFERROR(__xludf.DUMMYFUNCTION("""COMPUTED_VALUE"""),"On-Site")</f>
        <v>On-Site</v>
      </c>
      <c r="E226" s="3" t="str">
        <f>IFERROR(__xludf.DUMMYFUNCTION("""COMPUTED_VALUE"""),"$152k - $190k")</f>
        <v>$152k - $190k</v>
      </c>
      <c r="F226" s="1" t="str">
        <f>IFERROR(__xludf.DUMMYFUNCTION("""COMPUTED_VALUE"""),"3 - 5")</f>
        <v>3 - 5</v>
      </c>
      <c r="G226" s="1" t="str">
        <f>IFERROR(__xludf.DUMMYFUNCTION("""COMPUTED_VALUE"""),"Los Angeles, CA")</f>
        <v>Los Angeles, CA</v>
      </c>
      <c r="H226" s="4" t="str">
        <f>IFERROR(__xludf.DUMMYFUNCTION("""COMPUTED_VALUE"""),"https://www.linkedin.com/posts/siavash-yasini_hiring-datascience-machinelearning-activity-7237836980099629056-bfhK?utm_source=share&amp;utm_medium=member_desktop")</f>
        <v>https://www.linkedin.com/posts/siavash-yasini_hiring-datascience-machinelearning-activity-7237836980099629056-bfhK?utm_source=share&amp;utm_medium=member_desktop</v>
      </c>
    </row>
    <row r="227">
      <c r="A227" s="2">
        <f>IFERROR(__xludf.DUMMYFUNCTION("""COMPUTED_VALUE"""),45541.0)</f>
        <v>45541</v>
      </c>
      <c r="B227" s="1" t="str">
        <f>IFERROR(__xludf.DUMMYFUNCTION("""COMPUTED_VALUE"""),"Toyota")</f>
        <v>Toyota</v>
      </c>
      <c r="C227" s="1" t="str">
        <f>IFERROR(__xludf.DUMMYFUNCTION("""COMPUTED_VALUE"""),"Senior Analyst - Analytics")</f>
        <v>Senior Analyst - Analytics</v>
      </c>
      <c r="D227" s="1" t="str">
        <f>IFERROR(__xludf.DUMMYFUNCTION("""COMPUTED_VALUE"""),"Hybrid")</f>
        <v>Hybrid</v>
      </c>
      <c r="E227" s="3" t="str">
        <f>IFERROR(__xludf.DUMMYFUNCTION("""COMPUTED_VALUE"""),"N/A")</f>
        <v>N/A</v>
      </c>
      <c r="F227" s="1" t="str">
        <f>IFERROR(__xludf.DUMMYFUNCTION("""COMPUTED_VALUE"""),"3 - 5")</f>
        <v>3 - 5</v>
      </c>
      <c r="G227" s="1" t="str">
        <f>IFERROR(__xludf.DUMMYFUNCTION("""COMPUTED_VALUE"""),"Plano, TX")</f>
        <v>Plano, TX</v>
      </c>
      <c r="H227" s="4" t="str">
        <f>IFERROR(__xludf.DUMMYFUNCTION("""COMPUTED_VALUE"""),"https://www.linkedin.com/posts/albert-ihm-5843376a_senior-analyst-analytics-in-plano-texas-activity-7237812930870714368-gPiy?utm_source=share&amp;utm_medium=member_desktop")</f>
        <v>https://www.linkedin.com/posts/albert-ihm-5843376a_senior-analyst-analytics-in-plano-texas-activity-7237812930870714368-gPiy?utm_source=share&amp;utm_medium=member_desktop</v>
      </c>
    </row>
    <row r="228">
      <c r="A228" s="2">
        <f>IFERROR(__xludf.DUMMYFUNCTION("""COMPUTED_VALUE"""),45541.0)</f>
        <v>45541</v>
      </c>
      <c r="B228" s="1" t="str">
        <f>IFERROR(__xludf.DUMMYFUNCTION("""COMPUTED_VALUE"""),"Warner Music Group")</f>
        <v>Warner Music Group</v>
      </c>
      <c r="C228" s="1" t="str">
        <f>IFERROR(__xludf.DUMMYFUNCTION("""COMPUTED_VALUE"""),"Data Scientist, Business Intelligence")</f>
        <v>Data Scientist, Business Intelligence</v>
      </c>
      <c r="D228" s="1" t="str">
        <f>IFERROR(__xludf.DUMMYFUNCTION("""COMPUTED_VALUE"""),"Hybrid")</f>
        <v>Hybrid</v>
      </c>
      <c r="E228" s="3" t="str">
        <f>IFERROR(__xludf.DUMMYFUNCTION("""COMPUTED_VALUE"""),"$150k - $160k")</f>
        <v>$150k - $160k</v>
      </c>
      <c r="F228" s="1" t="str">
        <f>IFERROR(__xludf.DUMMYFUNCTION("""COMPUTED_VALUE"""),"0 - 2")</f>
        <v>0 - 2</v>
      </c>
      <c r="G228" s="1" t="str">
        <f>IFERROR(__xludf.DUMMYFUNCTION("""COMPUTED_VALUE"""),"New York, NY")</f>
        <v>New York, NY</v>
      </c>
      <c r="H228" s="4" t="str">
        <f>IFERROR(__xludf.DUMMYFUNCTION("""COMPUTED_VALUE"""),"https://www.linkedin.com/posts/blakeefoster_data-scientist-business-intelligence-activity-7237872029406810112-TGtg?utm_source=share&amp;utm_medium=member_desktop")</f>
        <v>https://www.linkedin.com/posts/blakeefoster_data-scientist-business-intelligence-activity-7237872029406810112-TGtg?utm_source=share&amp;utm_medium=member_desktop</v>
      </c>
    </row>
    <row r="229">
      <c r="A229" s="2">
        <f>IFERROR(__xludf.DUMMYFUNCTION("""COMPUTED_VALUE"""),45541.0)</f>
        <v>45541</v>
      </c>
      <c r="B229" s="1" t="str">
        <f>IFERROR(__xludf.DUMMYFUNCTION("""COMPUTED_VALUE"""),"The Dallas Morning News")</f>
        <v>The Dallas Morning News</v>
      </c>
      <c r="C229" s="1" t="str">
        <f>IFERROR(__xludf.DUMMYFUNCTION("""COMPUTED_VALUE"""),"Senior Data Analyst")</f>
        <v>Senior Data Analyst</v>
      </c>
      <c r="D229" s="1" t="str">
        <f>IFERROR(__xludf.DUMMYFUNCTION("""COMPUTED_VALUE"""),"On-Site")</f>
        <v>On-Site</v>
      </c>
      <c r="E229" s="3" t="str">
        <f>IFERROR(__xludf.DUMMYFUNCTION("""COMPUTED_VALUE"""),"N/A")</f>
        <v>N/A</v>
      </c>
      <c r="F229" s="1" t="str">
        <f>IFERROR(__xludf.DUMMYFUNCTION("""COMPUTED_VALUE"""),"3 - 5")</f>
        <v>3 - 5</v>
      </c>
      <c r="G229" s="1" t="str">
        <f>IFERROR(__xludf.DUMMYFUNCTION("""COMPUTED_VALUE"""),"Dallas, TX")</f>
        <v>Dallas, TX</v>
      </c>
      <c r="H229" s="4" t="str">
        <f>IFERROR(__xludf.DUMMYFUNCTION("""COMPUTED_VALUE"""),"https://www.linkedin.com/posts/patheiger_job-alert-were-seeking-a-senior-data-activity-7237871272112635904-2_B-?utm_source=share&amp;utm_medium=member_desktop")</f>
        <v>https://www.linkedin.com/posts/patheiger_job-alert-were-seeking-a-senior-data-activity-7237871272112635904-2_B-?utm_source=share&amp;utm_medium=member_desktop</v>
      </c>
    </row>
    <row r="230">
      <c r="A230" s="2">
        <f>IFERROR(__xludf.DUMMYFUNCTION("""COMPUTED_VALUE"""),45541.0)</f>
        <v>45541</v>
      </c>
      <c r="B230" s="1" t="str">
        <f>IFERROR(__xludf.DUMMYFUNCTION("""COMPUTED_VALUE"""),"L'Oreal")</f>
        <v>L'Oreal</v>
      </c>
      <c r="C230" s="1" t="str">
        <f>IFERROR(__xludf.DUMMYFUNCTION("""COMPUTED_VALUE"""),"Sales Analyst- Cosmetics And Skin, CPD Walmart")</f>
        <v>Sales Analyst- Cosmetics And Skin, CPD Walmart</v>
      </c>
      <c r="D230" s="1" t="str">
        <f>IFERROR(__xludf.DUMMYFUNCTION("""COMPUTED_VALUE"""),"Remote")</f>
        <v>Remote</v>
      </c>
      <c r="E230" s="3" t="str">
        <f>IFERROR(__xludf.DUMMYFUNCTION("""COMPUTED_VALUE"""),"N/A")</f>
        <v>N/A</v>
      </c>
      <c r="F230" s="1" t="str">
        <f>IFERROR(__xludf.DUMMYFUNCTION("""COMPUTED_VALUE"""),"0 - 2")</f>
        <v>0 - 2</v>
      </c>
      <c r="G230" s="1" t="str">
        <f>IFERROR(__xludf.DUMMYFUNCTION("""COMPUTED_VALUE"""),"USA")</f>
        <v>USA</v>
      </c>
      <c r="H230" s="4" t="str">
        <f>IFERROR(__xludf.DUMMYFUNCTION("""COMPUTED_VALUE"""),"https://www.linkedin.com/posts/shawn-boss_sales-analyst-cosmetics-and-skin-cpd-walmart-activity-7237905847815655424-GajK?utm_source=share&amp;utm_medium=member_desktop")</f>
        <v>https://www.linkedin.com/posts/shawn-boss_sales-analyst-cosmetics-and-skin-cpd-walmart-activity-7237905847815655424-GajK?utm_source=share&amp;utm_medium=member_desktop</v>
      </c>
    </row>
    <row r="231">
      <c r="A231" s="2">
        <f>IFERROR(__xludf.DUMMYFUNCTION("""COMPUTED_VALUE"""),45541.0)</f>
        <v>45541</v>
      </c>
      <c r="B231" s="1" t="str">
        <f>IFERROR(__xludf.DUMMYFUNCTION("""COMPUTED_VALUE"""),"Activision")</f>
        <v>Activision</v>
      </c>
      <c r="C231" s="1" t="str">
        <f>IFERROR(__xludf.DUMMYFUNCTION("""COMPUTED_VALUE"""),"Sr. Financial Analyst")</f>
        <v>Sr. Financial Analyst</v>
      </c>
      <c r="D231" s="1" t="str">
        <f>IFERROR(__xludf.DUMMYFUNCTION("""COMPUTED_VALUE"""),"Hybrid")</f>
        <v>Hybrid</v>
      </c>
      <c r="E231" s="3" t="str">
        <f>IFERROR(__xludf.DUMMYFUNCTION("""COMPUTED_VALUE"""),"$73k - $134k")</f>
        <v>$73k - $134k</v>
      </c>
      <c r="F231" s="1" t="str">
        <f>IFERROR(__xludf.DUMMYFUNCTION("""COMPUTED_VALUE"""),"0 - 2")</f>
        <v>0 - 2</v>
      </c>
      <c r="G231" s="1" t="str">
        <f>IFERROR(__xludf.DUMMYFUNCTION("""COMPUTED_VALUE"""),"Santa Monica, CA")</f>
        <v>Santa Monica, CA</v>
      </c>
      <c r="H231" s="4" t="str">
        <f>IFERROR(__xludf.DUMMYFUNCTION("""COMPUTED_VALUE"""),"https://www.linkedin.com/posts/alex-summers_sr-financial-analyst-activity-7237883367478738945-UYEu?utm_source=share&amp;utm_medium=member_desktop")</f>
        <v>https://www.linkedin.com/posts/alex-summers_sr-financial-analyst-activity-7237883367478738945-UYEu?utm_source=share&amp;utm_medium=member_desktop</v>
      </c>
    </row>
    <row r="232">
      <c r="A232" s="2">
        <f>IFERROR(__xludf.DUMMYFUNCTION("""COMPUTED_VALUE"""),45541.0)</f>
        <v>45541</v>
      </c>
      <c r="B232" s="1" t="str">
        <f>IFERROR(__xludf.DUMMYFUNCTION("""COMPUTED_VALUE"""),"Jack Henry")</f>
        <v>Jack Henry</v>
      </c>
      <c r="C232" s="1" t="str">
        <f>IFERROR(__xludf.DUMMYFUNCTION("""COMPUTED_VALUE"""),"Financial Analyst III")</f>
        <v>Financial Analyst III</v>
      </c>
      <c r="D232" s="1" t="str">
        <f>IFERROR(__xludf.DUMMYFUNCTION("""COMPUTED_VALUE"""),"Hybrid")</f>
        <v>Hybrid</v>
      </c>
      <c r="E232" s="3" t="str">
        <f>IFERROR(__xludf.DUMMYFUNCTION("""COMPUTED_VALUE"""),"$52k - $85k")</f>
        <v>$52k - $85k</v>
      </c>
      <c r="F232" s="1" t="str">
        <f>IFERROR(__xludf.DUMMYFUNCTION("""COMPUTED_VALUE"""),"3 - 5")</f>
        <v>3 - 5</v>
      </c>
      <c r="G232" s="1" t="str">
        <f>IFERROR(__xludf.DUMMYFUNCTION("""COMPUTED_VALUE"""),"Springfield, MO")</f>
        <v>Springfield, MO</v>
      </c>
      <c r="H232" s="4" t="str">
        <f>IFERROR(__xludf.DUMMYFUNCTION("""COMPUTED_VALUE"""),"https://www.linkedin.com/posts/gdhjenniferlawrence_financialanalyst-financejobs-jackhenrycareers-activity-7237831806287278080-edfH?utm_source=share&amp;utm_medium=member_desktop")</f>
        <v>https://www.linkedin.com/posts/gdhjenniferlawrence_financialanalyst-financejobs-jackhenrycareers-activity-7237831806287278080-edfH?utm_source=share&amp;utm_medium=member_desktop</v>
      </c>
    </row>
    <row r="233">
      <c r="A233" s="2">
        <f>IFERROR(__xludf.DUMMYFUNCTION("""COMPUTED_VALUE"""),45541.0)</f>
        <v>45541</v>
      </c>
      <c r="B233" s="1" t="str">
        <f>IFERROR(__xludf.DUMMYFUNCTION("""COMPUTED_VALUE"""),"NewSchools")</f>
        <v>NewSchools</v>
      </c>
      <c r="C233" s="1" t="str">
        <f>IFERROR(__xludf.DUMMYFUNCTION("""COMPUTED_VALUE"""),"Analyst, Innovative Public Schools")</f>
        <v>Analyst, Innovative Public Schools</v>
      </c>
      <c r="D233" s="1" t="str">
        <f>IFERROR(__xludf.DUMMYFUNCTION("""COMPUTED_VALUE"""),"Remote")</f>
        <v>Remote</v>
      </c>
      <c r="E233" s="3" t="str">
        <f>IFERROR(__xludf.DUMMYFUNCTION("""COMPUTED_VALUE"""),"$83k - $105k")</f>
        <v>$83k - $105k</v>
      </c>
      <c r="F233" s="1" t="str">
        <f>IFERROR(__xludf.DUMMYFUNCTION("""COMPUTED_VALUE"""),"0 - 2")</f>
        <v>0 - 2</v>
      </c>
      <c r="G233" s="1" t="str">
        <f>IFERROR(__xludf.DUMMYFUNCTION("""COMPUTED_VALUE"""),"Certain Locations")</f>
        <v>Certain Locations</v>
      </c>
      <c r="H233" s="4" t="str">
        <f>IFERROR(__xludf.DUMMYFUNCTION("""COMPUTED_VALUE"""),"https://www.linkedin.com/posts/mialynnhoward_careers-activity-7237873232039583744-HNZF?utm_source=share&amp;utm_medium=member_desktop")</f>
        <v>https://www.linkedin.com/posts/mialynnhoward_careers-activity-7237873232039583744-HNZF?utm_source=share&amp;utm_medium=member_desktop</v>
      </c>
    </row>
    <row r="234">
      <c r="A234" s="2">
        <f>IFERROR(__xludf.DUMMYFUNCTION("""COMPUTED_VALUE"""),45541.0)</f>
        <v>45541</v>
      </c>
      <c r="B234" s="1" t="str">
        <f>IFERROR(__xludf.DUMMYFUNCTION("""COMPUTED_VALUE"""),"Octagon")</f>
        <v>Octagon</v>
      </c>
      <c r="C234" s="1" t="str">
        <f>IFERROR(__xludf.DUMMYFUNCTION("""COMPUTED_VALUE"""),"Analyst, Sponsorship Valuation")</f>
        <v>Analyst, Sponsorship Valuation</v>
      </c>
      <c r="D234" s="1" t="str">
        <f>IFERROR(__xludf.DUMMYFUNCTION("""COMPUTED_VALUE"""),"Remote")</f>
        <v>Remote</v>
      </c>
      <c r="E234" s="3" t="str">
        <f>IFERROR(__xludf.DUMMYFUNCTION("""COMPUTED_VALUE"""),"$50k - $60k")</f>
        <v>$50k - $60k</v>
      </c>
      <c r="F234" s="1" t="str">
        <f>IFERROR(__xludf.DUMMYFUNCTION("""COMPUTED_VALUE"""),"0 - 2")</f>
        <v>0 - 2</v>
      </c>
      <c r="G234" s="1" t="str">
        <f>IFERROR(__xludf.DUMMYFUNCTION("""COMPUTED_VALUE"""),"Certain Locations")</f>
        <v>Certain Locations</v>
      </c>
      <c r="H234" s="4" t="str">
        <f>IFERROR(__xludf.DUMMYFUNCTION("""COMPUTED_VALUE"""),"https://www.linkedin.com/posts/adam-daroff-12a37031_a-rare-opportunity-to-join-our-valuation-activity-7237886466507354112-sq4N?utm_source=share&amp;utm_medium=member_desktop")</f>
        <v>https://www.linkedin.com/posts/adam-daroff-12a37031_a-rare-opportunity-to-join-our-valuation-activity-7237886466507354112-sq4N?utm_source=share&amp;utm_medium=member_desktop</v>
      </c>
    </row>
    <row r="235">
      <c r="A235" s="2">
        <f>IFERROR(__xludf.DUMMYFUNCTION("""COMPUTED_VALUE"""),45541.0)</f>
        <v>45541</v>
      </c>
      <c r="B235" s="1" t="str">
        <f>IFERROR(__xludf.DUMMYFUNCTION("""COMPUTED_VALUE"""),"Warner Bros. Discovery")</f>
        <v>Warner Bros. Discovery</v>
      </c>
      <c r="C235" s="1" t="str">
        <f>IFERROR(__xludf.DUMMYFUNCTION("""COMPUTED_VALUE"""),"Analyst, Pricing and Promotions")</f>
        <v>Analyst, Pricing and Promotions</v>
      </c>
      <c r="D235" s="1" t="str">
        <f>IFERROR(__xludf.DUMMYFUNCTION("""COMPUTED_VALUE"""),"Hybrid")</f>
        <v>Hybrid</v>
      </c>
      <c r="E235" s="3" t="str">
        <f>IFERROR(__xludf.DUMMYFUNCTION("""COMPUTED_VALUE"""),"$51k - $95k")</f>
        <v>$51k - $95k</v>
      </c>
      <c r="F235" s="1" t="str">
        <f>IFERROR(__xludf.DUMMYFUNCTION("""COMPUTED_VALUE"""),"3 - 5")</f>
        <v>3 - 5</v>
      </c>
      <c r="G235" s="1" t="str">
        <f>IFERROR(__xludf.DUMMYFUNCTION("""COMPUTED_VALUE"""),"Burbank, CA")</f>
        <v>Burbank, CA</v>
      </c>
      <c r="H235" s="4" t="str">
        <f>IFERROR(__xludf.DUMMYFUNCTION("""COMPUTED_VALUE"""),"https://www.linkedin.com/posts/joedodson_analyst-pricing-and-promotions-in-burbank-activity-7237890993205747714-CVSx?utm_source=share&amp;utm_medium=member_desktop")</f>
        <v>https://www.linkedin.com/posts/joedodson_analyst-pricing-and-promotions-in-burbank-activity-7237890993205747714-CVSx?utm_source=share&amp;utm_medium=member_desktop</v>
      </c>
    </row>
    <row r="236">
      <c r="A236" s="2">
        <f>IFERROR(__xludf.DUMMYFUNCTION("""COMPUTED_VALUE"""),45541.0)</f>
        <v>45541</v>
      </c>
      <c r="B236" s="1" t="str">
        <f>IFERROR(__xludf.DUMMYFUNCTION("""COMPUTED_VALUE"""),"Sonesta Hotels")</f>
        <v>Sonesta Hotels</v>
      </c>
      <c r="C236" s="1" t="str">
        <f>IFERROR(__xludf.DUMMYFUNCTION("""COMPUTED_VALUE"""),"Point of Sale Business Analyst")</f>
        <v>Point of Sale Business Analyst</v>
      </c>
      <c r="D236" s="1" t="str">
        <f>IFERROR(__xludf.DUMMYFUNCTION("""COMPUTED_VALUE"""),"Remote")</f>
        <v>Remote</v>
      </c>
      <c r="E236" s="3" t="str">
        <f>IFERROR(__xludf.DUMMYFUNCTION("""COMPUTED_VALUE"""),"$58k - $81k")</f>
        <v>$58k - $81k</v>
      </c>
      <c r="F236" s="1" t="str">
        <f>IFERROR(__xludf.DUMMYFUNCTION("""COMPUTED_VALUE"""),"0 - 2")</f>
        <v>0 - 2</v>
      </c>
      <c r="G236" s="1" t="str">
        <f>IFERROR(__xludf.DUMMYFUNCTION("""COMPUTED_VALUE"""),"USA")</f>
        <v>USA</v>
      </c>
      <c r="H236" s="4" t="str">
        <f>IFERROR(__xludf.DUMMYFUNCTION("""COMPUTED_VALUE"""),"https://www.linkedin.com/posts/melaniefleming1_nowhiring-itcareers-hospitalityjobs-activity-7237915855244705792-24lP?utm_source=share&amp;utm_medium=member_desktop")</f>
        <v>https://www.linkedin.com/posts/melaniefleming1_nowhiring-itcareers-hospitalityjobs-activity-7237915855244705792-24lP?utm_source=share&amp;utm_medium=member_desktop</v>
      </c>
    </row>
    <row r="237">
      <c r="A237" s="2">
        <f>IFERROR(__xludf.DUMMYFUNCTION("""COMPUTED_VALUE"""),45541.0)</f>
        <v>45541</v>
      </c>
      <c r="B237" s="1" t="str">
        <f>IFERROR(__xludf.DUMMYFUNCTION("""COMPUTED_VALUE"""),"Advanced Recovery Systems, LLC")</f>
        <v>Advanced Recovery Systems, LLC</v>
      </c>
      <c r="C237" s="1" t="str">
        <f>IFERROR(__xludf.DUMMYFUNCTION("""COMPUTED_VALUE"""),"Senior Financial Analyst")</f>
        <v>Senior Financial Analyst</v>
      </c>
      <c r="D237" s="1" t="str">
        <f>IFERROR(__xludf.DUMMYFUNCTION("""COMPUTED_VALUE"""),"Hybrid")</f>
        <v>Hybrid</v>
      </c>
      <c r="E237" s="3" t="str">
        <f>IFERROR(__xludf.DUMMYFUNCTION("""COMPUTED_VALUE"""),"N/A")</f>
        <v>N/A</v>
      </c>
      <c r="F237" s="1" t="str">
        <f>IFERROR(__xludf.DUMMYFUNCTION("""COMPUTED_VALUE"""),"3 - 5")</f>
        <v>3 - 5</v>
      </c>
      <c r="G237" s="1" t="str">
        <f>IFERROR(__xludf.DUMMYFUNCTION("""COMPUTED_VALUE"""),"Fort Lauderdale, FL")</f>
        <v>Fort Lauderdale, FL</v>
      </c>
      <c r="H237" s="4" t="str">
        <f>IFERROR(__xludf.DUMMYFUNCTION("""COMPUTED_VALUE"""),"https://www.linkedin.com/posts/krist-thaqi_financejobs-senioranalyst-financialanalysis-activity-7237818014132236288-CIw-?utm_source=share&amp;utm_medium=member_desktop")</f>
        <v>https://www.linkedin.com/posts/krist-thaqi_financejobs-senioranalyst-financialanalysis-activity-7237818014132236288-CIw-?utm_source=share&amp;utm_medium=member_desktop</v>
      </c>
    </row>
    <row r="238">
      <c r="A238" s="2">
        <f>IFERROR(__xludf.DUMMYFUNCTION("""COMPUTED_VALUE"""),45541.0)</f>
        <v>45541</v>
      </c>
      <c r="B238" s="1" t="str">
        <f>IFERROR(__xludf.DUMMYFUNCTION("""COMPUTED_VALUE"""),"Chick-fil-A")</f>
        <v>Chick-fil-A</v>
      </c>
      <c r="C238" s="1" t="str">
        <f>IFERROR(__xludf.DUMMYFUNCTION("""COMPUTED_VALUE"""),"Lead Data Scientist, Restaurant Pricing &amp; Performance Insights")</f>
        <v>Lead Data Scientist, Restaurant Pricing &amp; Performance Insights</v>
      </c>
      <c r="D238" s="1" t="str">
        <f>IFERROR(__xludf.DUMMYFUNCTION("""COMPUTED_VALUE"""),"Hybrid")</f>
        <v>Hybrid</v>
      </c>
      <c r="E238" s="3" t="str">
        <f>IFERROR(__xludf.DUMMYFUNCTION("""COMPUTED_VALUE"""),"N/A")</f>
        <v>N/A</v>
      </c>
      <c r="F238" s="1" t="str">
        <f>IFERROR(__xludf.DUMMYFUNCTION("""COMPUTED_VALUE"""),"3 - 5")</f>
        <v>3 - 5</v>
      </c>
      <c r="G238" s="1" t="str">
        <f>IFERROR(__xludf.DUMMYFUNCTION("""COMPUTED_VALUE"""),"Atlanta, GA")</f>
        <v>Atlanta, GA</v>
      </c>
      <c r="H238" s="4" t="str">
        <f>IFERROR(__xludf.DUMMYFUNCTION("""COMPUTED_VALUE"""),"https://www.linkedin.com/posts/vanessa-tally-lead-advisor-staff-selection-aa8582b5_lead-data-scientist-restaurant-pricing-activity-7237804708126478336-3dyD?utm_source=share&amp;utm_medium=member_desktop")</f>
        <v>https://www.linkedin.com/posts/vanessa-tally-lead-advisor-staff-selection-aa8582b5_lead-data-scientist-restaurant-pricing-activity-7237804708126478336-3dyD?utm_source=share&amp;utm_medium=member_desktop</v>
      </c>
    </row>
    <row r="239">
      <c r="A239" s="2">
        <f>IFERROR(__xludf.DUMMYFUNCTION("""COMPUTED_VALUE"""),45541.0)</f>
        <v>45541</v>
      </c>
      <c r="B239" s="1" t="str">
        <f>IFERROR(__xludf.DUMMYFUNCTION("""COMPUTED_VALUE"""),"Empassion Health")</f>
        <v>Empassion Health</v>
      </c>
      <c r="C239" s="1" t="str">
        <f>IFERROR(__xludf.DUMMYFUNCTION("""COMPUTED_VALUE"""),"Data Analyst")</f>
        <v>Data Analyst</v>
      </c>
      <c r="D239" s="1" t="str">
        <f>IFERROR(__xludf.DUMMYFUNCTION("""COMPUTED_VALUE"""),"Hybrid")</f>
        <v>Hybrid</v>
      </c>
      <c r="E239" s="3" t="str">
        <f>IFERROR(__xludf.DUMMYFUNCTION("""COMPUTED_VALUE"""),"$130k - $175k")</f>
        <v>$130k - $175k</v>
      </c>
      <c r="F239" s="1" t="str">
        <f>IFERROR(__xludf.DUMMYFUNCTION("""COMPUTED_VALUE"""),"3 - 5")</f>
        <v>3 - 5</v>
      </c>
      <c r="G239" s="1" t="str">
        <f>IFERROR(__xludf.DUMMYFUNCTION("""COMPUTED_VALUE"""),"New York, NY")</f>
        <v>New York, NY</v>
      </c>
      <c r="H239" s="4" t="str">
        <f>IFERROR(__xludf.DUMMYFUNCTION("""COMPUTED_VALUE"""),"https://www.linkedin.com/posts/adamcaccavale_were-hiring-a-nyc-based-data-analyst-if-activity-7237811802082869248-Uyw-?utm_source=share&amp;utm_medium=member_desktop")</f>
        <v>https://www.linkedin.com/posts/adamcaccavale_were-hiring-a-nyc-based-data-analyst-if-activity-7237811802082869248-Uyw-?utm_source=share&amp;utm_medium=member_desktop</v>
      </c>
    </row>
    <row r="240">
      <c r="A240" s="2">
        <f>IFERROR(__xludf.DUMMYFUNCTION("""COMPUTED_VALUE"""),45541.0)</f>
        <v>45541</v>
      </c>
      <c r="B240" s="1" t="str">
        <f>IFERROR(__xludf.DUMMYFUNCTION("""COMPUTED_VALUE"""),"RaceTrac")</f>
        <v>RaceTrac</v>
      </c>
      <c r="C240" s="1" t="str">
        <f>IFERROR(__xludf.DUMMYFUNCTION("""COMPUTED_VALUE"""),"Analytics Consultant")</f>
        <v>Analytics Consultant</v>
      </c>
      <c r="D240" s="1" t="str">
        <f>IFERROR(__xludf.DUMMYFUNCTION("""COMPUTED_VALUE"""),"Hybrid")</f>
        <v>Hybrid</v>
      </c>
      <c r="E240" s="3" t="str">
        <f>IFERROR(__xludf.DUMMYFUNCTION("""COMPUTED_VALUE"""),"N/A")</f>
        <v>N/A</v>
      </c>
      <c r="F240" s="1" t="str">
        <f>IFERROR(__xludf.DUMMYFUNCTION("""COMPUTED_VALUE"""),"3 - 5")</f>
        <v>3 - 5</v>
      </c>
      <c r="G240" s="1" t="str">
        <f>IFERROR(__xludf.DUMMYFUNCTION("""COMPUTED_VALUE"""),"Atlanta, GA")</f>
        <v>Atlanta, GA</v>
      </c>
      <c r="H240" s="4" t="str">
        <f>IFERROR(__xludf.DUMMYFUNCTION("""COMPUTED_VALUE"""),"https://www.linkedin.com/posts/matthewdjacoby_analytics-datascience-jobopportunity-ugcPost-7237930870978809857-NsxD?utm_source=share&amp;utm_medium=member_desktop")</f>
        <v>https://www.linkedin.com/posts/matthewdjacoby_analytics-datascience-jobopportunity-ugcPost-7237930870978809857-NsxD?utm_source=share&amp;utm_medium=member_desktop</v>
      </c>
    </row>
    <row r="241">
      <c r="A241" s="2">
        <f>IFERROR(__xludf.DUMMYFUNCTION("""COMPUTED_VALUE"""),45541.0)</f>
        <v>45541</v>
      </c>
      <c r="B241" s="1" t="str">
        <f>IFERROR(__xludf.DUMMYFUNCTION("""COMPUTED_VALUE"""),"Dick's Sporting Goods")</f>
        <v>Dick's Sporting Goods</v>
      </c>
      <c r="C241" s="1" t="str">
        <f>IFERROR(__xludf.DUMMYFUNCTION("""COMPUTED_VALUE"""),"Data Analyst II - Athlete Contacts (REMOTE)")</f>
        <v>Data Analyst II - Athlete Contacts (REMOTE)</v>
      </c>
      <c r="D241" s="1" t="str">
        <f>IFERROR(__xludf.DUMMYFUNCTION("""COMPUTED_VALUE"""),"Remote")</f>
        <v>Remote</v>
      </c>
      <c r="E241" s="3" t="str">
        <f>IFERROR(__xludf.DUMMYFUNCTION("""COMPUTED_VALUE"""),"$55k - $91k")</f>
        <v>$55k - $91k</v>
      </c>
      <c r="F241" s="1" t="str">
        <f>IFERROR(__xludf.DUMMYFUNCTION("""COMPUTED_VALUE"""),"0 - 2")</f>
        <v>0 - 2</v>
      </c>
      <c r="G241" s="1" t="str">
        <f>IFERROR(__xludf.DUMMYFUNCTION("""COMPUTED_VALUE"""),"USA")</f>
        <v>USA</v>
      </c>
      <c r="H241" s="4" t="str">
        <f>IFERROR(__xludf.DUMMYFUNCTION("""COMPUTED_VALUE"""),"https://www.linkedin.com/posts/francescadascenzo_data-analyst-ii-athlete-contacts-remote-activity-7237915579746021376-5q-t?utm_source=share&amp;utm_medium=member_desktop")</f>
        <v>https://www.linkedin.com/posts/francescadascenzo_data-analyst-ii-athlete-contacts-remote-activity-7237915579746021376-5q-t?utm_source=share&amp;utm_medium=member_desktop</v>
      </c>
    </row>
    <row r="242">
      <c r="A242" s="2">
        <f>IFERROR(__xludf.DUMMYFUNCTION("""COMPUTED_VALUE"""),45541.0)</f>
        <v>45541</v>
      </c>
      <c r="B242" s="1" t="str">
        <f>IFERROR(__xludf.DUMMYFUNCTION("""COMPUTED_VALUE"""),"Heartland Business Systems")</f>
        <v>Heartland Business Systems</v>
      </c>
      <c r="C242" s="1" t="str">
        <f>IFERROR(__xludf.DUMMYFUNCTION("""COMPUTED_VALUE"""),"Senior Data Engineer I")</f>
        <v>Senior Data Engineer I</v>
      </c>
      <c r="D242" s="1" t="str">
        <f>IFERROR(__xludf.DUMMYFUNCTION("""COMPUTED_VALUE"""),"Remote")</f>
        <v>Remote</v>
      </c>
      <c r="E242" s="3" t="str">
        <f>IFERROR(__xludf.DUMMYFUNCTION("""COMPUTED_VALUE"""),"N/A")</f>
        <v>N/A</v>
      </c>
      <c r="F242" s="1" t="str">
        <f>IFERROR(__xludf.DUMMYFUNCTION("""COMPUTED_VALUE"""),"6 - 9")</f>
        <v>6 - 9</v>
      </c>
      <c r="G242" s="1" t="str">
        <f>IFERROR(__xludf.DUMMYFUNCTION("""COMPUTED_VALUE"""),"Little Chute, WI")</f>
        <v>Little Chute, WI</v>
      </c>
      <c r="H242" s="4" t="str">
        <f>IFERROR(__xludf.DUMMYFUNCTION("""COMPUTED_VALUE"""),"https://www.linkedin.com/posts/sarahacampillo_hiring-dataengineer-activity-7237543692968804352-qZaO?utm_source=share&amp;utm_medium=member_desktop")</f>
        <v>https://www.linkedin.com/posts/sarahacampillo_hiring-dataengineer-activity-7237543692968804352-qZaO?utm_source=share&amp;utm_medium=member_desktop</v>
      </c>
    </row>
    <row r="243">
      <c r="A243" s="2">
        <f>IFERROR(__xludf.DUMMYFUNCTION("""COMPUTED_VALUE"""),45541.0)</f>
        <v>45541</v>
      </c>
      <c r="B243" s="1" t="str">
        <f>IFERROR(__xludf.DUMMYFUNCTION("""COMPUTED_VALUE"""),"Mayo Clinic")</f>
        <v>Mayo Clinic</v>
      </c>
      <c r="C243" s="1" t="str">
        <f>IFERROR(__xludf.DUMMYFUNCTION("""COMPUTED_VALUE"""),"Analytics Visualization Developer - CDH - Remote")</f>
        <v>Analytics Visualization Developer - CDH - Remote</v>
      </c>
      <c r="D243" s="1" t="str">
        <f>IFERROR(__xludf.DUMMYFUNCTION("""COMPUTED_VALUE"""),"Remote")</f>
        <v>Remote</v>
      </c>
      <c r="E243" s="3" t="str">
        <f>IFERROR(__xludf.DUMMYFUNCTION("""COMPUTED_VALUE"""),"$81k - $113k")</f>
        <v>$81k - $113k</v>
      </c>
      <c r="F243" s="1" t="str">
        <f>IFERROR(__xludf.DUMMYFUNCTION("""COMPUTED_VALUE"""),"0 - 2")</f>
        <v>0 - 2</v>
      </c>
      <c r="G243" s="1" t="str">
        <f>IFERROR(__xludf.DUMMYFUNCTION("""COMPUTED_VALUE"""),"USA")</f>
        <v>USA</v>
      </c>
      <c r="H243" s="4" t="str">
        <f>IFERROR(__xludf.DUMMYFUNCTION("""COMPUTED_VALUE"""),"https://www.linkedin.com/posts/amandawelt_analytics-visualization-developer-cdh-activity-7237909807314169856-xDPV?utm_source=share&amp;utm_medium=member_desktop")</f>
        <v>https://www.linkedin.com/posts/amandawelt_analytics-visualization-developer-cdh-activity-7237909807314169856-xDPV?utm_source=share&amp;utm_medium=member_desktop</v>
      </c>
    </row>
    <row r="244">
      <c r="A244" s="2">
        <f>IFERROR(__xludf.DUMMYFUNCTION("""COMPUTED_VALUE"""),45541.0)</f>
        <v>45541</v>
      </c>
      <c r="B244" s="1" t="str">
        <f>IFERROR(__xludf.DUMMYFUNCTION("""COMPUTED_VALUE"""),"Revolution Foods")</f>
        <v>Revolution Foods</v>
      </c>
      <c r="C244" s="1" t="str">
        <f>IFERROR(__xludf.DUMMYFUNCTION("""COMPUTED_VALUE"""),"Data and Analytics Manager")</f>
        <v>Data and Analytics Manager</v>
      </c>
      <c r="D244" s="1" t="str">
        <f>IFERROR(__xludf.DUMMYFUNCTION("""COMPUTED_VALUE"""),"On-Site")</f>
        <v>On-Site</v>
      </c>
      <c r="E244" s="3" t="str">
        <f>IFERROR(__xludf.DUMMYFUNCTION("""COMPUTED_VALUE"""),"$115k - $130k")</f>
        <v>$115k - $130k</v>
      </c>
      <c r="F244" s="1" t="str">
        <f>IFERROR(__xludf.DUMMYFUNCTION("""COMPUTED_VALUE"""),"6 - 9")</f>
        <v>6 - 9</v>
      </c>
      <c r="G244" s="1" t="str">
        <f>IFERROR(__xludf.DUMMYFUNCTION("""COMPUTED_VALUE"""),"Commerce, CA")</f>
        <v>Commerce, CA</v>
      </c>
      <c r="H244" s="4" t="str">
        <f>IFERROR(__xludf.DUMMYFUNCTION("""COMPUTED_VALUE"""),"https://www.linkedin.com/posts/jwickremaratne_datajobs-analytics-foodindustry-activity-7237913079689191424-OA_n?utm_source=share&amp;utm_medium=member_desktop")</f>
        <v>https://www.linkedin.com/posts/jwickremaratne_datajobs-analytics-foodindustry-activity-7237913079689191424-OA_n?utm_source=share&amp;utm_medium=member_desktop</v>
      </c>
    </row>
    <row r="245">
      <c r="A245" s="2">
        <f>IFERROR(__xludf.DUMMYFUNCTION("""COMPUTED_VALUE"""),45541.0)</f>
        <v>45541</v>
      </c>
      <c r="B245" s="1" t="str">
        <f>IFERROR(__xludf.DUMMYFUNCTION("""COMPUTED_VALUE"""),"Seso Inc.")</f>
        <v>Seso Inc.</v>
      </c>
      <c r="C245" s="1" t="str">
        <f>IFERROR(__xludf.DUMMYFUNCTION("""COMPUTED_VALUE"""),"Analytics Manager")</f>
        <v>Analytics Manager</v>
      </c>
      <c r="D245" s="1" t="str">
        <f>IFERROR(__xludf.DUMMYFUNCTION("""COMPUTED_VALUE"""),"Remote")</f>
        <v>Remote</v>
      </c>
      <c r="E245" s="3" t="str">
        <f>IFERROR(__xludf.DUMMYFUNCTION("""COMPUTED_VALUE"""),"$120k - $140k")</f>
        <v>$120k - $140k</v>
      </c>
      <c r="F245" s="1" t="str">
        <f>IFERROR(__xludf.DUMMYFUNCTION("""COMPUTED_VALUE"""),"3 - 5")</f>
        <v>3 - 5</v>
      </c>
      <c r="G245" s="1" t="str">
        <f>IFERROR(__xludf.DUMMYFUNCTION("""COMPUTED_VALUE"""),"USA")</f>
        <v>USA</v>
      </c>
      <c r="H245" s="4" t="str">
        <f>IFERROR(__xludf.DUMMYFUNCTION("""COMPUTED_VALUE"""),"https://www.linkedin.com/posts/nafusdavid_analytics-dataanalysis-hiringopportunity-activity-7237874148583124992-MCsU?utm_source=share&amp;utm_medium=member_desktop")</f>
        <v>https://www.linkedin.com/posts/nafusdavid_analytics-dataanalysis-hiringopportunity-activity-7237874148583124992-MCsU?utm_source=share&amp;utm_medium=member_desktop</v>
      </c>
    </row>
    <row r="246">
      <c r="A246" s="2">
        <f>IFERROR(__xludf.DUMMYFUNCTION("""COMPUTED_VALUE"""),45541.0)</f>
        <v>45541</v>
      </c>
      <c r="B246" s="1" t="str">
        <f>IFERROR(__xludf.DUMMYFUNCTION("""COMPUTED_VALUE"""),"Zeus")</f>
        <v>Zeus</v>
      </c>
      <c r="C246" s="1" t="str">
        <f>IFERROR(__xludf.DUMMYFUNCTION("""COMPUTED_VALUE"""),"Sr Business Intelligence Analyst")</f>
        <v>Sr Business Intelligence Analyst</v>
      </c>
      <c r="D246" s="1" t="str">
        <f>IFERROR(__xludf.DUMMYFUNCTION("""COMPUTED_VALUE"""),"Remote")</f>
        <v>Remote</v>
      </c>
      <c r="E246" s="3" t="str">
        <f>IFERROR(__xludf.DUMMYFUNCTION("""COMPUTED_VALUE"""),"N/A")</f>
        <v>N/A</v>
      </c>
      <c r="F246" s="1" t="str">
        <f>IFERROR(__xludf.DUMMYFUNCTION("""COMPUTED_VALUE"""),"3 - 5")</f>
        <v>3 - 5</v>
      </c>
      <c r="G246" s="1" t="str">
        <f>IFERROR(__xludf.DUMMYFUNCTION("""COMPUTED_VALUE"""),"Orangeburg, SC")</f>
        <v>Orangeburg, SC</v>
      </c>
      <c r="H246" s="4" t="str">
        <f>IFERROR(__xludf.DUMMYFUNCTION("""COMPUTED_VALUE"""),"https://www.linkedin.com/posts/donaldmclarkeiii_are-you-seeking-a-position-in-data-analytics-activity-7237518820704227328-G695?utm_source=share&amp;utm_medium=member_desktop")</f>
        <v>https://www.linkedin.com/posts/donaldmclarkeiii_are-you-seeking-a-position-in-data-analytics-activity-7237518820704227328-G695?utm_source=share&amp;utm_medium=member_desktop</v>
      </c>
    </row>
    <row r="247">
      <c r="A247" s="2">
        <f>IFERROR(__xludf.DUMMYFUNCTION("""COMPUTED_VALUE"""),45541.0)</f>
        <v>45541</v>
      </c>
      <c r="B247" s="1" t="str">
        <f>IFERROR(__xludf.DUMMYFUNCTION("""COMPUTED_VALUE"""),"Toyota")</f>
        <v>Toyota</v>
      </c>
      <c r="C247" s="1" t="str">
        <f>IFERROR(__xludf.DUMMYFUNCTION("""COMPUTED_VALUE"""),"Senior Analyst, Finance and Sales Analytics")</f>
        <v>Senior Analyst, Finance and Sales Analytics</v>
      </c>
      <c r="D247" s="1" t="str">
        <f>IFERROR(__xludf.DUMMYFUNCTION("""COMPUTED_VALUE"""),"Hybrid")</f>
        <v>Hybrid</v>
      </c>
      <c r="E247" s="3" t="str">
        <f>IFERROR(__xludf.DUMMYFUNCTION("""COMPUTED_VALUE"""),"N/A")</f>
        <v>N/A</v>
      </c>
      <c r="F247" s="1" t="str">
        <f>IFERROR(__xludf.DUMMYFUNCTION("""COMPUTED_VALUE"""),"3 - 5")</f>
        <v>3 - 5</v>
      </c>
      <c r="G247" s="1" t="str">
        <f>IFERROR(__xludf.DUMMYFUNCTION("""COMPUTED_VALUE"""),"Plano, TX")</f>
        <v>Plano, TX</v>
      </c>
      <c r="H247" s="4" t="str">
        <f>IFERROR(__xludf.DUMMYFUNCTION("""COMPUTED_VALUE"""),"https://www.linkedin.com/posts/albert-ihm-5843376a_senior-analyst-analytics-in-plano-texas-activity-7237812930870714368-gPiy?utm_source=share&amp;utm_medium=member_desktop")</f>
        <v>https://www.linkedin.com/posts/albert-ihm-5843376a_senior-analyst-analytics-in-plano-texas-activity-7237812930870714368-gPiy?utm_source=share&amp;utm_medium=member_desktop</v>
      </c>
    </row>
    <row r="248">
      <c r="A248" s="2">
        <f>IFERROR(__xludf.DUMMYFUNCTION("""COMPUTED_VALUE"""),45541.0)</f>
        <v>45541</v>
      </c>
      <c r="B248" s="1" t="str">
        <f>IFERROR(__xludf.DUMMYFUNCTION("""COMPUTED_VALUE"""),"Bosch")</f>
        <v>Bosch</v>
      </c>
      <c r="C248" s="1" t="str">
        <f>IFERROR(__xludf.DUMMYFUNCTION("""COMPUTED_VALUE"""),"Marketing Data Analyst (E3 or E4)")</f>
        <v>Marketing Data Analyst (E3 or E4)</v>
      </c>
      <c r="D248" s="1" t="str">
        <f>IFERROR(__xludf.DUMMYFUNCTION("""COMPUTED_VALUE"""),"Hybrid")</f>
        <v>Hybrid</v>
      </c>
      <c r="E248" s="3" t="str">
        <f>IFERROR(__xludf.DUMMYFUNCTION("""COMPUTED_VALUE"""),"N/A")</f>
        <v>N/A</v>
      </c>
      <c r="F248" s="1" t="str">
        <f>IFERROR(__xludf.DUMMYFUNCTION("""COMPUTED_VALUE"""),"3 - 5")</f>
        <v>3 - 5</v>
      </c>
      <c r="G248" s="1" t="str">
        <f>IFERROR(__xludf.DUMMYFUNCTION("""COMPUTED_VALUE"""),"Oakbrook Terrace, IL")</f>
        <v>Oakbrook Terrace, IL</v>
      </c>
      <c r="H248" s="4" t="str">
        <f>IFERROR(__xludf.DUMMYFUNCTION("""COMPUTED_VALUE"""),"https://www.linkedin.com/posts/chicagohrguru_marketing-data-analyst-e3-or-e4-hybrid-activity-7237833168974663680-rdR-?utm_source=share&amp;utm_medium=member_desktop")</f>
        <v>https://www.linkedin.com/posts/chicagohrguru_marketing-data-analyst-e3-or-e4-hybrid-activity-7237833168974663680-rdR-?utm_source=share&amp;utm_medium=member_desktop</v>
      </c>
    </row>
    <row r="249">
      <c r="A249" s="2">
        <f>IFERROR(__xludf.DUMMYFUNCTION("""COMPUTED_VALUE"""),45541.0)</f>
        <v>45541</v>
      </c>
      <c r="B249" s="1" t="str">
        <f>IFERROR(__xludf.DUMMYFUNCTION("""COMPUTED_VALUE"""),"Elsmere Education")</f>
        <v>Elsmere Education</v>
      </c>
      <c r="C249" s="1" t="str">
        <f>IFERROR(__xludf.DUMMYFUNCTION("""COMPUTED_VALUE"""),"Market Research Analyst")</f>
        <v>Market Research Analyst</v>
      </c>
      <c r="D249" s="1" t="str">
        <f>IFERROR(__xludf.DUMMYFUNCTION("""COMPUTED_VALUE"""),"Hybrid")</f>
        <v>Hybrid</v>
      </c>
      <c r="E249" s="3" t="str">
        <f>IFERROR(__xludf.DUMMYFUNCTION("""COMPUTED_VALUE"""),"$70k - $80k")</f>
        <v>$70k - $80k</v>
      </c>
      <c r="F249" s="1" t="str">
        <f>IFERROR(__xludf.DUMMYFUNCTION("""COMPUTED_VALUE"""),"3 - 5")</f>
        <v>3 - 5</v>
      </c>
      <c r="G249" s="1" t="str">
        <f>IFERROR(__xludf.DUMMYFUNCTION("""COMPUTED_VALUE"""),"Denver, CO")</f>
        <v>Denver, CO</v>
      </c>
      <c r="H249" s="4" t="str">
        <f>IFERROR(__xludf.DUMMYFUNCTION("""COMPUTED_VALUE"""),"https://www.linkedin.com/posts/helifrazier_market-research-analyst-denver-co-activity-7237502739780362240-DTsv?utm_source=share&amp;utm_medium=member_desktop")</f>
        <v>https://www.linkedin.com/posts/helifrazier_market-research-analyst-denver-co-activity-7237502739780362240-DTsv?utm_source=share&amp;utm_medium=member_desktop</v>
      </c>
    </row>
    <row r="250">
      <c r="A250" s="2">
        <f>IFERROR(__xludf.DUMMYFUNCTION("""COMPUTED_VALUE"""),45541.0)</f>
        <v>45541</v>
      </c>
      <c r="B250" s="1" t="str">
        <f>IFERROR(__xludf.DUMMYFUNCTION("""COMPUTED_VALUE"""),"Delta Faucet Company")</f>
        <v>Delta Faucet Company</v>
      </c>
      <c r="C250" s="1" t="str">
        <f>IFERROR(__xludf.DUMMYFUNCTION("""COMPUTED_VALUE"""),"Senior Data Analyst")</f>
        <v>Senior Data Analyst</v>
      </c>
      <c r="D250" s="1" t="str">
        <f>IFERROR(__xludf.DUMMYFUNCTION("""COMPUTED_VALUE"""),"On-Site")</f>
        <v>On-Site</v>
      </c>
      <c r="E250" s="3" t="str">
        <f>IFERROR(__xludf.DUMMYFUNCTION("""COMPUTED_VALUE"""),"$72k - $114k")</f>
        <v>$72k - $114k</v>
      </c>
      <c r="F250" s="1" t="str">
        <f>IFERROR(__xludf.DUMMYFUNCTION("""COMPUTED_VALUE"""),"3 - 5")</f>
        <v>3 - 5</v>
      </c>
      <c r="G250" s="1" t="str">
        <f>IFERROR(__xludf.DUMMYFUNCTION("""COMPUTED_VALUE"""),"Indianapolis, IN")</f>
        <v>Indianapolis, IN</v>
      </c>
      <c r="H250" s="4" t="str">
        <f>IFERROR(__xludf.DUMMYFUNCTION("""COMPUTED_VALUE"""),"https://www.linkedin.com/posts/ericarthurnelson_hiring-analytics-dataanalyst-activity-7237478119069073408-_NTP?utm_source=share&amp;utm_medium=member_desktop")</f>
        <v>https://www.linkedin.com/posts/ericarthurnelson_hiring-analytics-dataanalyst-activity-7237478119069073408-_NTP?utm_source=share&amp;utm_medium=member_desktop</v>
      </c>
    </row>
    <row r="251">
      <c r="A251" s="2">
        <f>IFERROR(__xludf.DUMMYFUNCTION("""COMPUTED_VALUE"""),45541.0)</f>
        <v>45541</v>
      </c>
      <c r="B251" s="1" t="str">
        <f>IFERROR(__xludf.DUMMYFUNCTION("""COMPUTED_VALUE"""),"Toyota")</f>
        <v>Toyota</v>
      </c>
      <c r="C251" s="1" t="str">
        <f>IFERROR(__xludf.DUMMYFUNCTION("""COMPUTED_VALUE"""),"Senior Analyst, Consumer Risk Originations")</f>
        <v>Senior Analyst, Consumer Risk Originations</v>
      </c>
      <c r="D251" s="1" t="str">
        <f>IFERROR(__xludf.DUMMYFUNCTION("""COMPUTED_VALUE"""),"Hybrid")</f>
        <v>Hybrid</v>
      </c>
      <c r="E251" s="3" t="str">
        <f>IFERROR(__xludf.DUMMYFUNCTION("""COMPUTED_VALUE"""),"N/A")</f>
        <v>N/A</v>
      </c>
      <c r="F251" s="1" t="str">
        <f>IFERROR(__xludf.DUMMYFUNCTION("""COMPUTED_VALUE"""),"3 - 5")</f>
        <v>3 - 5</v>
      </c>
      <c r="G251" s="1" t="str">
        <f>IFERROR(__xludf.DUMMYFUNCTION("""COMPUTED_VALUE"""),"Plano, TX")</f>
        <v>Plano, TX</v>
      </c>
      <c r="H251" s="4" t="str">
        <f>IFERROR(__xludf.DUMMYFUNCTION("""COMPUTED_VALUE"""),"https://www.linkedin.com/posts/albert-ihm-5843376a_senior-analyst-analytics-in-plano-texas-activity-7237812930870714368-gPiy?utm_source=share&amp;utm_medium=member_desktop")</f>
        <v>https://www.linkedin.com/posts/albert-ihm-5843376a_senior-analyst-analytics-in-plano-texas-activity-7237812930870714368-gPiy?utm_source=share&amp;utm_medium=member_desktop</v>
      </c>
    </row>
    <row r="252">
      <c r="A252" s="2">
        <f>IFERROR(__xludf.DUMMYFUNCTION("""COMPUTED_VALUE"""),45541.0)</f>
        <v>45541</v>
      </c>
      <c r="B252" s="1" t="str">
        <f>IFERROR(__xludf.DUMMYFUNCTION("""COMPUTED_VALUE"""),"Altera Digital Health")</f>
        <v>Altera Digital Health</v>
      </c>
      <c r="C252" s="1" t="str">
        <f>IFERROR(__xludf.DUMMYFUNCTION("""COMPUTED_VALUE"""),"Business Analyst - Rev Cycle")</f>
        <v>Business Analyst - Rev Cycle</v>
      </c>
      <c r="D252" s="1" t="str">
        <f>IFERROR(__xludf.DUMMYFUNCTION("""COMPUTED_VALUE"""),"Remote")</f>
        <v>Remote</v>
      </c>
      <c r="E252" s="3" t="str">
        <f>IFERROR(__xludf.DUMMYFUNCTION("""COMPUTED_VALUE"""),"N/A")</f>
        <v>N/A</v>
      </c>
      <c r="F252" s="1" t="str">
        <f>IFERROR(__xludf.DUMMYFUNCTION("""COMPUTED_VALUE"""),"3 - 5")</f>
        <v>3 - 5</v>
      </c>
      <c r="G252" s="1" t="str">
        <f>IFERROR(__xludf.DUMMYFUNCTION("""COMPUTED_VALUE"""),"USA")</f>
        <v>USA</v>
      </c>
      <c r="H252" s="4" t="str">
        <f>IFERROR(__xludf.DUMMYFUNCTION("""COMPUTED_VALUE"""),"https://www.linkedin.com/posts/brioni-braithwaite-18ba4668_business-analyst-rev-cycle-activity-7237548785269182465-JkUG?utm_source=share&amp;utm_medium=member_desktop")</f>
        <v>https://www.linkedin.com/posts/brioni-braithwaite-18ba4668_business-analyst-rev-cycle-activity-7237548785269182465-JkUG?utm_source=share&amp;utm_medium=member_desktop</v>
      </c>
    </row>
    <row r="253">
      <c r="A253" s="2">
        <f>IFERROR(__xludf.DUMMYFUNCTION("""COMPUTED_VALUE"""),45541.0)</f>
        <v>45541</v>
      </c>
      <c r="B253" s="1" t="str">
        <f>IFERROR(__xludf.DUMMYFUNCTION("""COMPUTED_VALUE"""),"Berkadia")</f>
        <v>Berkadia</v>
      </c>
      <c r="C253" s="1" t="str">
        <f>IFERROR(__xludf.DUMMYFUNCTION("""COMPUTED_VALUE"""),"Financial Analyst")</f>
        <v>Financial Analyst</v>
      </c>
      <c r="D253" s="1" t="str">
        <f>IFERROR(__xludf.DUMMYFUNCTION("""COMPUTED_VALUE"""),"On-Site")</f>
        <v>On-Site</v>
      </c>
      <c r="E253" s="3" t="str">
        <f>IFERROR(__xludf.DUMMYFUNCTION("""COMPUTED_VALUE"""),"N/A")</f>
        <v>N/A</v>
      </c>
      <c r="F253" s="1" t="str">
        <f>IFERROR(__xludf.DUMMYFUNCTION("""COMPUTED_VALUE"""),"3 - 5")</f>
        <v>3 - 5</v>
      </c>
      <c r="G253" s="1" t="str">
        <f>IFERROR(__xludf.DUMMYFUNCTION("""COMPUTED_VALUE"""),"Charlotte, NC")</f>
        <v>Charlotte, NC</v>
      </c>
      <c r="H253" s="4" t="str">
        <f>IFERROR(__xludf.DUMMYFUNCTION("""COMPUTED_VALUE"""),"https://www.linkedin.com/posts/calebtroop_financial-analyst-activity-7237808140438687745-GGhm?utm_source=share&amp;utm_medium=member_desktop")</f>
        <v>https://www.linkedin.com/posts/calebtroop_financial-analyst-activity-7237808140438687745-GGhm?utm_source=share&amp;utm_medium=member_desktop</v>
      </c>
    </row>
    <row r="254">
      <c r="A254" s="2">
        <f>IFERROR(__xludf.DUMMYFUNCTION("""COMPUTED_VALUE"""),45541.0)</f>
        <v>45541</v>
      </c>
      <c r="B254" s="1" t="str">
        <f>IFERROR(__xludf.DUMMYFUNCTION("""COMPUTED_VALUE"""),"Toyota")</f>
        <v>Toyota</v>
      </c>
      <c r="C254" s="1" t="str">
        <f>IFERROR(__xludf.DUMMYFUNCTION("""COMPUTED_VALUE"""),"Senior Analyst, Loss Forecasting")</f>
        <v>Senior Analyst, Loss Forecasting</v>
      </c>
      <c r="D254" s="1" t="str">
        <f>IFERROR(__xludf.DUMMYFUNCTION("""COMPUTED_VALUE"""),"Hybrid")</f>
        <v>Hybrid</v>
      </c>
      <c r="E254" s="3" t="str">
        <f>IFERROR(__xludf.DUMMYFUNCTION("""COMPUTED_VALUE"""),"N/A")</f>
        <v>N/A</v>
      </c>
      <c r="F254" s="1" t="str">
        <f>IFERROR(__xludf.DUMMYFUNCTION("""COMPUTED_VALUE"""),"3 - 5")</f>
        <v>3 - 5</v>
      </c>
      <c r="G254" s="1" t="str">
        <f>IFERROR(__xludf.DUMMYFUNCTION("""COMPUTED_VALUE"""),"Plano, TX")</f>
        <v>Plano, TX</v>
      </c>
      <c r="H254" s="4" t="str">
        <f>IFERROR(__xludf.DUMMYFUNCTION("""COMPUTED_VALUE"""),"https://www.linkedin.com/posts/albert-ihm-5843376a_senior-analyst-analytics-in-plano-texas-activity-7237812930870714368-gPiy?utm_source=share&amp;utm_medium=member_desktop")</f>
        <v>https://www.linkedin.com/posts/albert-ihm-5843376a_senior-analyst-analytics-in-plano-texas-activity-7237812930870714368-gPiy?utm_source=share&amp;utm_medium=member_desktop</v>
      </c>
    </row>
    <row r="255">
      <c r="A255" s="2">
        <f>IFERROR(__xludf.DUMMYFUNCTION("""COMPUTED_VALUE"""),45541.0)</f>
        <v>45541</v>
      </c>
      <c r="B255" s="1" t="str">
        <f>IFERROR(__xludf.DUMMYFUNCTION("""COMPUTED_VALUE"""),"Mars")</f>
        <v>Mars</v>
      </c>
      <c r="C255" s="1" t="str">
        <f>IFERROR(__xludf.DUMMYFUNCTION("""COMPUTED_VALUE"""),"Sr. Performance Analyst")</f>
        <v>Sr. Performance Analyst</v>
      </c>
      <c r="D255" s="1" t="str">
        <f>IFERROR(__xludf.DUMMYFUNCTION("""COMPUTED_VALUE"""),"Hybrid")</f>
        <v>Hybrid</v>
      </c>
      <c r="E255" s="3" t="str">
        <f>IFERROR(__xludf.DUMMYFUNCTION("""COMPUTED_VALUE"""),"N/A")</f>
        <v>N/A</v>
      </c>
      <c r="F255" s="1" t="str">
        <f>IFERROR(__xludf.DUMMYFUNCTION("""COMPUTED_VALUE"""),"6 - 9")</f>
        <v>6 - 9</v>
      </c>
      <c r="G255" s="1" t="str">
        <f>IFERROR(__xludf.DUMMYFUNCTION("""COMPUTED_VALUE"""),"Certain Locations")</f>
        <v>Certain Locations</v>
      </c>
      <c r="H255" s="4" t="str">
        <f>IFERROR(__xludf.DUMMYFUNCTION("""COMPUTED_VALUE"""),"https://www.linkedin.com/posts/jeremylbuck_sr-performance-analyst-job-in-franklin-activity-7237808323557826562-B6wx?utm_source=share&amp;utm_medium=member_desktop")</f>
        <v>https://www.linkedin.com/posts/jeremylbuck_sr-performance-analyst-job-in-franklin-activity-7237808323557826562-B6wx?utm_source=share&amp;utm_medium=member_desktop</v>
      </c>
    </row>
    <row r="256">
      <c r="A256" s="2">
        <f>IFERROR(__xludf.DUMMYFUNCTION("""COMPUTED_VALUE"""),45541.0)</f>
        <v>45541</v>
      </c>
      <c r="B256" s="1" t="str">
        <f>IFERROR(__xludf.DUMMYFUNCTION("""COMPUTED_VALUE"""),"Symbotic")</f>
        <v>Symbotic</v>
      </c>
      <c r="C256" s="1" t="str">
        <f>IFERROR(__xludf.DUMMYFUNCTION("""COMPUTED_VALUE"""),"Business Data Analyst (Qlik)")</f>
        <v>Business Data Analyst (Qlik)</v>
      </c>
      <c r="D256" s="1" t="str">
        <f>IFERROR(__xludf.DUMMYFUNCTION("""COMPUTED_VALUE"""),"Remote")</f>
        <v>Remote</v>
      </c>
      <c r="E256" s="3" t="str">
        <f>IFERROR(__xludf.DUMMYFUNCTION("""COMPUTED_VALUE"""),"N/A")</f>
        <v>N/A</v>
      </c>
      <c r="F256" s="1" t="str">
        <f>IFERROR(__xludf.DUMMYFUNCTION("""COMPUTED_VALUE"""),"3 - 5")</f>
        <v>3 - 5</v>
      </c>
      <c r="G256" s="1" t="str">
        <f>IFERROR(__xludf.DUMMYFUNCTION("""COMPUTED_VALUE"""),"USA")</f>
        <v>USA</v>
      </c>
      <c r="H256" s="4" t="str">
        <f>IFERROR(__xludf.DUMMYFUNCTION("""COMPUTED_VALUE"""),"https://www.linkedin.com/posts/abdoksh_hiring-for-a-business-data-analyst-role-activity-7237818378554384385-F0Xw?utm_source=share&amp;utm_medium=member_desktop")</f>
        <v>https://www.linkedin.com/posts/abdoksh_hiring-for-a-business-data-analyst-role-activity-7237818378554384385-F0Xw?utm_source=share&amp;utm_medium=member_desktop</v>
      </c>
    </row>
    <row r="257">
      <c r="A257" s="2">
        <f>IFERROR(__xludf.DUMMYFUNCTION("""COMPUTED_VALUE"""),45540.0)</f>
        <v>45540</v>
      </c>
      <c r="B257" s="1" t="str">
        <f>IFERROR(__xludf.DUMMYFUNCTION("""COMPUTED_VALUE"""),"Wausau Tile")</f>
        <v>Wausau Tile</v>
      </c>
      <c r="C257" s="1" t="str">
        <f>IFERROR(__xludf.DUMMYFUNCTION("""COMPUTED_VALUE"""),"Financial Analyst")</f>
        <v>Financial Analyst</v>
      </c>
      <c r="D257" s="1" t="str">
        <f>IFERROR(__xludf.DUMMYFUNCTION("""COMPUTED_VALUE"""),"On-Site")</f>
        <v>On-Site</v>
      </c>
      <c r="E257" s="3" t="str">
        <f>IFERROR(__xludf.DUMMYFUNCTION("""COMPUTED_VALUE"""),"N/A")</f>
        <v>N/A</v>
      </c>
      <c r="F257" s="1" t="str">
        <f>IFERROR(__xludf.DUMMYFUNCTION("""COMPUTED_VALUE"""),"0 - 2")</f>
        <v>0 - 2</v>
      </c>
      <c r="G257" s="1" t="str">
        <f>IFERROR(__xludf.DUMMYFUNCTION("""COMPUTED_VALUE"""),"Rothschild, WI")</f>
        <v>Rothschild, WI</v>
      </c>
      <c r="H257" s="4" t="str">
        <f>IFERROR(__xludf.DUMMYFUNCTION("""COMPUTED_VALUE"""),"https://www.linkedin.com/posts/laura-s-b822b922_we-are-looking-for-a-skilled-financial-analyst-activity-7237535606711459841-DNmB?utm_source=share&amp;utm_medium=member_desktop")</f>
        <v>https://www.linkedin.com/posts/laura-s-b822b922_we-are-looking-for-a-skilled-financial-analyst-activity-7237535606711459841-DNmB?utm_source=share&amp;utm_medium=member_desktop</v>
      </c>
    </row>
    <row r="258">
      <c r="A258" s="2">
        <f>IFERROR(__xludf.DUMMYFUNCTION("""COMPUTED_VALUE"""),45540.0)</f>
        <v>45540</v>
      </c>
      <c r="B258" s="1" t="str">
        <f>IFERROR(__xludf.DUMMYFUNCTION("""COMPUTED_VALUE"""),"AppLovin")</f>
        <v>AppLovin</v>
      </c>
      <c r="C258" s="1" t="str">
        <f>IFERROR(__xludf.DUMMYFUNCTION("""COMPUTED_VALUE"""),"People Analytics Lead")</f>
        <v>People Analytics Lead</v>
      </c>
      <c r="D258" s="1" t="str">
        <f>IFERROR(__xludf.DUMMYFUNCTION("""COMPUTED_VALUE"""),"Remote")</f>
        <v>Remote</v>
      </c>
      <c r="E258" s="3" t="str">
        <f>IFERROR(__xludf.DUMMYFUNCTION("""COMPUTED_VALUE"""),"$119k - $198k")</f>
        <v>$119k - $198k</v>
      </c>
      <c r="F258" s="1" t="str">
        <f>IFERROR(__xludf.DUMMYFUNCTION("""COMPUTED_VALUE"""),"3 - 5")</f>
        <v>3 - 5</v>
      </c>
      <c r="G258" s="1" t="str">
        <f>IFERROR(__xludf.DUMMYFUNCTION("""COMPUTED_VALUE"""),"USA")</f>
        <v>USA</v>
      </c>
      <c r="H258" s="4" t="str">
        <f>IFERROR(__xludf.DUMMYFUNCTION("""COMPUTED_VALUE"""),"https://www.linkedin.com/posts/bpkelly93_iam-hiring-im-looking-for-a-strong-people-activity-7237480807114637313-Mb9r?utm_source=share&amp;utm_medium=member_desktop")</f>
        <v>https://www.linkedin.com/posts/bpkelly93_iam-hiring-im-looking-for-a-strong-people-activity-7237480807114637313-Mb9r?utm_source=share&amp;utm_medium=member_desktop</v>
      </c>
    </row>
    <row r="259">
      <c r="A259" s="2">
        <f>IFERROR(__xludf.DUMMYFUNCTION("""COMPUTED_VALUE"""),45540.0)</f>
        <v>45540</v>
      </c>
      <c r="B259" s="1" t="str">
        <f>IFERROR(__xludf.DUMMYFUNCTION("""COMPUTED_VALUE"""),"Continental Properties")</f>
        <v>Continental Properties</v>
      </c>
      <c r="C259" s="1" t="str">
        <f>IFERROR(__xludf.DUMMYFUNCTION("""COMPUTED_VALUE"""),"Data Engineer I")</f>
        <v>Data Engineer I</v>
      </c>
      <c r="D259" s="1" t="str">
        <f>IFERROR(__xludf.DUMMYFUNCTION("""COMPUTED_VALUE"""),"Hybrid")</f>
        <v>Hybrid</v>
      </c>
      <c r="E259" s="3" t="str">
        <f>IFERROR(__xludf.DUMMYFUNCTION("""COMPUTED_VALUE"""),"N/A")</f>
        <v>N/A</v>
      </c>
      <c r="F259" s="1" t="str">
        <f>IFERROR(__xludf.DUMMYFUNCTION("""COMPUTED_VALUE"""),"0 - 2")</f>
        <v>0 - 2</v>
      </c>
      <c r="G259" s="1" t="str">
        <f>IFERROR(__xludf.DUMMYFUNCTION("""COMPUTED_VALUE"""),"Menomonee Falls, WI")</f>
        <v>Menomonee Falls, WI</v>
      </c>
      <c r="H259" s="4" t="str">
        <f>IFERROR(__xludf.DUMMYFUNCTION("""COMPUTED_VALUE"""),"https://www.linkedin.com/posts/santhoshiniusc_hiring-dataengineer-data-activity-7237480541594279938-XblU?utm_source=share&amp;utm_medium=member_desktop")</f>
        <v>https://www.linkedin.com/posts/santhoshiniusc_hiring-dataengineer-data-activity-7237480541594279938-XblU?utm_source=share&amp;utm_medium=member_desktop</v>
      </c>
    </row>
    <row r="260">
      <c r="A260" s="2">
        <f>IFERROR(__xludf.DUMMYFUNCTION("""COMPUTED_VALUE"""),45540.0)</f>
        <v>45540</v>
      </c>
      <c r="B260" s="1" t="str">
        <f>IFERROR(__xludf.DUMMYFUNCTION("""COMPUTED_VALUE"""),"DraftKings")</f>
        <v>DraftKings</v>
      </c>
      <c r="C260" s="1" t="str">
        <f>IFERROR(__xludf.DUMMYFUNCTION("""COMPUTED_VALUE"""),"Analyst II, iGaming")</f>
        <v>Analyst II, iGaming</v>
      </c>
      <c r="D260" s="1" t="str">
        <f>IFERROR(__xludf.DUMMYFUNCTION("""COMPUTED_VALUE"""),"On-Site")</f>
        <v>On-Site</v>
      </c>
      <c r="E260" s="3" t="str">
        <f>IFERROR(__xludf.DUMMYFUNCTION("""COMPUTED_VALUE"""),"$77k - $96k")</f>
        <v>$77k - $96k</v>
      </c>
      <c r="F260" s="1" t="str">
        <f>IFERROR(__xludf.DUMMYFUNCTION("""COMPUTED_VALUE"""),"0 - 2")</f>
        <v>0 - 2</v>
      </c>
      <c r="G260" s="1" t="str">
        <f>IFERROR(__xludf.DUMMYFUNCTION("""COMPUTED_VALUE"""),"Boston, MA")</f>
        <v>Boston, MA</v>
      </c>
      <c r="H260" s="4" t="str">
        <f>IFERROR(__xludf.DUMMYFUNCTION("""COMPUTED_VALUE"""),"https://www.linkedin.com/posts/ryan-broderick-7006736_analyst-ii-igaming-activity-7237533172832288770-3w1A?utm_source=share&amp;utm_medium=member_desktop")</f>
        <v>https://www.linkedin.com/posts/ryan-broderick-7006736_analyst-ii-igaming-activity-7237533172832288770-3w1A?utm_source=share&amp;utm_medium=member_desktop</v>
      </c>
    </row>
    <row r="261">
      <c r="A261" s="2">
        <f>IFERROR(__xludf.DUMMYFUNCTION("""COMPUTED_VALUE"""),45540.0)</f>
        <v>45540</v>
      </c>
      <c r="B261" s="1" t="str">
        <f>IFERROR(__xludf.DUMMYFUNCTION("""COMPUTED_VALUE"""),"Visa")</f>
        <v>Visa</v>
      </c>
      <c r="C261" s="1" t="str">
        <f>IFERROR(__xludf.DUMMYFUNCTION("""COMPUTED_VALUE"""),"Sr. Business Analyst, Audit &amp; Risk")</f>
        <v>Sr. Business Analyst, Audit &amp; Risk</v>
      </c>
      <c r="D261" s="1" t="str">
        <f>IFERROR(__xludf.DUMMYFUNCTION("""COMPUTED_VALUE"""),"Hybrid")</f>
        <v>Hybrid</v>
      </c>
      <c r="E261" s="3" t="str">
        <f>IFERROR(__xludf.DUMMYFUNCTION("""COMPUTED_VALUE"""),"$107k - $155k")</f>
        <v>$107k - $155k</v>
      </c>
      <c r="F261" s="1" t="str">
        <f>IFERROR(__xludf.DUMMYFUNCTION("""COMPUTED_VALUE"""),"3 - 5")</f>
        <v>3 - 5</v>
      </c>
      <c r="G261" s="1" t="str">
        <f>IFERROR(__xludf.DUMMYFUNCTION("""COMPUTED_VALUE"""),"Austin, TX")</f>
        <v>Austin, TX</v>
      </c>
      <c r="H261" s="4" t="str">
        <f>IFERROR(__xludf.DUMMYFUNCTION("""COMPUTED_VALUE"""),"https://www.linkedin.com/posts/bayerkohler_for-my-austin-texas-folks-check-out-this-activity-7237527316875132929-V7vq?utm_source=share&amp;utm_medium=member_desktop")</f>
        <v>https://www.linkedin.com/posts/bayerkohler_for-my-austin-texas-folks-check-out-this-activity-7237527316875132929-V7vq?utm_source=share&amp;utm_medium=member_desktop</v>
      </c>
    </row>
    <row r="262">
      <c r="A262" s="2">
        <f>IFERROR(__xludf.DUMMYFUNCTION("""COMPUTED_VALUE"""),45540.0)</f>
        <v>45540</v>
      </c>
      <c r="B262" s="1" t="str">
        <f>IFERROR(__xludf.DUMMYFUNCTION("""COMPUTED_VALUE"""),"Fundbox")</f>
        <v>Fundbox</v>
      </c>
      <c r="C262" s="1" t="str">
        <f>IFERROR(__xludf.DUMMYFUNCTION("""COMPUTED_VALUE"""),"Sr Analyst, Credit Strategy")</f>
        <v>Sr Analyst, Credit Strategy</v>
      </c>
      <c r="D262" s="1" t="str">
        <f>IFERROR(__xludf.DUMMYFUNCTION("""COMPUTED_VALUE"""),"Hybrid")</f>
        <v>Hybrid</v>
      </c>
      <c r="E262" s="3" t="str">
        <f>IFERROR(__xludf.DUMMYFUNCTION("""COMPUTED_VALUE"""),"$115k - $150k")</f>
        <v>$115k - $150k</v>
      </c>
      <c r="F262" s="1" t="str">
        <f>IFERROR(__xludf.DUMMYFUNCTION("""COMPUTED_VALUE"""),"0 - 2")</f>
        <v>0 - 2</v>
      </c>
      <c r="G262" s="1" t="str">
        <f>IFERROR(__xludf.DUMMYFUNCTION("""COMPUTED_VALUE"""),"Dallas, TX")</f>
        <v>Dallas, TX</v>
      </c>
      <c r="H262" s="4" t="str">
        <f>IFERROR(__xludf.DUMMYFUNCTION("""COMPUTED_VALUE"""),"https://www.linkedin.com/posts/megan-baldock_sr-analyst-credit-strategy-activity-7237515639790133248-lIKk?utm_source=share&amp;utm_medium=member_desktop")</f>
        <v>https://www.linkedin.com/posts/megan-baldock_sr-analyst-credit-strategy-activity-7237515639790133248-lIKk?utm_source=share&amp;utm_medium=member_desktop</v>
      </c>
    </row>
    <row r="263">
      <c r="A263" s="2">
        <f>IFERROR(__xludf.DUMMYFUNCTION("""COMPUTED_VALUE"""),45540.0)</f>
        <v>45540</v>
      </c>
      <c r="B263" s="1" t="str">
        <f>IFERROR(__xludf.DUMMYFUNCTION("""COMPUTED_VALUE"""),"Wonderlic")</f>
        <v>Wonderlic</v>
      </c>
      <c r="C263" s="1" t="str">
        <f>IFERROR(__xludf.DUMMYFUNCTION("""COMPUTED_VALUE"""),"Revenue Operations Analyst")</f>
        <v>Revenue Operations Analyst</v>
      </c>
      <c r="D263" s="1" t="str">
        <f>IFERROR(__xludf.DUMMYFUNCTION("""COMPUTED_VALUE"""),"Remote")</f>
        <v>Remote</v>
      </c>
      <c r="E263" s="3" t="str">
        <f>IFERROR(__xludf.DUMMYFUNCTION("""COMPUTED_VALUE"""),"N/A")</f>
        <v>N/A</v>
      </c>
      <c r="F263" s="1" t="str">
        <f>IFERROR(__xludf.DUMMYFUNCTION("""COMPUTED_VALUE"""),"3 - 5")</f>
        <v>3 - 5</v>
      </c>
      <c r="G263" s="1" t="str">
        <f>IFERROR(__xludf.DUMMYFUNCTION("""COMPUTED_VALUE"""),"USA")</f>
        <v>USA</v>
      </c>
      <c r="H263" s="4" t="str">
        <f>IFERROR(__xludf.DUMMYFUNCTION("""COMPUTED_VALUE"""),"https://www.linkedin.com/posts/klechner_revenue-operations-analyst-activity-7237512740947271681-16SV?utm_source=share&amp;utm_medium=member_desktop")</f>
        <v>https://www.linkedin.com/posts/klechner_revenue-operations-analyst-activity-7237512740947271681-16SV?utm_source=share&amp;utm_medium=member_desktop</v>
      </c>
    </row>
    <row r="264">
      <c r="A264" s="2">
        <f>IFERROR(__xludf.DUMMYFUNCTION("""COMPUTED_VALUE"""),45540.0)</f>
        <v>45540</v>
      </c>
      <c r="B264" s="1" t="str">
        <f>IFERROR(__xludf.DUMMYFUNCTION("""COMPUTED_VALUE"""),"Great American Insurance Group")</f>
        <v>Great American Insurance Group</v>
      </c>
      <c r="C264" s="1" t="str">
        <f>IFERROR(__xludf.DUMMYFUNCTION("""COMPUTED_VALUE"""),"Financial Analyst")</f>
        <v>Financial Analyst</v>
      </c>
      <c r="D264" s="1" t="str">
        <f>IFERROR(__xludf.DUMMYFUNCTION("""COMPUTED_VALUE"""),"On-Site")</f>
        <v>On-Site</v>
      </c>
      <c r="E264" s="3" t="str">
        <f>IFERROR(__xludf.DUMMYFUNCTION("""COMPUTED_VALUE"""),"N/A")</f>
        <v>N/A</v>
      </c>
      <c r="F264" s="1" t="str">
        <f>IFERROR(__xludf.DUMMYFUNCTION("""COMPUTED_VALUE"""),"3 - 5")</f>
        <v>3 - 5</v>
      </c>
      <c r="G264" s="1" t="str">
        <f>IFERROR(__xludf.DUMMYFUNCTION("""COMPUTED_VALUE"""),"Cincinatti, OH")</f>
        <v>Cincinatti, OH</v>
      </c>
      <c r="H264" s="4" t="str">
        <f>IFERROR(__xludf.DUMMYFUNCTION("""COMPUTED_VALUE"""),"https://www.linkedin.com/posts/luke-moeves-a1b442207_financial-analyst-activity-7237551466184372224-Uc2L?utm_source=share&amp;utm_medium=member_desktop")</f>
        <v>https://www.linkedin.com/posts/luke-moeves-a1b442207_financial-analyst-activity-7237551466184372224-Uc2L?utm_source=share&amp;utm_medium=member_desktop</v>
      </c>
    </row>
    <row r="265">
      <c r="A265" s="2">
        <f>IFERROR(__xludf.DUMMYFUNCTION("""COMPUTED_VALUE"""),45540.0)</f>
        <v>45540</v>
      </c>
      <c r="B265" s="1" t="str">
        <f>IFERROR(__xludf.DUMMYFUNCTION("""COMPUTED_VALUE"""),"Bridgestone")</f>
        <v>Bridgestone</v>
      </c>
      <c r="C265" s="1" t="str">
        <f>IFERROR(__xludf.DUMMYFUNCTION("""COMPUTED_VALUE"""),"Sr. Performance Media Analyst")</f>
        <v>Sr. Performance Media Analyst</v>
      </c>
      <c r="D265" s="1" t="str">
        <f>IFERROR(__xludf.DUMMYFUNCTION("""COMPUTED_VALUE"""),"Remote")</f>
        <v>Remote</v>
      </c>
      <c r="E265" s="3" t="str">
        <f>IFERROR(__xludf.DUMMYFUNCTION("""COMPUTED_VALUE"""),"N/A")</f>
        <v>N/A</v>
      </c>
      <c r="F265" s="1" t="str">
        <f>IFERROR(__xludf.DUMMYFUNCTION("""COMPUTED_VALUE"""),"3 - 5")</f>
        <v>3 - 5</v>
      </c>
      <c r="G265" s="1" t="str">
        <f>IFERROR(__xludf.DUMMYFUNCTION("""COMPUTED_VALUE"""),"Nashville, TN")</f>
        <v>Nashville, TN</v>
      </c>
      <c r="H265" s="4" t="str">
        <f>IFERROR(__xludf.DUMMYFUNCTION("""COMPUTED_VALUE"""),"https://www.linkedin.com/posts/malloryjoyce_sr-performance-media-analyst-activity-7237470127414218752-8CMw?utm_source=share&amp;utm_medium=member_desktop")</f>
        <v>https://www.linkedin.com/posts/malloryjoyce_sr-performance-media-analyst-activity-7237470127414218752-8CMw?utm_source=share&amp;utm_medium=member_desktop</v>
      </c>
    </row>
    <row r="266">
      <c r="A266" s="2">
        <f>IFERROR(__xludf.DUMMYFUNCTION("""COMPUTED_VALUE"""),45540.0)</f>
        <v>45540</v>
      </c>
      <c r="B266" s="1" t="str">
        <f>IFERROR(__xludf.DUMMYFUNCTION("""COMPUTED_VALUE"""),"Stripe")</f>
        <v>Stripe</v>
      </c>
      <c r="C266" s="1" t="str">
        <f>IFERROR(__xludf.DUMMYFUNCTION("""COMPUTED_VALUE"""),"Data Analyst")</f>
        <v>Data Analyst</v>
      </c>
      <c r="D266" s="1" t="str">
        <f>IFERROR(__xludf.DUMMYFUNCTION("""COMPUTED_VALUE"""),"Remote")</f>
        <v>Remote</v>
      </c>
      <c r="E266" s="3" t="str">
        <f>IFERROR(__xludf.DUMMYFUNCTION("""COMPUTED_VALUE"""),"$122k - $220k")</f>
        <v>$122k - $220k</v>
      </c>
      <c r="F266" s="1" t="str">
        <f>IFERROR(__xludf.DUMMYFUNCTION("""COMPUTED_VALUE"""),"3 - 5")</f>
        <v>3 - 5</v>
      </c>
      <c r="G266" s="1" t="str">
        <f>IFERROR(__xludf.DUMMYFUNCTION("""COMPUTED_VALUE"""),"USA")</f>
        <v>USA</v>
      </c>
      <c r="H266" s="4" t="str">
        <f>IFERROR(__xludf.DUMMYFUNCTION("""COMPUTED_VALUE"""),"https://www.linkedin.com/posts/activity-7237533320438239233-SSEZ?utm_source=share&amp;utm_medium=member_desktop")</f>
        <v>https://www.linkedin.com/posts/activity-7237533320438239233-SSEZ?utm_source=share&amp;utm_medium=member_desktop</v>
      </c>
    </row>
    <row r="267">
      <c r="A267" s="2">
        <f>IFERROR(__xludf.DUMMYFUNCTION("""COMPUTED_VALUE"""),45540.0)</f>
        <v>45540</v>
      </c>
      <c r="B267" s="1" t="str">
        <f>IFERROR(__xludf.DUMMYFUNCTION("""COMPUTED_VALUE"""),"Ferrara")</f>
        <v>Ferrara</v>
      </c>
      <c r="C267" s="1" t="str">
        <f>IFERROR(__xludf.DUMMYFUNCTION("""COMPUTED_VALUE"""),"Analyst, Business Intelligence")</f>
        <v>Analyst, Business Intelligence</v>
      </c>
      <c r="D267" s="1" t="str">
        <f>IFERROR(__xludf.DUMMYFUNCTION("""COMPUTED_VALUE"""),"On-Site")</f>
        <v>On-Site</v>
      </c>
      <c r="E267" s="3" t="str">
        <f>IFERROR(__xludf.DUMMYFUNCTION("""COMPUTED_VALUE"""),"N/A")</f>
        <v>N/A</v>
      </c>
      <c r="F267" s="1" t="str">
        <f>IFERROR(__xludf.DUMMYFUNCTION("""COMPUTED_VALUE"""),"0 - 2")</f>
        <v>0 - 2</v>
      </c>
      <c r="G267" s="1" t="str">
        <f>IFERROR(__xludf.DUMMYFUNCTION("""COMPUTED_VALUE"""),"Chicago, IL")</f>
        <v>Chicago, IL</v>
      </c>
      <c r="H267" s="4" t="str">
        <f>IFERROR(__xludf.DUMMYFUNCTION("""COMPUTED_VALUE"""),"https://www.linkedin.com/posts/liza-ross-9a7125127_awesome-job-alert-our-business-intelligence-activity-7237526322724401152-qM18?utm_source=share&amp;utm_medium=member_desktop")</f>
        <v>https://www.linkedin.com/posts/liza-ross-9a7125127_awesome-job-alert-our-business-intelligence-activity-7237526322724401152-qM18?utm_source=share&amp;utm_medium=member_desktop</v>
      </c>
    </row>
    <row r="268">
      <c r="A268" s="2">
        <f>IFERROR(__xludf.DUMMYFUNCTION("""COMPUTED_VALUE"""),45540.0)</f>
        <v>45540</v>
      </c>
      <c r="B268" s="1" t="str">
        <f>IFERROR(__xludf.DUMMYFUNCTION("""COMPUTED_VALUE"""),"Visa")</f>
        <v>Visa</v>
      </c>
      <c r="C268" s="1" t="str">
        <f>IFERROR(__xludf.DUMMYFUNCTION("""COMPUTED_VALUE"""),"Analyst, Digital Performance Analytics")</f>
        <v>Analyst, Digital Performance Analytics</v>
      </c>
      <c r="D268" s="1" t="str">
        <f>IFERROR(__xludf.DUMMYFUNCTION("""COMPUTED_VALUE"""),"Hybrid")</f>
        <v>Hybrid</v>
      </c>
      <c r="E268" s="3" t="str">
        <f>IFERROR(__xludf.DUMMYFUNCTION("""COMPUTED_VALUE"""),"N/A")</f>
        <v>N/A</v>
      </c>
      <c r="F268" s="1" t="str">
        <f>IFERROR(__xludf.DUMMYFUNCTION("""COMPUTED_VALUE"""),"3 - 5")</f>
        <v>3 - 5</v>
      </c>
      <c r="G268" s="1" t="str">
        <f>IFERROR(__xludf.DUMMYFUNCTION("""COMPUTED_VALUE"""),"Toronto, Canada")</f>
        <v>Toronto, Canada</v>
      </c>
      <c r="H268" s="4" t="str">
        <f>IFERROR(__xludf.DUMMYFUNCTION("""COMPUTED_VALUE"""),"https://www.linkedin.com/posts/jonbromstein_analyst-digital-performance-analytics-activity-7237527690587611137-9bse?utm_source=share&amp;utm_medium=member_desktop")</f>
        <v>https://www.linkedin.com/posts/jonbromstein_analyst-digital-performance-analytics-activity-7237527690587611137-9bse?utm_source=share&amp;utm_medium=member_desktop</v>
      </c>
    </row>
    <row r="269">
      <c r="A269" s="2">
        <f>IFERROR(__xludf.DUMMYFUNCTION("""COMPUTED_VALUE"""),45540.0)</f>
        <v>45540</v>
      </c>
      <c r="B269" s="1" t="str">
        <f>IFERROR(__xludf.DUMMYFUNCTION("""COMPUTED_VALUE"""),"David Yurman")</f>
        <v>David Yurman</v>
      </c>
      <c r="C269" s="1" t="str">
        <f>IFERROR(__xludf.DUMMYFUNCTION("""COMPUTED_VALUE"""),"Senior Manager, Analytics &amp; Optimization")</f>
        <v>Senior Manager, Analytics &amp; Optimization</v>
      </c>
      <c r="D269" s="1" t="str">
        <f>IFERROR(__xludf.DUMMYFUNCTION("""COMPUTED_VALUE"""),"On-Site")</f>
        <v>On-Site</v>
      </c>
      <c r="E269" s="3" t="str">
        <f>IFERROR(__xludf.DUMMYFUNCTION("""COMPUTED_VALUE"""),"$145k - $165k")</f>
        <v>$145k - $165k</v>
      </c>
      <c r="F269" s="1" t="str">
        <f>IFERROR(__xludf.DUMMYFUNCTION("""COMPUTED_VALUE"""),"3 - 5")</f>
        <v>3 - 5</v>
      </c>
      <c r="G269" s="1" t="str">
        <f>IFERROR(__xludf.DUMMYFUNCTION("""COMPUTED_VALUE"""),"New York, NY")</f>
        <v>New York, NY</v>
      </c>
      <c r="H269" s="4" t="str">
        <f>IFERROR(__xludf.DUMMYFUNCTION("""COMPUTED_VALUE"""),"https://www.linkedin.com/posts/vijaya-patil_our-analytics-team-at-david-yurman-is-expanding-activity-7237503191012057089-RFDQ?utm_source=share&amp;utm_medium=member_desktop")</f>
        <v>https://www.linkedin.com/posts/vijaya-patil_our-analytics-team-at-david-yurman-is-expanding-activity-7237503191012057089-RFDQ?utm_source=share&amp;utm_medium=member_desktop</v>
      </c>
    </row>
    <row r="270">
      <c r="A270" s="2">
        <f>IFERROR(__xludf.DUMMYFUNCTION("""COMPUTED_VALUE"""),45540.0)</f>
        <v>45540</v>
      </c>
      <c r="B270" s="1" t="str">
        <f>IFERROR(__xludf.DUMMYFUNCTION("""COMPUTED_VALUE"""),"Amgen")</f>
        <v>Amgen</v>
      </c>
      <c r="C270" s="1" t="str">
        <f>IFERROR(__xludf.DUMMYFUNCTION("""COMPUTED_VALUE"""),"Data Scientist")</f>
        <v>Data Scientist</v>
      </c>
      <c r="D270" s="1" t="str">
        <f>IFERROR(__xludf.DUMMYFUNCTION("""COMPUTED_VALUE"""),"Hybrid")</f>
        <v>Hybrid</v>
      </c>
      <c r="E270" s="3" t="str">
        <f>IFERROR(__xludf.DUMMYFUNCTION("""COMPUTED_VALUE"""),"$102k - $132k")</f>
        <v>$102k - $132k</v>
      </c>
      <c r="F270" s="1" t="str">
        <f>IFERROR(__xludf.DUMMYFUNCTION("""COMPUTED_VALUE"""),"0 - 2")</f>
        <v>0 - 2</v>
      </c>
      <c r="G270" s="1" t="str">
        <f>IFERROR(__xludf.DUMMYFUNCTION("""COMPUTED_VALUE"""),"Thousand Oaks, CA/Cambridge, MA")</f>
        <v>Thousand Oaks, CA/Cambridge, MA</v>
      </c>
      <c r="H270" s="4" t="str">
        <f>IFERROR(__xludf.DUMMYFUNCTION("""COMPUTED_VALUE"""),"https://www.linkedin.com/posts/timothy-lauer-86574177_data-scientist-activity-7237519467096788992-HYon?utm_source=share&amp;utm_medium=member_desktop")</f>
        <v>https://www.linkedin.com/posts/timothy-lauer-86574177_data-scientist-activity-7237519467096788992-HYon?utm_source=share&amp;utm_medium=member_desktop</v>
      </c>
    </row>
    <row r="271">
      <c r="A271" s="2">
        <f>IFERROR(__xludf.DUMMYFUNCTION("""COMPUTED_VALUE"""),45540.0)</f>
        <v>45540</v>
      </c>
      <c r="B271" s="1" t="str">
        <f>IFERROR(__xludf.DUMMYFUNCTION("""COMPUTED_VALUE"""),"University of Florida")</f>
        <v>University of Florida</v>
      </c>
      <c r="C271" s="1" t="str">
        <f>IFERROR(__xludf.DUMMYFUNCTION("""COMPUTED_VALUE"""),"Data Management Analyst I")</f>
        <v>Data Management Analyst I</v>
      </c>
      <c r="D271" s="1" t="str">
        <f>IFERROR(__xludf.DUMMYFUNCTION("""COMPUTED_VALUE"""),"On-Site")</f>
        <v>On-Site</v>
      </c>
      <c r="E271" s="3" t="str">
        <f>IFERROR(__xludf.DUMMYFUNCTION("""COMPUTED_VALUE"""),"$60k - $65k")</f>
        <v>$60k - $65k</v>
      </c>
      <c r="F271" s="1" t="str">
        <f>IFERROR(__xludf.DUMMYFUNCTION("""COMPUTED_VALUE"""),"3 - 5")</f>
        <v>3 - 5</v>
      </c>
      <c r="G271" s="1" t="str">
        <f>IFERROR(__xludf.DUMMYFUNCTION("""COMPUTED_VALUE"""),"Gainesville, FL")</f>
        <v>Gainesville, FL</v>
      </c>
      <c r="H271" s="4" t="str">
        <f>IFERROR(__xludf.DUMMYFUNCTION("""COMPUTED_VALUE"""),"https://www.linkedin.com/posts/celestewilkins_data-management-analyst-i-activity-7237471762920169473-XxAE?utm_source=share&amp;utm_medium=member_desktop")</f>
        <v>https://www.linkedin.com/posts/celestewilkins_data-management-analyst-i-activity-7237471762920169473-XxAE?utm_source=share&amp;utm_medium=member_desktop</v>
      </c>
    </row>
    <row r="272">
      <c r="A272" s="2">
        <f>IFERROR(__xludf.DUMMYFUNCTION("""COMPUTED_VALUE"""),45540.0)</f>
        <v>45540</v>
      </c>
      <c r="B272" s="1" t="str">
        <f>IFERROR(__xludf.DUMMYFUNCTION("""COMPUTED_VALUE"""),"Nationwide Marketing Group")</f>
        <v>Nationwide Marketing Group</v>
      </c>
      <c r="C272" s="1" t="str">
        <f>IFERROR(__xludf.DUMMYFUNCTION("""COMPUTED_VALUE"""),"Data Analyst")</f>
        <v>Data Analyst</v>
      </c>
      <c r="D272" s="1" t="str">
        <f>IFERROR(__xludf.DUMMYFUNCTION("""COMPUTED_VALUE"""),"Remote")</f>
        <v>Remote</v>
      </c>
      <c r="E272" s="3" t="str">
        <f>IFERROR(__xludf.DUMMYFUNCTION("""COMPUTED_VALUE"""),"$65k - $68k")</f>
        <v>$65k - $68k</v>
      </c>
      <c r="F272" s="1" t="str">
        <f>IFERROR(__xludf.DUMMYFUNCTION("""COMPUTED_VALUE"""),"0 - 2")</f>
        <v>0 - 2</v>
      </c>
      <c r="G272" s="1" t="str">
        <f>IFERROR(__xludf.DUMMYFUNCTION("""COMPUTED_VALUE"""),"USA")</f>
        <v>USA</v>
      </c>
      <c r="H272" s="4" t="str">
        <f>IFERROR(__xludf.DUMMYFUNCTION("""COMPUTED_VALUE"""),"https://www.linkedin.com/posts/jessica-corsino-a5a7124_the-bianalytics-team-at-nmg-is-hiring-for-activity-7237466373067603968-C6EM?utm_source=share&amp;utm_medium=member_desktop")</f>
        <v>https://www.linkedin.com/posts/jessica-corsino-a5a7124_the-bianalytics-team-at-nmg-is-hiring-for-activity-7237466373067603968-C6EM?utm_source=share&amp;utm_medium=member_desktop</v>
      </c>
    </row>
    <row r="273">
      <c r="A273" s="2">
        <f>IFERROR(__xludf.DUMMYFUNCTION("""COMPUTED_VALUE"""),45540.0)</f>
        <v>45540</v>
      </c>
      <c r="B273" s="1" t="str">
        <f>IFERROR(__xludf.DUMMYFUNCTION("""COMPUTED_VALUE"""),"American Heart Association")</f>
        <v>American Heart Association</v>
      </c>
      <c r="C273" s="1" t="str">
        <f>IFERROR(__xludf.DUMMYFUNCTION("""COMPUTED_VALUE"""),"Product Analyst, Health IT Data")</f>
        <v>Product Analyst, Health IT Data</v>
      </c>
      <c r="D273" s="1" t="str">
        <f>IFERROR(__xludf.DUMMYFUNCTION("""COMPUTED_VALUE"""),"Remote")</f>
        <v>Remote</v>
      </c>
      <c r="E273" s="3" t="str">
        <f>IFERROR(__xludf.DUMMYFUNCTION("""COMPUTED_VALUE"""),"$60k - $80k")</f>
        <v>$60k - $80k</v>
      </c>
      <c r="F273" s="1" t="str">
        <f>IFERROR(__xludf.DUMMYFUNCTION("""COMPUTED_VALUE"""),"0 - 2")</f>
        <v>0 - 2</v>
      </c>
      <c r="G273" s="1" t="str">
        <f>IFERROR(__xludf.DUMMYFUNCTION("""COMPUTED_VALUE"""),"USA")</f>
        <v>USA</v>
      </c>
      <c r="H273" s="4" t="str">
        <f>IFERROR(__xludf.DUMMYFUNCTION("""COMPUTED_VALUE"""),"https://www.linkedin.com/posts/sandeep-gill-mph_product-analyst-health-it-data-in-dallas-activity-7237216703858798592-zgnh?utm_source=share&amp;utm_medium=member_desktop")</f>
        <v>https://www.linkedin.com/posts/sandeep-gill-mph_product-analyst-health-it-data-in-dallas-activity-7237216703858798592-zgnh?utm_source=share&amp;utm_medium=member_desktop</v>
      </c>
    </row>
    <row r="274">
      <c r="A274" s="2">
        <f>IFERROR(__xludf.DUMMYFUNCTION("""COMPUTED_VALUE"""),45540.0)</f>
        <v>45540</v>
      </c>
      <c r="B274" s="1" t="str">
        <f>IFERROR(__xludf.DUMMYFUNCTION("""COMPUTED_VALUE"""),"General Motors")</f>
        <v>General Motors</v>
      </c>
      <c r="C274" s="1" t="str">
        <f>IFERROR(__xludf.DUMMYFUNCTION("""COMPUTED_VALUE"""),"Staff Data Scientist")</f>
        <v>Staff Data Scientist</v>
      </c>
      <c r="D274" s="1" t="str">
        <f>IFERROR(__xludf.DUMMYFUNCTION("""COMPUTED_VALUE"""),"Remote")</f>
        <v>Remote</v>
      </c>
      <c r="E274" s="3" t="str">
        <f>IFERROR(__xludf.DUMMYFUNCTION("""COMPUTED_VALUE"""),"N/A")</f>
        <v>N/A</v>
      </c>
      <c r="F274" s="1" t="str">
        <f>IFERROR(__xludf.DUMMYFUNCTION("""COMPUTED_VALUE"""),"6 - 9")</f>
        <v>6 - 9</v>
      </c>
      <c r="G274" s="1" t="str">
        <f>IFERROR(__xludf.DUMMYFUNCTION("""COMPUTED_VALUE"""),"USA")</f>
        <v>USA</v>
      </c>
      <c r="H274" s="4" t="str">
        <f>IFERROR(__xludf.DUMMYFUNCTION("""COMPUTED_VALUE"""),"https://www.linkedin.com/posts/aswathmr_hiring-jobopportunities-joinourteam-activity-7237294493379502081-71n7?utm_source=share&amp;utm_medium=member_desktop")</f>
        <v>https://www.linkedin.com/posts/aswathmr_hiring-jobopportunities-joinourteam-activity-7237294493379502081-71n7?utm_source=share&amp;utm_medium=member_desktop</v>
      </c>
    </row>
    <row r="275">
      <c r="A275" s="2">
        <f>IFERROR(__xludf.DUMMYFUNCTION("""COMPUTED_VALUE"""),45540.0)</f>
        <v>45540</v>
      </c>
      <c r="B275" s="1" t="str">
        <f>IFERROR(__xludf.DUMMYFUNCTION("""COMPUTED_VALUE"""),"General Motors")</f>
        <v>General Motors</v>
      </c>
      <c r="C275" s="1" t="str">
        <f>IFERROR(__xludf.DUMMYFUNCTION("""COMPUTED_VALUE"""),"Staff Data Engineer")</f>
        <v>Staff Data Engineer</v>
      </c>
      <c r="D275" s="1" t="str">
        <f>IFERROR(__xludf.DUMMYFUNCTION("""COMPUTED_VALUE"""),"Remote")</f>
        <v>Remote</v>
      </c>
      <c r="E275" s="3" t="str">
        <f>IFERROR(__xludf.DUMMYFUNCTION("""COMPUTED_VALUE"""),"N/A")</f>
        <v>N/A</v>
      </c>
      <c r="F275" s="1" t="str">
        <f>IFERROR(__xludf.DUMMYFUNCTION("""COMPUTED_VALUE"""),"6 - 9")</f>
        <v>6 - 9</v>
      </c>
      <c r="G275" s="1" t="str">
        <f>IFERROR(__xludf.DUMMYFUNCTION("""COMPUTED_VALUE"""),"USA")</f>
        <v>USA</v>
      </c>
      <c r="H275" s="4" t="str">
        <f>IFERROR(__xludf.DUMMYFUNCTION("""COMPUTED_VALUE"""),"https://www.linkedin.com/posts/aswathmr_hiring-jobopportunities-joinourteam-activity-7237294493379502081-71n7?utm_source=share&amp;utm_medium=member_desktop")</f>
        <v>https://www.linkedin.com/posts/aswathmr_hiring-jobopportunities-joinourteam-activity-7237294493379502081-71n7?utm_source=share&amp;utm_medium=member_desktop</v>
      </c>
    </row>
    <row r="276">
      <c r="A276" s="2">
        <f>IFERROR(__xludf.DUMMYFUNCTION("""COMPUTED_VALUE"""),45540.0)</f>
        <v>45540</v>
      </c>
      <c r="B276" s="1" t="str">
        <f>IFERROR(__xludf.DUMMYFUNCTION("""COMPUTED_VALUE"""),"Sleeper")</f>
        <v>Sleeper</v>
      </c>
      <c r="C276" s="1" t="str">
        <f>IFERROR(__xludf.DUMMYFUNCTION("""COMPUTED_VALUE"""),"Senior Data Analyst, Marketing (Remote)")</f>
        <v>Senior Data Analyst, Marketing (Remote)</v>
      </c>
      <c r="D276" s="1" t="str">
        <f>IFERROR(__xludf.DUMMYFUNCTION("""COMPUTED_VALUE"""),"Remote")</f>
        <v>Remote</v>
      </c>
      <c r="E276" s="3" t="str">
        <f>IFERROR(__xludf.DUMMYFUNCTION("""COMPUTED_VALUE"""),"$90k - $150k")</f>
        <v>$90k - $150k</v>
      </c>
      <c r="F276" s="1" t="str">
        <f>IFERROR(__xludf.DUMMYFUNCTION("""COMPUTED_VALUE"""),"3 - 5")</f>
        <v>3 - 5</v>
      </c>
      <c r="G276" s="1" t="str">
        <f>IFERROR(__xludf.DUMMYFUNCTION("""COMPUTED_VALUE"""),"USA")</f>
        <v>USA</v>
      </c>
      <c r="H276" s="4" t="str">
        <f>IFERROR(__xludf.DUMMYFUNCTION("""COMPUTED_VALUE"""),"https://www.linkedin.com/posts/brooks-beckelman-8a219080_senior-data-analyst-marketing-remote-activity-7237259006359019520--0B2?utm_source=share&amp;utm_medium=member_desktop")</f>
        <v>https://www.linkedin.com/posts/brooks-beckelman-8a219080_senior-data-analyst-marketing-remote-activity-7237259006359019520--0B2?utm_source=share&amp;utm_medium=member_desktop</v>
      </c>
    </row>
    <row r="277">
      <c r="A277" s="2">
        <f>IFERROR(__xludf.DUMMYFUNCTION("""COMPUTED_VALUE"""),45540.0)</f>
        <v>45540</v>
      </c>
      <c r="B277" s="1" t="str">
        <f>IFERROR(__xludf.DUMMYFUNCTION("""COMPUTED_VALUE"""),"SEI")</f>
        <v>SEI</v>
      </c>
      <c r="C277" s="1" t="str">
        <f>IFERROR(__xludf.DUMMYFUNCTION("""COMPUTED_VALUE"""),"Data and Analytics Consultant")</f>
        <v>Data and Analytics Consultant</v>
      </c>
      <c r="D277" s="1" t="str">
        <f>IFERROR(__xludf.DUMMYFUNCTION("""COMPUTED_VALUE"""),"Hybrid")</f>
        <v>Hybrid</v>
      </c>
      <c r="E277" s="3" t="str">
        <f>IFERROR(__xludf.DUMMYFUNCTION("""COMPUTED_VALUE"""),"N/A")</f>
        <v>N/A</v>
      </c>
      <c r="F277" s="1" t="str">
        <f>IFERROR(__xludf.DUMMYFUNCTION("""COMPUTED_VALUE"""),"3 - 5")</f>
        <v>3 - 5</v>
      </c>
      <c r="G277" s="1" t="str">
        <f>IFERROR(__xludf.DUMMYFUNCTION("""COMPUTED_VALUE"""),"Boston, MA")</f>
        <v>Boston, MA</v>
      </c>
      <c r="H277" s="4" t="str">
        <f>IFERROR(__xludf.DUMMYFUNCTION("""COMPUTED_VALUE"""),"https://www.linkedin.com/posts/dan-cushing_data-and-analytics-consultant-activity-7237429271223308289-Epza?utm_source=share&amp;utm_medium=member_desktop")</f>
        <v>https://www.linkedin.com/posts/dan-cushing_data-and-analytics-consultant-activity-7237429271223308289-Epza?utm_source=share&amp;utm_medium=member_desktop</v>
      </c>
    </row>
    <row r="278">
      <c r="A278" s="2">
        <f>IFERROR(__xludf.DUMMYFUNCTION("""COMPUTED_VALUE"""),45540.0)</f>
        <v>45540</v>
      </c>
      <c r="B278" s="1" t="str">
        <f>IFERROR(__xludf.DUMMYFUNCTION("""COMPUTED_VALUE"""),"Zora")</f>
        <v>Zora</v>
      </c>
      <c r="C278" s="1" t="str">
        <f>IFERROR(__xludf.DUMMYFUNCTION("""COMPUTED_VALUE"""),"Staff Data Scientist")</f>
        <v>Staff Data Scientist</v>
      </c>
      <c r="D278" s="1" t="str">
        <f>IFERROR(__xludf.DUMMYFUNCTION("""COMPUTED_VALUE"""),"Remote")</f>
        <v>Remote</v>
      </c>
      <c r="E278" s="3" t="str">
        <f>IFERROR(__xludf.DUMMYFUNCTION("""COMPUTED_VALUE"""),"N/A")</f>
        <v>N/A</v>
      </c>
      <c r="F278" s="1" t="str">
        <f>IFERROR(__xludf.DUMMYFUNCTION("""COMPUTED_VALUE"""),"3 - 5")</f>
        <v>3 - 5</v>
      </c>
      <c r="G278" s="1" t="str">
        <f>IFERROR(__xludf.DUMMYFUNCTION("""COMPUTED_VALUE"""),"USA")</f>
        <v>USA</v>
      </c>
      <c r="H278" s="4" t="str">
        <f>IFERROR(__xludf.DUMMYFUNCTION("""COMPUTED_VALUE"""),"https://www.linkedin.com/posts/kevinotte_staff-data-scientist-activity-7237132090566164481-pxqq?utm_source=share&amp;utm_medium=member_desktop")</f>
        <v>https://www.linkedin.com/posts/kevinotte_staff-data-scientist-activity-7237132090566164481-pxqq?utm_source=share&amp;utm_medium=member_desktop</v>
      </c>
    </row>
    <row r="279">
      <c r="A279" s="2">
        <f>IFERROR(__xludf.DUMMYFUNCTION("""COMPUTED_VALUE"""),45540.0)</f>
        <v>45540</v>
      </c>
      <c r="B279" s="1" t="str">
        <f>IFERROR(__xludf.DUMMYFUNCTION("""COMPUTED_VALUE"""),"Prime Data Centers")</f>
        <v>Prime Data Centers</v>
      </c>
      <c r="C279" s="1" t="str">
        <f>IFERROR(__xludf.DUMMYFUNCTION("""COMPUTED_VALUE"""),"Sustainability Data &amp; Reporting Analyst")</f>
        <v>Sustainability Data &amp; Reporting Analyst</v>
      </c>
      <c r="D279" s="1" t="str">
        <f>IFERROR(__xludf.DUMMYFUNCTION("""COMPUTED_VALUE"""),"On-Site")</f>
        <v>On-Site</v>
      </c>
      <c r="E279" s="3" t="str">
        <f>IFERROR(__xludf.DUMMYFUNCTION("""COMPUTED_VALUE"""),"$70k - $95k")</f>
        <v>$70k - $95k</v>
      </c>
      <c r="F279" s="1" t="str">
        <f>IFERROR(__xludf.DUMMYFUNCTION("""COMPUTED_VALUE"""),"0 - 2")</f>
        <v>0 - 2</v>
      </c>
      <c r="G279" s="1" t="str">
        <f>IFERROR(__xludf.DUMMYFUNCTION("""COMPUTED_VALUE"""),"Denver, CO")</f>
        <v>Denver, CO</v>
      </c>
      <c r="H279" s="4" t="str">
        <f>IFERROR(__xludf.DUMMYFUNCTION("""COMPUTED_VALUE"""),"https://www.linkedin.com/posts/sarah-martinez-0688192_jobopportunity-hiring-sustainability-activity-7237103706414968832-sQRn?utm_source=share&amp;utm_medium=member_desktop")</f>
        <v>https://www.linkedin.com/posts/sarah-martinez-0688192_jobopportunity-hiring-sustainability-activity-7237103706414968832-sQRn?utm_source=share&amp;utm_medium=member_desktop</v>
      </c>
    </row>
    <row r="280">
      <c r="A280" s="2">
        <f>IFERROR(__xludf.DUMMYFUNCTION("""COMPUTED_VALUE"""),45540.0)</f>
        <v>45540</v>
      </c>
      <c r="B280" s="1" t="str">
        <f>IFERROR(__xludf.DUMMYFUNCTION("""COMPUTED_VALUE"""),"United Airlines")</f>
        <v>United Airlines</v>
      </c>
      <c r="C280" s="1" t="str">
        <f>IFERROR(__xludf.DUMMYFUNCTION("""COMPUTED_VALUE"""),"Senior Analyst - Deal Desk")</f>
        <v>Senior Analyst - Deal Desk</v>
      </c>
      <c r="D280" s="1" t="str">
        <f>IFERROR(__xludf.DUMMYFUNCTION("""COMPUTED_VALUE"""),"Remote")</f>
        <v>Remote</v>
      </c>
      <c r="E280" s="3" t="str">
        <f>IFERROR(__xludf.DUMMYFUNCTION("""COMPUTED_VALUE"""),"$73k - $108k")</f>
        <v>$73k - $108k</v>
      </c>
      <c r="F280" s="1" t="str">
        <f>IFERROR(__xludf.DUMMYFUNCTION("""COMPUTED_VALUE"""),"3 - 5")</f>
        <v>3 - 5</v>
      </c>
      <c r="G280" s="1" t="str">
        <f>IFERROR(__xludf.DUMMYFUNCTION("""COMPUTED_VALUE"""),"USA")</f>
        <v>USA</v>
      </c>
      <c r="H280" s="4" t="str">
        <f>IFERROR(__xludf.DUMMYFUNCTION("""COMPUTED_VALUE"""),"https://www.linkedin.com/posts/courtneykrause_hiring-activity-7237209275058548736--8Nc?utm_source=share&amp;utm_medium=member_desktop")</f>
        <v>https://www.linkedin.com/posts/courtneykrause_hiring-activity-7237209275058548736--8Nc?utm_source=share&amp;utm_medium=member_desktop</v>
      </c>
    </row>
    <row r="281">
      <c r="A281" s="2">
        <f>IFERROR(__xludf.DUMMYFUNCTION("""COMPUTED_VALUE"""),45540.0)</f>
        <v>45540</v>
      </c>
      <c r="B281" s="1" t="str">
        <f>IFERROR(__xludf.DUMMYFUNCTION("""COMPUTED_VALUE"""),"Collective")</f>
        <v>Collective</v>
      </c>
      <c r="C281" s="1" t="str">
        <f>IFERROR(__xludf.DUMMYFUNCTION("""COMPUTED_VALUE"""),"Senior Data Engineer")</f>
        <v>Senior Data Engineer</v>
      </c>
      <c r="D281" s="1" t="str">
        <f>IFERROR(__xludf.DUMMYFUNCTION("""COMPUTED_VALUE"""),"Hybrid")</f>
        <v>Hybrid</v>
      </c>
      <c r="E281" s="3" t="str">
        <f>IFERROR(__xludf.DUMMYFUNCTION("""COMPUTED_VALUE"""),"$185k - $210k")</f>
        <v>$185k - $210k</v>
      </c>
      <c r="F281" s="1" t="str">
        <f>IFERROR(__xludf.DUMMYFUNCTION("""COMPUTED_VALUE"""),"6 - 9")</f>
        <v>6 - 9</v>
      </c>
      <c r="G281" s="1" t="str">
        <f>IFERROR(__xludf.DUMMYFUNCTION("""COMPUTED_VALUE"""),"San Francisco, CA")</f>
        <v>San Francisco, CA</v>
      </c>
      <c r="H281" s="4" t="str">
        <f>IFERROR(__xludf.DUMMYFUNCTION("""COMPUTED_VALUE"""),"https://www.linkedin.com/posts/carmencoleman_senior-data-engineer-activity-7237180119558037505-6byv?utm_source=share&amp;utm_medium=member_desktop")</f>
        <v>https://www.linkedin.com/posts/carmencoleman_senior-data-engineer-activity-7237180119558037505-6byv?utm_source=share&amp;utm_medium=member_desktop</v>
      </c>
    </row>
    <row r="282">
      <c r="A282" s="2">
        <f>IFERROR(__xludf.DUMMYFUNCTION("""COMPUTED_VALUE"""),45540.0)</f>
        <v>45540</v>
      </c>
      <c r="B282" s="1" t="str">
        <f>IFERROR(__xludf.DUMMYFUNCTION("""COMPUTED_VALUE"""),"Rock West Composites, Inc.")</f>
        <v>Rock West Composites, Inc.</v>
      </c>
      <c r="C282" s="1" t="str">
        <f>IFERROR(__xludf.DUMMYFUNCTION("""COMPUTED_VALUE"""),"Financial Analyst")</f>
        <v>Financial Analyst</v>
      </c>
      <c r="D282" s="1" t="str">
        <f>IFERROR(__xludf.DUMMYFUNCTION("""COMPUTED_VALUE"""),"On-Site")</f>
        <v>On-Site</v>
      </c>
      <c r="E282" s="3" t="str">
        <f>IFERROR(__xludf.DUMMYFUNCTION("""COMPUTED_VALUE"""),"$90k - $115k")</f>
        <v>$90k - $115k</v>
      </c>
      <c r="F282" s="1" t="str">
        <f>IFERROR(__xludf.DUMMYFUNCTION("""COMPUTED_VALUE"""),"3 - 5")</f>
        <v>3 - 5</v>
      </c>
      <c r="G282" s="1" t="str">
        <f>IFERROR(__xludf.DUMMYFUNCTION("""COMPUTED_VALUE"""),"San Diego, CA")</f>
        <v>San Diego, CA</v>
      </c>
      <c r="H282" s="4" t="str">
        <f>IFERROR(__xludf.DUMMYFUNCTION("""COMPUTED_VALUE"""),"https://www.linkedin.com/posts/mikeesparza_financial-analyst-activity-7237223487935799296-Fr_M?utm_source=share&amp;utm_medium=member_desktop")</f>
        <v>https://www.linkedin.com/posts/mikeesparza_financial-analyst-activity-7237223487935799296-Fr_M?utm_source=share&amp;utm_medium=member_desktop</v>
      </c>
    </row>
    <row r="283">
      <c r="A283" s="2">
        <f>IFERROR(__xludf.DUMMYFUNCTION("""COMPUTED_VALUE"""),45540.0)</f>
        <v>45540</v>
      </c>
      <c r="B283" s="1" t="str">
        <f>IFERROR(__xludf.DUMMYFUNCTION("""COMPUTED_VALUE"""),"PlanRVA")</f>
        <v>PlanRVA</v>
      </c>
      <c r="C283" s="1" t="str">
        <f>IFERROR(__xludf.DUMMYFUNCTION("""COMPUTED_VALUE"""),"Data Analyst")</f>
        <v>Data Analyst</v>
      </c>
      <c r="D283" s="1" t="str">
        <f>IFERROR(__xludf.DUMMYFUNCTION("""COMPUTED_VALUE"""),"Hybrid")</f>
        <v>Hybrid</v>
      </c>
      <c r="E283" s="3" t="str">
        <f>IFERROR(__xludf.DUMMYFUNCTION("""COMPUTED_VALUE"""),"$65k")</f>
        <v>$65k</v>
      </c>
      <c r="F283" s="1" t="str">
        <f>IFERROR(__xludf.DUMMYFUNCTION("""COMPUTED_VALUE"""),"3 - 5")</f>
        <v>3 - 5</v>
      </c>
      <c r="G283" s="1" t="str">
        <f>IFERROR(__xludf.DUMMYFUNCTION("""COMPUTED_VALUE"""),"Richmond, VA")</f>
        <v>Richmond, VA</v>
      </c>
      <c r="H283" s="4" t="str">
        <f>IFERROR(__xludf.DUMMYFUNCTION("""COMPUTED_VALUE"""),"https://www.linkedin.com/posts/sarin-adhikari_data-analyst-activity-7237110289412845568-g8VY?utm_source=share&amp;utm_medium=member_desktop")</f>
        <v>https://www.linkedin.com/posts/sarin-adhikari_data-analyst-activity-7237110289412845568-g8VY?utm_source=share&amp;utm_medium=member_desktop</v>
      </c>
    </row>
    <row r="284">
      <c r="A284" s="2">
        <f>IFERROR(__xludf.DUMMYFUNCTION("""COMPUTED_VALUE"""),45539.0)</f>
        <v>45539</v>
      </c>
      <c r="B284" s="1" t="str">
        <f>IFERROR(__xludf.DUMMYFUNCTION("""COMPUTED_VALUE"""),"Common App")</f>
        <v>Common App</v>
      </c>
      <c r="C284" s="1" t="str">
        <f>IFERROR(__xludf.DUMMYFUNCTION("""COMPUTED_VALUE"""),"Senior Business Analyst")</f>
        <v>Senior Business Analyst</v>
      </c>
      <c r="D284" s="1" t="str">
        <f>IFERROR(__xludf.DUMMYFUNCTION("""COMPUTED_VALUE"""),"Remote")</f>
        <v>Remote</v>
      </c>
      <c r="E284" s="3" t="str">
        <f>IFERROR(__xludf.DUMMYFUNCTION("""COMPUTED_VALUE"""),"$115k - $121k")</f>
        <v>$115k - $121k</v>
      </c>
      <c r="F284" s="1" t="str">
        <f>IFERROR(__xludf.DUMMYFUNCTION("""COMPUTED_VALUE"""),"3 - 5")</f>
        <v>3 - 5</v>
      </c>
      <c r="G284" s="1" t="str">
        <f>IFERROR(__xludf.DUMMYFUNCTION("""COMPUTED_VALUE"""),"USA")</f>
        <v>USA</v>
      </c>
      <c r="H284" s="4" t="str">
        <f>IFERROR(__xludf.DUMMYFUNCTION("""COMPUTED_VALUE"""),"https://www.linkedin.com/posts/trevorhpittman_senior-business-analyst-common-app-activity-7237204039254364162-1mYF?utm_source=share&amp;utm_medium=member_desktop")</f>
        <v>https://www.linkedin.com/posts/trevorhpittman_senior-business-analyst-common-app-activity-7237204039254364162-1mYF?utm_source=share&amp;utm_medium=member_desktop</v>
      </c>
    </row>
    <row r="285">
      <c r="A285" s="2">
        <f>IFERROR(__xludf.DUMMYFUNCTION("""COMPUTED_VALUE"""),45539.0)</f>
        <v>45539</v>
      </c>
      <c r="B285" s="1" t="str">
        <f>IFERROR(__xludf.DUMMYFUNCTION("""COMPUTED_VALUE"""),"PTC Therapeutics")</f>
        <v>PTC Therapeutics</v>
      </c>
      <c r="C285" s="1" t="str">
        <f>IFERROR(__xludf.DUMMYFUNCTION("""COMPUTED_VALUE"""),"Analyst, Business Analytics (Hybrid - Warren, NJ)")</f>
        <v>Analyst, Business Analytics (Hybrid - Warren, NJ)</v>
      </c>
      <c r="D285" s="1" t="str">
        <f>IFERROR(__xludf.DUMMYFUNCTION("""COMPUTED_VALUE"""),"Hybrid")</f>
        <v>Hybrid</v>
      </c>
      <c r="E285" s="3" t="str">
        <f>IFERROR(__xludf.DUMMYFUNCTION("""COMPUTED_VALUE"""),"N/A")</f>
        <v>N/A</v>
      </c>
      <c r="F285" s="1" t="str">
        <f>IFERROR(__xludf.DUMMYFUNCTION("""COMPUTED_VALUE"""),"0 - 2")</f>
        <v>0 - 2</v>
      </c>
      <c r="G285" s="1" t="str">
        <f>IFERROR(__xludf.DUMMYFUNCTION("""COMPUTED_VALUE"""),"Warren, NJ")</f>
        <v>Warren, NJ</v>
      </c>
      <c r="H285" s="4" t="str">
        <f>IFERROR(__xludf.DUMMYFUNCTION("""COMPUTED_VALUE"""),"https://www.linkedin.com/posts/paul-d-gorman_analyst-business-analytics-hybrid-warren-activity-7236796860131139585-CrhD?utm_source=share&amp;utm_medium=member_desktop")</f>
        <v>https://www.linkedin.com/posts/paul-d-gorman_analyst-business-analytics-hybrid-warren-activity-7236796860131139585-CrhD?utm_source=share&amp;utm_medium=member_desktop</v>
      </c>
    </row>
    <row r="286">
      <c r="A286" s="2">
        <f>IFERROR(__xludf.DUMMYFUNCTION("""COMPUTED_VALUE"""),45539.0)</f>
        <v>45539</v>
      </c>
      <c r="B286" s="1" t="str">
        <f>IFERROR(__xludf.DUMMYFUNCTION("""COMPUTED_VALUE"""),"WebMD")</f>
        <v>WebMD</v>
      </c>
      <c r="C286" s="1" t="str">
        <f>IFERROR(__xludf.DUMMYFUNCTION("""COMPUTED_VALUE"""),"Business Analyst")</f>
        <v>Business Analyst</v>
      </c>
      <c r="D286" s="1" t="str">
        <f>IFERROR(__xludf.DUMMYFUNCTION("""COMPUTED_VALUE"""),"Hybrid")</f>
        <v>Hybrid</v>
      </c>
      <c r="E286" s="3" t="str">
        <f>IFERROR(__xludf.DUMMYFUNCTION("""COMPUTED_VALUE"""),"N/A")</f>
        <v>N/A</v>
      </c>
      <c r="F286" s="1" t="str">
        <f>IFERROR(__xludf.DUMMYFUNCTION("""COMPUTED_VALUE"""),"0 - 2")</f>
        <v>0 - 2</v>
      </c>
      <c r="G286" s="1" t="str">
        <f>IFERROR(__xludf.DUMMYFUNCTION("""COMPUTED_VALUE"""),"Portland, OR")</f>
        <v>Portland, OR</v>
      </c>
      <c r="H286" s="4" t="str">
        <f>IFERROR(__xludf.DUMMYFUNCTION("""COMPUTED_VALUE"""),"https://www.linkedin.com/posts/krista-frias-5955bb1a2_portland-sql-hybrid-activity-7237201220161970178-jQyQ?utm_source=share&amp;utm_medium=member_desktop")</f>
        <v>https://www.linkedin.com/posts/krista-frias-5955bb1a2_portland-sql-hybrid-activity-7237201220161970178-jQyQ?utm_source=share&amp;utm_medium=member_desktop</v>
      </c>
    </row>
    <row r="287">
      <c r="A287" s="2">
        <f>IFERROR(__xludf.DUMMYFUNCTION("""COMPUTED_VALUE"""),45539.0)</f>
        <v>45539</v>
      </c>
      <c r="B287" s="1" t="str">
        <f>IFERROR(__xludf.DUMMYFUNCTION("""COMPUTED_VALUE"""),"Endeavors")</f>
        <v>Endeavors</v>
      </c>
      <c r="C287" s="1" t="str">
        <f>IFERROR(__xludf.DUMMYFUNCTION("""COMPUTED_VALUE"""),"Financial Analyst")</f>
        <v>Financial Analyst</v>
      </c>
      <c r="D287" s="1" t="str">
        <f>IFERROR(__xludf.DUMMYFUNCTION("""COMPUTED_VALUE"""),"On-Site")</f>
        <v>On-Site</v>
      </c>
      <c r="E287" s="3" t="str">
        <f>IFERROR(__xludf.DUMMYFUNCTION("""COMPUTED_VALUE"""),"N/A")</f>
        <v>N/A</v>
      </c>
      <c r="F287" s="1" t="str">
        <f>IFERROR(__xludf.DUMMYFUNCTION("""COMPUTED_VALUE"""),"3 - 5")</f>
        <v>3 - 5</v>
      </c>
      <c r="G287" s="1" t="str">
        <f>IFERROR(__xludf.DUMMYFUNCTION("""COMPUTED_VALUE"""),"San Antonio, TX")</f>
        <v>San Antonio, TX</v>
      </c>
      <c r="H287" s="4" t="str">
        <f>IFERROR(__xludf.DUMMYFUNCTION("""COMPUTED_VALUE"""),"https://www.linkedin.com/posts/raycacace_looking-for-a-fulfilling-career-or-maybe-activity-7237162990486089728-0L8b?utm_source=share&amp;utm_medium=member_desktop")</f>
        <v>https://www.linkedin.com/posts/raycacace_looking-for-a-fulfilling-career-or-maybe-activity-7237162990486089728-0L8b?utm_source=share&amp;utm_medium=member_desktop</v>
      </c>
    </row>
    <row r="288">
      <c r="A288" s="2">
        <f>IFERROR(__xludf.DUMMYFUNCTION("""COMPUTED_VALUE"""),45539.0)</f>
        <v>45539</v>
      </c>
      <c r="B288" s="1" t="str">
        <f>IFERROR(__xludf.DUMMYFUNCTION("""COMPUTED_VALUE"""),"Advantive")</f>
        <v>Advantive</v>
      </c>
      <c r="C288" s="1" t="str">
        <f>IFERROR(__xludf.DUMMYFUNCTION("""COMPUTED_VALUE"""),"Sr. Financial Analyst")</f>
        <v>Sr. Financial Analyst</v>
      </c>
      <c r="D288" s="1" t="str">
        <f>IFERROR(__xludf.DUMMYFUNCTION("""COMPUTED_VALUE"""),"Remote")</f>
        <v>Remote</v>
      </c>
      <c r="E288" s="3" t="str">
        <f>IFERROR(__xludf.DUMMYFUNCTION("""COMPUTED_VALUE"""),"N/A")</f>
        <v>N/A</v>
      </c>
      <c r="F288" s="1" t="str">
        <f>IFERROR(__xludf.DUMMYFUNCTION("""COMPUTED_VALUE"""),"3 - 5")</f>
        <v>3 - 5</v>
      </c>
      <c r="G288" s="1" t="str">
        <f>IFERROR(__xludf.DUMMYFUNCTION("""COMPUTED_VALUE"""),"USA")</f>
        <v>USA</v>
      </c>
      <c r="H288" s="4" t="str">
        <f>IFERROR(__xludf.DUMMYFUNCTION("""COMPUTED_VALUE"""),"https://www.linkedin.com/posts/callieshanks_remote-hiring-finance-activity-7237157589036204032-Ur-D?utm_source=share&amp;utm_medium=member_desktop")</f>
        <v>https://www.linkedin.com/posts/callieshanks_remote-hiring-finance-activity-7237157589036204032-Ur-D?utm_source=share&amp;utm_medium=member_desktop</v>
      </c>
    </row>
    <row r="289">
      <c r="A289" s="2">
        <f>IFERROR(__xludf.DUMMYFUNCTION("""COMPUTED_VALUE"""),45539.0)</f>
        <v>45539</v>
      </c>
      <c r="B289" s="1" t="str">
        <f>IFERROR(__xludf.DUMMYFUNCTION("""COMPUTED_VALUE"""),"Resonate")</f>
        <v>Resonate</v>
      </c>
      <c r="C289" s="1" t="str">
        <f>IFERROR(__xludf.DUMMYFUNCTION("""COMPUTED_VALUE"""),"Data Engineer")</f>
        <v>Data Engineer</v>
      </c>
      <c r="D289" s="1" t="str">
        <f>IFERROR(__xludf.DUMMYFUNCTION("""COMPUTED_VALUE"""),"Remote")</f>
        <v>Remote</v>
      </c>
      <c r="E289" s="3" t="str">
        <f>IFERROR(__xludf.DUMMYFUNCTION("""COMPUTED_VALUE"""),"N/A")</f>
        <v>N/A</v>
      </c>
      <c r="F289" s="1" t="str">
        <f>IFERROR(__xludf.DUMMYFUNCTION("""COMPUTED_VALUE"""),"3 - 5")</f>
        <v>3 - 5</v>
      </c>
      <c r="G289" s="1" t="str">
        <f>IFERROR(__xludf.DUMMYFUNCTION("""COMPUTED_VALUE"""),"Washington, DC")</f>
        <v>Washington, DC</v>
      </c>
      <c r="H289" s="4" t="str">
        <f>IFERROR(__xludf.DUMMYFUNCTION("""COMPUTED_VALUE"""),"https://www.linkedin.com/posts/nickfoleyhr_hiring-dataengineer-engineeringjobs-activity-7237090733667606529-g7WZ?utm_source=share&amp;utm_medium=member_desktop")</f>
        <v>https://www.linkedin.com/posts/nickfoleyhr_hiring-dataengineer-engineeringjobs-activity-7237090733667606529-g7WZ?utm_source=share&amp;utm_medium=member_desktop</v>
      </c>
    </row>
    <row r="290">
      <c r="A290" s="2">
        <f>IFERROR(__xludf.DUMMYFUNCTION("""COMPUTED_VALUE"""),45539.0)</f>
        <v>45539</v>
      </c>
      <c r="B290" s="1" t="str">
        <f>IFERROR(__xludf.DUMMYFUNCTION("""COMPUTED_VALUE"""),"DTG Consulting Solutions, Inc.")</f>
        <v>DTG Consulting Solutions, Inc.</v>
      </c>
      <c r="C290" s="1" t="str">
        <f>IFERROR(__xludf.DUMMYFUNCTION("""COMPUTED_VALUE"""),"Reporting &amp; Analytics Lead")</f>
        <v>Reporting &amp; Analytics Lead</v>
      </c>
      <c r="D290" s="1" t="str">
        <f>IFERROR(__xludf.DUMMYFUNCTION("""COMPUTED_VALUE"""),"Hybrid")</f>
        <v>Hybrid</v>
      </c>
      <c r="E290" s="3" t="str">
        <f>IFERROR(__xludf.DUMMYFUNCTION("""COMPUTED_VALUE"""),"$110k - $140k")</f>
        <v>$110k - $140k</v>
      </c>
      <c r="F290" s="1" t="str">
        <f>IFERROR(__xludf.DUMMYFUNCTION("""COMPUTED_VALUE"""),"6 - 9")</f>
        <v>6 - 9</v>
      </c>
      <c r="G290" s="1" t="str">
        <f>IFERROR(__xludf.DUMMYFUNCTION("""COMPUTED_VALUE"""),"New York, NY")</f>
        <v>New York, NY</v>
      </c>
      <c r="H290" s="4" t="str">
        <f>IFERROR(__xludf.DUMMYFUNCTION("""COMPUTED_VALUE"""),"https://www.linkedin.com/posts/mittalshah14_hiring-analyticslead-datadriven-activity-7237150103315070977-4k1O?utm_source=share&amp;utm_medium=member_desktop")</f>
        <v>https://www.linkedin.com/posts/mittalshah14_hiring-analyticslead-datadriven-activity-7237150103315070977-4k1O?utm_source=share&amp;utm_medium=member_desktop</v>
      </c>
    </row>
    <row r="291">
      <c r="A291" s="2">
        <f>IFERROR(__xludf.DUMMYFUNCTION("""COMPUTED_VALUE"""),45539.0)</f>
        <v>45539</v>
      </c>
      <c r="B291" s="1" t="str">
        <f>IFERROR(__xludf.DUMMYFUNCTION("""COMPUTED_VALUE"""),"Wayfair")</f>
        <v>Wayfair</v>
      </c>
      <c r="C291" s="1" t="str">
        <f>IFERROR(__xludf.DUMMYFUNCTION("""COMPUTED_VALUE"""),"Manager, Revenue Operations Sales Tooling")</f>
        <v>Manager, Revenue Operations Sales Tooling</v>
      </c>
      <c r="D291" s="1" t="str">
        <f>IFERROR(__xludf.DUMMYFUNCTION("""COMPUTED_VALUE"""),"Hybrid")</f>
        <v>Hybrid</v>
      </c>
      <c r="E291" s="3" t="str">
        <f>IFERROR(__xludf.DUMMYFUNCTION("""COMPUTED_VALUE"""),"N/A")</f>
        <v>N/A</v>
      </c>
      <c r="F291" s="1" t="str">
        <f>IFERROR(__xludf.DUMMYFUNCTION("""COMPUTED_VALUE"""),"3 - 5")</f>
        <v>3 - 5</v>
      </c>
      <c r="G291" s="1" t="str">
        <f>IFERROR(__xludf.DUMMYFUNCTION("""COMPUTED_VALUE"""),"Boston, MA")</f>
        <v>Boston, MA</v>
      </c>
      <c r="H291" s="4" t="str">
        <f>IFERROR(__xludf.DUMMYFUNCTION("""COMPUTED_VALUE"""),"https://www.linkedin.com/posts/makinseylesak_analytics-manager-revenue-operations-sales-activity-7237170838666403840-oYx-?utm_source=share&amp;utm_medium=member_desktop")</f>
        <v>https://www.linkedin.com/posts/makinseylesak_analytics-manager-revenue-operations-sales-activity-7237170838666403840-oYx-?utm_source=share&amp;utm_medium=member_desktop</v>
      </c>
    </row>
    <row r="292">
      <c r="A292" s="2">
        <f>IFERROR(__xludf.DUMMYFUNCTION("""COMPUTED_VALUE"""),45539.0)</f>
        <v>45539</v>
      </c>
      <c r="B292" s="1" t="str">
        <f>IFERROR(__xludf.DUMMYFUNCTION("""COMPUTED_VALUE"""),"Apartment List")</f>
        <v>Apartment List</v>
      </c>
      <c r="C292" s="1" t="str">
        <f>IFERROR(__xludf.DUMMYFUNCTION("""COMPUTED_VALUE"""),"Lead Product Analyst")</f>
        <v>Lead Product Analyst</v>
      </c>
      <c r="D292" s="1" t="str">
        <f>IFERROR(__xludf.DUMMYFUNCTION("""COMPUTED_VALUE"""),"Remote")</f>
        <v>Remote</v>
      </c>
      <c r="E292" s="3" t="str">
        <f>IFERROR(__xludf.DUMMYFUNCTION("""COMPUTED_VALUE"""),"$135k - $175k")</f>
        <v>$135k - $175k</v>
      </c>
      <c r="F292" s="1" t="str">
        <f>IFERROR(__xludf.DUMMYFUNCTION("""COMPUTED_VALUE"""),"6 - 9")</f>
        <v>6 - 9</v>
      </c>
      <c r="G292" s="1" t="str">
        <f>IFERROR(__xludf.DUMMYFUNCTION("""COMPUTED_VALUE"""),"USA")</f>
        <v>USA</v>
      </c>
      <c r="H292" s="4" t="str">
        <f>IFERROR(__xludf.DUMMYFUNCTION("""COMPUTED_VALUE"""),"https://www.linkedin.com/posts/samantha-katsounas-a099a958_the-analytics-team-at-apartment-list-is-growing-activity-7237129810735472640-sSX-?utm_source=share&amp;utm_medium=member_desktop")</f>
        <v>https://www.linkedin.com/posts/samantha-katsounas-a099a958_the-analytics-team-at-apartment-list-is-growing-activity-7237129810735472640-sSX-?utm_source=share&amp;utm_medium=member_desktop</v>
      </c>
    </row>
    <row r="293">
      <c r="A293" s="2">
        <f>IFERROR(__xludf.DUMMYFUNCTION("""COMPUTED_VALUE"""),45539.0)</f>
        <v>45539</v>
      </c>
      <c r="B293" s="1" t="str">
        <f>IFERROR(__xludf.DUMMYFUNCTION("""COMPUTED_VALUE"""),"InnoActive Group")</f>
        <v>InnoActive Group</v>
      </c>
      <c r="C293" s="1" t="str">
        <f>IFERROR(__xludf.DUMMYFUNCTION("""COMPUTED_VALUE"""),"Senior Manager - Data Intelligence")</f>
        <v>Senior Manager - Data Intelligence</v>
      </c>
      <c r="D293" s="1" t="str">
        <f>IFERROR(__xludf.DUMMYFUNCTION("""COMPUTED_VALUE"""),"Remote")</f>
        <v>Remote</v>
      </c>
      <c r="E293" s="3" t="str">
        <f>IFERROR(__xludf.DUMMYFUNCTION("""COMPUTED_VALUE"""),"N/A")</f>
        <v>N/A</v>
      </c>
      <c r="F293" s="1" t="str">
        <f>IFERROR(__xludf.DUMMYFUNCTION("""COMPUTED_VALUE"""),"3 - 5")</f>
        <v>3 - 5</v>
      </c>
      <c r="G293" s="1" t="str">
        <f>IFERROR(__xludf.DUMMYFUNCTION("""COMPUTED_VALUE"""),"USA")</f>
        <v>USA</v>
      </c>
      <c r="H293" s="4" t="str">
        <f>IFERROR(__xludf.DUMMYFUNCTION("""COMPUTED_VALUE"""),"https://www.linkedin.com/posts/aravind-sampath_seniormanager-dataintelligence-activity-7237160937990840320-kf_7?utm_source=share&amp;utm_medium=member_desktop")</f>
        <v>https://www.linkedin.com/posts/aravind-sampath_seniormanager-dataintelligence-activity-7237160937990840320-kf_7?utm_source=share&amp;utm_medium=member_desktop</v>
      </c>
    </row>
    <row r="294">
      <c r="A294" s="2">
        <f>IFERROR(__xludf.DUMMYFUNCTION("""COMPUTED_VALUE"""),45539.0)</f>
        <v>45539</v>
      </c>
      <c r="B294" s="1" t="str">
        <f>IFERROR(__xludf.DUMMYFUNCTION("""COMPUTED_VALUE"""),"Spectrum")</f>
        <v>Spectrum</v>
      </c>
      <c r="C294" s="1" t="str">
        <f>IFERROR(__xludf.DUMMYFUNCTION("""COMPUTED_VALUE"""),"Data Scientist")</f>
        <v>Data Scientist</v>
      </c>
      <c r="D294" s="1" t="str">
        <f>IFERROR(__xludf.DUMMYFUNCTION("""COMPUTED_VALUE"""),"On-Site")</f>
        <v>On-Site</v>
      </c>
      <c r="E294" s="3" t="str">
        <f>IFERROR(__xludf.DUMMYFUNCTION("""COMPUTED_VALUE"""),"N/A")</f>
        <v>N/A</v>
      </c>
      <c r="F294" s="1" t="str">
        <f>IFERROR(__xludf.DUMMYFUNCTION("""COMPUTED_VALUE"""),"3 - 5")</f>
        <v>3 - 5</v>
      </c>
      <c r="G294" s="1" t="str">
        <f>IFERROR(__xludf.DUMMYFUNCTION("""COMPUTED_VALUE"""),"Stamford, CT")</f>
        <v>Stamford, CT</v>
      </c>
      <c r="H294" s="4" t="str">
        <f>IFERROR(__xludf.DUMMYFUNCTION("""COMPUTED_VALUE"""),"https://www.linkedin.com/posts/taharra-butler-64114634_datascience-stamfordct-spectrumcareers-activity-7237113139001991168-kvpp?utm_source=share&amp;utm_medium=member_desktop")</f>
        <v>https://www.linkedin.com/posts/taharra-butler-64114634_datascience-stamfordct-spectrumcareers-activity-7237113139001991168-kvpp?utm_source=share&amp;utm_medium=member_desktop</v>
      </c>
    </row>
    <row r="295">
      <c r="A295" s="2">
        <f>IFERROR(__xludf.DUMMYFUNCTION("""COMPUTED_VALUE"""),45539.0)</f>
        <v>45539</v>
      </c>
      <c r="B295" s="1" t="str">
        <f>IFERROR(__xludf.DUMMYFUNCTION("""COMPUTED_VALUE"""),"BMO")</f>
        <v>BMO</v>
      </c>
      <c r="C295" s="1" t="str">
        <f>IFERROR(__xludf.DUMMYFUNCTION("""COMPUTED_VALUE"""),"Analyst - Customer Insights &amp; Reporting")</f>
        <v>Analyst - Customer Insights &amp; Reporting</v>
      </c>
      <c r="D295" s="1" t="str">
        <f>IFERROR(__xludf.DUMMYFUNCTION("""COMPUTED_VALUE"""),"Hybrid")</f>
        <v>Hybrid</v>
      </c>
      <c r="E295" s="3" t="str">
        <f>IFERROR(__xludf.DUMMYFUNCTION("""COMPUTED_VALUE"""),"$56k - $104k")</f>
        <v>$56k - $104k</v>
      </c>
      <c r="F295" s="1" t="str">
        <f>IFERROR(__xludf.DUMMYFUNCTION("""COMPUTED_VALUE"""),"3 - 5")</f>
        <v>3 - 5</v>
      </c>
      <c r="G295" s="1" t="str">
        <f>IFERROR(__xludf.DUMMYFUNCTION("""COMPUTED_VALUE"""),"Chicago, IL")</f>
        <v>Chicago, IL</v>
      </c>
      <c r="H295" s="4" t="str">
        <f>IFERROR(__xludf.DUMMYFUNCTION("""COMPUTED_VALUE"""),"https://www.linkedin.com/posts/lucas-klocke-74b88033_analyst-customer-insights-reporting-activity-7237198762962534400-2E0h?utm_source=share&amp;utm_medium=member_desktop")</f>
        <v>https://www.linkedin.com/posts/lucas-klocke-74b88033_analyst-customer-insights-reporting-activity-7237198762962534400-2E0h?utm_source=share&amp;utm_medium=member_desktop</v>
      </c>
    </row>
    <row r="296">
      <c r="A296" s="2">
        <f>IFERROR(__xludf.DUMMYFUNCTION("""COMPUTED_VALUE"""),45539.0)</f>
        <v>45539</v>
      </c>
      <c r="B296" s="1" t="str">
        <f>IFERROR(__xludf.DUMMYFUNCTION("""COMPUTED_VALUE"""),"United")</f>
        <v>United</v>
      </c>
      <c r="C296" s="1" t="str">
        <f>IFERROR(__xludf.DUMMYFUNCTION("""COMPUTED_VALUE"""),"Senior Analyst - Deal Desk")</f>
        <v>Senior Analyst - Deal Desk</v>
      </c>
      <c r="D296" s="1" t="str">
        <f>IFERROR(__xludf.DUMMYFUNCTION("""COMPUTED_VALUE"""),"Hybrid")</f>
        <v>Hybrid</v>
      </c>
      <c r="E296" s="3" t="str">
        <f>IFERROR(__xludf.DUMMYFUNCTION("""COMPUTED_VALUE"""),"$73k - $108k")</f>
        <v>$73k - $108k</v>
      </c>
      <c r="F296" s="1" t="str">
        <f>IFERROR(__xludf.DUMMYFUNCTION("""COMPUTED_VALUE"""),"3 - 5")</f>
        <v>3 - 5</v>
      </c>
      <c r="G296" s="1" t="str">
        <f>IFERROR(__xludf.DUMMYFUNCTION("""COMPUTED_VALUE"""),"Chicago, IL")</f>
        <v>Chicago, IL</v>
      </c>
      <c r="H296" s="4" t="str">
        <f>IFERROR(__xludf.DUMMYFUNCTION("""COMPUTED_VALUE"""),"https://www.linkedin.com/posts/kunalnayyar_senior-analyst-deal-desk-in-chicago-illinois-activity-7237142123643330560-rcXE?utm_source=share&amp;utm_medium=member_desktop")</f>
        <v>https://www.linkedin.com/posts/kunalnayyar_senior-analyst-deal-desk-in-chicago-illinois-activity-7237142123643330560-rcXE?utm_source=share&amp;utm_medium=member_desktop</v>
      </c>
    </row>
    <row r="297">
      <c r="A297" s="2">
        <f>IFERROR(__xludf.DUMMYFUNCTION("""COMPUTED_VALUE"""),45539.0)</f>
        <v>45539</v>
      </c>
      <c r="B297" s="1" t="str">
        <f>IFERROR(__xludf.DUMMYFUNCTION("""COMPUTED_VALUE"""),"Anthropologie")</f>
        <v>Anthropologie</v>
      </c>
      <c r="C297" s="1" t="str">
        <f>IFERROR(__xludf.DUMMYFUNCTION("""COMPUTED_VALUE"""),"Anthropologie Senior Global Marketing Analyst")</f>
        <v>Anthropologie Senior Global Marketing Analyst</v>
      </c>
      <c r="D297" s="1" t="str">
        <f>IFERROR(__xludf.DUMMYFUNCTION("""COMPUTED_VALUE"""),"Hybrid")</f>
        <v>Hybrid</v>
      </c>
      <c r="E297" s="3" t="str">
        <f>IFERROR(__xludf.DUMMYFUNCTION("""COMPUTED_VALUE"""),"N/A")</f>
        <v>N/A</v>
      </c>
      <c r="F297" s="1" t="str">
        <f>IFERROR(__xludf.DUMMYFUNCTION("""COMPUTED_VALUE"""),"3 - 5")</f>
        <v>3 - 5</v>
      </c>
      <c r="G297" s="1" t="str">
        <f>IFERROR(__xludf.DUMMYFUNCTION("""COMPUTED_VALUE"""),"Philadelphia, PA")</f>
        <v>Philadelphia, PA</v>
      </c>
      <c r="H297" s="4" t="str">
        <f>IFERROR(__xludf.DUMMYFUNCTION("""COMPUTED_VALUE"""),"https://www.linkedin.com/posts/bridgette-liautaud_anthropologie-is-hiring-the-senior-global-activity-7237088143055724544-WRk-?utm_source=share&amp;utm_medium=member_desktop")</f>
        <v>https://www.linkedin.com/posts/bridgette-liautaud_anthropologie-is-hiring-the-senior-global-activity-7237088143055724544-WRk-?utm_source=share&amp;utm_medium=member_desktop</v>
      </c>
    </row>
    <row r="298">
      <c r="A298" s="2">
        <f>IFERROR(__xludf.DUMMYFUNCTION("""COMPUTED_VALUE"""),45539.0)</f>
        <v>45539</v>
      </c>
      <c r="B298" s="1" t="str">
        <f>IFERROR(__xludf.DUMMYFUNCTION("""COMPUTED_VALUE"""),"Hilltop Holdings")</f>
        <v>Hilltop Holdings</v>
      </c>
      <c r="C298" s="1" t="str">
        <f>IFERROR(__xludf.DUMMYFUNCTION("""COMPUTED_VALUE"""),"Capital Planning Analyst")</f>
        <v>Capital Planning Analyst</v>
      </c>
      <c r="D298" s="1" t="str">
        <f>IFERROR(__xludf.DUMMYFUNCTION("""COMPUTED_VALUE"""),"On-Site")</f>
        <v>On-Site</v>
      </c>
      <c r="E298" s="3" t="str">
        <f>IFERROR(__xludf.DUMMYFUNCTION("""COMPUTED_VALUE"""),"N/A")</f>
        <v>N/A</v>
      </c>
      <c r="F298" s="1" t="str">
        <f>IFERROR(__xludf.DUMMYFUNCTION("""COMPUTED_VALUE"""),"3 - 5")</f>
        <v>3 - 5</v>
      </c>
      <c r="G298" s="1" t="str">
        <f>IFERROR(__xludf.DUMMYFUNCTION("""COMPUTED_VALUE"""),"Dallas, TX")</f>
        <v>Dallas, TX</v>
      </c>
      <c r="H298" s="4" t="str">
        <f>IFERROR(__xludf.DUMMYFUNCTION("""COMPUTED_VALUE"""),"https://www.linkedin.com/posts/bo-wang-mba-08789212_capital-planning-analyst-activity-7237117303908147202-0Idj?utm_source=share&amp;utm_medium=member_desktop")</f>
        <v>https://www.linkedin.com/posts/bo-wang-mba-08789212_capital-planning-analyst-activity-7237117303908147202-0Idj?utm_source=share&amp;utm_medium=member_desktop</v>
      </c>
    </row>
    <row r="299">
      <c r="A299" s="2">
        <f>IFERROR(__xludf.DUMMYFUNCTION("""COMPUTED_VALUE"""),45539.0)</f>
        <v>45539</v>
      </c>
      <c r="B299" s="1" t="str">
        <f>IFERROR(__xludf.DUMMYFUNCTION("""COMPUTED_VALUE"""),"IEHP")</f>
        <v>IEHP</v>
      </c>
      <c r="C299" s="1" t="str">
        <f>IFERROR(__xludf.DUMMYFUNCTION("""COMPUTED_VALUE"""),"Healthcare Data Analyst II - Data Quality &amp; Reporting")</f>
        <v>Healthcare Data Analyst II - Data Quality &amp; Reporting</v>
      </c>
      <c r="D299" s="1" t="str">
        <f>IFERROR(__xludf.DUMMYFUNCTION("""COMPUTED_VALUE"""),"Hybrid")</f>
        <v>Hybrid</v>
      </c>
      <c r="E299" s="3" t="str">
        <f>IFERROR(__xludf.DUMMYFUNCTION("""COMPUTED_VALUE"""),"N/A")</f>
        <v>N/A</v>
      </c>
      <c r="F299" s="1" t="str">
        <f>IFERROR(__xludf.DUMMYFUNCTION("""COMPUTED_VALUE"""),"3 - 5")</f>
        <v>3 - 5</v>
      </c>
      <c r="G299" s="1" t="str">
        <f>IFERROR(__xludf.DUMMYFUNCTION("""COMPUTED_VALUE"""),"Cucamonga, CA")</f>
        <v>Cucamonga, CA</v>
      </c>
      <c r="H299" s="4" t="str">
        <f>IFERROR(__xludf.DUMMYFUNCTION("""COMPUTED_VALUE"""),"https://www.linkedin.com/posts/cassandra-oliva-9075b113b_join-our-team-as-a-healthcare-data-analyst-activity-7236851933892788224--vbt?utm_source=share&amp;utm_medium=member_desktop")</f>
        <v>https://www.linkedin.com/posts/cassandra-oliva-9075b113b_join-our-team-as-a-healthcare-data-analyst-activity-7236851933892788224--vbt?utm_source=share&amp;utm_medium=member_desktop</v>
      </c>
    </row>
    <row r="300">
      <c r="A300" s="2">
        <f>IFERROR(__xludf.DUMMYFUNCTION("""COMPUTED_VALUE"""),45539.0)</f>
        <v>45539</v>
      </c>
      <c r="B300" s="1" t="str">
        <f>IFERROR(__xludf.DUMMYFUNCTION("""COMPUTED_VALUE"""),"SCP Health")</f>
        <v>SCP Health</v>
      </c>
      <c r="C300" s="1" t="str">
        <f>IFERROR(__xludf.DUMMYFUNCTION("""COMPUTED_VALUE"""),"Finance Analyst - Entry Level")</f>
        <v>Finance Analyst - Entry Level</v>
      </c>
      <c r="D300" s="1" t="str">
        <f>IFERROR(__xludf.DUMMYFUNCTION("""COMPUTED_VALUE"""),"Hybrid")</f>
        <v>Hybrid</v>
      </c>
      <c r="E300" s="3" t="str">
        <f>IFERROR(__xludf.DUMMYFUNCTION("""COMPUTED_VALUE"""),"N/A")</f>
        <v>N/A</v>
      </c>
      <c r="F300" s="1" t="str">
        <f>IFERROR(__xludf.DUMMYFUNCTION("""COMPUTED_VALUE"""),"0 - 2")</f>
        <v>0 - 2</v>
      </c>
      <c r="G300" s="1" t="str">
        <f>IFERROR(__xludf.DUMMYFUNCTION("""COMPUTED_VALUE"""),"Lafayette, LA/Atlanta, GA")</f>
        <v>Lafayette, LA/Atlanta, GA</v>
      </c>
      <c r="H300" s="4" t="str">
        <f>IFERROR(__xludf.DUMMYFUNCTION("""COMPUTED_VALUE"""),"https://www.linkedin.com/posts/kimberly-touchet-47bb734a_finance-analyst-entry-level-activity-7237106554351591424-v3fu?utm_source=share&amp;utm_medium=member_desktop")</f>
        <v>https://www.linkedin.com/posts/kimberly-touchet-47bb734a_finance-analyst-entry-level-activity-7237106554351591424-v3fu?utm_source=share&amp;utm_medium=member_desktop</v>
      </c>
    </row>
    <row r="301">
      <c r="A301" s="2">
        <f>IFERROR(__xludf.DUMMYFUNCTION("""COMPUTED_VALUE"""),45539.0)</f>
        <v>45539</v>
      </c>
      <c r="B301" s="1" t="str">
        <f>IFERROR(__xludf.DUMMYFUNCTION("""COMPUTED_VALUE"""),"SoNE HEALTH")</f>
        <v>SoNE HEALTH</v>
      </c>
      <c r="C301" s="1" t="str">
        <f>IFERROR(__xludf.DUMMYFUNCTION("""COMPUTED_VALUE"""),"Physician Compensation Analyst")</f>
        <v>Physician Compensation Analyst</v>
      </c>
      <c r="D301" s="1" t="str">
        <f>IFERROR(__xludf.DUMMYFUNCTION("""COMPUTED_VALUE"""),"Remote")</f>
        <v>Remote</v>
      </c>
      <c r="E301" s="3" t="str">
        <f>IFERROR(__xludf.DUMMYFUNCTION("""COMPUTED_VALUE"""),"$97k - $126k")</f>
        <v>$97k - $126k</v>
      </c>
      <c r="F301" s="1" t="str">
        <f>IFERROR(__xludf.DUMMYFUNCTION("""COMPUTED_VALUE"""),"3 - 5")</f>
        <v>3 - 5</v>
      </c>
      <c r="G301" s="1" t="str">
        <f>IFERROR(__xludf.DUMMYFUNCTION("""COMPUTED_VALUE"""),"Certain Locations")</f>
        <v>Certain Locations</v>
      </c>
      <c r="H301" s="4" t="str">
        <f>IFERROR(__xludf.DUMMYFUNCTION("""COMPUTED_VALUE"""),"https://www.linkedin.com/posts/activity-7236866862871887872-rCPn?utm_source=share&amp;utm_medium=member_desktop")</f>
        <v>https://www.linkedin.com/posts/activity-7236866862871887872-rCPn?utm_source=share&amp;utm_medium=member_desktop</v>
      </c>
    </row>
    <row r="302">
      <c r="A302" s="2">
        <f>IFERROR(__xludf.DUMMYFUNCTION("""COMPUTED_VALUE"""),45539.0)</f>
        <v>45539</v>
      </c>
      <c r="B302" s="1" t="str">
        <f>IFERROR(__xludf.DUMMYFUNCTION("""COMPUTED_VALUE"""),"Walmart Data Ventures")</f>
        <v>Walmart Data Ventures</v>
      </c>
      <c r="C302" s="1" t="str">
        <f>IFERROR(__xludf.DUMMYFUNCTION("""COMPUTED_VALUE"""),"Senior Analyst, Strategic Account Management")</f>
        <v>Senior Analyst, Strategic Account Management</v>
      </c>
      <c r="D302" s="1" t="str">
        <f>IFERROR(__xludf.DUMMYFUNCTION("""COMPUTED_VALUE"""),"On-Site")</f>
        <v>On-Site</v>
      </c>
      <c r="E302" s="3" t="str">
        <f>IFERROR(__xludf.DUMMYFUNCTION("""COMPUTED_VALUE"""),"$70k - $130k")</f>
        <v>$70k - $130k</v>
      </c>
      <c r="F302" s="1" t="str">
        <f>IFERROR(__xludf.DUMMYFUNCTION("""COMPUTED_VALUE"""),"0 - 2")</f>
        <v>0 - 2</v>
      </c>
      <c r="G302" s="1" t="str">
        <f>IFERROR(__xludf.DUMMYFUNCTION("""COMPUTED_VALUE"""),"Bentonville, AR")</f>
        <v>Bentonville, AR</v>
      </c>
      <c r="H302" s="4" t="str">
        <f>IFERROR(__xludf.DUMMYFUNCTION("""COMPUTED_VALUE"""),"https://www.linkedin.com/posts/theresa-k-98742717_hiring-walmart-walmartdataventures-ugcPost-7236734361822208000-IYTv?utm_source=share&amp;utm_medium=member_desktop")</f>
        <v>https://www.linkedin.com/posts/theresa-k-98742717_hiring-walmart-walmartdataventures-ugcPost-7236734361822208000-IYTv?utm_source=share&amp;utm_medium=member_desktop</v>
      </c>
    </row>
    <row r="303">
      <c r="A303" s="2">
        <f>IFERROR(__xludf.DUMMYFUNCTION("""COMPUTED_VALUE"""),45539.0)</f>
        <v>45539</v>
      </c>
      <c r="B303" s="1" t="str">
        <f>IFERROR(__xludf.DUMMYFUNCTION("""COMPUTED_VALUE"""),"Amica Insurance")</f>
        <v>Amica Insurance</v>
      </c>
      <c r="C303" s="1" t="str">
        <f>IFERROR(__xludf.DUMMYFUNCTION("""COMPUTED_VALUE"""),"Data Engineer")</f>
        <v>Data Engineer</v>
      </c>
      <c r="D303" s="1" t="str">
        <f>IFERROR(__xludf.DUMMYFUNCTION("""COMPUTED_VALUE"""),"Hybrid")</f>
        <v>Hybrid</v>
      </c>
      <c r="E303" s="3" t="str">
        <f>IFERROR(__xludf.DUMMYFUNCTION("""COMPUTED_VALUE"""),"N/A")</f>
        <v>N/A</v>
      </c>
      <c r="F303" s="1" t="str">
        <f>IFERROR(__xludf.DUMMYFUNCTION("""COMPUTED_VALUE"""),"3 - 5")</f>
        <v>3 - 5</v>
      </c>
      <c r="G303" s="1" t="str">
        <f>IFERROR(__xludf.DUMMYFUNCTION("""COMPUTED_VALUE"""),"Lincoln, RI")</f>
        <v>Lincoln, RI</v>
      </c>
      <c r="H303" s="4" t="str">
        <f>IFERROR(__xludf.DUMMYFUNCTION("""COMPUTED_VALUE"""),"https://www.linkedin.com/posts/anusheel-choudhary-3820288_awesome-opportunity-to-join-the-marketing-activity-7236833879360225280-GPrO?utm_source=share&amp;utm_medium=member_desktop")</f>
        <v>https://www.linkedin.com/posts/anusheel-choudhary-3820288_awesome-opportunity-to-join-the-marketing-activity-7236833879360225280-GPrO?utm_source=share&amp;utm_medium=member_desktop</v>
      </c>
    </row>
    <row r="304">
      <c r="A304" s="2">
        <f>IFERROR(__xludf.DUMMYFUNCTION("""COMPUTED_VALUE"""),45539.0)</f>
        <v>45539</v>
      </c>
      <c r="B304" s="1" t="str">
        <f>IFERROR(__xludf.DUMMYFUNCTION("""COMPUTED_VALUE"""),"Minerva")</f>
        <v>Minerva</v>
      </c>
      <c r="C304" s="1" t="str">
        <f>IFERROR(__xludf.DUMMYFUNCTION("""COMPUTED_VALUE"""),"Senior Data Scientist")</f>
        <v>Senior Data Scientist</v>
      </c>
      <c r="D304" s="1" t="str">
        <f>IFERROR(__xludf.DUMMYFUNCTION("""COMPUTED_VALUE"""),"Remote")</f>
        <v>Remote</v>
      </c>
      <c r="E304" s="3" t="str">
        <f>IFERROR(__xludf.DUMMYFUNCTION("""COMPUTED_VALUE"""),"N/A")</f>
        <v>N/A</v>
      </c>
      <c r="F304" s="1" t="str">
        <f>IFERROR(__xludf.DUMMYFUNCTION("""COMPUTED_VALUE"""),"3 - 5")</f>
        <v>3 - 5</v>
      </c>
      <c r="G304" s="1" t="str">
        <f>IFERROR(__xludf.DUMMYFUNCTION("""COMPUTED_VALUE"""),"USA")</f>
        <v>USA</v>
      </c>
      <c r="H304" s="4" t="str">
        <f>IFERROR(__xludf.DUMMYFUNCTION("""COMPUTED_VALUE"""),"https://www.linkedin.com/posts/brendan-mahoney-aab87322_data-scientist-activity-7236804483769323522-hmx9?utm_source=share&amp;utm_medium=member_desktop")</f>
        <v>https://www.linkedin.com/posts/brendan-mahoney-aab87322_data-scientist-activity-7236804483769323522-hmx9?utm_source=share&amp;utm_medium=member_desktop</v>
      </c>
    </row>
    <row r="305">
      <c r="A305" s="2">
        <f>IFERROR(__xludf.DUMMYFUNCTION("""COMPUTED_VALUE"""),45538.0)</f>
        <v>45538</v>
      </c>
      <c r="B305" s="1" t="str">
        <f>IFERROR(__xludf.DUMMYFUNCTION("""COMPUTED_VALUE"""),"Valvoline Global Operations")</f>
        <v>Valvoline Global Operations</v>
      </c>
      <c r="C305" s="1" t="str">
        <f>IFERROR(__xludf.DUMMYFUNCTION("""COMPUTED_VALUE"""),"Senior Financial Analyst")</f>
        <v>Senior Financial Analyst</v>
      </c>
      <c r="D305" s="1" t="str">
        <f>IFERROR(__xludf.DUMMYFUNCTION("""COMPUTED_VALUE"""),"Remote")</f>
        <v>Remote</v>
      </c>
      <c r="E305" s="3" t="str">
        <f>IFERROR(__xludf.DUMMYFUNCTION("""COMPUTED_VALUE"""),"N/A")</f>
        <v>N/A</v>
      </c>
      <c r="F305" s="1" t="str">
        <f>IFERROR(__xludf.DUMMYFUNCTION("""COMPUTED_VALUE"""),"6 - 9")</f>
        <v>6 - 9</v>
      </c>
      <c r="G305" s="1" t="str">
        <f>IFERROR(__xludf.DUMMYFUNCTION("""COMPUTED_VALUE"""),"Certain Locations")</f>
        <v>Certain Locations</v>
      </c>
      <c r="H305" s="4" t="str">
        <f>IFERROR(__xludf.DUMMYFUNCTION("""COMPUTED_VALUE"""),"https://www.linkedin.com/posts/monicawerle_finance-analyst-remotework-activity-7235381600757161985-dYUI?utm_source=share&amp;utm_medium=member_desktop")</f>
        <v>https://www.linkedin.com/posts/monicawerle_finance-analyst-remotework-activity-7235381600757161985-dYUI?utm_source=share&amp;utm_medium=member_desktop</v>
      </c>
    </row>
    <row r="306">
      <c r="A306" s="2">
        <f>IFERROR(__xludf.DUMMYFUNCTION("""COMPUTED_VALUE"""),45538.0)</f>
        <v>45538</v>
      </c>
      <c r="B306" s="1" t="str">
        <f>IFERROR(__xludf.DUMMYFUNCTION("""COMPUTED_VALUE"""),"Lamb Weston")</f>
        <v>Lamb Weston</v>
      </c>
      <c r="C306" s="1" t="str">
        <f>IFERROR(__xludf.DUMMYFUNCTION("""COMPUTED_VALUE"""),"Sr. Sales Analyst")</f>
        <v>Sr. Sales Analyst</v>
      </c>
      <c r="D306" s="1" t="str">
        <f>IFERROR(__xludf.DUMMYFUNCTION("""COMPUTED_VALUE"""),"On-Site")</f>
        <v>On-Site</v>
      </c>
      <c r="E306" s="3" t="str">
        <f>IFERROR(__xludf.DUMMYFUNCTION("""COMPUTED_VALUE"""),"$82k - $122k")</f>
        <v>$82k - $122k</v>
      </c>
      <c r="F306" s="1" t="str">
        <f>IFERROR(__xludf.DUMMYFUNCTION("""COMPUTED_VALUE"""),"3 - 5")</f>
        <v>3 - 5</v>
      </c>
      <c r="G306" s="1" t="str">
        <f>IFERROR(__xludf.DUMMYFUNCTION("""COMPUTED_VALUE"""),"Naperville, IL")</f>
        <v>Naperville, IL</v>
      </c>
      <c r="H306" s="4" t="str">
        <f>IFERROR(__xludf.DUMMYFUNCTION("""COMPUTED_VALUE"""),"https://www.linkedin.com/posts/activity-7236821055749640193-LlTv?utm_source=share&amp;utm_medium=member_desktop")</f>
        <v>https://www.linkedin.com/posts/activity-7236821055749640193-LlTv?utm_source=share&amp;utm_medium=member_desktop</v>
      </c>
    </row>
    <row r="307">
      <c r="A307" s="2">
        <f>IFERROR(__xludf.DUMMYFUNCTION("""COMPUTED_VALUE"""),45538.0)</f>
        <v>45538</v>
      </c>
      <c r="B307" s="1" t="str">
        <f>IFERROR(__xludf.DUMMYFUNCTION("""COMPUTED_VALUE"""),"UKG")</f>
        <v>UKG</v>
      </c>
      <c r="C307" s="1" t="str">
        <f>IFERROR(__xludf.DUMMYFUNCTION("""COMPUTED_VALUE"""),"Senior Strategic Sourcing Analyst ")</f>
        <v>Senior Strategic Sourcing Analyst </v>
      </c>
      <c r="D307" s="1" t="str">
        <f>IFERROR(__xludf.DUMMYFUNCTION("""COMPUTED_VALUE"""),"Hybrid")</f>
        <v>Hybrid</v>
      </c>
      <c r="E307" s="3" t="str">
        <f>IFERROR(__xludf.DUMMYFUNCTION("""COMPUTED_VALUE"""),"N/A")</f>
        <v>N/A</v>
      </c>
      <c r="F307" s="1" t="str">
        <f>IFERROR(__xludf.DUMMYFUNCTION("""COMPUTED_VALUE"""),"3 - 5")</f>
        <v>3 - 5</v>
      </c>
      <c r="G307" s="1" t="str">
        <f>IFERROR(__xludf.DUMMYFUNCTION("""COMPUTED_VALUE"""),"Weston, FL")</f>
        <v>Weston, FL</v>
      </c>
      <c r="H307" s="4" t="str">
        <f>IFERROR(__xludf.DUMMYFUNCTION("""COMPUTED_VALUE"""),"https://www.linkedin.com/posts/chawaine-reid_hey-linkedin-fam-we-are-looking-for-a-senior-activity-7236835883230904323-zeEd?utm_source=share&amp;utm_medium=member_desktop")</f>
        <v>https://www.linkedin.com/posts/chawaine-reid_hey-linkedin-fam-we-are-looking-for-a-senior-activity-7236835883230904323-zeEd?utm_source=share&amp;utm_medium=member_desktop</v>
      </c>
    </row>
    <row r="308">
      <c r="A308" s="2">
        <f>IFERROR(__xludf.DUMMYFUNCTION("""COMPUTED_VALUE"""),45538.0)</f>
        <v>45538</v>
      </c>
      <c r="B308" s="1" t="str">
        <f>IFERROR(__xludf.DUMMYFUNCTION("""COMPUTED_VALUE"""),"Yogi")</f>
        <v>Yogi</v>
      </c>
      <c r="C308" s="1" t="str">
        <f>IFERROR(__xludf.DUMMYFUNCTION("""COMPUTED_VALUE"""),"Senior Financial Operations Analyst")</f>
        <v>Senior Financial Operations Analyst</v>
      </c>
      <c r="D308" s="1" t="str">
        <f>IFERROR(__xludf.DUMMYFUNCTION("""COMPUTED_VALUE"""),"Hybrid")</f>
        <v>Hybrid</v>
      </c>
      <c r="E308" s="3" t="str">
        <f>IFERROR(__xludf.DUMMYFUNCTION("""COMPUTED_VALUE"""),"N/A")</f>
        <v>N/A</v>
      </c>
      <c r="F308" s="1" t="str">
        <f>IFERROR(__xludf.DUMMYFUNCTION("""COMPUTED_VALUE"""),"3 - 5")</f>
        <v>3 - 5</v>
      </c>
      <c r="G308" s="1" t="str">
        <f>IFERROR(__xludf.DUMMYFUNCTION("""COMPUTED_VALUE"""),"Eugene, OR")</f>
        <v>Eugene, OR</v>
      </c>
      <c r="H308" s="4" t="str">
        <f>IFERROR(__xludf.DUMMYFUNCTION("""COMPUTED_VALUE"""),"https://www.linkedin.com/posts/jennifer-stoner-433a527b_yogiteam-activity-7236861670017351680-uY8Y?utm_source=share&amp;utm_medium=member_desktop")</f>
        <v>https://www.linkedin.com/posts/jennifer-stoner-433a527b_yogiteam-activity-7236861670017351680-uY8Y?utm_source=share&amp;utm_medium=member_desktop</v>
      </c>
    </row>
    <row r="309">
      <c r="A309" s="2">
        <f>IFERROR(__xludf.DUMMYFUNCTION("""COMPUTED_VALUE"""),45538.0)</f>
        <v>45538</v>
      </c>
      <c r="B309" s="1" t="str">
        <f>IFERROR(__xludf.DUMMYFUNCTION("""COMPUTED_VALUE"""),"Unity")</f>
        <v>Unity</v>
      </c>
      <c r="C309" s="1" t="str">
        <f>IFERROR(__xludf.DUMMYFUNCTION("""COMPUTED_VALUE"""),"Financial Analyst - Central Finance Team")</f>
        <v>Financial Analyst - Central Finance Team</v>
      </c>
      <c r="D309" s="1" t="str">
        <f>IFERROR(__xludf.DUMMYFUNCTION("""COMPUTED_VALUE"""),"Hybrid")</f>
        <v>Hybrid</v>
      </c>
      <c r="E309" s="3" t="str">
        <f>IFERROR(__xludf.DUMMYFUNCTION("""COMPUTED_VALUE"""),"$62k - $77k")</f>
        <v>$62k - $77k</v>
      </c>
      <c r="F309" s="1" t="str">
        <f>IFERROR(__xludf.DUMMYFUNCTION("""COMPUTED_VALUE"""),"0 - 2")</f>
        <v>0 - 2</v>
      </c>
      <c r="G309" s="1" t="str">
        <f>IFERROR(__xludf.DUMMYFUNCTION("""COMPUTED_VALUE"""),"Austin, TX")</f>
        <v>Austin, TX</v>
      </c>
      <c r="H309" s="4" t="str">
        <f>IFERROR(__xludf.DUMMYFUNCTION("""COMPUTED_VALUE"""),"https://www.linkedin.com/posts/brandonstansbury_financejobs-joinunity-hiring-activity-7236812642781126659-gEAJ?utm_source=share&amp;utm_medium=member_desktop")</f>
        <v>https://www.linkedin.com/posts/brandonstansbury_financejobs-joinunity-hiring-activity-7236812642781126659-gEAJ?utm_source=share&amp;utm_medium=member_desktop</v>
      </c>
    </row>
    <row r="310">
      <c r="A310" s="2">
        <f>IFERROR(__xludf.DUMMYFUNCTION("""COMPUTED_VALUE"""),45538.0)</f>
        <v>45538</v>
      </c>
      <c r="B310" s="1" t="str">
        <f>IFERROR(__xludf.DUMMYFUNCTION("""COMPUTED_VALUE"""),"PrestigePEO")</f>
        <v>PrestigePEO</v>
      </c>
      <c r="C310" s="1" t="str">
        <f>IFERROR(__xludf.DUMMYFUNCTION("""COMPUTED_VALUE"""),"HR Operations Analyst")</f>
        <v>HR Operations Analyst</v>
      </c>
      <c r="D310" s="1" t="str">
        <f>IFERROR(__xludf.DUMMYFUNCTION("""COMPUTED_VALUE"""),"Hybrid")</f>
        <v>Hybrid</v>
      </c>
      <c r="E310" s="3" t="str">
        <f>IFERROR(__xludf.DUMMYFUNCTION("""COMPUTED_VALUE"""),"N/A")</f>
        <v>N/A</v>
      </c>
      <c r="F310" s="1" t="str">
        <f>IFERROR(__xludf.DUMMYFUNCTION("""COMPUTED_VALUE"""),"0 - 2")</f>
        <v>0 - 2</v>
      </c>
      <c r="G310" s="1" t="str">
        <f>IFERROR(__xludf.DUMMYFUNCTION("""COMPUTED_VALUE"""),"Melville, NY")</f>
        <v>Melville, NY</v>
      </c>
      <c r="H310" s="4" t="str">
        <f>IFERROR(__xludf.DUMMYFUNCTION("""COMPUTED_VALUE"""),"https://www.linkedin.com/posts/keely-ruby_hi-linkedin-i-hope-everyone-is-doing-well-activity-7236814802205974528-4_41?utm_source=share&amp;utm_medium=member_desktop")</f>
        <v>https://www.linkedin.com/posts/keely-ruby_hi-linkedin-i-hope-everyone-is-doing-well-activity-7236814802205974528-4_41?utm_source=share&amp;utm_medium=member_desktop</v>
      </c>
    </row>
    <row r="311">
      <c r="A311" s="2">
        <f>IFERROR(__xludf.DUMMYFUNCTION("""COMPUTED_VALUE"""),45538.0)</f>
        <v>45538</v>
      </c>
      <c r="B311" s="1" t="str">
        <f>IFERROR(__xludf.DUMMYFUNCTION("""COMPUTED_VALUE"""),"Highmark Health")</f>
        <v>Highmark Health</v>
      </c>
      <c r="C311" s="1" t="str">
        <f>IFERROR(__xludf.DUMMYFUNCTION("""COMPUTED_VALUE"""),"Senior Financial Analyst")</f>
        <v>Senior Financial Analyst</v>
      </c>
      <c r="D311" s="1" t="str">
        <f>IFERROR(__xludf.DUMMYFUNCTION("""COMPUTED_VALUE"""),"On-Site")</f>
        <v>On-Site</v>
      </c>
      <c r="E311" s="3" t="str">
        <f>IFERROR(__xludf.DUMMYFUNCTION("""COMPUTED_VALUE"""),"N/A")</f>
        <v>N/A</v>
      </c>
      <c r="F311" s="1" t="str">
        <f>IFERROR(__xludf.DUMMYFUNCTION("""COMPUTED_VALUE"""),"6 - 9")</f>
        <v>6 - 9</v>
      </c>
      <c r="G311" s="1" t="str">
        <f>IFERROR(__xludf.DUMMYFUNCTION("""COMPUTED_VALUE"""),"Pittsburgh, PA")</f>
        <v>Pittsburgh, PA</v>
      </c>
      <c r="H311" s="4" t="str">
        <f>IFERROR(__xludf.DUMMYFUNCTION("""COMPUTED_VALUE"""),"https://www.linkedin.com/posts/pcollinscpa_im-happy-to-share-that-we-are-actively-recruiting-activity-7236760422022811649-E1rO?utm_source=share&amp;utm_medium=member_desktop")</f>
        <v>https://www.linkedin.com/posts/pcollinscpa_im-happy-to-share-that-we-are-actively-recruiting-activity-7236760422022811649-E1rO?utm_source=share&amp;utm_medium=member_desktop</v>
      </c>
    </row>
    <row r="312">
      <c r="A312" s="2">
        <f>IFERROR(__xludf.DUMMYFUNCTION("""COMPUTED_VALUE"""),45538.0)</f>
        <v>45538</v>
      </c>
      <c r="B312" s="1" t="str">
        <f>IFERROR(__xludf.DUMMYFUNCTION("""COMPUTED_VALUE"""),"Scorpion")</f>
        <v>Scorpion</v>
      </c>
      <c r="C312" s="1" t="str">
        <f>IFERROR(__xludf.DUMMYFUNCTION("""COMPUTED_VALUE"""),"People Data Analyst")</f>
        <v>People Data Analyst</v>
      </c>
      <c r="D312" s="1" t="str">
        <f>IFERROR(__xludf.DUMMYFUNCTION("""COMPUTED_VALUE"""),"Remote")</f>
        <v>Remote</v>
      </c>
      <c r="E312" s="3" t="str">
        <f>IFERROR(__xludf.DUMMYFUNCTION("""COMPUTED_VALUE"""),"$75k - $85k")</f>
        <v>$75k - $85k</v>
      </c>
      <c r="F312" s="1" t="str">
        <f>IFERROR(__xludf.DUMMYFUNCTION("""COMPUTED_VALUE"""),"0 - 2")</f>
        <v>0 - 2</v>
      </c>
      <c r="G312" s="1" t="str">
        <f>IFERROR(__xludf.DUMMYFUNCTION("""COMPUTED_VALUE"""),"USA")</f>
        <v>USA</v>
      </c>
      <c r="H312" s="4" t="str">
        <f>IFERROR(__xludf.DUMMYFUNCTION("""COMPUTED_VALUE"""),"https://www.linkedin.com/posts/levi-sheppard_hiring-activity-7236783328018767874-nCAS?utm_source=share&amp;utm_medium=member_desktop")</f>
        <v>https://www.linkedin.com/posts/levi-sheppard_hiring-activity-7236783328018767874-nCAS?utm_source=share&amp;utm_medium=member_desktop</v>
      </c>
    </row>
    <row r="313">
      <c r="A313" s="2">
        <f>IFERROR(__xludf.DUMMYFUNCTION("""COMPUTED_VALUE"""),45538.0)</f>
        <v>45538</v>
      </c>
      <c r="B313" s="1" t="str">
        <f>IFERROR(__xludf.DUMMYFUNCTION("""COMPUTED_VALUE"""),"Citizens")</f>
        <v>Citizens</v>
      </c>
      <c r="C313" s="1" t="str">
        <f>IFERROR(__xludf.DUMMYFUNCTION("""COMPUTED_VALUE"""),"Digital Media Analytics Lead")</f>
        <v>Digital Media Analytics Lead</v>
      </c>
      <c r="D313" s="1" t="str">
        <f>IFERROR(__xludf.DUMMYFUNCTION("""COMPUTED_VALUE"""),"On-Site")</f>
        <v>On-Site</v>
      </c>
      <c r="E313" s="3" t="str">
        <f>IFERROR(__xludf.DUMMYFUNCTION("""COMPUTED_VALUE"""),"N/A")</f>
        <v>N/A</v>
      </c>
      <c r="F313" s="1" t="str">
        <f>IFERROR(__xludf.DUMMYFUNCTION("""COMPUTED_VALUE"""),"6 - 9")</f>
        <v>6 - 9</v>
      </c>
      <c r="G313" s="1" t="str">
        <f>IFERROR(__xludf.DUMMYFUNCTION("""COMPUTED_VALUE"""),"Columbus, OH/Westwood, MA")</f>
        <v>Columbus, OH/Westwood, MA</v>
      </c>
      <c r="H313" s="4" t="str">
        <f>IFERROR(__xludf.DUMMYFUNCTION("""COMPUTED_VALUE"""),"https://www.linkedin.com/posts/jessica-bridges-5105772_digital-media-analytics-lead-at-citizens-activity-7236763871791759361-hWl4?utm_source=share&amp;utm_medium=member_desktop")</f>
        <v>https://www.linkedin.com/posts/jessica-bridges-5105772_digital-media-analytics-lead-at-citizens-activity-7236763871791759361-hWl4?utm_source=share&amp;utm_medium=member_desktop</v>
      </c>
    </row>
    <row r="314">
      <c r="A314" s="2">
        <f>IFERROR(__xludf.DUMMYFUNCTION("""COMPUTED_VALUE"""),45538.0)</f>
        <v>45538</v>
      </c>
      <c r="B314" s="1" t="str">
        <f>IFERROR(__xludf.DUMMYFUNCTION("""COMPUTED_VALUE"""),"Citizens")</f>
        <v>Citizens</v>
      </c>
      <c r="C314" s="1" t="str">
        <f>IFERROR(__xludf.DUMMYFUNCTION("""COMPUTED_VALUE"""),"Digital Media Senior Analyst")</f>
        <v>Digital Media Senior Analyst</v>
      </c>
      <c r="D314" s="1" t="str">
        <f>IFERROR(__xludf.DUMMYFUNCTION("""COMPUTED_VALUE"""),"On-Site")</f>
        <v>On-Site</v>
      </c>
      <c r="E314" s="3" t="str">
        <f>IFERROR(__xludf.DUMMYFUNCTION("""COMPUTED_VALUE"""),"N/A")</f>
        <v>N/A</v>
      </c>
      <c r="F314" s="1" t="str">
        <f>IFERROR(__xludf.DUMMYFUNCTION("""COMPUTED_VALUE"""),"3 - 5")</f>
        <v>3 - 5</v>
      </c>
      <c r="G314" s="1" t="str">
        <f>IFERROR(__xludf.DUMMYFUNCTION("""COMPUTED_VALUE"""),"Columbus, OH/Westwood, MA")</f>
        <v>Columbus, OH/Westwood, MA</v>
      </c>
      <c r="H314" s="4" t="str">
        <f>IFERROR(__xludf.DUMMYFUNCTION("""COMPUTED_VALUE"""),"https://www.linkedin.com/posts/jessica-bridges-5105772_digital-media-analytics-lead-at-citizens-activity-7236763871791759361-hWl4?utm_source=share&amp;utm_medium=member_desktop")</f>
        <v>https://www.linkedin.com/posts/jessica-bridges-5105772_digital-media-analytics-lead-at-citizens-activity-7236763871791759361-hWl4?utm_source=share&amp;utm_medium=member_desktop</v>
      </c>
    </row>
    <row r="315">
      <c r="A315" s="2">
        <f>IFERROR(__xludf.DUMMYFUNCTION("""COMPUTED_VALUE"""),45538.0)</f>
        <v>45538</v>
      </c>
      <c r="B315" s="1" t="str">
        <f>IFERROR(__xludf.DUMMYFUNCTION("""COMPUTED_VALUE"""),"Hummingbird Healthcare")</f>
        <v>Hummingbird Healthcare</v>
      </c>
      <c r="C315" s="1" t="str">
        <f>IFERROR(__xludf.DUMMYFUNCTION("""COMPUTED_VALUE"""),"Data &amp; Analytics Director")</f>
        <v>Data &amp; Analytics Director</v>
      </c>
      <c r="D315" s="1" t="str">
        <f>IFERROR(__xludf.DUMMYFUNCTION("""COMPUTED_VALUE"""),"Remote")</f>
        <v>Remote</v>
      </c>
      <c r="E315" s="3" t="str">
        <f>IFERROR(__xludf.DUMMYFUNCTION("""COMPUTED_VALUE"""),"$152k")</f>
        <v>$152k</v>
      </c>
      <c r="F315" s="1" t="str">
        <f>IFERROR(__xludf.DUMMYFUNCTION("""COMPUTED_VALUE"""),"10 +")</f>
        <v>10 +</v>
      </c>
      <c r="G315" s="1" t="str">
        <f>IFERROR(__xludf.DUMMYFUNCTION("""COMPUTED_VALUE"""),"USA")</f>
        <v>USA</v>
      </c>
      <c r="H315" s="4" t="str">
        <f>IFERROR(__xludf.DUMMYFUNCTION("""COMPUTED_VALUE"""),"https://www.linkedin.com/posts/activity-7236800582135472129-Nak2?utm_source=share&amp;utm_medium=member_desktop")</f>
        <v>https://www.linkedin.com/posts/activity-7236800582135472129-Nak2?utm_source=share&amp;utm_medium=member_desktop</v>
      </c>
    </row>
    <row r="316">
      <c r="A316" s="2">
        <f>IFERROR(__xludf.DUMMYFUNCTION("""COMPUTED_VALUE"""),45538.0)</f>
        <v>45538</v>
      </c>
      <c r="B316" s="1" t="str">
        <f>IFERROR(__xludf.DUMMYFUNCTION("""COMPUTED_VALUE"""),"PNC")</f>
        <v>PNC</v>
      </c>
      <c r="C316" s="1" t="str">
        <f>IFERROR(__xludf.DUMMYFUNCTION("""COMPUTED_VALUE"""),"Senior Business Analytics Consultant – AMG Investment Office")</f>
        <v>Senior Business Analytics Consultant – AMG Investment Office</v>
      </c>
      <c r="D316" s="1" t="str">
        <f>IFERROR(__xludf.DUMMYFUNCTION("""COMPUTED_VALUE"""),"Hybrid")</f>
        <v>Hybrid</v>
      </c>
      <c r="E316" s="3" t="str">
        <f>IFERROR(__xludf.DUMMYFUNCTION("""COMPUTED_VALUE"""),"N/A")</f>
        <v>N/A</v>
      </c>
      <c r="F316" s="1" t="str">
        <f>IFERROR(__xludf.DUMMYFUNCTION("""COMPUTED_VALUE"""),"3 - 5")</f>
        <v>3 - 5</v>
      </c>
      <c r="G316" s="1" t="str">
        <f>IFERROR(__xludf.DUMMYFUNCTION("""COMPUTED_VALUE"""),"Pittsburgh, PA/Philadelphia, PA")</f>
        <v>Pittsburgh, PA/Philadelphia, PA</v>
      </c>
      <c r="H316" s="4" t="str">
        <f>IFERROR(__xludf.DUMMYFUNCTION("""COMPUTED_VALUE"""),"https://www.linkedin.com/posts/laura-mahoney-771ba35_the-pnc-asset-management-group-amg-investment-activity-7236786567338475521-kydM?utm_source=share&amp;utm_medium=member_desktop")</f>
        <v>https://www.linkedin.com/posts/laura-mahoney-771ba35_the-pnc-asset-management-group-amg-investment-activity-7236786567338475521-kydM?utm_source=share&amp;utm_medium=member_desktop</v>
      </c>
    </row>
    <row r="317">
      <c r="A317" s="2">
        <f>IFERROR(__xludf.DUMMYFUNCTION("""COMPUTED_VALUE"""),45538.0)</f>
        <v>45538</v>
      </c>
      <c r="B317" s="1" t="str">
        <f>IFERROR(__xludf.DUMMYFUNCTION("""COMPUTED_VALUE"""),"TRC Insights")</f>
        <v>TRC Insights</v>
      </c>
      <c r="C317" s="1" t="str">
        <f>IFERROR(__xludf.DUMMYFUNCTION("""COMPUTED_VALUE"""),"Associate Analyst")</f>
        <v>Associate Analyst</v>
      </c>
      <c r="D317" s="1" t="str">
        <f>IFERROR(__xludf.DUMMYFUNCTION("""COMPUTED_VALUE"""),"Hybrid")</f>
        <v>Hybrid</v>
      </c>
      <c r="E317" s="3" t="str">
        <f>IFERROR(__xludf.DUMMYFUNCTION("""COMPUTED_VALUE"""),"$50k - $60k")</f>
        <v>$50k - $60k</v>
      </c>
      <c r="F317" s="1" t="str">
        <f>IFERROR(__xludf.DUMMYFUNCTION("""COMPUTED_VALUE"""),"0 - 2")</f>
        <v>0 - 2</v>
      </c>
      <c r="G317" s="1" t="str">
        <f>IFERROR(__xludf.DUMMYFUNCTION("""COMPUTED_VALUE"""),"Fort Washington, PA")</f>
        <v>Fort Washington, PA</v>
      </c>
      <c r="H317" s="4" t="str">
        <f>IFERROR(__xludf.DUMMYFUNCTION("""COMPUTED_VALUE"""),"https://www.linkedin.com/posts/sarahcorp_hiring-ugcPost-7236746496224714752-xx0i?utm_source=share&amp;utm_medium=member_desktop")</f>
        <v>https://www.linkedin.com/posts/sarahcorp_hiring-ugcPost-7236746496224714752-xx0i?utm_source=share&amp;utm_medium=member_desktop</v>
      </c>
    </row>
    <row r="318">
      <c r="A318" s="2">
        <f>IFERROR(__xludf.DUMMYFUNCTION("""COMPUTED_VALUE"""),45538.0)</f>
        <v>45538</v>
      </c>
      <c r="B318" s="1" t="str">
        <f>IFERROR(__xludf.DUMMYFUNCTION("""COMPUTED_VALUE"""),"Ventura Foods")</f>
        <v>Ventura Foods</v>
      </c>
      <c r="C318" s="1" t="str">
        <f>IFERROR(__xludf.DUMMYFUNCTION("""COMPUTED_VALUE"""),"Compensation Analyst")</f>
        <v>Compensation Analyst</v>
      </c>
      <c r="D318" s="1" t="str">
        <f>IFERROR(__xludf.DUMMYFUNCTION("""COMPUTED_VALUE"""),"Hybrid")</f>
        <v>Hybrid</v>
      </c>
      <c r="E318" s="3" t="str">
        <f>IFERROR(__xludf.DUMMYFUNCTION("""COMPUTED_VALUE"""),"$77k - $98k")</f>
        <v>$77k - $98k</v>
      </c>
      <c r="F318" s="1" t="str">
        <f>IFERROR(__xludf.DUMMYFUNCTION("""COMPUTED_VALUE"""),"3 - 5")</f>
        <v>3 - 5</v>
      </c>
      <c r="G318" s="1" t="str">
        <f>IFERROR(__xludf.DUMMYFUNCTION("""COMPUTED_VALUE"""),"Brea, CA")</f>
        <v>Brea, CA</v>
      </c>
      <c r="H318" s="4" t="str">
        <f>IFERROR(__xludf.DUMMYFUNCTION("""COMPUTED_VALUE"""),"https://www.linkedin.com/posts/ramona-miles-4826343_hello-our-ventura-foods-compensation-team-activity-7236768935713325057-ZPMV?utm_source=share&amp;utm_medium=member_desktop")</f>
        <v>https://www.linkedin.com/posts/ramona-miles-4826343_hello-our-ventura-foods-compensation-team-activity-7236768935713325057-ZPMV?utm_source=share&amp;utm_medium=member_desktop</v>
      </c>
    </row>
    <row r="319">
      <c r="A319" s="2">
        <f>IFERROR(__xludf.DUMMYFUNCTION("""COMPUTED_VALUE"""),45538.0)</f>
        <v>45538</v>
      </c>
      <c r="B319" s="1" t="str">
        <f>IFERROR(__xludf.DUMMYFUNCTION("""COMPUTED_VALUE"""),"Disney")</f>
        <v>Disney</v>
      </c>
      <c r="C319" s="1" t="str">
        <f>IFERROR(__xludf.DUMMYFUNCTION("""COMPUTED_VALUE"""),"Senior Analyst, Performance Marketing")</f>
        <v>Senior Analyst, Performance Marketing</v>
      </c>
      <c r="D319" s="1" t="str">
        <f>IFERROR(__xludf.DUMMYFUNCTION("""COMPUTED_VALUE"""),"Hybrid")</f>
        <v>Hybrid</v>
      </c>
      <c r="E319" s="3" t="str">
        <f>IFERROR(__xludf.DUMMYFUNCTION("""COMPUTED_VALUE"""),"$103k - $138k")</f>
        <v>$103k - $138k</v>
      </c>
      <c r="F319" s="1" t="str">
        <f>IFERROR(__xludf.DUMMYFUNCTION("""COMPUTED_VALUE"""),"3 - 5")</f>
        <v>3 - 5</v>
      </c>
      <c r="G319" s="1" t="str">
        <f>IFERROR(__xludf.DUMMYFUNCTION("""COMPUTED_VALUE"""),"Burbank, CA")</f>
        <v>Burbank, CA</v>
      </c>
      <c r="H319" s="4" t="str">
        <f>IFERROR(__xludf.DUMMYFUNCTION("""COMPUTED_VALUE"""),"https://www.linkedin.com/posts/jozellejarlego_senior-analyst-performance-marketing-at-activity-7236756309931347968-yqWJ?utm_source=share&amp;utm_medium=member_desktop")</f>
        <v>https://www.linkedin.com/posts/jozellejarlego_senior-analyst-performance-marketing-at-activity-7236756309931347968-yqWJ?utm_source=share&amp;utm_medium=member_desktop</v>
      </c>
    </row>
    <row r="320">
      <c r="A320" s="2">
        <f>IFERROR(__xludf.DUMMYFUNCTION("""COMPUTED_VALUE"""),45538.0)</f>
        <v>45538</v>
      </c>
      <c r="B320" s="1" t="str">
        <f>IFERROR(__xludf.DUMMYFUNCTION("""COMPUTED_VALUE"""),"Independent Health ")</f>
        <v>Independent Health </v>
      </c>
      <c r="C320" s="1" t="str">
        <f>IFERROR(__xludf.DUMMYFUNCTION("""COMPUTED_VALUE"""),"Risk Revenue Analyst-Senior")</f>
        <v>Risk Revenue Analyst-Senior</v>
      </c>
      <c r="D320" s="1" t="str">
        <f>IFERROR(__xludf.DUMMYFUNCTION("""COMPUTED_VALUE"""),"Hybrid")</f>
        <v>Hybrid</v>
      </c>
      <c r="E320" s="3" t="str">
        <f>IFERROR(__xludf.DUMMYFUNCTION("""COMPUTED_VALUE"""),"$95k - $115k")</f>
        <v>$95k - $115k</v>
      </c>
      <c r="F320" s="1" t="str">
        <f>IFERROR(__xludf.DUMMYFUNCTION("""COMPUTED_VALUE"""),"3 - 5")</f>
        <v>3 - 5</v>
      </c>
      <c r="G320" s="1" t="str">
        <f>IFERROR(__xludf.DUMMYFUNCTION("""COMPUTED_VALUE"""),"Buffalo, NY")</f>
        <v>Buffalo, NY</v>
      </c>
      <c r="H320" s="4" t="str">
        <f>IFERROR(__xludf.DUMMYFUNCTION("""COMPUTED_VALUE"""),"https://www.linkedin.com/posts/miranda-shaw-b3148b5b_risk-revenue-analyst-senior-activity-7236790635100266496-k8-c?utm_source=share&amp;utm_medium=member_desktop")</f>
        <v>https://www.linkedin.com/posts/miranda-shaw-b3148b5b_risk-revenue-analyst-senior-activity-7236790635100266496-k8-c?utm_source=share&amp;utm_medium=member_desktop</v>
      </c>
    </row>
    <row r="321">
      <c r="A321" s="2">
        <f>IFERROR(__xludf.DUMMYFUNCTION("""COMPUTED_VALUE"""),45538.0)</f>
        <v>45538</v>
      </c>
      <c r="B321" s="1" t="str">
        <f>IFERROR(__xludf.DUMMYFUNCTION("""COMPUTED_VALUE"""),"Volt")</f>
        <v>Volt</v>
      </c>
      <c r="C321" s="1" t="str">
        <f>IFERROR(__xludf.DUMMYFUNCTION("""COMPUTED_VALUE"""),"Data Analyst")</f>
        <v>Data Analyst</v>
      </c>
      <c r="D321" s="1" t="str">
        <f>IFERROR(__xludf.DUMMYFUNCTION("""COMPUTED_VALUE"""),"Hybrid")</f>
        <v>Hybrid</v>
      </c>
      <c r="E321" s="3" t="str">
        <f>IFERROR(__xludf.DUMMYFUNCTION("""COMPUTED_VALUE"""),"$28/hr - $40/hr")</f>
        <v>$28/hr - $40/hr</v>
      </c>
      <c r="F321" s="1" t="str">
        <f>IFERROR(__xludf.DUMMYFUNCTION("""COMPUTED_VALUE"""),"0 - 2")</f>
        <v>0 - 2</v>
      </c>
      <c r="G321" s="1" t="str">
        <f>IFERROR(__xludf.DUMMYFUNCTION("""COMPUTED_VALUE"""),"Fountain Valley, CA")</f>
        <v>Fountain Valley, CA</v>
      </c>
      <c r="H321" s="4" t="str">
        <f>IFERROR(__xludf.DUMMYFUNCTION("""COMPUTED_VALUE"""),"https://www.linkedin.com/posts/yuri-lopez-78865a1a0_data-analyst-activity-7236434333882798080-Do8l?utm_source=share&amp;utm_medium=member_desktop")</f>
        <v>https://www.linkedin.com/posts/yuri-lopez-78865a1a0_data-analyst-activity-7236434333882798080-Do8l?utm_source=share&amp;utm_medium=member_desktop</v>
      </c>
    </row>
    <row r="322">
      <c r="A322" s="2">
        <f>IFERROR(__xludf.DUMMYFUNCTION("""COMPUTED_VALUE"""),45538.0)</f>
        <v>45538</v>
      </c>
      <c r="B322" s="1" t="str">
        <f>IFERROR(__xludf.DUMMYFUNCTION("""COMPUTED_VALUE"""),"Rotech Healthcare Inc")</f>
        <v>Rotech Healthcare Inc</v>
      </c>
      <c r="C322" s="1" t="str">
        <f>IFERROR(__xludf.DUMMYFUNCTION("""COMPUTED_VALUE"""),"Business Intelligence Analyst")</f>
        <v>Business Intelligence Analyst</v>
      </c>
      <c r="D322" s="1" t="str">
        <f>IFERROR(__xludf.DUMMYFUNCTION("""COMPUTED_VALUE"""),"On-Site")</f>
        <v>On-Site</v>
      </c>
      <c r="E322" s="3" t="str">
        <f>IFERROR(__xludf.DUMMYFUNCTION("""COMPUTED_VALUE"""),"N/A")</f>
        <v>N/A</v>
      </c>
      <c r="F322" s="1" t="str">
        <f>IFERROR(__xludf.DUMMYFUNCTION("""COMPUTED_VALUE"""),"0 - 2")</f>
        <v>0 - 2</v>
      </c>
      <c r="G322" s="1" t="str">
        <f>IFERROR(__xludf.DUMMYFUNCTION("""COMPUTED_VALUE"""),"Orlando, FL")</f>
        <v>Orlando, FL</v>
      </c>
      <c r="H322" s="4" t="str">
        <f>IFERROR(__xludf.DUMMYFUNCTION("""COMPUTED_VALUE"""),"https://www.linkedin.com/posts/simonmun_business-intelligence-analyst-in-orlando-activity-7236740661029347330-upSU?utm_source=share&amp;utm_medium=member_desktop")</f>
        <v>https://www.linkedin.com/posts/simonmun_business-intelligence-analyst-in-orlando-activity-7236740661029347330-upSU?utm_source=share&amp;utm_medium=member_desktop</v>
      </c>
    </row>
    <row r="323">
      <c r="A323" s="2">
        <f>IFERROR(__xludf.DUMMYFUNCTION("""COMPUTED_VALUE"""),45538.0)</f>
        <v>45538</v>
      </c>
      <c r="B323" s="1" t="str">
        <f>IFERROR(__xludf.DUMMYFUNCTION("""COMPUTED_VALUE"""),"The Home Depot")</f>
        <v>The Home Depot</v>
      </c>
      <c r="C323" s="1" t="str">
        <f>IFERROR(__xludf.DUMMYFUNCTION("""COMPUTED_VALUE"""),"Sr. Analyst, Merch Product Insights")</f>
        <v>Sr. Analyst, Merch Product Insights</v>
      </c>
      <c r="D323" s="1" t="str">
        <f>IFERROR(__xludf.DUMMYFUNCTION("""COMPUTED_VALUE"""),"Hybrid")</f>
        <v>Hybrid</v>
      </c>
      <c r="E323" s="3" t="str">
        <f>IFERROR(__xludf.DUMMYFUNCTION("""COMPUTED_VALUE"""),"N/A")</f>
        <v>N/A</v>
      </c>
      <c r="F323" s="1" t="str">
        <f>IFERROR(__xludf.DUMMYFUNCTION("""COMPUTED_VALUE"""),"0 - 2")</f>
        <v>0 - 2</v>
      </c>
      <c r="G323" s="1" t="str">
        <f>IFERROR(__xludf.DUMMYFUNCTION("""COMPUTED_VALUE"""),"Atlanta, GA")</f>
        <v>Atlanta, GA</v>
      </c>
      <c r="H323" s="4" t="str">
        <f>IFERROR(__xludf.DUMMYFUNCTION("""COMPUTED_VALUE"""),"https://www.linkedin.com/posts/rebeccajanezic_im-hiring-for-a-senior-data-analyst-https-activity-7236839013125394432-IuUZ?utm_source=share&amp;utm_medium=member_desktop")</f>
        <v>https://www.linkedin.com/posts/rebeccajanezic_im-hiring-for-a-senior-data-analyst-https-activity-7236839013125394432-IuUZ?utm_source=share&amp;utm_medium=member_desktop</v>
      </c>
    </row>
    <row r="324">
      <c r="A324" s="2">
        <f>IFERROR(__xludf.DUMMYFUNCTION("""COMPUTED_VALUE"""),45538.0)</f>
        <v>45538</v>
      </c>
      <c r="B324" s="1" t="str">
        <f>IFERROR(__xludf.DUMMYFUNCTION("""COMPUTED_VALUE"""),"Google")</f>
        <v>Google</v>
      </c>
      <c r="C324" s="1" t="str">
        <f>IFERROR(__xludf.DUMMYFUNCTION("""COMPUTED_VALUE"""),"Senior Analyst, Content Adversarial Red Team")</f>
        <v>Senior Analyst, Content Adversarial Red Team</v>
      </c>
      <c r="D324" s="1" t="str">
        <f>IFERROR(__xludf.DUMMYFUNCTION("""COMPUTED_VALUE"""),"Hybrid")</f>
        <v>Hybrid</v>
      </c>
      <c r="E324" s="3" t="str">
        <f>IFERROR(__xludf.DUMMYFUNCTION("""COMPUTED_VALUE"""),"$129k - $191k")</f>
        <v>$129k - $191k</v>
      </c>
      <c r="F324" s="1" t="str">
        <f>IFERROR(__xludf.DUMMYFUNCTION("""COMPUTED_VALUE"""),"6 - 9")</f>
        <v>6 - 9</v>
      </c>
      <c r="G324" s="1" t="str">
        <f>IFERROR(__xludf.DUMMYFUNCTION("""COMPUTED_VALUE"""),"Washington, DC/Austin, TX")</f>
        <v>Washington, DC/Austin, TX</v>
      </c>
      <c r="H324" s="4" t="str">
        <f>IFERROR(__xludf.DUMMYFUNCTION("""COMPUTED_VALUE"""),"https://www.linkedin.com/posts/matthew-walsh-7b8b2818_im-hiring-our-team-googles-content-adversarial-activity-7236841466977759232-kb8m?utm_source=share&amp;utm_medium=member_desktop")</f>
        <v>https://www.linkedin.com/posts/matthew-walsh-7b8b2818_im-hiring-our-team-googles-content-adversarial-activity-7236841466977759232-kb8m?utm_source=share&amp;utm_medium=member_desktop</v>
      </c>
    </row>
    <row r="325">
      <c r="A325" s="2">
        <f>IFERROR(__xludf.DUMMYFUNCTION("""COMPUTED_VALUE"""),45538.0)</f>
        <v>45538</v>
      </c>
      <c r="B325" s="1" t="str">
        <f>IFERROR(__xludf.DUMMYFUNCTION("""COMPUTED_VALUE"""),"AbbVie")</f>
        <v>AbbVie</v>
      </c>
      <c r="C325" s="1" t="str">
        <f>IFERROR(__xludf.DUMMYFUNCTION("""COMPUTED_VALUE"""),"Senior Finance Analyst, Global R&amp;D Study")</f>
        <v>Senior Finance Analyst, Global R&amp;D Study</v>
      </c>
      <c r="D325" s="1" t="str">
        <f>IFERROR(__xludf.DUMMYFUNCTION("""COMPUTED_VALUE"""),"On-Site")</f>
        <v>On-Site</v>
      </c>
      <c r="E325" s="3" t="str">
        <f>IFERROR(__xludf.DUMMYFUNCTION("""COMPUTED_VALUE"""),"$80k - $153k")</f>
        <v>$80k - $153k</v>
      </c>
      <c r="F325" s="1" t="str">
        <f>IFERROR(__xludf.DUMMYFUNCTION("""COMPUTED_VALUE"""),"3 - 5")</f>
        <v>3 - 5</v>
      </c>
      <c r="G325" s="1" t="str">
        <f>IFERROR(__xludf.DUMMYFUNCTION("""COMPUTED_VALUE"""),"North Chicago, IL")</f>
        <v>North Chicago, IL</v>
      </c>
      <c r="H325" s="4" t="str">
        <f>IFERROR(__xludf.DUMMYFUNCTION("""COMPUTED_VALUE"""),"https://www.linkedin.com/posts/shalini-suteria-35613525_senior-finance-analyst-global-rd-study-activity-7236742250565619713-AILo?utm_source=share&amp;utm_medium=member_desktop")</f>
        <v>https://www.linkedin.com/posts/shalini-suteria-35613525_senior-finance-analyst-global-rd-study-activity-7236742250565619713-AILo?utm_source=share&amp;utm_medium=member_desktop</v>
      </c>
    </row>
    <row r="326">
      <c r="A326" s="2">
        <f>IFERROR(__xludf.DUMMYFUNCTION("""COMPUTED_VALUE"""),45538.0)</f>
        <v>45538</v>
      </c>
      <c r="B326" s="1" t="str">
        <f>IFERROR(__xludf.DUMMYFUNCTION("""COMPUTED_VALUE"""),"Confluent Inc")</f>
        <v>Confluent Inc</v>
      </c>
      <c r="C326" s="1" t="str">
        <f>IFERROR(__xludf.DUMMYFUNCTION("""COMPUTED_VALUE"""),"Senior Analyst, FP&amp;A Marketing")</f>
        <v>Senior Analyst, FP&amp;A Marketing</v>
      </c>
      <c r="D326" s="1" t="str">
        <f>IFERROR(__xludf.DUMMYFUNCTION("""COMPUTED_VALUE"""),"Remote")</f>
        <v>Remote</v>
      </c>
      <c r="E326" s="3" t="str">
        <f>IFERROR(__xludf.DUMMYFUNCTION("""COMPUTED_VALUE"""),"N/A")</f>
        <v>N/A</v>
      </c>
      <c r="F326" s="1" t="str">
        <f>IFERROR(__xludf.DUMMYFUNCTION("""COMPUTED_VALUE"""),"3 - 5")</f>
        <v>3 - 5</v>
      </c>
      <c r="G326" s="1" t="str">
        <f>IFERROR(__xludf.DUMMYFUNCTION("""COMPUTED_VALUE"""),"USA")</f>
        <v>USA</v>
      </c>
      <c r="H326" s="4" t="str">
        <f>IFERROR(__xludf.DUMMYFUNCTION("""COMPUTED_VALUE"""),"https://www.linkedin.com/posts/athar-al-najjar-75194b90_confluent-inc-careers-activity-7236742999810977792-Elxa?utm_source=share&amp;utm_medium=member_desktop")</f>
        <v>https://www.linkedin.com/posts/athar-al-najjar-75194b90_confluent-inc-careers-activity-7236742999810977792-Elxa?utm_source=share&amp;utm_medium=member_desktop</v>
      </c>
    </row>
    <row r="327">
      <c r="A327" s="2">
        <f>IFERROR(__xludf.DUMMYFUNCTION("""COMPUTED_VALUE"""),45538.0)</f>
        <v>45538</v>
      </c>
      <c r="B327" s="1" t="str">
        <f>IFERROR(__xludf.DUMMYFUNCTION("""COMPUTED_VALUE"""),"Microsoft")</f>
        <v>Microsoft</v>
      </c>
      <c r="C327" s="1" t="str">
        <f>IFERROR(__xludf.DUMMYFUNCTION("""COMPUTED_VALUE"""),"Global Customer Experience - Business Analyst")</f>
        <v>Global Customer Experience - Business Analyst</v>
      </c>
      <c r="D327" s="1" t="str">
        <f>IFERROR(__xludf.DUMMYFUNCTION("""COMPUTED_VALUE"""),"Remote")</f>
        <v>Remote</v>
      </c>
      <c r="E327" s="3" t="str">
        <f>IFERROR(__xludf.DUMMYFUNCTION("""COMPUTED_VALUE"""),"$104k - $219k")</f>
        <v>$104k - $219k</v>
      </c>
      <c r="F327" s="1" t="str">
        <f>IFERROR(__xludf.DUMMYFUNCTION("""COMPUTED_VALUE"""),"3 - 5")</f>
        <v>3 - 5</v>
      </c>
      <c r="G327" s="1" t="str">
        <f>IFERROR(__xludf.DUMMYFUNCTION("""COMPUTED_VALUE"""),"USA")</f>
        <v>USA</v>
      </c>
      <c r="H327" s="4" t="str">
        <f>IFERROR(__xludf.DUMMYFUNCTION("""COMPUTED_VALUE"""),"https://www.linkedin.com/posts/jtravseattle_search-jobs-microsoft-careers-activity-7236739930121494528-mmkc?utm_source=share&amp;utm_medium=member_desktop")</f>
        <v>https://www.linkedin.com/posts/jtravseattle_search-jobs-microsoft-careers-activity-7236739930121494528-mmkc?utm_source=share&amp;utm_medium=member_desktop</v>
      </c>
    </row>
    <row r="328">
      <c r="A328" s="2">
        <f>IFERROR(__xludf.DUMMYFUNCTION("""COMPUTED_VALUE"""),45538.0)</f>
        <v>45538</v>
      </c>
      <c r="B328" s="1" t="str">
        <f>IFERROR(__xludf.DUMMYFUNCTION("""COMPUTED_VALUE"""),"Beiersdorf")</f>
        <v>Beiersdorf</v>
      </c>
      <c r="C328" s="1" t="str">
        <f>IFERROR(__xludf.DUMMYFUNCTION("""COMPUTED_VALUE"""),"Commercial Excellence Analyst")</f>
        <v>Commercial Excellence Analyst</v>
      </c>
      <c r="D328" s="1" t="str">
        <f>IFERROR(__xludf.DUMMYFUNCTION("""COMPUTED_VALUE"""),"Hybrid")</f>
        <v>Hybrid</v>
      </c>
      <c r="E328" s="3" t="str">
        <f>IFERROR(__xludf.DUMMYFUNCTION("""COMPUTED_VALUE"""),"N/A")</f>
        <v>N/A</v>
      </c>
      <c r="F328" s="1" t="str">
        <f>IFERROR(__xludf.DUMMYFUNCTION("""COMPUTED_VALUE"""),"3 - 5")</f>
        <v>3 - 5</v>
      </c>
      <c r="G328" s="1" t="str">
        <f>IFERROR(__xludf.DUMMYFUNCTION("""COMPUTED_VALUE"""),"Stamford, CT")</f>
        <v>Stamford, CT</v>
      </c>
      <c r="H328" s="4" t="str">
        <f>IFERROR(__xludf.DUMMYFUNCTION("""COMPUTED_VALUE"""),"https://www.linkedin.com/posts/cpgmarketingjobssusanburke_recruiting-hiring-carechangeseverything-activity-7236810214631424001-6H8S?utm_source=share&amp;utm_medium=member_desktop")</f>
        <v>https://www.linkedin.com/posts/cpgmarketingjobssusanburke_recruiting-hiring-carechangeseverything-activity-7236810214631424001-6H8S?utm_source=share&amp;utm_medium=member_desktop</v>
      </c>
    </row>
    <row r="329">
      <c r="A329" s="2">
        <f>IFERROR(__xludf.DUMMYFUNCTION("""COMPUTED_VALUE"""),45538.0)</f>
        <v>45538</v>
      </c>
      <c r="B329" s="1" t="str">
        <f>IFERROR(__xludf.DUMMYFUNCTION("""COMPUTED_VALUE"""),"Pinterest")</f>
        <v>Pinterest</v>
      </c>
      <c r="C329" s="1" t="str">
        <f>IFERROR(__xludf.DUMMYFUNCTION("""COMPUTED_VALUE"""),"Lead Data Analyst")</f>
        <v>Lead Data Analyst</v>
      </c>
      <c r="D329" s="1" t="str">
        <f>IFERROR(__xludf.DUMMYFUNCTION("""COMPUTED_VALUE"""),"Remote")</f>
        <v>Remote</v>
      </c>
      <c r="E329" s="3" t="str">
        <f>IFERROR(__xludf.DUMMYFUNCTION("""COMPUTED_VALUE"""),"$135k - $278k")</f>
        <v>$135k - $278k</v>
      </c>
      <c r="F329" s="1" t="str">
        <f>IFERROR(__xludf.DUMMYFUNCTION("""COMPUTED_VALUE"""),"6 - 9")</f>
        <v>6 - 9</v>
      </c>
      <c r="G329" s="1" t="str">
        <f>IFERROR(__xludf.DUMMYFUNCTION("""COMPUTED_VALUE"""),"USA")</f>
        <v>USA</v>
      </c>
      <c r="H329" s="4" t="str">
        <f>IFERROR(__xludf.DUMMYFUNCTION("""COMPUTED_VALUE"""),"https://www.linkedin.com/posts/alejandro-madrid-55193153_hello-im-hiring-a-lead-data-analyst-to-activity-7236807160691576834-fpa2?utm_source=share&amp;utm_medium=member_desktop")</f>
        <v>https://www.linkedin.com/posts/alejandro-madrid-55193153_hello-im-hiring-a-lead-data-analyst-to-activity-7236807160691576834-fpa2?utm_source=share&amp;utm_medium=member_desktop</v>
      </c>
    </row>
    <row r="330">
      <c r="A330" s="2">
        <f>IFERROR(__xludf.DUMMYFUNCTION("""COMPUTED_VALUE"""),45538.0)</f>
        <v>45538</v>
      </c>
      <c r="B330" s="1" t="str">
        <f>IFERROR(__xludf.DUMMYFUNCTION("""COMPUTED_VALUE"""),"Ramp")</f>
        <v>Ramp</v>
      </c>
      <c r="C330" s="1" t="str">
        <f>IFERROR(__xludf.DUMMYFUNCTION("""COMPUTED_VALUE"""),"Senior Analytics Engineer")</f>
        <v>Senior Analytics Engineer</v>
      </c>
      <c r="D330" s="1" t="str">
        <f>IFERROR(__xludf.DUMMYFUNCTION("""COMPUTED_VALUE"""),"Remote")</f>
        <v>Remote</v>
      </c>
      <c r="E330" s="3" t="str">
        <f>IFERROR(__xludf.DUMMYFUNCTION("""COMPUTED_VALUE"""),"$136k - $160k")</f>
        <v>$136k - $160k</v>
      </c>
      <c r="F330" s="1" t="str">
        <f>IFERROR(__xludf.DUMMYFUNCTION("""COMPUTED_VALUE"""),"3 - 5")</f>
        <v>3 - 5</v>
      </c>
      <c r="G330" s="1" t="str">
        <f>IFERROR(__xludf.DUMMYFUNCTION("""COMPUTED_VALUE"""),"USA")</f>
        <v>USA</v>
      </c>
      <c r="H330" s="4" t="str">
        <f>IFERROR(__xludf.DUMMYFUNCTION("""COMPUTED_VALUE"""),"https://www.linkedin.com/posts/ryanstevens3_senior-analytics-engineer-activity-7236448356015747073-b0cM?utm_source=share&amp;utm_medium=member_desktop")</f>
        <v>https://www.linkedin.com/posts/ryanstevens3_senior-analytics-engineer-activity-7236448356015747073-b0cM?utm_source=share&amp;utm_medium=member_desktop</v>
      </c>
    </row>
    <row r="331">
      <c r="A331" s="2">
        <f>IFERROR(__xludf.DUMMYFUNCTION("""COMPUTED_VALUE"""),45538.0)</f>
        <v>45538</v>
      </c>
      <c r="B331" s="1" t="str">
        <f>IFERROR(__xludf.DUMMYFUNCTION("""COMPUTED_VALUE"""),"Oakbridge Insurance")</f>
        <v>Oakbridge Insurance</v>
      </c>
      <c r="C331" s="1" t="str">
        <f>IFERROR(__xludf.DUMMYFUNCTION("""COMPUTED_VALUE"""),"Data Analyst")</f>
        <v>Data Analyst</v>
      </c>
      <c r="D331" s="1" t="str">
        <f>IFERROR(__xludf.DUMMYFUNCTION("""COMPUTED_VALUE"""),"Hybrid")</f>
        <v>Hybrid</v>
      </c>
      <c r="E331" s="3" t="str">
        <f>IFERROR(__xludf.DUMMYFUNCTION("""COMPUTED_VALUE"""),"N/A")</f>
        <v>N/A</v>
      </c>
      <c r="F331" s="1" t="str">
        <f>IFERROR(__xludf.DUMMYFUNCTION("""COMPUTED_VALUE"""),"3 - 5")</f>
        <v>3 - 5</v>
      </c>
      <c r="G331" s="1" t="str">
        <f>IFERROR(__xludf.DUMMYFUNCTION("""COMPUTED_VALUE"""),"Alpharetta, GA")</f>
        <v>Alpharetta, GA</v>
      </c>
      <c r="H331" s="4" t="str">
        <f>IFERROR(__xludf.DUMMYFUNCTION("""COMPUTED_VALUE"""),"https://www.linkedin.com/posts/mattrjames1_hiring-dataanalyst-activity-7236730463229288449-IeCE?utm_source=share&amp;utm_medium=member_desktop")</f>
        <v>https://www.linkedin.com/posts/mattrjames1_hiring-dataanalyst-activity-7236730463229288449-IeCE?utm_source=share&amp;utm_medium=member_desktop</v>
      </c>
    </row>
    <row r="332">
      <c r="A332" s="2">
        <f>IFERROR(__xludf.DUMMYFUNCTION("""COMPUTED_VALUE"""),45538.0)</f>
        <v>45538</v>
      </c>
      <c r="B332" s="1" t="str">
        <f>IFERROR(__xludf.DUMMYFUNCTION("""COMPUTED_VALUE"""),"Instacart")</f>
        <v>Instacart</v>
      </c>
      <c r="C332" s="1" t="str">
        <f>IFERROR(__xludf.DUMMYFUNCTION("""COMPUTED_VALUE"""),"Customer Experience Capacity Planning Analyst")</f>
        <v>Customer Experience Capacity Planning Analyst</v>
      </c>
      <c r="D332" s="1" t="str">
        <f>IFERROR(__xludf.DUMMYFUNCTION("""COMPUTED_VALUE"""),"Remote")</f>
        <v>Remote</v>
      </c>
      <c r="E332" s="3" t="str">
        <f>IFERROR(__xludf.DUMMYFUNCTION("""COMPUTED_VALUE"""),"$94k - $125k")</f>
        <v>$94k - $125k</v>
      </c>
      <c r="F332" s="1" t="str">
        <f>IFERROR(__xludf.DUMMYFUNCTION("""COMPUTED_VALUE"""),"3 - 5")</f>
        <v>3 - 5</v>
      </c>
      <c r="G332" s="1" t="str">
        <f>IFERROR(__xludf.DUMMYFUNCTION("""COMPUTED_VALUE"""),"USA")</f>
        <v>USA</v>
      </c>
      <c r="H332" s="4" t="str">
        <f>IFERROR(__xludf.DUMMYFUNCTION("""COMPUTED_VALUE"""),"https://www.linkedin.com/posts/ulices-zuniga-reyes-94015a27_nowhiring-dataanalytics-customerexperience-activity-7236736328984313857-7IcV?utm_source=share&amp;utm_medium=member_desktop")</f>
        <v>https://www.linkedin.com/posts/ulices-zuniga-reyes-94015a27_nowhiring-dataanalytics-customerexperience-activity-7236736328984313857-7IcV?utm_source=share&amp;utm_medium=member_desktop</v>
      </c>
    </row>
    <row r="333">
      <c r="A333" s="2">
        <f>IFERROR(__xludf.DUMMYFUNCTION("""COMPUTED_VALUE"""),45538.0)</f>
        <v>45538</v>
      </c>
      <c r="B333" s="1" t="str">
        <f>IFERROR(__xludf.DUMMYFUNCTION("""COMPUTED_VALUE"""),"True Anomaly")</f>
        <v>True Anomaly</v>
      </c>
      <c r="C333" s="1" t="str">
        <f>IFERROR(__xludf.DUMMYFUNCTION("""COMPUTED_VALUE"""),"Sr. Financial Analyst")</f>
        <v>Sr. Financial Analyst</v>
      </c>
      <c r="D333" s="1" t="str">
        <f>IFERROR(__xludf.DUMMYFUNCTION("""COMPUTED_VALUE"""),"Hybrid")</f>
        <v>Hybrid</v>
      </c>
      <c r="E333" s="3" t="str">
        <f>IFERROR(__xludf.DUMMYFUNCTION("""COMPUTED_VALUE"""),"$75k - $120k")</f>
        <v>$75k - $120k</v>
      </c>
      <c r="F333" s="1" t="str">
        <f>IFERROR(__xludf.DUMMYFUNCTION("""COMPUTED_VALUE"""),"3 - 5")</f>
        <v>3 - 5</v>
      </c>
      <c r="G333" s="1" t="str">
        <f>IFERROR(__xludf.DUMMYFUNCTION("""COMPUTED_VALUE"""),"Denver, CO")</f>
        <v>Denver, CO</v>
      </c>
      <c r="H333" s="4" t="str">
        <f>IFERROR(__xludf.DUMMYFUNCTION("""COMPUTED_VALUE"""),"https://www.linkedin.com/posts/sean-cummins-397b2436_sr-financial-analyst-activity-7236749797343248384-MoET?utm_source=share&amp;utm_medium=member_desktop")</f>
        <v>https://www.linkedin.com/posts/sean-cummins-397b2436_sr-financial-analyst-activity-7236749797343248384-MoET?utm_source=share&amp;utm_medium=member_desktop</v>
      </c>
    </row>
    <row r="334">
      <c r="A334" s="2">
        <f>IFERROR(__xludf.DUMMYFUNCTION("""COMPUTED_VALUE"""),45538.0)</f>
        <v>45538</v>
      </c>
      <c r="B334" s="1" t="str">
        <f>IFERROR(__xludf.DUMMYFUNCTION("""COMPUTED_VALUE"""),"Meow Wolf")</f>
        <v>Meow Wolf</v>
      </c>
      <c r="C334" s="1" t="str">
        <f>IFERROR(__xludf.DUMMYFUNCTION("""COMPUTED_VALUE"""),"Senior Analyst, Corporate Finance and FP&amp;A")</f>
        <v>Senior Analyst, Corporate Finance and FP&amp;A</v>
      </c>
      <c r="D334" s="1" t="str">
        <f>IFERROR(__xludf.DUMMYFUNCTION("""COMPUTED_VALUE"""),"Remote")</f>
        <v>Remote</v>
      </c>
      <c r="E334" s="3" t="str">
        <f>IFERROR(__xludf.DUMMYFUNCTION("""COMPUTED_VALUE"""),"$89k - $123k")</f>
        <v>$89k - $123k</v>
      </c>
      <c r="F334" s="1" t="str">
        <f>IFERROR(__xludf.DUMMYFUNCTION("""COMPUTED_VALUE"""),"3 - 5")</f>
        <v>3 - 5</v>
      </c>
      <c r="G334" s="1" t="str">
        <f>IFERROR(__xludf.DUMMYFUNCTION("""COMPUTED_VALUE"""),"Certain Locations")</f>
        <v>Certain Locations</v>
      </c>
      <c r="H334" s="4" t="str">
        <f>IFERROR(__xludf.DUMMYFUNCTION("""COMPUTED_VALUE"""),"https://www.linkedin.com/posts/isaac-wooten-48a37719_come-join-our-finance-team-feel-free-to-activity-7236735549959462912-yMYT?utm_source=share&amp;utm_medium=member_desktop")</f>
        <v>https://www.linkedin.com/posts/isaac-wooten-48a37719_come-join-our-finance-team-feel-free-to-activity-7236735549959462912-yMYT?utm_source=share&amp;utm_medium=member_desktop</v>
      </c>
    </row>
    <row r="335">
      <c r="A335" s="2">
        <f>IFERROR(__xludf.DUMMYFUNCTION("""COMPUTED_VALUE"""),45538.0)</f>
        <v>45538</v>
      </c>
      <c r="B335" s="1" t="str">
        <f>IFERROR(__xludf.DUMMYFUNCTION("""COMPUTED_VALUE"""),"The Adcom Group")</f>
        <v>The Adcom Group</v>
      </c>
      <c r="C335" s="1" t="str">
        <f>IFERROR(__xludf.DUMMYFUNCTION("""COMPUTED_VALUE"""),"Data Analyst")</f>
        <v>Data Analyst</v>
      </c>
      <c r="D335" s="1" t="str">
        <f>IFERROR(__xludf.DUMMYFUNCTION("""COMPUTED_VALUE"""),"Hybrid")</f>
        <v>Hybrid</v>
      </c>
      <c r="E335" s="3" t="str">
        <f>IFERROR(__xludf.DUMMYFUNCTION("""COMPUTED_VALUE"""),"N/A")</f>
        <v>N/A</v>
      </c>
      <c r="F335" s="1" t="str">
        <f>IFERROR(__xludf.DUMMYFUNCTION("""COMPUTED_VALUE"""),"3 - 5")</f>
        <v>3 - 5</v>
      </c>
      <c r="G335" s="1" t="str">
        <f>IFERROR(__xludf.DUMMYFUNCTION("""COMPUTED_VALUE"""),"Cleveland, OH")</f>
        <v>Cleveland, OH</v>
      </c>
      <c r="H335" s="4" t="str">
        <f>IFERROR(__xludf.DUMMYFUNCTION("""COMPUTED_VALUE"""),"https://www.linkedin.com/posts/rbrtdvdsn_know-a-great-data-analyst-in-the-cleveland-activity-7236722553132605441-Pu8G?utm_source=share&amp;utm_medium=member_desktop")</f>
        <v>https://www.linkedin.com/posts/rbrtdvdsn_know-a-great-data-analyst-in-the-cleveland-activity-7236722553132605441-Pu8G?utm_source=share&amp;utm_medium=member_desktop</v>
      </c>
    </row>
    <row r="336">
      <c r="A336" s="2">
        <f>IFERROR(__xludf.DUMMYFUNCTION("""COMPUTED_VALUE"""),45537.0)</f>
        <v>45537</v>
      </c>
      <c r="B336" s="1" t="str">
        <f>IFERROR(__xludf.DUMMYFUNCTION("""COMPUTED_VALUE"""),"Coconut Software")</f>
        <v>Coconut Software</v>
      </c>
      <c r="C336" s="1" t="str">
        <f>IFERROR(__xludf.DUMMYFUNCTION("""COMPUTED_VALUE"""),"Senior Data Analyst")</f>
        <v>Senior Data Analyst</v>
      </c>
      <c r="D336" s="1" t="str">
        <f>IFERROR(__xludf.DUMMYFUNCTION("""COMPUTED_VALUE"""),"Remote")</f>
        <v>Remote</v>
      </c>
      <c r="E336" s="3" t="str">
        <f>IFERROR(__xludf.DUMMYFUNCTION("""COMPUTED_VALUE"""),"N/A")</f>
        <v>N/A</v>
      </c>
      <c r="F336" s="1" t="str">
        <f>IFERROR(__xludf.DUMMYFUNCTION("""COMPUTED_VALUE"""),"3 - 5")</f>
        <v>3 - 5</v>
      </c>
      <c r="G336" s="1" t="str">
        <f>IFERROR(__xludf.DUMMYFUNCTION("""COMPUTED_VALUE"""),"Canada")</f>
        <v>Canada</v>
      </c>
      <c r="H336" s="4" t="str">
        <f>IFERROR(__xludf.DUMMYFUNCTION("""COMPUTED_VALUE"""),"https://www.linkedin.com/posts/eva-demers-brett-8a43681a9_senior-data-analyst-activity-7236119023120228352-6yo2?utm_source=share&amp;utm_medium=member_ios")</f>
        <v>https://www.linkedin.com/posts/eva-demers-brett-8a43681a9_senior-data-analyst-activity-7236119023120228352-6yo2?utm_source=share&amp;utm_medium=member_ios</v>
      </c>
    </row>
    <row r="337">
      <c r="A337" s="2">
        <f>IFERROR(__xludf.DUMMYFUNCTION("""COMPUTED_VALUE"""),45535.0)</f>
        <v>45535</v>
      </c>
      <c r="B337" s="1" t="str">
        <f>IFERROR(__xludf.DUMMYFUNCTION("""COMPUTED_VALUE"""),"Kaiser Permanente")</f>
        <v>Kaiser Permanente</v>
      </c>
      <c r="C337" s="1" t="str">
        <f>IFERROR(__xludf.DUMMYFUNCTION("""COMPUTED_VALUE"""),"Data Reporting and Analytics Consultant IV - Python, R")</f>
        <v>Data Reporting and Analytics Consultant IV - Python, R</v>
      </c>
      <c r="D337" s="1" t="str">
        <f>IFERROR(__xludf.DUMMYFUNCTION("""COMPUTED_VALUE"""),"Remote")</f>
        <v>Remote</v>
      </c>
      <c r="E337" s="3" t="str">
        <f>IFERROR(__xludf.DUMMYFUNCTION("""COMPUTED_VALUE"""),"$107k - $138k")</f>
        <v>$107k - $138k</v>
      </c>
      <c r="F337" s="1" t="str">
        <f>IFERROR(__xludf.DUMMYFUNCTION("""COMPUTED_VALUE"""),"3 - 5")</f>
        <v>3 - 5</v>
      </c>
      <c r="G337" s="1" t="str">
        <f>IFERROR(__xludf.DUMMYFUNCTION("""COMPUTED_VALUE"""),"Certain Locations")</f>
        <v>Certain Locations</v>
      </c>
      <c r="H337" s="4" t="str">
        <f>IFERROR(__xludf.DUMMYFUNCTION("""COMPUTED_VALUE"""),"https://www.linkedin.com/posts/jrhutson_data-reporting-and-analytics-consultant-iv-activity-7235068015736668160-16kV?utm_source=share&amp;utm_medium=member_desktop")</f>
        <v>https://www.linkedin.com/posts/jrhutson_data-reporting-and-analytics-consultant-iv-activity-7235068015736668160-16kV?utm_source=share&amp;utm_medium=member_desktop</v>
      </c>
    </row>
    <row r="338">
      <c r="A338" s="2">
        <f>IFERROR(__xludf.DUMMYFUNCTION("""COMPUTED_VALUE"""),45535.0)</f>
        <v>45535</v>
      </c>
      <c r="B338" s="1" t="str">
        <f>IFERROR(__xludf.DUMMYFUNCTION("""COMPUTED_VALUE"""),"ClassDojo")</f>
        <v>ClassDojo</v>
      </c>
      <c r="C338" s="1" t="str">
        <f>IFERROR(__xludf.DUMMYFUNCTION("""COMPUTED_VALUE"""),"Staff Data Scientist - Product Analytics")</f>
        <v>Staff Data Scientist - Product Analytics</v>
      </c>
      <c r="D338" s="1" t="str">
        <f>IFERROR(__xludf.DUMMYFUNCTION("""COMPUTED_VALUE"""),"Remote")</f>
        <v>Remote</v>
      </c>
      <c r="E338" s="3" t="str">
        <f>IFERROR(__xludf.DUMMYFUNCTION("""COMPUTED_VALUE"""),"$173k - $250k")</f>
        <v>$173k - $250k</v>
      </c>
      <c r="F338" s="1" t="str">
        <f>IFERROR(__xludf.DUMMYFUNCTION("""COMPUTED_VALUE"""),"6 - 9")</f>
        <v>6 - 9</v>
      </c>
      <c r="G338" s="1" t="str">
        <f>IFERROR(__xludf.DUMMYFUNCTION("""COMPUTED_VALUE"""),"USA")</f>
        <v>USA</v>
      </c>
      <c r="H338" s="4" t="str">
        <f>IFERROR(__xludf.DUMMYFUNCTION("""COMPUTED_VALUE"""),"https://www.linkedin.com/posts/andrewdbs_staff-data-scientist-product-analytics-activity-7232100628729147392-WEu4?utm_source=share&amp;utm_medium=member_desktop")</f>
        <v>https://www.linkedin.com/posts/andrewdbs_staff-data-scientist-product-analytics-activity-7232100628729147392-WEu4?utm_source=share&amp;utm_medium=member_desktop</v>
      </c>
    </row>
    <row r="339">
      <c r="A339" s="2">
        <f>IFERROR(__xludf.DUMMYFUNCTION("""COMPUTED_VALUE"""),45535.0)</f>
        <v>45535</v>
      </c>
      <c r="B339" s="1" t="str">
        <f>IFERROR(__xludf.DUMMYFUNCTION("""COMPUTED_VALUE"""),"DSW")</f>
        <v>DSW</v>
      </c>
      <c r="C339" s="1" t="str">
        <f>IFERROR(__xludf.DUMMYFUNCTION("""COMPUTED_VALUE"""),"Sr Market Channel Analyst-REMOTE")</f>
        <v>Sr Market Channel Analyst-REMOTE</v>
      </c>
      <c r="D339" s="1" t="str">
        <f>IFERROR(__xludf.DUMMYFUNCTION("""COMPUTED_VALUE"""),"Remote")</f>
        <v>Remote</v>
      </c>
      <c r="E339" s="3" t="str">
        <f>IFERROR(__xludf.DUMMYFUNCTION("""COMPUTED_VALUE"""),"N/A")</f>
        <v>N/A</v>
      </c>
      <c r="F339" s="1" t="str">
        <f>IFERROR(__xludf.DUMMYFUNCTION("""COMPUTED_VALUE"""),"3 - 5")</f>
        <v>3 - 5</v>
      </c>
      <c r="G339" s="1" t="str">
        <f>IFERROR(__xludf.DUMMYFUNCTION("""COMPUTED_VALUE"""),"Columbus, OH")</f>
        <v>Columbus, OH</v>
      </c>
      <c r="H339" s="4" t="str">
        <f>IFERROR(__xludf.DUMMYFUNCTION("""COMPUTED_VALUE"""),"https://www.linkedin.com/posts/sarah-crockett-2701153a_sr-market-channel-analyst-remote-activity-7235733790545866753-1JR0?utm_source=share&amp;utm_medium=member_desktop")</f>
        <v>https://www.linkedin.com/posts/sarah-crockett-2701153a_sr-market-channel-analyst-remote-activity-7235733790545866753-1JR0?utm_source=share&amp;utm_medium=member_desktop</v>
      </c>
    </row>
    <row r="340">
      <c r="A340" s="2">
        <f>IFERROR(__xludf.DUMMYFUNCTION("""COMPUTED_VALUE"""),45535.0)</f>
        <v>45535</v>
      </c>
      <c r="B340" s="1" t="str">
        <f>IFERROR(__xludf.DUMMYFUNCTION("""COMPUTED_VALUE"""),"Species360")</f>
        <v>Species360</v>
      </c>
      <c r="C340" s="1" t="str">
        <f>IFERROR(__xludf.DUMMYFUNCTION("""COMPUTED_VALUE"""),"Data Engineer (US Remote)")</f>
        <v>Data Engineer (US Remote)</v>
      </c>
      <c r="D340" s="1" t="str">
        <f>IFERROR(__xludf.DUMMYFUNCTION("""COMPUTED_VALUE"""),"Remote")</f>
        <v>Remote</v>
      </c>
      <c r="E340" s="3" t="str">
        <f>IFERROR(__xludf.DUMMYFUNCTION("""COMPUTED_VALUE"""),"$130k")</f>
        <v>$130k</v>
      </c>
      <c r="F340" s="1" t="str">
        <f>IFERROR(__xludf.DUMMYFUNCTION("""COMPUTED_VALUE"""),"3 - 5")</f>
        <v>3 - 5</v>
      </c>
      <c r="G340" s="1" t="str">
        <f>IFERROR(__xludf.DUMMYFUNCTION("""COMPUTED_VALUE"""),"USA")</f>
        <v>USA</v>
      </c>
      <c r="H340" s="4" t="str">
        <f>IFERROR(__xludf.DUMMYFUNCTION("""COMPUTED_VALUE"""),"https://www.linkedin.com/posts/pidlubny_were-hiring-a-data-engineer-to-join-our-activity-7235295197985685505-aN68?utm_source=share&amp;utm_medium=member_desktop")</f>
        <v>https://www.linkedin.com/posts/pidlubny_were-hiring-a-data-engineer-to-join-our-activity-7235295197985685505-aN68?utm_source=share&amp;utm_medium=member_desktop</v>
      </c>
    </row>
    <row r="341">
      <c r="A341" s="2">
        <f>IFERROR(__xludf.DUMMYFUNCTION("""COMPUTED_VALUE"""),45535.0)</f>
        <v>45535</v>
      </c>
      <c r="B341" s="1" t="str">
        <f>IFERROR(__xludf.DUMMYFUNCTION("""COMPUTED_VALUE"""),"Protenus")</f>
        <v>Protenus</v>
      </c>
      <c r="C341" s="1" t="str">
        <f>IFERROR(__xludf.DUMMYFUNCTION("""COMPUTED_VALUE"""),"Data Engineer")</f>
        <v>Data Engineer</v>
      </c>
      <c r="D341" s="1" t="str">
        <f>IFERROR(__xludf.DUMMYFUNCTION("""COMPUTED_VALUE"""),"Remote")</f>
        <v>Remote</v>
      </c>
      <c r="E341" s="3" t="str">
        <f>IFERROR(__xludf.DUMMYFUNCTION("""COMPUTED_VALUE"""),"N/A")</f>
        <v>N/A</v>
      </c>
      <c r="F341" s="1" t="str">
        <f>IFERROR(__xludf.DUMMYFUNCTION("""COMPUTED_VALUE"""),"3 - 5")</f>
        <v>3 - 5</v>
      </c>
      <c r="G341" s="1" t="str">
        <f>IFERROR(__xludf.DUMMYFUNCTION("""COMPUTED_VALUE"""),"USA")</f>
        <v>USA</v>
      </c>
      <c r="H341" s="4" t="str">
        <f>IFERROR(__xludf.DUMMYFUNCTION("""COMPUTED_VALUE"""),"https://www.linkedin.com/posts/ryan-pettaway-36544b50_open-positions-join-the-protenus-team-activity-7234990621273341954-x9qE?utm_source=share&amp;utm_medium=member_desktop")</f>
        <v>https://www.linkedin.com/posts/ryan-pettaway-36544b50_open-positions-join-the-protenus-team-activity-7234990621273341954-x9qE?utm_source=share&amp;utm_medium=member_desktop</v>
      </c>
    </row>
    <row r="342">
      <c r="A342" s="2">
        <f>IFERROR(__xludf.DUMMYFUNCTION("""COMPUTED_VALUE"""),45535.0)</f>
        <v>45535</v>
      </c>
      <c r="B342" s="1" t="str">
        <f>IFERROR(__xludf.DUMMYFUNCTION("""COMPUTED_VALUE"""),"Milliman")</f>
        <v>Milliman</v>
      </c>
      <c r="C342" s="1" t="str">
        <f>IFERROR(__xludf.DUMMYFUNCTION("""COMPUTED_VALUE"""),"Healthcare Data Analyst, Medicaid")</f>
        <v>Healthcare Data Analyst, Medicaid</v>
      </c>
      <c r="D342" s="1" t="str">
        <f>IFERROR(__xludf.DUMMYFUNCTION("""COMPUTED_VALUE"""),"Hybrid")</f>
        <v>Hybrid</v>
      </c>
      <c r="E342" s="3" t="str">
        <f>IFERROR(__xludf.DUMMYFUNCTION("""COMPUTED_VALUE"""),"N/A")</f>
        <v>N/A</v>
      </c>
      <c r="F342" s="1" t="str">
        <f>IFERROR(__xludf.DUMMYFUNCTION("""COMPUTED_VALUE"""),"3 - 5")</f>
        <v>3 - 5</v>
      </c>
      <c r="G342" s="1" t="str">
        <f>IFERROR(__xludf.DUMMYFUNCTION("""COMPUTED_VALUE"""),"Indianapolis, IN")</f>
        <v>Indianapolis, IN</v>
      </c>
      <c r="H342" s="4" t="str">
        <f>IFERROR(__xludf.DUMMYFUNCTION("""COMPUTED_VALUE"""),"https://www.linkedin.com/posts/kristenmccain_indianapolis-health-healthcare-activity-7235304718070116352-Rcxu?utm_source=share&amp;utm_medium=member_desktop")</f>
        <v>https://www.linkedin.com/posts/kristenmccain_indianapolis-health-healthcare-activity-7235304718070116352-Rcxu?utm_source=share&amp;utm_medium=member_desktop</v>
      </c>
    </row>
    <row r="343">
      <c r="A343" s="2">
        <f>IFERROR(__xludf.DUMMYFUNCTION("""COMPUTED_VALUE"""),45535.0)</f>
        <v>45535</v>
      </c>
      <c r="B343" s="1" t="str">
        <f>IFERROR(__xludf.DUMMYFUNCTION("""COMPUTED_VALUE"""),"Morton Salt")</f>
        <v>Morton Salt</v>
      </c>
      <c r="C343" s="1" t="str">
        <f>IFERROR(__xludf.DUMMYFUNCTION("""COMPUTED_VALUE"""),"Supply Chain Analyst")</f>
        <v>Supply Chain Analyst</v>
      </c>
      <c r="D343" s="1" t="str">
        <f>IFERROR(__xludf.DUMMYFUNCTION("""COMPUTED_VALUE"""),"On-Site")</f>
        <v>On-Site</v>
      </c>
      <c r="E343" s="3" t="str">
        <f>IFERROR(__xludf.DUMMYFUNCTION("""COMPUTED_VALUE"""),"N/A")</f>
        <v>N/A</v>
      </c>
      <c r="F343" s="1" t="str">
        <f>IFERROR(__xludf.DUMMYFUNCTION("""COMPUTED_VALUE"""),"3 - 5")</f>
        <v>3 - 5</v>
      </c>
      <c r="G343" s="1" t="str">
        <f>IFERROR(__xludf.DUMMYFUNCTION("""COMPUTED_VALUE"""),"Overland Park, KS")</f>
        <v>Overland Park, KS</v>
      </c>
      <c r="H343" s="4" t="str">
        <f>IFERROR(__xludf.DUMMYFUNCTION("""COMPUTED_VALUE"""),"https://www.linkedin.com/posts/carymike_im-hiring-a-supply-chain-analyst-at-our-activity-7235675523832541185-rfu0?utm_source=share&amp;utm_medium=member_desktop")</f>
        <v>https://www.linkedin.com/posts/carymike_im-hiring-a-supply-chain-analyst-at-our-activity-7235675523832541185-rfu0?utm_source=share&amp;utm_medium=member_desktop</v>
      </c>
    </row>
    <row r="344">
      <c r="A344" s="2">
        <f>IFERROR(__xludf.DUMMYFUNCTION("""COMPUTED_VALUE"""),45535.0)</f>
        <v>45535</v>
      </c>
      <c r="B344" s="1" t="str">
        <f>IFERROR(__xludf.DUMMYFUNCTION("""COMPUTED_VALUE"""),"Virgin Galactic")</f>
        <v>Virgin Galactic</v>
      </c>
      <c r="C344" s="1" t="str">
        <f>IFERROR(__xludf.DUMMYFUNCTION("""COMPUTED_VALUE"""),"Sr. Analyst, Commerical Strategy")</f>
        <v>Sr. Analyst, Commerical Strategy</v>
      </c>
      <c r="D344" s="1" t="str">
        <f>IFERROR(__xludf.DUMMYFUNCTION("""COMPUTED_VALUE"""),"Hybrid")</f>
        <v>Hybrid</v>
      </c>
      <c r="E344" s="3" t="str">
        <f>IFERROR(__xludf.DUMMYFUNCTION("""COMPUTED_VALUE"""),"N/A")</f>
        <v>N/A</v>
      </c>
      <c r="F344" s="1" t="str">
        <f>IFERROR(__xludf.DUMMYFUNCTION("""COMPUTED_VALUE"""),"3 - 5")</f>
        <v>3 - 5</v>
      </c>
      <c r="G344" s="1" t="str">
        <f>IFERROR(__xludf.DUMMYFUNCTION("""COMPUTED_VALUE"""),"Tustin, CA")</f>
        <v>Tustin, CA</v>
      </c>
      <c r="H344" s="4" t="str">
        <f>IFERROR(__xludf.DUMMYFUNCTION("""COMPUTED_VALUE"""),"https://www.linkedin.com/posts/ericajsimmons_hiring-virgingalactic-activity-7235460581770608641-0tZB?utm_source=share&amp;utm_medium=member_desktop")</f>
        <v>https://www.linkedin.com/posts/ericajsimmons_hiring-virgingalactic-activity-7235460581770608641-0tZB?utm_source=share&amp;utm_medium=member_desktop</v>
      </c>
    </row>
    <row r="345">
      <c r="A345" s="2">
        <f>IFERROR(__xludf.DUMMYFUNCTION("""COMPUTED_VALUE"""),45535.0)</f>
        <v>45535</v>
      </c>
      <c r="B345" s="1" t="str">
        <f>IFERROR(__xludf.DUMMYFUNCTION("""COMPUTED_VALUE"""),"Bluebeam")</f>
        <v>Bluebeam</v>
      </c>
      <c r="C345" s="1" t="str">
        <f>IFERROR(__xludf.DUMMYFUNCTION("""COMPUTED_VALUE"""),"Senior Analyst, Market Research &amp; Analytics")</f>
        <v>Senior Analyst, Market Research &amp; Analytics</v>
      </c>
      <c r="D345" s="1" t="str">
        <f>IFERROR(__xludf.DUMMYFUNCTION("""COMPUTED_VALUE"""),"Remote")</f>
        <v>Remote</v>
      </c>
      <c r="E345" s="3" t="str">
        <f>IFERROR(__xludf.DUMMYFUNCTION("""COMPUTED_VALUE"""),"$89k - $111k")</f>
        <v>$89k - $111k</v>
      </c>
      <c r="F345" s="1" t="str">
        <f>IFERROR(__xludf.DUMMYFUNCTION("""COMPUTED_VALUE"""),"6 - 9")</f>
        <v>6 - 9</v>
      </c>
      <c r="G345" s="1" t="str">
        <f>IFERROR(__xludf.DUMMYFUNCTION("""COMPUTED_VALUE"""),"USA")</f>
        <v>USA</v>
      </c>
      <c r="H345" s="4" t="str">
        <f>IFERROR(__xludf.DUMMYFUNCTION("""COMPUTED_VALUE"""),"https://www.linkedin.com/posts/unni-radhakrishnan-aa730214_hiring-analytics-marketresearch-activity-7235662365399117824-3E9D?utm_source=share&amp;utm_medium=member_desktop")</f>
        <v>https://www.linkedin.com/posts/unni-radhakrishnan-aa730214_hiring-analytics-marketresearch-activity-7235662365399117824-3E9D?utm_source=share&amp;utm_medium=member_desktop</v>
      </c>
    </row>
    <row r="346">
      <c r="A346" s="2">
        <f>IFERROR(__xludf.DUMMYFUNCTION("""COMPUTED_VALUE"""),45535.0)</f>
        <v>45535</v>
      </c>
      <c r="B346" s="1" t="str">
        <f>IFERROR(__xludf.DUMMYFUNCTION("""COMPUTED_VALUE"""),"Darden")</f>
        <v>Darden</v>
      </c>
      <c r="C346" s="1" t="str">
        <f>IFERROR(__xludf.DUMMYFUNCTION("""COMPUTED_VALUE"""),"Senior Financial Analyst - Seasons 52")</f>
        <v>Senior Financial Analyst - Seasons 52</v>
      </c>
      <c r="D346" s="1" t="str">
        <f>IFERROR(__xludf.DUMMYFUNCTION("""COMPUTED_VALUE"""),"Hybrid")</f>
        <v>Hybrid</v>
      </c>
      <c r="E346" s="3" t="str">
        <f>IFERROR(__xludf.DUMMYFUNCTION("""COMPUTED_VALUE"""),"N/A")</f>
        <v>N/A</v>
      </c>
      <c r="F346" s="1" t="str">
        <f>IFERROR(__xludf.DUMMYFUNCTION("""COMPUTED_VALUE"""),"3 - 5")</f>
        <v>3 - 5</v>
      </c>
      <c r="G346" s="1" t="str">
        <f>IFERROR(__xludf.DUMMYFUNCTION("""COMPUTED_VALUE"""),"Orlando, FL")</f>
        <v>Orlando, FL</v>
      </c>
      <c r="H346" s="4" t="str">
        <f>IFERROR(__xludf.DUMMYFUNCTION("""COMPUTED_VALUE"""),"https://www.linkedin.com/posts/robert-davidson-b0883817_check-out-this-job-at-darden-senior-financial-activity-7235450512567857153-lZlh?utm_source=share&amp;utm_medium=member_desktop")</f>
        <v>https://www.linkedin.com/posts/robert-davidson-b0883817_check-out-this-job-at-darden-senior-financial-activity-7235450512567857153-lZlh?utm_source=share&amp;utm_medium=member_desktop</v>
      </c>
    </row>
    <row r="347">
      <c r="A347" s="2">
        <f>IFERROR(__xludf.DUMMYFUNCTION("""COMPUTED_VALUE"""),45535.0)</f>
        <v>45535</v>
      </c>
      <c r="B347" s="1" t="str">
        <f>IFERROR(__xludf.DUMMYFUNCTION("""COMPUTED_VALUE"""),"Optum")</f>
        <v>Optum</v>
      </c>
      <c r="C347" s="1" t="str">
        <f>IFERROR(__xludf.DUMMYFUNCTION("""COMPUTED_VALUE"""),"Data Scientist 2 – Remote")</f>
        <v>Data Scientist 2 – Remote</v>
      </c>
      <c r="D347" s="1" t="str">
        <f>IFERROR(__xludf.DUMMYFUNCTION("""COMPUTED_VALUE"""),"Remote")</f>
        <v>Remote</v>
      </c>
      <c r="E347" s="3" t="str">
        <f>IFERROR(__xludf.DUMMYFUNCTION("""COMPUTED_VALUE"""),"$70k - $138k")</f>
        <v>$70k - $138k</v>
      </c>
      <c r="F347" s="1" t="str">
        <f>IFERROR(__xludf.DUMMYFUNCTION("""COMPUTED_VALUE"""),"3 - 5")</f>
        <v>3 - 5</v>
      </c>
      <c r="G347" s="1" t="str">
        <f>IFERROR(__xludf.DUMMYFUNCTION("""COMPUTED_VALUE"""),"USA")</f>
        <v>USA</v>
      </c>
      <c r="H347" s="4" t="str">
        <f>IFERROR(__xludf.DUMMYFUNCTION("""COMPUTED_VALUE"""),"https://www.linkedin.com/posts/shounak-datta_job-details-activity-7235763889425018881-Jyrj?utm_source=share&amp;utm_medium=member_desktop")</f>
        <v>https://www.linkedin.com/posts/shounak-datta_job-details-activity-7235763889425018881-Jyrj?utm_source=share&amp;utm_medium=member_desktop</v>
      </c>
    </row>
    <row r="348">
      <c r="A348" s="2">
        <f>IFERROR(__xludf.DUMMYFUNCTION("""COMPUTED_VALUE"""),45535.0)</f>
        <v>45535</v>
      </c>
      <c r="B348" s="1" t="str">
        <f>IFERROR(__xludf.DUMMYFUNCTION("""COMPUTED_VALUE"""),"Chegg")</f>
        <v>Chegg</v>
      </c>
      <c r="C348" s="1" t="str">
        <f>IFERROR(__xludf.DUMMYFUNCTION("""COMPUTED_VALUE"""),"Senior Data Scientist")</f>
        <v>Senior Data Scientist</v>
      </c>
      <c r="D348" s="1" t="str">
        <f>IFERROR(__xludf.DUMMYFUNCTION("""COMPUTED_VALUE"""),"Hybrid")</f>
        <v>Hybrid</v>
      </c>
      <c r="E348" s="3" t="str">
        <f>IFERROR(__xludf.DUMMYFUNCTION("""COMPUTED_VALUE"""),"$136k - $253k")</f>
        <v>$136k - $253k</v>
      </c>
      <c r="F348" s="1" t="str">
        <f>IFERROR(__xludf.DUMMYFUNCTION("""COMPUTED_VALUE"""),"3 - 5")</f>
        <v>3 - 5</v>
      </c>
      <c r="G348" s="1" t="str">
        <f>IFERROR(__xludf.DUMMYFUNCTION("""COMPUTED_VALUE"""),"Santa Clara, CA")</f>
        <v>Santa Clara, CA</v>
      </c>
      <c r="H348" s="4" t="str">
        <f>IFERROR(__xludf.DUMMYFUNCTION("""COMPUTED_VALUE"""),"https://www.linkedin.com/posts/shirley-ni_marketing-data-scientist-activity-7235397112073437184-qqw5?utm_source=share&amp;utm_medium=member_desktop")</f>
        <v>https://www.linkedin.com/posts/shirley-ni_marketing-data-scientist-activity-7235397112073437184-qqw5?utm_source=share&amp;utm_medium=member_desktop</v>
      </c>
    </row>
    <row r="349">
      <c r="A349" s="2">
        <f>IFERROR(__xludf.DUMMYFUNCTION("""COMPUTED_VALUE"""),45535.0)</f>
        <v>45535</v>
      </c>
      <c r="B349" s="1" t="str">
        <f>IFERROR(__xludf.DUMMYFUNCTION("""COMPUTED_VALUE"""),"American Express")</f>
        <v>American Express</v>
      </c>
      <c r="C349" s="1" t="str">
        <f>IFERROR(__xludf.DUMMYFUNCTION("""COMPUTED_VALUE"""),"Manager-Data Science")</f>
        <v>Manager-Data Science</v>
      </c>
      <c r="D349" s="1" t="str">
        <f>IFERROR(__xludf.DUMMYFUNCTION("""COMPUTED_VALUE"""),"Hybrid")</f>
        <v>Hybrid</v>
      </c>
      <c r="E349" s="3" t="str">
        <f>IFERROR(__xludf.DUMMYFUNCTION("""COMPUTED_VALUE"""),"$90k - $165k")</f>
        <v>$90k - $165k</v>
      </c>
      <c r="F349" s="1" t="str">
        <f>IFERROR(__xludf.DUMMYFUNCTION("""COMPUTED_VALUE"""),"3 - 5")</f>
        <v>3 - 5</v>
      </c>
      <c r="G349" s="1" t="str">
        <f>IFERROR(__xludf.DUMMYFUNCTION("""COMPUTED_VALUE"""),"New York, NY")</f>
        <v>New York, NY</v>
      </c>
      <c r="H349" s="4" t="str">
        <f>IFERROR(__xludf.DUMMYFUNCTION("""COMPUTED_VALUE"""),"https://www.linkedin.com/posts/kevin-ghorbani_manager-data-science-careers-at-american-activity-7233948152276418561-7Fnr?utm_source=share&amp;utm_medium=member_desktop")</f>
        <v>https://www.linkedin.com/posts/kevin-ghorbani_manager-data-science-careers-at-american-activity-7233948152276418561-7Fnr?utm_source=share&amp;utm_medium=member_desktop</v>
      </c>
    </row>
    <row r="350">
      <c r="A350" s="2">
        <f>IFERROR(__xludf.DUMMYFUNCTION("""COMPUTED_VALUE"""),45535.0)</f>
        <v>45535</v>
      </c>
      <c r="B350" s="1" t="str">
        <f>IFERROR(__xludf.DUMMYFUNCTION("""COMPUTED_VALUE"""),"Chegg")</f>
        <v>Chegg</v>
      </c>
      <c r="C350" s="1" t="str">
        <f>IFERROR(__xludf.DUMMYFUNCTION("""COMPUTED_VALUE"""),"Senior Marketing Data Scientist")</f>
        <v>Senior Marketing Data Scientist</v>
      </c>
      <c r="D350" s="1" t="str">
        <f>IFERROR(__xludf.DUMMYFUNCTION("""COMPUTED_VALUE"""),"Hybrid")</f>
        <v>Hybrid</v>
      </c>
      <c r="E350" s="3" t="str">
        <f>IFERROR(__xludf.DUMMYFUNCTION("""COMPUTED_VALUE"""),"$108k - $199k")</f>
        <v>$108k - $199k</v>
      </c>
      <c r="F350" s="1" t="str">
        <f>IFERROR(__xludf.DUMMYFUNCTION("""COMPUTED_VALUE"""),"3 - 5")</f>
        <v>3 - 5</v>
      </c>
      <c r="G350" s="1" t="str">
        <f>IFERROR(__xludf.DUMMYFUNCTION("""COMPUTED_VALUE"""),"Santa Clara, CA")</f>
        <v>Santa Clara, CA</v>
      </c>
      <c r="H350" s="4" t="str">
        <f>IFERROR(__xludf.DUMMYFUNCTION("""COMPUTED_VALUE"""),"https://www.linkedin.com/posts/shirley-ni_marketing-data-scientist-activity-7235397112073437184-qqw5?utm_source=share&amp;utm_medium=member_desktop")</f>
        <v>https://www.linkedin.com/posts/shirley-ni_marketing-data-scientist-activity-7235397112073437184-qqw5?utm_source=share&amp;utm_medium=member_desktop</v>
      </c>
    </row>
    <row r="351">
      <c r="A351" s="2">
        <f>IFERROR(__xludf.DUMMYFUNCTION("""COMPUTED_VALUE"""),45534.0)</f>
        <v>45534</v>
      </c>
      <c r="B351" s="1" t="str">
        <f>IFERROR(__xludf.DUMMYFUNCTION("""COMPUTED_VALUE"""),"TD")</f>
        <v>TD</v>
      </c>
      <c r="C351" s="1" t="str">
        <f>IFERROR(__xludf.DUMMYFUNCTION("""COMPUTED_VALUE"""),"Sr. Fraud Business Intelligence Analyst (SAS, SQL, Python, Tableau)")</f>
        <v>Sr. Fraud Business Intelligence Analyst (SAS, SQL, Python, Tableau)</v>
      </c>
      <c r="D351" s="1" t="str">
        <f>IFERROR(__xludf.DUMMYFUNCTION("""COMPUTED_VALUE"""),"Remote")</f>
        <v>Remote</v>
      </c>
      <c r="E351" s="3" t="str">
        <f>IFERROR(__xludf.DUMMYFUNCTION("""COMPUTED_VALUE"""),"$87k - $139k")</f>
        <v>$87k - $139k</v>
      </c>
      <c r="F351" s="1" t="str">
        <f>IFERROR(__xludf.DUMMYFUNCTION("""COMPUTED_VALUE"""),"3 - 5")</f>
        <v>3 - 5</v>
      </c>
      <c r="G351" s="1" t="str">
        <f>IFERROR(__xludf.DUMMYFUNCTION("""COMPUTED_VALUE"""),"Certain Locations")</f>
        <v>Certain Locations</v>
      </c>
      <c r="H351" s="4" t="str">
        <f>IFERROR(__xludf.DUMMYFUNCTION("""COMPUTED_VALUE"""),"https://www.linkedin.com/posts/deep-patel-82ab151b1_we-have-exciting-job-opening-for-remote-sr-activity-7235348940055875584-9r81?utm_source=share&amp;utm_medium=member_desktop")</f>
        <v>https://www.linkedin.com/posts/deep-patel-82ab151b1_we-have-exciting-job-opening-for-remote-sr-activity-7235348940055875584-9r81?utm_source=share&amp;utm_medium=member_desktop</v>
      </c>
    </row>
    <row r="352">
      <c r="A352" s="2">
        <f>IFERROR(__xludf.DUMMYFUNCTION("""COMPUTED_VALUE"""),45534.0)</f>
        <v>45534</v>
      </c>
      <c r="B352" s="1" t="str">
        <f>IFERROR(__xludf.DUMMYFUNCTION("""COMPUTED_VALUE"""),"Spotify")</f>
        <v>Spotify</v>
      </c>
      <c r="C352" s="1" t="str">
        <f>IFERROR(__xludf.DUMMYFUNCTION("""COMPUTED_VALUE"""),"Data Scientist I - Strategy Analytics")</f>
        <v>Data Scientist I - Strategy Analytics</v>
      </c>
      <c r="D352" s="1" t="str">
        <f>IFERROR(__xludf.DUMMYFUNCTION("""COMPUTED_VALUE"""),"On-Site")</f>
        <v>On-Site</v>
      </c>
      <c r="E352" s="3" t="str">
        <f>IFERROR(__xludf.DUMMYFUNCTION("""COMPUTED_VALUE"""),"$87k - $124k")</f>
        <v>$87k - $124k</v>
      </c>
      <c r="F352" s="1" t="str">
        <f>IFERROR(__xludf.DUMMYFUNCTION("""COMPUTED_VALUE"""),"0 - 2")</f>
        <v>0 - 2</v>
      </c>
      <c r="G352" s="1" t="str">
        <f>IFERROR(__xludf.DUMMYFUNCTION("""COMPUTED_VALUE"""),"New York, NY")</f>
        <v>New York, NY</v>
      </c>
      <c r="H352" s="4" t="str">
        <f>IFERROR(__xludf.DUMMYFUNCTION("""COMPUTED_VALUE"""),"https://www.linkedin.com/posts/sabinajia_data-scientist-i-strategy-analytics-life-activity-7234315560191246338-jC4e?utm_source=share&amp;utm_medium=member_desktop")</f>
        <v>https://www.linkedin.com/posts/sabinajia_data-scientist-i-strategy-analytics-life-activity-7234315560191246338-jC4e?utm_source=share&amp;utm_medium=member_desktop</v>
      </c>
    </row>
    <row r="353">
      <c r="A353" s="2">
        <f>IFERROR(__xludf.DUMMYFUNCTION("""COMPUTED_VALUE"""),45534.0)</f>
        <v>45534</v>
      </c>
      <c r="B353" s="1" t="str">
        <f>IFERROR(__xludf.DUMMYFUNCTION("""COMPUTED_VALUE"""),"Penn Mutual")</f>
        <v>Penn Mutual</v>
      </c>
      <c r="C353" s="1" t="str">
        <f>IFERROR(__xludf.DUMMYFUNCTION("""COMPUTED_VALUE"""),"Distribution Analysis Manager")</f>
        <v>Distribution Analysis Manager</v>
      </c>
      <c r="D353" s="1" t="str">
        <f>IFERROR(__xludf.DUMMYFUNCTION("""COMPUTED_VALUE"""),"Remote")</f>
        <v>Remote</v>
      </c>
      <c r="E353" s="3" t="str">
        <f>IFERROR(__xludf.DUMMYFUNCTION("""COMPUTED_VALUE"""),"$109k - $130k")</f>
        <v>$109k - $130k</v>
      </c>
      <c r="F353" s="1" t="str">
        <f>IFERROR(__xludf.DUMMYFUNCTION("""COMPUTED_VALUE"""),"6 - 9")</f>
        <v>6 - 9</v>
      </c>
      <c r="G353" s="1" t="str">
        <f>IFERROR(__xludf.DUMMYFUNCTION("""COMPUTED_VALUE"""),"USA")</f>
        <v>USA</v>
      </c>
      <c r="H353" s="4" t="str">
        <f>IFERROR(__xludf.DUMMYFUNCTION("""COMPUTED_VALUE"""),"https://www.linkedin.com/posts/mitchell-kaup-70019270_penn-mutual-1847financial-is-hiring-reach-activity-7234954384172818433-BliS?utm_source=share&amp;utm_medium=member_desktop")</f>
        <v>https://www.linkedin.com/posts/mitchell-kaup-70019270_penn-mutual-1847financial-is-hiring-reach-activity-7234954384172818433-BliS?utm_source=share&amp;utm_medium=member_desktop</v>
      </c>
    </row>
    <row r="354">
      <c r="A354" s="2">
        <f>IFERROR(__xludf.DUMMYFUNCTION("""COMPUTED_VALUE"""),45534.0)</f>
        <v>45534</v>
      </c>
      <c r="B354" s="1" t="str">
        <f>IFERROR(__xludf.DUMMYFUNCTION("""COMPUTED_VALUE"""),"Harbor Freight Tools")</f>
        <v>Harbor Freight Tools</v>
      </c>
      <c r="C354" s="1" t="str">
        <f>IFERROR(__xludf.DUMMYFUNCTION("""COMPUTED_VALUE"""),"Lead Data Analytics Engineer- Remote")</f>
        <v>Lead Data Analytics Engineer- Remote</v>
      </c>
      <c r="D354" s="1" t="str">
        <f>IFERROR(__xludf.DUMMYFUNCTION("""COMPUTED_VALUE"""),"Remote")</f>
        <v>Remote</v>
      </c>
      <c r="E354" s="3" t="str">
        <f>IFERROR(__xludf.DUMMYFUNCTION("""COMPUTED_VALUE"""),"$124k - $186k")</f>
        <v>$124k - $186k</v>
      </c>
      <c r="F354" s="1" t="str">
        <f>IFERROR(__xludf.DUMMYFUNCTION("""COMPUTED_VALUE"""),"6 - 9")</f>
        <v>6 - 9</v>
      </c>
      <c r="G354" s="1" t="str">
        <f>IFERROR(__xludf.DUMMYFUNCTION("""COMPUTED_VALUE"""),"USA")</f>
        <v>USA</v>
      </c>
      <c r="H354" s="4" t="str">
        <f>IFERROR(__xludf.DUMMYFUNCTION("""COMPUTED_VALUE"""),"https://www.linkedin.com/posts/karina-gilad_our-data-analytics-team-is-growing-we-activity-7235316635559993345-BsrY?utm_source=share&amp;utm_medium=member_desktop")</f>
        <v>https://www.linkedin.com/posts/karina-gilad_our-data-analytics-team-is-growing-we-activity-7235316635559993345-BsrY?utm_source=share&amp;utm_medium=member_desktop</v>
      </c>
    </row>
    <row r="355">
      <c r="A355" s="2">
        <f>IFERROR(__xludf.DUMMYFUNCTION("""COMPUTED_VALUE"""),45534.0)</f>
        <v>45534</v>
      </c>
      <c r="B355" s="1" t="str">
        <f>IFERROR(__xludf.DUMMYFUNCTION("""COMPUTED_VALUE"""),"Affirm")</f>
        <v>Affirm</v>
      </c>
      <c r="C355" s="1" t="str">
        <f>IFERROR(__xludf.DUMMYFUNCTION("""COMPUTED_VALUE"""),"Analyst I, Growth Analytics")</f>
        <v>Analyst I, Growth Analytics</v>
      </c>
      <c r="D355" s="1" t="str">
        <f>IFERROR(__xludf.DUMMYFUNCTION("""COMPUTED_VALUE"""),"Remote")</f>
        <v>Remote</v>
      </c>
      <c r="E355" s="3" t="str">
        <f>IFERROR(__xludf.DUMMYFUNCTION("""COMPUTED_VALUE"""),"$90k - $130k")</f>
        <v>$90k - $130k</v>
      </c>
      <c r="F355" s="1" t="str">
        <f>IFERROR(__xludf.DUMMYFUNCTION("""COMPUTED_VALUE"""),"0 - 2")</f>
        <v>0 - 2</v>
      </c>
      <c r="G355" s="1" t="str">
        <f>IFERROR(__xludf.DUMMYFUNCTION("""COMPUTED_VALUE"""),"Canada")</f>
        <v>Canada</v>
      </c>
      <c r="H355" s="4" t="str">
        <f>IFERROR(__xludf.DUMMYFUNCTION("""COMPUTED_VALUE"""),"https://www.linkedin.com/posts/activity-7235397169405403136-bvug?utm_source=share&amp;utm_medium=member_desktop")</f>
        <v>https://www.linkedin.com/posts/activity-7235397169405403136-bvug?utm_source=share&amp;utm_medium=member_desktop</v>
      </c>
    </row>
    <row r="356">
      <c r="A356" s="2">
        <f>IFERROR(__xludf.DUMMYFUNCTION("""COMPUTED_VALUE"""),45534.0)</f>
        <v>45534</v>
      </c>
      <c r="B356" s="1" t="str">
        <f>IFERROR(__xludf.DUMMYFUNCTION("""COMPUTED_VALUE"""),"The Home Depot")</f>
        <v>The Home Depot</v>
      </c>
      <c r="C356" s="1" t="str">
        <f>IFERROR(__xludf.DUMMYFUNCTION("""COMPUTED_VALUE"""),"Financial Analyst - Supply Chain Finance")</f>
        <v>Financial Analyst - Supply Chain Finance</v>
      </c>
      <c r="D356" s="1" t="str">
        <f>IFERROR(__xludf.DUMMYFUNCTION("""COMPUTED_VALUE"""),"Hybrid")</f>
        <v>Hybrid</v>
      </c>
      <c r="E356" s="3" t="str">
        <f>IFERROR(__xludf.DUMMYFUNCTION("""COMPUTED_VALUE"""),"N/A")</f>
        <v>N/A</v>
      </c>
      <c r="F356" s="1" t="str">
        <f>IFERROR(__xludf.DUMMYFUNCTION("""COMPUTED_VALUE"""),"0 - 2")</f>
        <v>0 - 2</v>
      </c>
      <c r="G356" s="1" t="str">
        <f>IFERROR(__xludf.DUMMYFUNCTION("""COMPUTED_VALUE"""),"Atlanta, GA")</f>
        <v>Atlanta, GA</v>
      </c>
      <c r="H356" s="4" t="str">
        <f>IFERROR(__xludf.DUMMYFUNCTION("""COMPUTED_VALUE"""),"https://www.linkedin.com/posts/katie-buckis_hiring-activity-7235313370445336576-3bXB?utm_source=share&amp;utm_medium=member_desktop")</f>
        <v>https://www.linkedin.com/posts/katie-buckis_hiring-activity-7235313370445336576-3bXB?utm_source=share&amp;utm_medium=member_desktop</v>
      </c>
    </row>
    <row r="357">
      <c r="A357" s="2">
        <f>IFERROR(__xludf.DUMMYFUNCTION("""COMPUTED_VALUE"""),45534.0)</f>
        <v>45534</v>
      </c>
      <c r="B357" s="1" t="str">
        <f>IFERROR(__xludf.DUMMYFUNCTION("""COMPUTED_VALUE"""),"Pivotal Talent Search")</f>
        <v>Pivotal Talent Search</v>
      </c>
      <c r="C357" s="1" t="str">
        <f>IFERROR(__xludf.DUMMYFUNCTION("""COMPUTED_VALUE"""),"Pricing Analyst")</f>
        <v>Pricing Analyst</v>
      </c>
      <c r="D357" s="1" t="str">
        <f>IFERROR(__xludf.DUMMYFUNCTION("""COMPUTED_VALUE"""),"Hybrid")</f>
        <v>Hybrid</v>
      </c>
      <c r="E357" s="3" t="str">
        <f>IFERROR(__xludf.DUMMYFUNCTION("""COMPUTED_VALUE"""),"$40k - $50k")</f>
        <v>$40k - $50k</v>
      </c>
      <c r="F357" s="1" t="str">
        <f>IFERROR(__xludf.DUMMYFUNCTION("""COMPUTED_VALUE"""),"0 - 2")</f>
        <v>0 - 2</v>
      </c>
      <c r="G357" s="1" t="str">
        <f>IFERROR(__xludf.DUMMYFUNCTION("""COMPUTED_VALUE"""),"Peoria, IL")</f>
        <v>Peoria, IL</v>
      </c>
      <c r="H357" s="4" t="str">
        <f>IFERROR(__xludf.DUMMYFUNCTION("""COMPUTED_VALUE"""),"https://www.linkedin.com/posts/ila-woolsey-777b2859_pricing-analyst-1898-activity-7235311267886809090-bvgV?utm_source=share&amp;utm_medium=member_desktop")</f>
        <v>https://www.linkedin.com/posts/ila-woolsey-777b2859_pricing-analyst-1898-activity-7235311267886809090-bvgV?utm_source=share&amp;utm_medium=member_desktop</v>
      </c>
    </row>
    <row r="358">
      <c r="A358" s="2">
        <f>IFERROR(__xludf.DUMMYFUNCTION("""COMPUTED_VALUE"""),45534.0)</f>
        <v>45534</v>
      </c>
      <c r="B358" s="1" t="str">
        <f>IFERROR(__xludf.DUMMYFUNCTION("""COMPUTED_VALUE"""),"Hana Group")</f>
        <v>Hana Group</v>
      </c>
      <c r="C358" s="1" t="str">
        <f>IFERROR(__xludf.DUMMYFUNCTION("""COMPUTED_VALUE"""),"Supply Chain Business Analyst")</f>
        <v>Supply Chain Business Analyst</v>
      </c>
      <c r="D358" s="1" t="str">
        <f>IFERROR(__xludf.DUMMYFUNCTION("""COMPUTED_VALUE"""),"Hybrid")</f>
        <v>Hybrid</v>
      </c>
      <c r="E358" s="3" t="str">
        <f>IFERROR(__xludf.DUMMYFUNCTION("""COMPUTED_VALUE"""),"N/A")</f>
        <v>N/A</v>
      </c>
      <c r="F358" s="1" t="str">
        <f>IFERROR(__xludf.DUMMYFUNCTION("""COMPUTED_VALUE"""),"0 - 2")</f>
        <v>0 - 2</v>
      </c>
      <c r="G358" s="1" t="str">
        <f>IFERROR(__xludf.DUMMYFUNCTION("""COMPUTED_VALUE"""),"Dallas, TX")</f>
        <v>Dallas, TX</v>
      </c>
      <c r="H358" s="4" t="str">
        <f>IFERROR(__xludf.DUMMYFUNCTION("""COMPUTED_VALUE"""),"https://www.linkedin.com/posts/josephhoult_supply-chain-business-analyst-activity-7235370823639810048-hx6z?utm_source=share&amp;utm_medium=member_desktop")</f>
        <v>https://www.linkedin.com/posts/josephhoult_supply-chain-business-analyst-activity-7235370823639810048-hx6z?utm_source=share&amp;utm_medium=member_desktop</v>
      </c>
    </row>
    <row r="359">
      <c r="A359" s="2">
        <f>IFERROR(__xludf.DUMMYFUNCTION("""COMPUTED_VALUE"""),45534.0)</f>
        <v>45534</v>
      </c>
      <c r="B359" s="1" t="str">
        <f>IFERROR(__xludf.DUMMYFUNCTION("""COMPUTED_VALUE"""),"Atlas Copco")</f>
        <v>Atlas Copco</v>
      </c>
      <c r="C359" s="1" t="str">
        <f>IFERROR(__xludf.DUMMYFUNCTION("""COMPUTED_VALUE"""),"Data Analytics Intern")</f>
        <v>Data Analytics Intern</v>
      </c>
      <c r="D359" s="1" t="str">
        <f>IFERROR(__xludf.DUMMYFUNCTION("""COMPUTED_VALUE"""),"On-Site")</f>
        <v>On-Site</v>
      </c>
      <c r="E359" s="3" t="str">
        <f>IFERROR(__xludf.DUMMYFUNCTION("""COMPUTED_VALUE"""),"N/A")</f>
        <v>N/A</v>
      </c>
      <c r="F359" s="1" t="str">
        <f>IFERROR(__xludf.DUMMYFUNCTION("""COMPUTED_VALUE"""),"0 - 2")</f>
        <v>0 - 2</v>
      </c>
      <c r="G359" s="1" t="str">
        <f>IFERROR(__xludf.DUMMYFUNCTION("""COMPUTED_VALUE"""),"Deer Park, TX")</f>
        <v>Deer Park, TX</v>
      </c>
      <c r="H359" s="4" t="str">
        <f>IFERROR(__xludf.DUMMYFUNCTION("""COMPUTED_VALUE"""),"https://www.linkedin.com/posts/audrey-linico_join-our-team-as-a-data-analyst-intern-activity-7235315583532109824-P_Ys?utm_source=share&amp;utm_medium=member_desktop")</f>
        <v>https://www.linkedin.com/posts/audrey-linico_join-our-team-as-a-data-analyst-intern-activity-7235315583532109824-P_Ys?utm_source=share&amp;utm_medium=member_desktop</v>
      </c>
    </row>
    <row r="360">
      <c r="A360" s="2">
        <f>IFERROR(__xludf.DUMMYFUNCTION("""COMPUTED_VALUE"""),45534.0)</f>
        <v>45534</v>
      </c>
      <c r="B360" s="1" t="str">
        <f>IFERROR(__xludf.DUMMYFUNCTION("""COMPUTED_VALUE"""),"Athena")</f>
        <v>Athena</v>
      </c>
      <c r="C360" s="1" t="str">
        <f>IFERROR(__xludf.DUMMYFUNCTION("""COMPUTED_VALUE"""),"Senior Data Analyst (Supply Chain Management)")</f>
        <v>Senior Data Analyst (Supply Chain Management)</v>
      </c>
      <c r="D360" s="1" t="str">
        <f>IFERROR(__xludf.DUMMYFUNCTION("""COMPUTED_VALUE"""),"Remote")</f>
        <v>Remote</v>
      </c>
      <c r="E360" s="3" t="str">
        <f>IFERROR(__xludf.DUMMYFUNCTION("""COMPUTED_VALUE"""),"N/A")</f>
        <v>N/A</v>
      </c>
      <c r="F360" s="1" t="str">
        <f>IFERROR(__xludf.DUMMYFUNCTION("""COMPUTED_VALUE"""),"3 - 5")</f>
        <v>3 - 5</v>
      </c>
      <c r="G360" s="1" t="str">
        <f>IFERROR(__xludf.DUMMYFUNCTION("""COMPUTED_VALUE"""),"USA")</f>
        <v>USA</v>
      </c>
      <c r="H360" s="4" t="str">
        <f>IFERROR(__xludf.DUMMYFUNCTION("""COMPUTED_VALUE"""),"https://www.linkedin.com/posts/peter-dimov_how-often-do-you-get-the-chance-to-be-the-activity-7235375458006028289-AOg2?utm_source=share&amp;utm_medium=member_desktop")</f>
        <v>https://www.linkedin.com/posts/peter-dimov_how-often-do-you-get-the-chance-to-be-the-activity-7235375458006028289-AOg2?utm_source=share&amp;utm_medium=member_desktop</v>
      </c>
    </row>
    <row r="361">
      <c r="A361" s="2">
        <f>IFERROR(__xludf.DUMMYFUNCTION("""COMPUTED_VALUE"""),45534.0)</f>
        <v>45534</v>
      </c>
      <c r="B361" s="1" t="str">
        <f>IFERROR(__xludf.DUMMYFUNCTION("""COMPUTED_VALUE"""),"Hyatt")</f>
        <v>Hyatt</v>
      </c>
      <c r="C361" s="1" t="str">
        <f>IFERROR(__xludf.DUMMYFUNCTION("""COMPUTED_VALUE"""),"Data Product Manager")</f>
        <v>Data Product Manager</v>
      </c>
      <c r="D361" s="1" t="str">
        <f>IFERROR(__xludf.DUMMYFUNCTION("""COMPUTED_VALUE"""),"On-Site")</f>
        <v>On-Site</v>
      </c>
      <c r="E361" s="3" t="str">
        <f>IFERROR(__xludf.DUMMYFUNCTION("""COMPUTED_VALUE"""),"N/A")</f>
        <v>N/A</v>
      </c>
      <c r="F361" s="1" t="str">
        <f>IFERROR(__xludf.DUMMYFUNCTION("""COMPUTED_VALUE"""),"3 - 5")</f>
        <v>3 - 5</v>
      </c>
      <c r="G361" s="1" t="str">
        <f>IFERROR(__xludf.DUMMYFUNCTION("""COMPUTED_VALUE"""),"Chicago, IL")</f>
        <v>Chicago, IL</v>
      </c>
      <c r="H361" s="4" t="str">
        <f>IFERROR(__xludf.DUMMYFUNCTION("""COMPUTED_VALUE"""),"https://www.linkedin.com/posts/sunrito-bhattacharya-828a2348_data-product-manager-activity-7235344209812066305-RwRg?utm_source=share&amp;utm_medium=member_desktop")</f>
        <v>https://www.linkedin.com/posts/sunrito-bhattacharya-828a2348_data-product-manager-activity-7235344209812066305-RwRg?utm_source=share&amp;utm_medium=member_desktop</v>
      </c>
    </row>
    <row r="362">
      <c r="A362" s="2">
        <f>IFERROR(__xludf.DUMMYFUNCTION("""COMPUTED_VALUE"""),45534.0)</f>
        <v>45534</v>
      </c>
      <c r="B362" s="1" t="str">
        <f>IFERROR(__xludf.DUMMYFUNCTION("""COMPUTED_VALUE"""),"Trane Technologies")</f>
        <v>Trane Technologies</v>
      </c>
      <c r="C362" s="1" t="str">
        <f>IFERROR(__xludf.DUMMYFUNCTION("""COMPUTED_VALUE"""),"Analyst People Analytics")</f>
        <v>Analyst People Analytics</v>
      </c>
      <c r="D362" s="1" t="str">
        <f>IFERROR(__xludf.DUMMYFUNCTION("""COMPUTED_VALUE"""),"Hybrid")</f>
        <v>Hybrid</v>
      </c>
      <c r="E362" s="3" t="str">
        <f>IFERROR(__xludf.DUMMYFUNCTION("""COMPUTED_VALUE"""),"$70k-$95k")</f>
        <v>$70k-$95k</v>
      </c>
      <c r="F362" s="1" t="str">
        <f>IFERROR(__xludf.DUMMYFUNCTION("""COMPUTED_VALUE"""),"3 - 5")</f>
        <v>3 - 5</v>
      </c>
      <c r="G362" s="1" t="str">
        <f>IFERROR(__xludf.DUMMYFUNCTION("""COMPUTED_VALUE"""),"Davidson, NC")</f>
        <v>Davidson, NC</v>
      </c>
      <c r="H362" s="4" t="str">
        <f>IFERROR(__xludf.DUMMYFUNCTION("""COMPUTED_VALUE"""),"https://www.linkedin.com/posts/sarah-everhart_analyst-people-analytics-in-davidson-nc-800e-activity-7235321509592936448-9C7O?utm_source=share&amp;utm_medium=member_desktop")</f>
        <v>https://www.linkedin.com/posts/sarah-everhart_analyst-people-analytics-in-davidson-nc-800e-activity-7235321509592936448-9C7O?utm_source=share&amp;utm_medium=member_desktop</v>
      </c>
    </row>
    <row r="363">
      <c r="A363" s="2">
        <f>IFERROR(__xludf.DUMMYFUNCTION("""COMPUTED_VALUE"""),45534.0)</f>
        <v>45534</v>
      </c>
      <c r="B363" s="1" t="str">
        <f>IFERROR(__xludf.DUMMYFUNCTION("""COMPUTED_VALUE"""),"BlueCross BlueShield of South Carolina")</f>
        <v>BlueCross BlueShield of South Carolina</v>
      </c>
      <c r="C363" s="1" t="str">
        <f>IFERROR(__xludf.DUMMYFUNCTION("""COMPUTED_VALUE"""),"Senior Quality Assurance Analyst - PGBA (Surfside)")</f>
        <v>Senior Quality Assurance Analyst - PGBA (Surfside)</v>
      </c>
      <c r="D363" s="1" t="str">
        <f>IFERROR(__xludf.DUMMYFUNCTION("""COMPUTED_VALUE"""),"On-Site")</f>
        <v>On-Site</v>
      </c>
      <c r="E363" s="3" t="str">
        <f>IFERROR(__xludf.DUMMYFUNCTION("""COMPUTED_VALUE"""),"N/A")</f>
        <v>N/A</v>
      </c>
      <c r="F363" s="1" t="str">
        <f>IFERROR(__xludf.DUMMYFUNCTION("""COMPUTED_VALUE"""),"0 - 2")</f>
        <v>0 - 2</v>
      </c>
      <c r="G363" s="1" t="str">
        <f>IFERROR(__xludf.DUMMYFUNCTION("""COMPUTED_VALUE"""),"Myrtle Beach, SC ")</f>
        <v>Myrtle Beach, SC </v>
      </c>
      <c r="H363" s="4" t="str">
        <f>IFERROR(__xludf.DUMMYFUNCTION("""COMPUTED_VALUE"""),"https://www.linkedin.com/posts/kate-eckard_hiring-activity-7235271245863276545-DWmL?utm_source=share&amp;utm_medium=member_desktop")</f>
        <v>https://www.linkedin.com/posts/kate-eckard_hiring-activity-7235271245863276545-DWmL?utm_source=share&amp;utm_medium=member_desktop</v>
      </c>
    </row>
    <row r="364">
      <c r="A364" s="2">
        <f>IFERROR(__xludf.DUMMYFUNCTION("""COMPUTED_VALUE"""),45534.0)</f>
        <v>45534</v>
      </c>
      <c r="B364" s="1" t="str">
        <f>IFERROR(__xludf.DUMMYFUNCTION("""COMPUTED_VALUE"""),"Just Hire")</f>
        <v>Just Hire</v>
      </c>
      <c r="C364" s="1" t="str">
        <f>IFERROR(__xludf.DUMMYFUNCTION("""COMPUTED_VALUE"""),"Staff Data Scientist")</f>
        <v>Staff Data Scientist</v>
      </c>
      <c r="D364" s="1" t="str">
        <f>IFERROR(__xludf.DUMMYFUNCTION("""COMPUTED_VALUE"""),"Remote")</f>
        <v>Remote</v>
      </c>
      <c r="E364" s="3" t="str">
        <f>IFERROR(__xludf.DUMMYFUNCTION("""COMPUTED_VALUE"""),"N/A")</f>
        <v>N/A</v>
      </c>
      <c r="F364" s="1" t="str">
        <f>IFERROR(__xludf.DUMMYFUNCTION("""COMPUTED_VALUE"""),"3 - 5")</f>
        <v>3 - 5</v>
      </c>
      <c r="G364" s="1" t="str">
        <f>IFERROR(__xludf.DUMMYFUNCTION("""COMPUTED_VALUE"""),"Remote")</f>
        <v>Remote</v>
      </c>
      <c r="H364" s="4" t="str">
        <f>IFERROR(__xludf.DUMMYFUNCTION("""COMPUTED_VALUE"""),"https://www.linkedin.com/posts/technicalhiring_staff-data-scientist-remote-strong-engineering-activity-7235387207862136832-lWBs?utm_source=share&amp;utm_medium=member_desktop")</f>
        <v>https://www.linkedin.com/posts/technicalhiring_staff-data-scientist-remote-strong-engineering-activity-7235387207862136832-lWBs?utm_source=share&amp;utm_medium=member_desktop</v>
      </c>
    </row>
    <row r="365">
      <c r="A365" s="2">
        <f>IFERROR(__xludf.DUMMYFUNCTION("""COMPUTED_VALUE"""),45534.0)</f>
        <v>45534</v>
      </c>
      <c r="B365" s="1" t="str">
        <f>IFERROR(__xludf.DUMMYFUNCTION("""COMPUTED_VALUE"""),"KAGR (Kraft Analytics Group)")</f>
        <v>KAGR (Kraft Analytics Group)</v>
      </c>
      <c r="C365" s="1" t="str">
        <f>IFERROR(__xludf.DUMMYFUNCTION("""COMPUTED_VALUE"""),"Data Scientist")</f>
        <v>Data Scientist</v>
      </c>
      <c r="D365" s="1" t="str">
        <f>IFERROR(__xludf.DUMMYFUNCTION("""COMPUTED_VALUE"""),"On-Site")</f>
        <v>On-Site</v>
      </c>
      <c r="E365" s="3" t="str">
        <f>IFERROR(__xludf.DUMMYFUNCTION("""COMPUTED_VALUE"""),"N/A")</f>
        <v>N/A</v>
      </c>
      <c r="F365" s="1" t="str">
        <f>IFERROR(__xludf.DUMMYFUNCTION("""COMPUTED_VALUE"""),"3 - 5")</f>
        <v>3 - 5</v>
      </c>
      <c r="G365" s="1" t="str">
        <f>IFERROR(__xludf.DUMMYFUNCTION("""COMPUTED_VALUE"""),"Foxborough, MA")</f>
        <v>Foxborough, MA</v>
      </c>
      <c r="H365" s="4" t="str">
        <f>IFERROR(__xludf.DUMMYFUNCTION("""COMPUTED_VALUE"""),"https://www.linkedin.com/posts/jodie-tadlock_data-scientist-activity-7235243924976476160-ww4y?utm_source=share&amp;utm_medium=member_desktop")</f>
        <v>https://www.linkedin.com/posts/jodie-tadlock_data-scientist-activity-7235243924976476160-ww4y?utm_source=share&amp;utm_medium=member_desktop</v>
      </c>
    </row>
    <row r="366">
      <c r="A366" s="2">
        <f>IFERROR(__xludf.DUMMYFUNCTION("""COMPUTED_VALUE"""),45534.0)</f>
        <v>45534</v>
      </c>
      <c r="B366" s="1" t="str">
        <f>IFERROR(__xludf.DUMMYFUNCTION("""COMPUTED_VALUE"""),"Amazon")</f>
        <v>Amazon</v>
      </c>
      <c r="C366" s="1" t="str">
        <f>IFERROR(__xludf.DUMMYFUNCTION("""COMPUTED_VALUE"""),"Data Scientist, Amazon Ads")</f>
        <v>Data Scientist, Amazon Ads</v>
      </c>
      <c r="D366" s="1" t="str">
        <f>IFERROR(__xludf.DUMMYFUNCTION("""COMPUTED_VALUE"""),"On-Site")</f>
        <v>On-Site</v>
      </c>
      <c r="E366" s="3" t="str">
        <f>IFERROR(__xludf.DUMMYFUNCTION("""COMPUTED_VALUE"""),"$125k-$212k")</f>
        <v>$125k-$212k</v>
      </c>
      <c r="F366" s="1" t="str">
        <f>IFERROR(__xludf.DUMMYFUNCTION("""COMPUTED_VALUE"""),"3 - 5")</f>
        <v>3 - 5</v>
      </c>
      <c r="G366" s="1" t="str">
        <f>IFERROR(__xludf.DUMMYFUNCTION("""COMPUTED_VALUE"""),"New York, NY")</f>
        <v>New York, NY</v>
      </c>
      <c r="H366" s="4" t="str">
        <f>IFERROR(__xludf.DUMMYFUNCTION("""COMPUTED_VALUE"""),"https://www.linkedin.com/posts/creativeishu_hiring-datascience-machinelearning-activity-7235354225709400064-fL4h?utm_source=share&amp;utm_medium=member_desktop")</f>
        <v>https://www.linkedin.com/posts/creativeishu_hiring-datascience-machinelearning-activity-7235354225709400064-fL4h?utm_source=share&amp;utm_medium=member_desktop</v>
      </c>
    </row>
    <row r="367">
      <c r="A367" s="2">
        <f>IFERROR(__xludf.DUMMYFUNCTION("""COMPUTED_VALUE"""),45534.0)</f>
        <v>45534</v>
      </c>
      <c r="B367" s="1" t="str">
        <f>IFERROR(__xludf.DUMMYFUNCTION("""COMPUTED_VALUE"""),"Sievo")</f>
        <v>Sievo</v>
      </c>
      <c r="C367" s="1" t="str">
        <f>IFERROR(__xludf.DUMMYFUNCTION("""COMPUTED_VALUE"""),"Implementation Consultant")</f>
        <v>Implementation Consultant</v>
      </c>
      <c r="D367" s="1" t="str">
        <f>IFERROR(__xludf.DUMMYFUNCTION("""COMPUTED_VALUE"""),"Hybrid")</f>
        <v>Hybrid</v>
      </c>
      <c r="E367" s="3" t="str">
        <f>IFERROR(__xludf.DUMMYFUNCTION("""COMPUTED_VALUE"""),"$60k - $90k")</f>
        <v>$60k - $90k</v>
      </c>
      <c r="F367" s="1" t="str">
        <f>IFERROR(__xludf.DUMMYFUNCTION("""COMPUTED_VALUE"""),"0 - 2")</f>
        <v>0 - 2</v>
      </c>
      <c r="G367" s="1" t="str">
        <f>IFERROR(__xludf.DUMMYFUNCTION("""COMPUTED_VALUE"""),"Chicago, IL")</f>
        <v>Chicago, IL</v>
      </c>
      <c r="H367" s="4" t="str">
        <f>IFERROR(__xludf.DUMMYFUNCTION("""COMPUTED_VALUE"""),"https://www.linkedin.com/posts/vishrut-shah_hiring-careeropportunity-joinourteam-activity-7235283458145574914-hSqs?utm_source=share&amp;utm_medium=member_desktop")</f>
        <v>https://www.linkedin.com/posts/vishrut-shah_hiring-careeropportunity-joinourteam-activity-7235283458145574914-hSqs?utm_source=share&amp;utm_medium=member_desktop</v>
      </c>
    </row>
    <row r="368">
      <c r="A368" s="2">
        <f>IFERROR(__xludf.DUMMYFUNCTION("""COMPUTED_VALUE"""),45534.0)</f>
        <v>45534</v>
      </c>
      <c r="B368" s="1" t="str">
        <f>IFERROR(__xludf.DUMMYFUNCTION("""COMPUTED_VALUE"""),"Hatch")</f>
        <v>Hatch</v>
      </c>
      <c r="C368" s="1" t="str">
        <f>IFERROR(__xludf.DUMMYFUNCTION("""COMPUTED_VALUE"""),"Senior Analyst, Marketing")</f>
        <v>Senior Analyst, Marketing</v>
      </c>
      <c r="D368" s="1" t="str">
        <f>IFERROR(__xludf.DUMMYFUNCTION("""COMPUTED_VALUE"""),"Remote")</f>
        <v>Remote</v>
      </c>
      <c r="E368" s="3" t="str">
        <f>IFERROR(__xludf.DUMMYFUNCTION("""COMPUTED_VALUE"""),"N/A")</f>
        <v>N/A</v>
      </c>
      <c r="F368" s="1" t="str">
        <f>IFERROR(__xludf.DUMMYFUNCTION("""COMPUTED_VALUE"""),"3 - 5")</f>
        <v>3 - 5</v>
      </c>
      <c r="G368" s="1" t="str">
        <f>IFERROR(__xludf.DUMMYFUNCTION("""COMPUTED_VALUE"""),"USA &amp; Canada")</f>
        <v>USA &amp; Canada</v>
      </c>
      <c r="H368" s="4" t="str">
        <f>IFERROR(__xludf.DUMMYFUNCTION("""COMPUTED_VALUE"""),"https://www.linkedin.com/posts/dgaur_hiring-analytics-ecommerce-activity-7235330465954439168-QBXY?utm_source=share&amp;utm_medium=member_desktop")</f>
        <v>https://www.linkedin.com/posts/dgaur_hiring-analytics-ecommerce-activity-7235330465954439168-QBXY?utm_source=share&amp;utm_medium=member_desktop</v>
      </c>
    </row>
    <row r="369">
      <c r="A369" s="2">
        <f>IFERROR(__xludf.DUMMYFUNCTION("""COMPUTED_VALUE"""),45534.0)</f>
        <v>45534</v>
      </c>
      <c r="B369" s="1" t="str">
        <f>IFERROR(__xludf.DUMMYFUNCTION("""COMPUTED_VALUE"""),"PNC")</f>
        <v>PNC</v>
      </c>
      <c r="C369" s="1" t="str">
        <f>IFERROR(__xludf.DUMMYFUNCTION("""COMPUTED_VALUE"""),"Business Analytics Consultant Sr.")</f>
        <v>Business Analytics Consultant Sr.</v>
      </c>
      <c r="D369" s="1" t="str">
        <f>IFERROR(__xludf.DUMMYFUNCTION("""COMPUTED_VALUE"""),"Hybrid")</f>
        <v>Hybrid</v>
      </c>
      <c r="E369" s="3" t="str">
        <f>IFERROR(__xludf.DUMMYFUNCTION("""COMPUTED_VALUE"""),"N/A")</f>
        <v>N/A</v>
      </c>
      <c r="F369" s="1" t="str">
        <f>IFERROR(__xludf.DUMMYFUNCTION("""COMPUTED_VALUE"""),"3 - 5")</f>
        <v>3 - 5</v>
      </c>
      <c r="G369" s="1" t="str">
        <f>IFERROR(__xludf.DUMMYFUNCTION("""COMPUTED_VALUE"""),"Certain Locations")</f>
        <v>Certain Locations</v>
      </c>
      <c r="H369" s="4" t="str">
        <f>IFERROR(__xludf.DUMMYFUNCTION("""COMPUTED_VALUE"""),"https://www.linkedin.com/posts/caroline-turner-bland-a52369165_hiring-activity-7235298354199449602-2JOS?utm_source=share&amp;utm_medium=member_desktop")</f>
        <v>https://www.linkedin.com/posts/caroline-turner-bland-a52369165_hiring-activity-7235298354199449602-2JOS?utm_source=share&amp;utm_medium=member_desktop</v>
      </c>
    </row>
    <row r="370">
      <c r="A370" s="2">
        <f>IFERROR(__xludf.DUMMYFUNCTION("""COMPUTED_VALUE"""),45534.0)</f>
        <v>45534</v>
      </c>
      <c r="B370" s="1" t="str">
        <f>IFERROR(__xludf.DUMMYFUNCTION("""COMPUTED_VALUE"""),"Twilio")</f>
        <v>Twilio</v>
      </c>
      <c r="C370" s="1" t="str">
        <f>IFERROR(__xludf.DUMMYFUNCTION("""COMPUTED_VALUE"""),"Senior Financial Analyst, Marketing &amp; Legal")</f>
        <v>Senior Financial Analyst, Marketing &amp; Legal</v>
      </c>
      <c r="D370" s="1" t="str">
        <f>IFERROR(__xludf.DUMMYFUNCTION("""COMPUTED_VALUE"""),"Remote")</f>
        <v>Remote</v>
      </c>
      <c r="E370" s="3" t="str">
        <f>IFERROR(__xludf.DUMMYFUNCTION("""COMPUTED_VALUE"""),"$93k - $136k")</f>
        <v>$93k - $136k</v>
      </c>
      <c r="F370" s="1" t="str">
        <f>IFERROR(__xludf.DUMMYFUNCTION("""COMPUTED_VALUE"""),"3 - 5")</f>
        <v>3 - 5</v>
      </c>
      <c r="G370" s="1" t="str">
        <f>IFERROR(__xludf.DUMMYFUNCTION("""COMPUTED_VALUE"""),"Certain Locations")</f>
        <v>Certain Locations</v>
      </c>
      <c r="H370" s="4" t="str">
        <f>IFERROR(__xludf.DUMMYFUNCTION("""COMPUTED_VALUE"""),"https://www.linkedin.com/posts/minna-hollis-cpa-43241469_hiring-financejobs-remotework-activity-7235309408879026177-sPsG?utm_source=share&amp;utm_medium=member_desktop")</f>
        <v>https://www.linkedin.com/posts/minna-hollis-cpa-43241469_hiring-financejobs-remotework-activity-7235309408879026177-sPsG?utm_source=share&amp;utm_medium=member_desktop</v>
      </c>
    </row>
    <row r="371">
      <c r="A371" s="2">
        <f>IFERROR(__xludf.DUMMYFUNCTION("""COMPUTED_VALUE"""),45534.0)</f>
        <v>45534</v>
      </c>
      <c r="B371" s="1" t="str">
        <f>IFERROR(__xludf.DUMMYFUNCTION("""COMPUTED_VALUE"""),"MIT Technical Review")</f>
        <v>MIT Technical Review</v>
      </c>
      <c r="C371" s="1" t="str">
        <f>IFERROR(__xludf.DUMMYFUNCTION("""COMPUTED_VALUE"""),"Senior Data Analyst")</f>
        <v>Senior Data Analyst</v>
      </c>
      <c r="D371" s="1" t="str">
        <f>IFERROR(__xludf.DUMMYFUNCTION("""COMPUTED_VALUE"""),"Hybrid")</f>
        <v>Hybrid</v>
      </c>
      <c r="E371" s="3" t="str">
        <f>IFERROR(__xludf.DUMMYFUNCTION("""COMPUTED_VALUE"""),"N/A")</f>
        <v>N/A</v>
      </c>
      <c r="F371" s="1" t="str">
        <f>IFERROR(__xludf.DUMMYFUNCTION("""COMPUTED_VALUE"""),"3 - 5")</f>
        <v>3 - 5</v>
      </c>
      <c r="G371" s="1" t="str">
        <f>IFERROR(__xludf.DUMMYFUNCTION("""COMPUTED_VALUE"""),"Boston, MA")</f>
        <v>Boston, MA</v>
      </c>
      <c r="H371" s="4" t="str">
        <f>IFERROR(__xludf.DUMMYFUNCTION("""COMPUTED_VALUE"""),"https://www.linkedin.com/posts/niall-firth-467a8217_senior-data-analyst-activity-7235304333888622592-yzfG?utm_source=share&amp;utm_medium=member_desktop")</f>
        <v>https://www.linkedin.com/posts/niall-firth-467a8217_senior-data-analyst-activity-7235304333888622592-yzfG?utm_source=share&amp;utm_medium=member_desktop</v>
      </c>
    </row>
    <row r="372">
      <c r="A372" s="2">
        <f>IFERROR(__xludf.DUMMYFUNCTION("""COMPUTED_VALUE"""),45534.0)</f>
        <v>45534</v>
      </c>
      <c r="B372" s="1" t="str">
        <f>IFERROR(__xludf.DUMMYFUNCTION("""COMPUTED_VALUE"""),"Harbor Freight Tools")</f>
        <v>Harbor Freight Tools</v>
      </c>
      <c r="C372" s="1" t="str">
        <f>IFERROR(__xludf.DUMMYFUNCTION("""COMPUTED_VALUE"""),"Lead Data Analytics Engineer- Remote ")</f>
        <v>Lead Data Analytics Engineer- Remote </v>
      </c>
      <c r="D372" s="1" t="str">
        <f>IFERROR(__xludf.DUMMYFUNCTION("""COMPUTED_VALUE"""),"Remote")</f>
        <v>Remote</v>
      </c>
      <c r="E372" s="3" t="str">
        <f>IFERROR(__xludf.DUMMYFUNCTION("""COMPUTED_VALUE"""),"$124k - $185k")</f>
        <v>$124k - $185k</v>
      </c>
      <c r="F372" s="1" t="str">
        <f>IFERROR(__xludf.DUMMYFUNCTION("""COMPUTED_VALUE"""),"6 - 9")</f>
        <v>6 - 9</v>
      </c>
      <c r="G372" s="1" t="str">
        <f>IFERROR(__xludf.DUMMYFUNCTION("""COMPUTED_VALUE"""),"USA")</f>
        <v>USA</v>
      </c>
      <c r="H372" s="4" t="str">
        <f>IFERROR(__xludf.DUMMYFUNCTION("""COMPUTED_VALUE"""),"https://www.linkedin.com/posts/karina-gilad_our-data-analytics-team-is-growing-we-activity-7235316635559993345-BsrY?utm_source=share&amp;utm_medium=member_desktop")</f>
        <v>https://www.linkedin.com/posts/karina-gilad_our-data-analytics-team-is-growing-we-activity-7235316635559993345-BsrY?utm_source=share&amp;utm_medium=member_desktop</v>
      </c>
    </row>
    <row r="373">
      <c r="A373" s="2">
        <f>IFERROR(__xludf.DUMMYFUNCTION("""COMPUTED_VALUE"""),45534.0)</f>
        <v>45534</v>
      </c>
      <c r="B373" s="1" t="str">
        <f>IFERROR(__xludf.DUMMYFUNCTION("""COMPUTED_VALUE"""),"JPMorganChase")</f>
        <v>JPMorganChase</v>
      </c>
      <c r="C373" s="1" t="str">
        <f>IFERROR(__xludf.DUMMYFUNCTION("""COMPUTED_VALUE"""),"Employee Insights Data Analyst, Vice President")</f>
        <v>Employee Insights Data Analyst, Vice President</v>
      </c>
      <c r="D373" s="1" t="str">
        <f>IFERROR(__xludf.DUMMYFUNCTION("""COMPUTED_VALUE"""),"On-Site")</f>
        <v>On-Site</v>
      </c>
      <c r="E373" s="3" t="str">
        <f>IFERROR(__xludf.DUMMYFUNCTION("""COMPUTED_VALUE"""),"$128k - $205k")</f>
        <v>$128k - $205k</v>
      </c>
      <c r="F373" s="1" t="str">
        <f>IFERROR(__xludf.DUMMYFUNCTION("""COMPUTED_VALUE"""),"6 - 9")</f>
        <v>6 - 9</v>
      </c>
      <c r="G373" s="1" t="str">
        <f>IFERROR(__xludf.DUMMYFUNCTION("""COMPUTED_VALUE"""),"Certain Locations")</f>
        <v>Certain Locations</v>
      </c>
      <c r="H373" s="4" t="str">
        <f>IFERROR(__xludf.DUMMYFUNCTION("""COMPUTED_VALUE"""),"https://www.linkedin.com/posts/caitlin-farrell-3038208b_employee-insights-data-analyst-vice-president-activity-7235305393520848896-9rFZ?utm_source=share&amp;utm_medium=member_desktop")</f>
        <v>https://www.linkedin.com/posts/caitlin-farrell-3038208b_employee-insights-data-analyst-vice-president-activity-7235305393520848896-9rFZ?utm_source=share&amp;utm_medium=member_desktop</v>
      </c>
    </row>
    <row r="374">
      <c r="A374" s="2">
        <f>IFERROR(__xludf.DUMMYFUNCTION("""COMPUTED_VALUE"""),45534.0)</f>
        <v>45534</v>
      </c>
      <c r="B374" s="1" t="str">
        <f>IFERROR(__xludf.DUMMYFUNCTION("""COMPUTED_VALUE"""),"Aeroflow Health")</f>
        <v>Aeroflow Health</v>
      </c>
      <c r="C374" s="1" t="str">
        <f>IFERROR(__xludf.DUMMYFUNCTION("""COMPUTED_VALUE"""),"Development DBA")</f>
        <v>Development DBA</v>
      </c>
      <c r="D374" s="1" t="str">
        <f>IFERROR(__xludf.DUMMYFUNCTION("""COMPUTED_VALUE"""),"Hybrid")</f>
        <v>Hybrid</v>
      </c>
      <c r="E374" s="3" t="str">
        <f>IFERROR(__xludf.DUMMYFUNCTION("""COMPUTED_VALUE"""),"N/A")</f>
        <v>N/A</v>
      </c>
      <c r="F374" s="1" t="str">
        <f>IFERROR(__xludf.DUMMYFUNCTION("""COMPUTED_VALUE"""),"3 - 5")</f>
        <v>3 - 5</v>
      </c>
      <c r="G374" s="1" t="str">
        <f>IFERROR(__xludf.DUMMYFUNCTION("""COMPUTED_VALUE"""),"Asheville, NC")</f>
        <v>Asheville, NC</v>
      </c>
      <c r="H374" s="4" t="str">
        <f>IFERROR(__xludf.DUMMYFUNCTION("""COMPUTED_VALUE"""),"https://www.linkedin.com/posts/cabrunton_aeroflow-is-hiring-if-you-are-passionate-activity-7235013313380728832-lwv8?utm_source=share&amp;utm_medium=member_desktop")</f>
        <v>https://www.linkedin.com/posts/cabrunton_aeroflow-is-hiring-if-you-are-passionate-activity-7235013313380728832-lwv8?utm_source=share&amp;utm_medium=member_desktop</v>
      </c>
    </row>
    <row r="375">
      <c r="A375" s="2">
        <f>IFERROR(__xludf.DUMMYFUNCTION("""COMPUTED_VALUE"""),45534.0)</f>
        <v>45534</v>
      </c>
      <c r="B375" s="1" t="str">
        <f>IFERROR(__xludf.DUMMYFUNCTION("""COMPUTED_VALUE"""),"Compass Group USA")</f>
        <v>Compass Group USA</v>
      </c>
      <c r="C375" s="1" t="str">
        <f>IFERROR(__xludf.DUMMYFUNCTION("""COMPUTED_VALUE"""),"Senior Data Engineer")</f>
        <v>Senior Data Engineer</v>
      </c>
      <c r="D375" s="1" t="str">
        <f>IFERROR(__xludf.DUMMYFUNCTION("""COMPUTED_VALUE"""),"Remote")</f>
        <v>Remote</v>
      </c>
      <c r="E375" s="3" t="str">
        <f>IFERROR(__xludf.DUMMYFUNCTION("""COMPUTED_VALUE"""),"$120k - $140k")</f>
        <v>$120k - $140k</v>
      </c>
      <c r="F375" s="1" t="str">
        <f>IFERROR(__xludf.DUMMYFUNCTION("""COMPUTED_VALUE"""),"6 - 9")</f>
        <v>6 - 9</v>
      </c>
      <c r="G375" s="1" t="str">
        <f>IFERROR(__xludf.DUMMYFUNCTION("""COMPUTED_VALUE"""),"USA")</f>
        <v>USA</v>
      </c>
      <c r="H375" s="4" t="str">
        <f>IFERROR(__xludf.DUMMYFUNCTION("""COMPUTED_VALUE"""),"https://www.linkedin.com/posts/salwazaikh_hiring-dataengineer-seniordataengineer-activity-7234945317782142978-POy4?utm_source=share&amp;utm_medium=member_desktop")</f>
        <v>https://www.linkedin.com/posts/salwazaikh_hiring-dataengineer-seniordataengineer-activity-7234945317782142978-POy4?utm_source=share&amp;utm_medium=member_desktop</v>
      </c>
    </row>
    <row r="376">
      <c r="A376" s="2">
        <f>IFERROR(__xludf.DUMMYFUNCTION("""COMPUTED_VALUE"""),45534.0)</f>
        <v>45534</v>
      </c>
      <c r="B376" s="1" t="str">
        <f>IFERROR(__xludf.DUMMYFUNCTION("""COMPUTED_VALUE"""),"Mack Trucks")</f>
        <v>Mack Trucks</v>
      </c>
      <c r="C376" s="1" t="str">
        <f>IFERROR(__xludf.DUMMYFUNCTION("""COMPUTED_VALUE"""),"Manager, Data Scientist")</f>
        <v>Manager, Data Scientist</v>
      </c>
      <c r="D376" s="1" t="str">
        <f>IFERROR(__xludf.DUMMYFUNCTION("""COMPUTED_VALUE"""),"Hybrid")</f>
        <v>Hybrid</v>
      </c>
      <c r="E376" s="3" t="str">
        <f>IFERROR(__xludf.DUMMYFUNCTION("""COMPUTED_VALUE"""),"N/A")</f>
        <v>N/A</v>
      </c>
      <c r="F376" s="1" t="str">
        <f>IFERROR(__xludf.DUMMYFUNCTION("""COMPUTED_VALUE"""),"3 - 5")</f>
        <v>3 - 5</v>
      </c>
      <c r="G376" s="1" t="str">
        <f>IFERROR(__xludf.DUMMYFUNCTION("""COMPUTED_VALUE"""),"Greensboro, NC")</f>
        <v>Greensboro, NC</v>
      </c>
      <c r="H376" s="4" t="str">
        <f>IFERROR(__xludf.DUMMYFUNCTION("""COMPUTED_VALUE"""),"https://www.linkedin.com/posts/gabriel-sch%C3%B6n-10812833_hiring-datascience-innovation-activity-7235281692335173634-TFJo?utm_source=share&amp;utm_medium=member_desktop")</f>
        <v>https://www.linkedin.com/posts/gabriel-sch%C3%B6n-10812833_hiring-datascience-innovation-activity-7235281692335173634-TFJo?utm_source=share&amp;utm_medium=member_desktop</v>
      </c>
    </row>
    <row r="377">
      <c r="A377" s="2">
        <f>IFERROR(__xludf.DUMMYFUNCTION("""COMPUTED_VALUE"""),45534.0)</f>
        <v>45534</v>
      </c>
      <c r="B377" s="1" t="str">
        <f>IFERROR(__xludf.DUMMYFUNCTION("""COMPUTED_VALUE"""),"Public Consulting Group")</f>
        <v>Public Consulting Group</v>
      </c>
      <c r="C377" s="1" t="str">
        <f>IFERROR(__xludf.DUMMYFUNCTION("""COMPUTED_VALUE"""),"Evaluation Analyst")</f>
        <v>Evaluation Analyst</v>
      </c>
      <c r="D377" s="1" t="str">
        <f>IFERROR(__xludf.DUMMYFUNCTION("""COMPUTED_VALUE"""),"Remote")</f>
        <v>Remote</v>
      </c>
      <c r="E377" s="3" t="str">
        <f>IFERROR(__xludf.DUMMYFUNCTION("""COMPUTED_VALUE"""),"$51k - $70k")</f>
        <v>$51k - $70k</v>
      </c>
      <c r="F377" s="1" t="str">
        <f>IFERROR(__xludf.DUMMYFUNCTION("""COMPUTED_VALUE"""),"0 - 2")</f>
        <v>0 - 2</v>
      </c>
      <c r="G377" s="1" t="str">
        <f>IFERROR(__xludf.DUMMYFUNCTION("""COMPUTED_VALUE"""),"USA")</f>
        <v>USA</v>
      </c>
      <c r="H377" s="4" t="str">
        <f>IFERROR(__xludf.DUMMYFUNCTION("""COMPUTED_VALUE"""),"https://www.linkedin.com/posts/samantha-j-bone_evaluation-analyst-activity-7234964084713041920-nnH4?utm_source=share&amp;utm_medium=member_desktop")</f>
        <v>https://www.linkedin.com/posts/samantha-j-bone_evaluation-analyst-activity-7234964084713041920-nnH4?utm_source=share&amp;utm_medium=member_desktop</v>
      </c>
    </row>
    <row r="378">
      <c r="A378" s="2">
        <f>IFERROR(__xludf.DUMMYFUNCTION("""COMPUTED_VALUE"""),45534.0)</f>
        <v>45534</v>
      </c>
      <c r="B378" s="1" t="str">
        <f>IFERROR(__xludf.DUMMYFUNCTION("""COMPUTED_VALUE"""),"Primergy Solar")</f>
        <v>Primergy Solar</v>
      </c>
      <c r="C378" s="1" t="str">
        <f>IFERROR(__xludf.DUMMYFUNCTION("""COMPUTED_VALUE"""),"Valuation/Analytics Director")</f>
        <v>Valuation/Analytics Director</v>
      </c>
      <c r="D378" s="1" t="str">
        <f>IFERROR(__xludf.DUMMYFUNCTION("""COMPUTED_VALUE"""),"Remote")</f>
        <v>Remote</v>
      </c>
      <c r="E378" s="3" t="str">
        <f>IFERROR(__xludf.DUMMYFUNCTION("""COMPUTED_VALUE"""),"N/A")</f>
        <v>N/A</v>
      </c>
      <c r="F378" s="1" t="str">
        <f>IFERROR(__xludf.DUMMYFUNCTION("""COMPUTED_VALUE"""),"10 +")</f>
        <v>10 +</v>
      </c>
      <c r="G378" s="1" t="str">
        <f>IFERROR(__xludf.DUMMYFUNCTION("""COMPUTED_VALUE"""),"USA")</f>
        <v>USA</v>
      </c>
      <c r="H378" s="4" t="str">
        <f>IFERROR(__xludf.DUMMYFUNCTION("""COMPUTED_VALUE"""),"https://www.linkedin.com/posts/staci-schwartz_cleanenergytransformation-weareprimergy-nowhiring-activity-7235137843180814336-pQlu?utm_source=share&amp;utm_medium=member_desktop")</f>
        <v>https://www.linkedin.com/posts/staci-schwartz_cleanenergytransformation-weareprimergy-nowhiring-activity-7235137843180814336-pQlu?utm_source=share&amp;utm_medium=member_desktop</v>
      </c>
    </row>
    <row r="379">
      <c r="A379" s="2">
        <f>IFERROR(__xludf.DUMMYFUNCTION("""COMPUTED_VALUE"""),45534.0)</f>
        <v>45534</v>
      </c>
      <c r="B379" s="1" t="str">
        <f>IFERROR(__xludf.DUMMYFUNCTION("""COMPUTED_VALUE"""),"SpaceX")</f>
        <v>SpaceX</v>
      </c>
      <c r="C379" s="1" t="str">
        <f>IFERROR(__xludf.DUMMYFUNCTION("""COMPUTED_VALUE"""),"Retail Sales Analyst (Starlink)")</f>
        <v>Retail Sales Analyst (Starlink)</v>
      </c>
      <c r="D379" s="1" t="str">
        <f>IFERROR(__xludf.DUMMYFUNCTION("""COMPUTED_VALUE"""),"On-Site")</f>
        <v>On-Site</v>
      </c>
      <c r="E379" s="3" t="str">
        <f>IFERROR(__xludf.DUMMYFUNCTION("""COMPUTED_VALUE"""),"$75k - $115k")</f>
        <v>$75k - $115k</v>
      </c>
      <c r="F379" s="1" t="str">
        <f>IFERROR(__xludf.DUMMYFUNCTION("""COMPUTED_VALUE"""),"3 - 5")</f>
        <v>3 - 5</v>
      </c>
      <c r="G379" s="1" t="str">
        <f>IFERROR(__xludf.DUMMYFUNCTION("""COMPUTED_VALUE"""),"Hawthorne, CA")</f>
        <v>Hawthorne, CA</v>
      </c>
      <c r="H379" s="4" t="str">
        <f>IFERROR(__xludf.DUMMYFUNCTION("""COMPUTED_VALUE"""),"https://www.linkedin.com/posts/brianshin04_check-out-this-job-at-spacex-retail-sales-activity-7235181989375397888-GjJP?utm_source=share&amp;utm_medium=member_desktop")</f>
        <v>https://www.linkedin.com/posts/brianshin04_check-out-this-job-at-spacex-retail-sales-activity-7235181989375397888-GjJP?utm_source=share&amp;utm_medium=member_desktop</v>
      </c>
    </row>
    <row r="380">
      <c r="A380" s="2">
        <f>IFERROR(__xludf.DUMMYFUNCTION("""COMPUTED_VALUE"""),45534.0)</f>
        <v>45534</v>
      </c>
      <c r="B380" s="1" t="str">
        <f>IFERROR(__xludf.DUMMYFUNCTION("""COMPUTED_VALUE"""),"Walmart")</f>
        <v>Walmart</v>
      </c>
      <c r="C380" s="1" t="str">
        <f>IFERROR(__xludf.DUMMYFUNCTION("""COMPUTED_VALUE"""),"(USA) Principal, Data Analyst")</f>
        <v>(USA) Principal, Data Analyst</v>
      </c>
      <c r="D380" s="1" t="str">
        <f>IFERROR(__xludf.DUMMYFUNCTION("""COMPUTED_VALUE"""),"On-Site")</f>
        <v>On-Site</v>
      </c>
      <c r="E380" s="3" t="str">
        <f>IFERROR(__xludf.DUMMYFUNCTION("""COMPUTED_VALUE"""),"$90k - $180k")</f>
        <v>$90k - $180k</v>
      </c>
      <c r="F380" s="1" t="str">
        <f>IFERROR(__xludf.DUMMYFUNCTION("""COMPUTED_VALUE"""),"3 - 5")</f>
        <v>3 - 5</v>
      </c>
      <c r="G380" s="1" t="str">
        <f>IFERROR(__xludf.DUMMYFUNCTION("""COMPUTED_VALUE"""),"Bentonville, AR")</f>
        <v>Bentonville, AR</v>
      </c>
      <c r="H380" s="4" t="str">
        <f>IFERROR(__xludf.DUMMYFUNCTION("""COMPUTED_VALUE"""),"https://www.linkedin.com/posts/suzanne-proctor-195a7440_usa-principal-data-analyst-activity-7235265302119264256-3gHb?utm_source=share&amp;utm_medium=member_desktop")</f>
        <v>https://www.linkedin.com/posts/suzanne-proctor-195a7440_usa-principal-data-analyst-activity-7235265302119264256-3gHb?utm_source=share&amp;utm_medium=member_desktop</v>
      </c>
    </row>
    <row r="381">
      <c r="A381" s="2">
        <f>IFERROR(__xludf.DUMMYFUNCTION("""COMPUTED_VALUE"""),45534.0)</f>
        <v>45534</v>
      </c>
      <c r="B381" s="1" t="str">
        <f>IFERROR(__xludf.DUMMYFUNCTION("""COMPUTED_VALUE"""),"Tuesday Health")</f>
        <v>Tuesday Health</v>
      </c>
      <c r="C381" s="1" t="str">
        <f>IFERROR(__xludf.DUMMYFUNCTION("""COMPUTED_VALUE"""),"Senior Analytics Engineer")</f>
        <v>Senior Analytics Engineer</v>
      </c>
      <c r="D381" s="1" t="str">
        <f>IFERROR(__xludf.DUMMYFUNCTION("""COMPUTED_VALUE"""),"Remote")</f>
        <v>Remote</v>
      </c>
      <c r="E381" s="3" t="str">
        <f>IFERROR(__xludf.DUMMYFUNCTION("""COMPUTED_VALUE"""),"N/A")</f>
        <v>N/A</v>
      </c>
      <c r="F381" s="1" t="str">
        <f>IFERROR(__xludf.DUMMYFUNCTION("""COMPUTED_VALUE"""),"3 - 5")</f>
        <v>3 - 5</v>
      </c>
      <c r="G381" s="1" t="str">
        <f>IFERROR(__xludf.DUMMYFUNCTION("""COMPUTED_VALUE"""),"USA")</f>
        <v>USA</v>
      </c>
      <c r="H381" s="4" t="str">
        <f>IFERROR(__xludf.DUMMYFUNCTION("""COMPUTED_VALUE"""),"https://www.linkedin.com/posts/donaldrauscher_excited-to-announce-that-the-analytics-team-activity-7235249674536787968-9zQF?utm_source=share&amp;utm_medium=member_desktop")</f>
        <v>https://www.linkedin.com/posts/donaldrauscher_excited-to-announce-that-the-analytics-team-activity-7235249674536787968-9zQF?utm_source=share&amp;utm_medium=member_desktop</v>
      </c>
    </row>
    <row r="382">
      <c r="A382" s="2">
        <f>IFERROR(__xludf.DUMMYFUNCTION("""COMPUTED_VALUE"""),45534.0)</f>
        <v>45534</v>
      </c>
      <c r="B382" s="1" t="str">
        <f>IFERROR(__xludf.DUMMYFUNCTION("""COMPUTED_VALUE"""),"McKesson")</f>
        <v>McKesson</v>
      </c>
      <c r="C382" s="1" t="str">
        <f>IFERROR(__xludf.DUMMYFUNCTION("""COMPUTED_VALUE"""),"Scientific Data Analyst")</f>
        <v>Scientific Data Analyst</v>
      </c>
      <c r="D382" s="1" t="str">
        <f>IFERROR(__xludf.DUMMYFUNCTION("""COMPUTED_VALUE"""),"Remote")</f>
        <v>Remote</v>
      </c>
      <c r="E382" s="3" t="str">
        <f>IFERROR(__xludf.DUMMYFUNCTION("""COMPUTED_VALUE"""),"$33/hr - $54/hr")</f>
        <v>$33/hr - $54/hr</v>
      </c>
      <c r="F382" s="1" t="str">
        <f>IFERROR(__xludf.DUMMYFUNCTION("""COMPUTED_VALUE"""),"0 - 2")</f>
        <v>0 - 2</v>
      </c>
      <c r="G382" s="1" t="str">
        <f>IFERROR(__xludf.DUMMYFUNCTION("""COMPUTED_VALUE"""),"USA")</f>
        <v>USA</v>
      </c>
      <c r="H382" s="4" t="str">
        <f>IFERROR(__xludf.DUMMYFUNCTION("""COMPUTED_VALUE"""),"https://www.linkedin.com/posts/diego-crespo-910421107_scientific-data-analyst-activity-7235265854861369344-yM-b?utm_source=share&amp;utm_medium=member_desktop")</f>
        <v>https://www.linkedin.com/posts/diego-crespo-910421107_scientific-data-analyst-activity-7235265854861369344-yM-b?utm_source=share&amp;utm_medium=member_desktop</v>
      </c>
    </row>
    <row r="383">
      <c r="A383" s="2">
        <f>IFERROR(__xludf.DUMMYFUNCTION("""COMPUTED_VALUE"""),45534.0)</f>
        <v>45534</v>
      </c>
      <c r="B383" s="1" t="str">
        <f>IFERROR(__xludf.DUMMYFUNCTION("""COMPUTED_VALUE"""),"CVS Health")</f>
        <v>CVS Health</v>
      </c>
      <c r="C383" s="1" t="str">
        <f>IFERROR(__xludf.DUMMYFUNCTION("""COMPUTED_VALUE"""),"Sr Analyst, Financial Planning &amp; Analysis")</f>
        <v>Sr Analyst, Financial Planning &amp; Analysis</v>
      </c>
      <c r="D383" s="1" t="str">
        <f>IFERROR(__xludf.DUMMYFUNCTION("""COMPUTED_VALUE"""),"Remote")</f>
        <v>Remote</v>
      </c>
      <c r="E383" s="3" t="str">
        <f>IFERROR(__xludf.DUMMYFUNCTION("""COMPUTED_VALUE"""),"$47k - 112k")</f>
        <v>$47k - 112k</v>
      </c>
      <c r="F383" s="1" t="str">
        <f>IFERROR(__xludf.DUMMYFUNCTION("""COMPUTED_VALUE"""),"3 - 5")</f>
        <v>3 - 5</v>
      </c>
      <c r="G383" s="1" t="str">
        <f>IFERROR(__xludf.DUMMYFUNCTION("""COMPUTED_VALUE"""),"Certain Locations")</f>
        <v>Certain Locations</v>
      </c>
      <c r="H383" s="4" t="str">
        <f>IFERROR(__xludf.DUMMYFUNCTION("""COMPUTED_VALUE"""),"https://www.linkedin.com/posts/schmidtkayla_sr-analyst-financial-planning-analysis-activity-7235237130300506112-4ui3?utm_source=share&amp;utm_medium=member_desktop")</f>
        <v>https://www.linkedin.com/posts/schmidtkayla_sr-analyst-financial-planning-analysis-activity-7235237130300506112-4ui3?utm_source=share&amp;utm_medium=member_desktop</v>
      </c>
    </row>
    <row r="384">
      <c r="A384" s="2">
        <f>IFERROR(__xludf.DUMMYFUNCTION("""COMPUTED_VALUE"""),45533.0)</f>
        <v>45533</v>
      </c>
      <c r="B384" s="1" t="str">
        <f>IFERROR(__xludf.DUMMYFUNCTION("""COMPUTED_VALUE"""),"Revenue Analytics")</f>
        <v>Revenue Analytics</v>
      </c>
      <c r="C384" s="1" t="str">
        <f>IFERROR(__xludf.DUMMYFUNCTION("""COMPUTED_VALUE"""),"Data Integration Architect")</f>
        <v>Data Integration Architect</v>
      </c>
      <c r="D384" s="1" t="str">
        <f>IFERROR(__xludf.DUMMYFUNCTION("""COMPUTED_VALUE"""),"Remote")</f>
        <v>Remote</v>
      </c>
      <c r="E384" s="3" t="str">
        <f>IFERROR(__xludf.DUMMYFUNCTION("""COMPUTED_VALUE"""),"N/A")</f>
        <v>N/A</v>
      </c>
      <c r="F384" s="1" t="str">
        <f>IFERROR(__xludf.DUMMYFUNCTION("""COMPUTED_VALUE"""),"6 - 9")</f>
        <v>6 - 9</v>
      </c>
      <c r="G384" s="1" t="str">
        <f>IFERROR(__xludf.DUMMYFUNCTION("""COMPUTED_VALUE"""),"USA")</f>
        <v>USA</v>
      </c>
      <c r="H384" s="4" t="str">
        <f>IFERROR(__xludf.DUMMYFUNCTION("""COMPUTED_VALUE"""),"https://www.linkedin.com/posts/shelbyrombach_revenue-analytics-data-integration-architect-activity-7235052070955851776-pi2_?utm_source=share&amp;utm_medium=member_desktop")</f>
        <v>https://www.linkedin.com/posts/shelbyrombach_revenue-analytics-data-integration-architect-activity-7235052070955851776-pi2_?utm_source=share&amp;utm_medium=member_desktop</v>
      </c>
    </row>
    <row r="385">
      <c r="A385" s="2">
        <f>IFERROR(__xludf.DUMMYFUNCTION("""COMPUTED_VALUE"""),45533.0)</f>
        <v>45533</v>
      </c>
      <c r="B385" s="1" t="str">
        <f>IFERROR(__xludf.DUMMYFUNCTION("""COMPUTED_VALUE"""),"Pluralsight")</f>
        <v>Pluralsight</v>
      </c>
      <c r="C385" s="1" t="str">
        <f>IFERROR(__xludf.DUMMYFUNCTION("""COMPUTED_VALUE"""),"FP&amp;A Analyst")</f>
        <v>FP&amp;A Analyst</v>
      </c>
      <c r="D385" s="1" t="str">
        <f>IFERROR(__xludf.DUMMYFUNCTION("""COMPUTED_VALUE"""),"Remote")</f>
        <v>Remote</v>
      </c>
      <c r="E385" s="3" t="str">
        <f>IFERROR(__xludf.DUMMYFUNCTION("""COMPUTED_VALUE"""),"$67k - $83k")</f>
        <v>$67k - $83k</v>
      </c>
      <c r="F385" s="1" t="str">
        <f>IFERROR(__xludf.DUMMYFUNCTION("""COMPUTED_VALUE"""),"3 - 5")</f>
        <v>3 - 5</v>
      </c>
      <c r="G385" s="1" t="str">
        <f>IFERROR(__xludf.DUMMYFUNCTION("""COMPUTED_VALUE"""),"USA")</f>
        <v>USA</v>
      </c>
      <c r="H385" s="4" t="str">
        <f>IFERROR(__xludf.DUMMYFUNCTION("""COMPUTED_VALUE"""),"https://www.linkedin.com/posts/austin-call-finance_fpa-analyst-activity-7234970692318851072-VDbh?utm_source=share&amp;utm_medium=member_desktop")</f>
        <v>https://www.linkedin.com/posts/austin-call-finance_fpa-analyst-activity-7234970692318851072-VDbh?utm_source=share&amp;utm_medium=member_desktop</v>
      </c>
    </row>
    <row r="386">
      <c r="A386" s="2">
        <f>IFERROR(__xludf.DUMMYFUNCTION("""COMPUTED_VALUE"""),45533.0)</f>
        <v>45533</v>
      </c>
      <c r="B386" s="1" t="str">
        <f>IFERROR(__xludf.DUMMYFUNCTION("""COMPUTED_VALUE"""),"Citadel Credit Union")</f>
        <v>Citadel Credit Union</v>
      </c>
      <c r="C386" s="1" t="str">
        <f>IFERROR(__xludf.DUMMYFUNCTION("""COMPUTED_VALUE"""),"Customer Data Analyst")</f>
        <v>Customer Data Analyst</v>
      </c>
      <c r="D386" s="1" t="str">
        <f>IFERROR(__xludf.DUMMYFUNCTION("""COMPUTED_VALUE"""),"On-Site")</f>
        <v>On-Site</v>
      </c>
      <c r="E386" s="3" t="str">
        <f>IFERROR(__xludf.DUMMYFUNCTION("""COMPUTED_VALUE"""),"N/A")</f>
        <v>N/A</v>
      </c>
      <c r="F386" s="1" t="str">
        <f>IFERROR(__xludf.DUMMYFUNCTION("""COMPUTED_VALUE"""),"3 - 5")</f>
        <v>3 - 5</v>
      </c>
      <c r="G386" s="1" t="str">
        <f>IFERROR(__xludf.DUMMYFUNCTION("""COMPUTED_VALUE"""),"Exton, PA")</f>
        <v>Exton, PA</v>
      </c>
      <c r="H386" s="4" t="str">
        <f>IFERROR(__xludf.DUMMYFUNCTION("""COMPUTED_VALUE"""),"https://www.linkedin.com/posts/vani-makkapati-20478b257_check-out-this-exciting-job-at-citadel-credit-activity-7235010390739283968-9Y_D?utm_source=share&amp;utm_medium=member_desktop")</f>
        <v>https://www.linkedin.com/posts/vani-makkapati-20478b257_check-out-this-exciting-job-at-citadel-credit-activity-7235010390739283968-9Y_D?utm_source=share&amp;utm_medium=member_desktop</v>
      </c>
    </row>
    <row r="387">
      <c r="A387" s="2">
        <f>IFERROR(__xludf.DUMMYFUNCTION("""COMPUTED_VALUE"""),45533.0)</f>
        <v>45533</v>
      </c>
      <c r="B387" s="1" t="str">
        <f>IFERROR(__xludf.DUMMYFUNCTION("""COMPUTED_VALUE"""),"PCG")</f>
        <v>PCG</v>
      </c>
      <c r="C387" s="1" t="str">
        <f>IFERROR(__xludf.DUMMYFUNCTION("""COMPUTED_VALUE"""),"Evaluation Analyst")</f>
        <v>Evaluation Analyst</v>
      </c>
      <c r="D387" s="1" t="str">
        <f>IFERROR(__xludf.DUMMYFUNCTION("""COMPUTED_VALUE"""),"Remote")</f>
        <v>Remote</v>
      </c>
      <c r="E387" s="3" t="str">
        <f>IFERROR(__xludf.DUMMYFUNCTION("""COMPUTED_VALUE"""),"N/A")</f>
        <v>N/A</v>
      </c>
      <c r="F387" s="1" t="str">
        <f>IFERROR(__xludf.DUMMYFUNCTION("""COMPUTED_VALUE"""),"0 - 2")</f>
        <v>0 - 2</v>
      </c>
      <c r="G387" s="1" t="str">
        <f>IFERROR(__xludf.DUMMYFUNCTION("""COMPUTED_VALUE"""),"USA")</f>
        <v>USA</v>
      </c>
      <c r="H387" s="4" t="str">
        <f>IFERROR(__xludf.DUMMYFUNCTION("""COMPUTED_VALUE"""),"https://www.linkedin.com/posts/samantha-j-bone_evaluation-analyst-activity-7234964084713041920-nnH4?utm_source=share&amp;utm_medium=member_desktop")</f>
        <v>https://www.linkedin.com/posts/samantha-j-bone_evaluation-analyst-activity-7234964084713041920-nnH4?utm_source=share&amp;utm_medium=member_desktop</v>
      </c>
    </row>
    <row r="388">
      <c r="A388" s="2">
        <f>IFERROR(__xludf.DUMMYFUNCTION("""COMPUTED_VALUE"""),45533.0)</f>
        <v>45533</v>
      </c>
      <c r="B388" s="1" t="str">
        <f>IFERROR(__xludf.DUMMYFUNCTION("""COMPUTED_VALUE"""),"Alludo")</f>
        <v>Alludo</v>
      </c>
      <c r="C388" s="1" t="str">
        <f>IFERROR(__xludf.DUMMYFUNCTION("""COMPUTED_VALUE"""),"BI Analyst")</f>
        <v>BI Analyst</v>
      </c>
      <c r="D388" s="1" t="str">
        <f>IFERROR(__xludf.DUMMYFUNCTION("""COMPUTED_VALUE"""),"Remote")</f>
        <v>Remote</v>
      </c>
      <c r="E388" s="3" t="str">
        <f>IFERROR(__xludf.DUMMYFUNCTION("""COMPUTED_VALUE"""),"$130k - $140k")</f>
        <v>$130k - $140k</v>
      </c>
      <c r="F388" s="1" t="str">
        <f>IFERROR(__xludf.DUMMYFUNCTION("""COMPUTED_VALUE"""),"3 - 5")</f>
        <v>3 - 5</v>
      </c>
      <c r="G388" s="1" t="str">
        <f>IFERROR(__xludf.DUMMYFUNCTION("""COMPUTED_VALUE"""),"USA")</f>
        <v>USA</v>
      </c>
      <c r="H388" s="4" t="str">
        <f>IFERROR(__xludf.DUMMYFUNCTION("""COMPUTED_VALUE"""),"https://www.linkedin.com/posts/jen-rhough-woods_recruitment-activity-7235014756611301376-UqF5?utm_source=share&amp;utm_medium=member_desktop")</f>
        <v>https://www.linkedin.com/posts/jen-rhough-woods_recruitment-activity-7235014756611301376-UqF5?utm_source=share&amp;utm_medium=member_desktop</v>
      </c>
    </row>
    <row r="389">
      <c r="A389" s="2">
        <f>IFERROR(__xludf.DUMMYFUNCTION("""COMPUTED_VALUE"""),45533.0)</f>
        <v>45533</v>
      </c>
      <c r="B389" s="1" t="str">
        <f>IFERROR(__xludf.DUMMYFUNCTION("""COMPUTED_VALUE"""),"Automated Handling Solutions (AHS)")</f>
        <v>Automated Handling Solutions (AHS)</v>
      </c>
      <c r="C389" s="1" t="str">
        <f>IFERROR(__xludf.DUMMYFUNCTION("""COMPUTED_VALUE"""),"Senior Financial Analyst")</f>
        <v>Senior Financial Analyst</v>
      </c>
      <c r="D389" s="1" t="str">
        <f>IFERROR(__xludf.DUMMYFUNCTION("""COMPUTED_VALUE"""),"On-Site")</f>
        <v>On-Site</v>
      </c>
      <c r="E389" s="3" t="str">
        <f>IFERROR(__xludf.DUMMYFUNCTION("""COMPUTED_VALUE"""),"N/A")</f>
        <v>N/A</v>
      </c>
      <c r="F389" s="1" t="str">
        <f>IFERROR(__xludf.DUMMYFUNCTION("""COMPUTED_VALUE"""),"3 - 5")</f>
        <v>3 - 5</v>
      </c>
      <c r="G389" s="1" t="str">
        <f>IFERROR(__xludf.DUMMYFUNCTION("""COMPUTED_VALUE"""),"Charlotte, NC")</f>
        <v>Charlotte, NC</v>
      </c>
      <c r="H389" s="4" t="str">
        <f>IFERROR(__xludf.DUMMYFUNCTION("""COMPUTED_VALUE"""),"https://www.linkedin.com/posts/shawn-heitz_im-looking-to-hire-an-amazing-sr-financial-activity-7234977370892345344-vAG3?utm_source=share&amp;utm_medium=member_desktop")</f>
        <v>https://www.linkedin.com/posts/shawn-heitz_im-looking-to-hire-an-amazing-sr-financial-activity-7234977370892345344-vAG3?utm_source=share&amp;utm_medium=member_desktop</v>
      </c>
    </row>
    <row r="390">
      <c r="A390" s="2">
        <f>IFERROR(__xludf.DUMMYFUNCTION("""COMPUTED_VALUE"""),45533.0)</f>
        <v>45533</v>
      </c>
      <c r="B390" s="1" t="str">
        <f>IFERROR(__xludf.DUMMYFUNCTION("""COMPUTED_VALUE"""),"Asurint")</f>
        <v>Asurint</v>
      </c>
      <c r="C390" s="1" t="str">
        <f>IFERROR(__xludf.DUMMYFUNCTION("""COMPUTED_VALUE"""),"Product Analyst")</f>
        <v>Product Analyst</v>
      </c>
      <c r="D390" s="1" t="str">
        <f>IFERROR(__xludf.DUMMYFUNCTION("""COMPUTED_VALUE"""),"Remote")</f>
        <v>Remote</v>
      </c>
      <c r="E390" s="3" t="str">
        <f>IFERROR(__xludf.DUMMYFUNCTION("""COMPUTED_VALUE"""),"N/A")</f>
        <v>N/A</v>
      </c>
      <c r="F390" s="1" t="str">
        <f>IFERROR(__xludf.DUMMYFUNCTION("""COMPUTED_VALUE"""),"3 - 5")</f>
        <v>3 - 5</v>
      </c>
      <c r="G390" s="1" t="str">
        <f>IFERROR(__xludf.DUMMYFUNCTION("""COMPUTED_VALUE"""),"USA")</f>
        <v>USA</v>
      </c>
      <c r="H390" s="4" t="str">
        <f>IFERROR(__xludf.DUMMYFUNCTION("""COMPUTED_VALUE"""),"https://www.linkedin.com/posts/elisabeth-mayer-b660b539_nowhiring-remotework-analystjobs-activity-7235045110873268226-bK1y?utm_source=share&amp;utm_medium=member_desktop")</f>
        <v>https://www.linkedin.com/posts/elisabeth-mayer-b660b539_nowhiring-remotework-analystjobs-activity-7235045110873268226-bK1y?utm_source=share&amp;utm_medium=member_desktop</v>
      </c>
    </row>
    <row r="391">
      <c r="A391" s="2">
        <f>IFERROR(__xludf.DUMMYFUNCTION("""COMPUTED_VALUE"""),45533.0)</f>
        <v>45533</v>
      </c>
      <c r="B391" s="1" t="str">
        <f>IFERROR(__xludf.DUMMYFUNCTION("""COMPUTED_VALUE"""),"Segrera Associates")</f>
        <v>Segrera Associates</v>
      </c>
      <c r="C391" s="1" t="str">
        <f>IFERROR(__xludf.DUMMYFUNCTION("""COMPUTED_VALUE"""),"Senior Business Data Analyst")</f>
        <v>Senior Business Data Analyst</v>
      </c>
      <c r="D391" s="1" t="str">
        <f>IFERROR(__xludf.DUMMYFUNCTION("""COMPUTED_VALUE"""),"Remote")</f>
        <v>Remote</v>
      </c>
      <c r="E391" s="3" t="str">
        <f>IFERROR(__xludf.DUMMYFUNCTION("""COMPUTED_VALUE"""),"$110k")</f>
        <v>$110k</v>
      </c>
      <c r="F391" s="1" t="str">
        <f>IFERROR(__xludf.DUMMYFUNCTION("""COMPUTED_VALUE"""),"0 - 2")</f>
        <v>0 - 2</v>
      </c>
      <c r="G391" s="1" t="str">
        <f>IFERROR(__xludf.DUMMYFUNCTION("""COMPUTED_VALUE"""),"USA")</f>
        <v>USA</v>
      </c>
      <c r="H391" s="4" t="str">
        <f>IFERROR(__xludf.DUMMYFUNCTION("""COMPUTED_VALUE"""),"https://www.linkedin.com/posts/activity-7234955089344368641-UUte?utm_source=share&amp;utm_medium=member_desktop")</f>
        <v>https://www.linkedin.com/posts/activity-7234955089344368641-UUte?utm_source=share&amp;utm_medium=member_desktop</v>
      </c>
    </row>
    <row r="392">
      <c r="A392" s="2">
        <f>IFERROR(__xludf.DUMMYFUNCTION("""COMPUTED_VALUE"""),45533.0)</f>
        <v>45533</v>
      </c>
      <c r="B392" s="1" t="str">
        <f>IFERROR(__xludf.DUMMYFUNCTION("""COMPUTED_VALUE"""),"Cox")</f>
        <v>Cox</v>
      </c>
      <c r="C392" s="1" t="str">
        <f>IFERROR(__xludf.DUMMYFUNCTION("""COMPUTED_VALUE"""),"Strategic Data Science Lead")</f>
        <v>Strategic Data Science Lead</v>
      </c>
      <c r="D392" s="1" t="str">
        <f>IFERROR(__xludf.DUMMYFUNCTION("""COMPUTED_VALUE"""),"Hybrid")</f>
        <v>Hybrid</v>
      </c>
      <c r="E392" s="3" t="str">
        <f>IFERROR(__xludf.DUMMYFUNCTION("""COMPUTED_VALUE"""),"$117k - $196k")</f>
        <v>$117k - $196k</v>
      </c>
      <c r="F392" s="1" t="str">
        <f>IFERROR(__xludf.DUMMYFUNCTION("""COMPUTED_VALUE"""),"3 - 5")</f>
        <v>3 - 5</v>
      </c>
      <c r="G392" s="1" t="str">
        <f>IFERROR(__xludf.DUMMYFUNCTION("""COMPUTED_VALUE"""),"Atlanta, GA")</f>
        <v>Atlanta, GA</v>
      </c>
      <c r="H392" s="4" t="str">
        <f>IFERROR(__xludf.DUMMYFUNCTION("""COMPUTED_VALUE"""),"https://www.linkedin.com/posts/nyisha-alexis-98430299_strategic-data-science-lead-activity-7234921277533171712-9HgF?utm_source=share&amp;utm_medium=member_desktop")</f>
        <v>https://www.linkedin.com/posts/nyisha-alexis-98430299_strategic-data-science-lead-activity-7234921277533171712-9HgF?utm_source=share&amp;utm_medium=member_desktop</v>
      </c>
    </row>
    <row r="393">
      <c r="A393" s="2">
        <f>IFERROR(__xludf.DUMMYFUNCTION("""COMPUTED_VALUE"""),45533.0)</f>
        <v>45533</v>
      </c>
      <c r="B393" s="1" t="str">
        <f>IFERROR(__xludf.DUMMYFUNCTION("""COMPUTED_VALUE"""),"DriveTime")</f>
        <v>DriveTime</v>
      </c>
      <c r="C393" s="1" t="str">
        <f>IFERROR(__xludf.DUMMYFUNCTION("""COMPUTED_VALUE"""),"Risk Analyst")</f>
        <v>Risk Analyst</v>
      </c>
      <c r="D393" s="1" t="str">
        <f>IFERROR(__xludf.DUMMYFUNCTION("""COMPUTED_VALUE"""),"On-Site")</f>
        <v>On-Site</v>
      </c>
      <c r="E393" s="3" t="str">
        <f>IFERROR(__xludf.DUMMYFUNCTION("""COMPUTED_VALUE"""),"N/A")</f>
        <v>N/A</v>
      </c>
      <c r="F393" s="1" t="str">
        <f>IFERROR(__xludf.DUMMYFUNCTION("""COMPUTED_VALUE"""),"0 - 2")</f>
        <v>0 - 2</v>
      </c>
      <c r="G393" s="1" t="str">
        <f>IFERROR(__xludf.DUMMYFUNCTION("""COMPUTED_VALUE"""),"Tempe, AZ")</f>
        <v>Tempe, AZ</v>
      </c>
      <c r="H393" s="4" t="str">
        <f>IFERROR(__xludf.DUMMYFUNCTION("""COMPUTED_VALUE"""),"https://www.linkedin.com/posts/kristen-torres-b4886abb_risk-analyst-in-tempe-az-activity-7234951415876493312-Nf9b?utm_source=share&amp;utm_medium=member_desktop")</f>
        <v>https://www.linkedin.com/posts/kristen-torres-b4886abb_risk-analyst-in-tempe-az-activity-7234951415876493312-Nf9b?utm_source=share&amp;utm_medium=member_desktop</v>
      </c>
    </row>
    <row r="394">
      <c r="A394" s="2">
        <f>IFERROR(__xludf.DUMMYFUNCTION("""COMPUTED_VALUE"""),45533.0)</f>
        <v>45533</v>
      </c>
      <c r="B394" s="1" t="str">
        <f>IFERROR(__xludf.DUMMYFUNCTION("""COMPUTED_VALUE"""),"Swyfft")</f>
        <v>Swyfft</v>
      </c>
      <c r="C394" s="1" t="str">
        <f>IFERROR(__xludf.DUMMYFUNCTION("""COMPUTED_VALUE"""),"Data Scientist (P&amp;C Insurance)")</f>
        <v>Data Scientist (P&amp;C Insurance)</v>
      </c>
      <c r="D394" s="1" t="str">
        <f>IFERROR(__xludf.DUMMYFUNCTION("""COMPUTED_VALUE"""),"Remote")</f>
        <v>Remote</v>
      </c>
      <c r="E394" s="3" t="str">
        <f>IFERROR(__xludf.DUMMYFUNCTION("""COMPUTED_VALUE"""),"N/A")</f>
        <v>N/A</v>
      </c>
      <c r="F394" s="1" t="str">
        <f>IFERROR(__xludf.DUMMYFUNCTION("""COMPUTED_VALUE"""),"3 - 5")</f>
        <v>3 - 5</v>
      </c>
      <c r="G394" s="1" t="str">
        <f>IFERROR(__xludf.DUMMYFUNCTION("""COMPUTED_VALUE"""),"Certain Locations")</f>
        <v>Certain Locations</v>
      </c>
      <c r="H394" s="4" t="str">
        <f>IFERROR(__xludf.DUMMYFUNCTION("""COMPUTED_VALUE"""),"https://www.linkedin.com/posts/ndbalten_hiring-datascientist-datascience-activity-7234598762399064066-zKGD?utm_source=share&amp;utm_medium=member_desktop")</f>
        <v>https://www.linkedin.com/posts/ndbalten_hiring-datascientist-datascience-activity-7234598762399064066-zKGD?utm_source=share&amp;utm_medium=member_desktop</v>
      </c>
    </row>
    <row r="395">
      <c r="A395" s="2">
        <f>IFERROR(__xludf.DUMMYFUNCTION("""COMPUTED_VALUE"""),45533.0)</f>
        <v>45533</v>
      </c>
      <c r="B395" s="1" t="str">
        <f>IFERROR(__xludf.DUMMYFUNCTION("""COMPUTED_VALUE"""),"San Francisco Health Plan")</f>
        <v>San Francisco Health Plan</v>
      </c>
      <c r="C395" s="1" t="str">
        <f>IFERROR(__xludf.DUMMYFUNCTION("""COMPUTED_VALUE"""),"Insights Data Analyst")</f>
        <v>Insights Data Analyst</v>
      </c>
      <c r="D395" s="1" t="str">
        <f>IFERROR(__xludf.DUMMYFUNCTION("""COMPUTED_VALUE"""),"Hybrid")</f>
        <v>Hybrid</v>
      </c>
      <c r="E395" s="3" t="str">
        <f>IFERROR(__xludf.DUMMYFUNCTION("""COMPUTED_VALUE"""),"$82k - $91k")</f>
        <v>$82k - $91k</v>
      </c>
      <c r="F395" s="1" t="str">
        <f>IFERROR(__xludf.DUMMYFUNCTION("""COMPUTED_VALUE"""),"3 - 5")</f>
        <v>3 - 5</v>
      </c>
      <c r="G395" s="1" t="str">
        <f>IFERROR(__xludf.DUMMYFUNCTION("""COMPUTED_VALUE"""),"San Francisco, CA")</f>
        <v>San Francisco, CA</v>
      </c>
      <c r="H395" s="4" t="str">
        <f>IFERROR(__xludf.DUMMYFUNCTION("""COMPUTED_VALUE"""),"https://www.linkedin.com/posts/lyrajeter_iamhiring-activity-7232893850355130368-JzFZ?utm_source=share&amp;utm_medium=member_desktop")</f>
        <v>https://www.linkedin.com/posts/lyrajeter_iamhiring-activity-7232893850355130368-JzFZ?utm_source=share&amp;utm_medium=member_desktop</v>
      </c>
    </row>
    <row r="396">
      <c r="A396" s="2">
        <f>IFERROR(__xludf.DUMMYFUNCTION("""COMPUTED_VALUE"""),45533.0)</f>
        <v>45533</v>
      </c>
      <c r="B396" s="1" t="str">
        <f>IFERROR(__xludf.DUMMYFUNCTION("""COMPUTED_VALUE"""),"Medica")</f>
        <v>Medica</v>
      </c>
      <c r="C396" s="1" t="str">
        <f>IFERROR(__xludf.DUMMYFUNCTION("""COMPUTED_VALUE"""),"Senior Digital Data Analyst")</f>
        <v>Senior Digital Data Analyst</v>
      </c>
      <c r="D396" s="1" t="str">
        <f>IFERROR(__xludf.DUMMYFUNCTION("""COMPUTED_VALUE"""),"Remote")</f>
        <v>Remote</v>
      </c>
      <c r="E396" s="3" t="str">
        <f>IFERROR(__xludf.DUMMYFUNCTION("""COMPUTED_VALUE"""),"$85k - $146k")</f>
        <v>$85k - $146k</v>
      </c>
      <c r="F396" s="1" t="str">
        <f>IFERROR(__xludf.DUMMYFUNCTION("""COMPUTED_VALUE"""),"6 - 9")</f>
        <v>6 - 9</v>
      </c>
      <c r="G396" s="1" t="str">
        <f>IFERROR(__xludf.DUMMYFUNCTION("""COMPUTED_VALUE"""),"USA")</f>
        <v>USA</v>
      </c>
      <c r="H396" s="4" t="str">
        <f>IFERROR(__xludf.DUMMYFUNCTION("""COMPUTED_VALUE"""),"https://www.linkedin.com/posts/andy-yun-0a8a33_digitaltransformation-digitalanalytics-businessintelligence-activity-7234963551323365376-pK9W?utm_source=share&amp;utm_medium=member_desktop")</f>
        <v>https://www.linkedin.com/posts/andy-yun-0a8a33_digitaltransformation-digitalanalytics-businessintelligence-activity-7234963551323365376-pK9W?utm_source=share&amp;utm_medium=member_desktop</v>
      </c>
    </row>
    <row r="397">
      <c r="A397" s="2">
        <f>IFERROR(__xludf.DUMMYFUNCTION("""COMPUTED_VALUE"""),45533.0)</f>
        <v>45533</v>
      </c>
      <c r="B397" s="1" t="str">
        <f>IFERROR(__xludf.DUMMYFUNCTION("""COMPUTED_VALUE"""),"Pollo Tropical")</f>
        <v>Pollo Tropical</v>
      </c>
      <c r="C397" s="1" t="str">
        <f>IFERROR(__xludf.DUMMYFUNCTION("""COMPUTED_VALUE"""),"Digital Marketing Analytics Manager")</f>
        <v>Digital Marketing Analytics Manager</v>
      </c>
      <c r="D397" s="1" t="str">
        <f>IFERROR(__xludf.DUMMYFUNCTION("""COMPUTED_VALUE"""),"Hybrid")</f>
        <v>Hybrid</v>
      </c>
      <c r="E397" s="3" t="str">
        <f>IFERROR(__xludf.DUMMYFUNCTION("""COMPUTED_VALUE"""),"N/A")</f>
        <v>N/A</v>
      </c>
      <c r="F397" s="1" t="str">
        <f>IFERROR(__xludf.DUMMYFUNCTION("""COMPUTED_VALUE"""),"3 - 5")</f>
        <v>3 - 5</v>
      </c>
      <c r="G397" s="1" t="str">
        <f>IFERROR(__xludf.DUMMYFUNCTION("""COMPUTED_VALUE"""),"Miami, FL")</f>
        <v>Miami, FL</v>
      </c>
      <c r="H397" s="4" t="str">
        <f>IFERROR(__xludf.DUMMYFUNCTION("""COMPUTED_VALUE"""),"https://www.linkedin.com/posts/amandatherecruiter_digitalmarketing-analytics-pollotropical-activity-7234937044324478976-_ozt?utm_source=share&amp;utm_medium=member_desktop")</f>
        <v>https://www.linkedin.com/posts/amandatherecruiter_digitalmarketing-analytics-pollotropical-activity-7234937044324478976-_ozt?utm_source=share&amp;utm_medium=member_desktop</v>
      </c>
    </row>
    <row r="398">
      <c r="A398" s="2">
        <f>IFERROR(__xludf.DUMMYFUNCTION("""COMPUTED_VALUE"""),45533.0)</f>
        <v>45533</v>
      </c>
      <c r="B398" s="1" t="str">
        <f>IFERROR(__xludf.DUMMYFUNCTION("""COMPUTED_VALUE"""),"Pinnacle Advertising")</f>
        <v>Pinnacle Advertising</v>
      </c>
      <c r="C398" s="1" t="str">
        <f>IFERROR(__xludf.DUMMYFUNCTION("""COMPUTED_VALUE"""),"Manager, Performance Analytics")</f>
        <v>Manager, Performance Analytics</v>
      </c>
      <c r="D398" s="1" t="str">
        <f>IFERROR(__xludf.DUMMYFUNCTION("""COMPUTED_VALUE"""),"Hybrid")</f>
        <v>Hybrid</v>
      </c>
      <c r="E398" s="3" t="str">
        <f>IFERROR(__xludf.DUMMYFUNCTION("""COMPUTED_VALUE"""),"N/A")</f>
        <v>N/A</v>
      </c>
      <c r="F398" s="1" t="str">
        <f>IFERROR(__xludf.DUMMYFUNCTION("""COMPUTED_VALUE"""),"3 - 5")</f>
        <v>3 - 5</v>
      </c>
      <c r="G398" s="1" t="str">
        <f>IFERROR(__xludf.DUMMYFUNCTION("""COMPUTED_VALUE"""),"Phoenix, AZ")</f>
        <v>Phoenix, AZ</v>
      </c>
      <c r="H398" s="4" t="str">
        <f>IFERROR(__xludf.DUMMYFUNCTION("""COMPUTED_VALUE"""),"https://www.linkedin.com/posts/amycantwell_hiring-jobopportunity-marketinganalytics-activity-7234974899046391808-LfVV?utm_source=share&amp;utm_medium=member_desktop")</f>
        <v>https://www.linkedin.com/posts/amycantwell_hiring-jobopportunity-marketinganalytics-activity-7234974899046391808-LfVV?utm_source=share&amp;utm_medium=member_desktop</v>
      </c>
    </row>
    <row r="399">
      <c r="A399" s="2">
        <f>IFERROR(__xludf.DUMMYFUNCTION("""COMPUTED_VALUE"""),45533.0)</f>
        <v>45533</v>
      </c>
      <c r="B399" s="1" t="str">
        <f>IFERROR(__xludf.DUMMYFUNCTION("""COMPUTED_VALUE"""),"Vireo Systems, Inc.")</f>
        <v>Vireo Systems, Inc.</v>
      </c>
      <c r="C399" s="1" t="str">
        <f>IFERROR(__xludf.DUMMYFUNCTION("""COMPUTED_VALUE"""),"Senior Category Analyst")</f>
        <v>Senior Category Analyst</v>
      </c>
      <c r="D399" s="1" t="str">
        <f>IFERROR(__xludf.DUMMYFUNCTION("""COMPUTED_VALUE"""),"Hybrid")</f>
        <v>Hybrid</v>
      </c>
      <c r="E399" s="3" t="str">
        <f>IFERROR(__xludf.DUMMYFUNCTION("""COMPUTED_VALUE"""),"N/A")</f>
        <v>N/A</v>
      </c>
      <c r="F399" s="1" t="str">
        <f>IFERROR(__xludf.DUMMYFUNCTION("""COMPUTED_VALUE"""),"3 - 5")</f>
        <v>3 - 5</v>
      </c>
      <c r="G399" s="1" t="str">
        <f>IFERROR(__xludf.DUMMYFUNCTION("""COMPUTED_VALUE"""),"Nashville, TN")</f>
        <v>Nashville, TN</v>
      </c>
      <c r="H399" s="4" t="str">
        <f>IFERROR(__xludf.DUMMYFUNCTION("""COMPUTED_VALUE"""),"https://www.linkedin.com/posts/janemerten_were-hiring-im-looking-for-a-data-head-activity-7234993937478815744-TVzd?utm_source=share&amp;utm_medium=member_desktop")</f>
        <v>https://www.linkedin.com/posts/janemerten_were-hiring-im-looking-for-a-data-head-activity-7234993937478815744-TVzd?utm_source=share&amp;utm_medium=member_desktop</v>
      </c>
    </row>
    <row r="400">
      <c r="A400" s="2">
        <f>IFERROR(__xludf.DUMMYFUNCTION("""COMPUTED_VALUE"""),45533.0)</f>
        <v>45533</v>
      </c>
      <c r="B400" s="1" t="str">
        <f>IFERROR(__xludf.DUMMYFUNCTION("""COMPUTED_VALUE"""),"HFD")</f>
        <v>HFD</v>
      </c>
      <c r="C400" s="1" t="str">
        <f>IFERROR(__xludf.DUMMYFUNCTION("""COMPUTED_VALUE"""),"Senior Data Analyst – Revenue Operations")</f>
        <v>Senior Data Analyst – Revenue Operations</v>
      </c>
      <c r="D400" s="1" t="str">
        <f>IFERROR(__xludf.DUMMYFUNCTION("""COMPUTED_VALUE"""),"Remote")</f>
        <v>Remote</v>
      </c>
      <c r="E400" s="3" t="str">
        <f>IFERROR(__xludf.DUMMYFUNCTION("""COMPUTED_VALUE"""),"$95k - $115k")</f>
        <v>$95k - $115k</v>
      </c>
      <c r="F400" s="1" t="str">
        <f>IFERROR(__xludf.DUMMYFUNCTION("""COMPUTED_VALUE"""),"6 - 9")</f>
        <v>6 - 9</v>
      </c>
      <c r="G400" s="1" t="str">
        <f>IFERROR(__xludf.DUMMYFUNCTION("""COMPUTED_VALUE"""),"Bakersfield, CA")</f>
        <v>Bakersfield, CA</v>
      </c>
      <c r="H400" s="4" t="str">
        <f>IFERROR(__xludf.DUMMYFUNCTION("""COMPUTED_VALUE"""),"https://www.linkedin.com/posts/edward--smith_healthcare-finance-direct-llc-senior-data-activity-7235082414459342848-KU54?utm_source=share&amp;utm_medium=member_desktop")</f>
        <v>https://www.linkedin.com/posts/edward--smith_healthcare-finance-direct-llc-senior-data-activity-7235082414459342848-KU54?utm_source=share&amp;utm_medium=member_desktop</v>
      </c>
    </row>
    <row r="401">
      <c r="A401" s="2">
        <f>IFERROR(__xludf.DUMMYFUNCTION("""COMPUTED_VALUE"""),45533.0)</f>
        <v>45533</v>
      </c>
      <c r="B401" s="1" t="str">
        <f>IFERROR(__xludf.DUMMYFUNCTION("""COMPUTED_VALUE"""),"him &amp; hers")</f>
        <v>him &amp; hers</v>
      </c>
      <c r="C401" s="1" t="str">
        <f>IFERROR(__xludf.DUMMYFUNCTION("""COMPUTED_VALUE"""),"Lead Data Analyst, Operations")</f>
        <v>Lead Data Analyst, Operations</v>
      </c>
      <c r="D401" s="1" t="str">
        <f>IFERROR(__xludf.DUMMYFUNCTION("""COMPUTED_VALUE"""),"Remote")</f>
        <v>Remote</v>
      </c>
      <c r="E401" s="3" t="str">
        <f>IFERROR(__xludf.DUMMYFUNCTION("""COMPUTED_VALUE"""),"$150k - $170k")</f>
        <v>$150k - $170k</v>
      </c>
      <c r="F401" s="1" t="str">
        <f>IFERROR(__xludf.DUMMYFUNCTION("""COMPUTED_VALUE"""),"3 - 5")</f>
        <v>3 - 5</v>
      </c>
      <c r="G401" s="1" t="str">
        <f>IFERROR(__xludf.DUMMYFUNCTION("""COMPUTED_VALUE"""),"USA")</f>
        <v>USA</v>
      </c>
      <c r="H401" s="4" t="str">
        <f>IFERROR(__xludf.DUMMYFUNCTION("""COMPUTED_VALUE"""),"https://www.linkedin.com/posts/davidgalipp_hiring-analytics-data-activity-7235007730392952832-ZpJX?utm_source=share&amp;utm_medium=member_desktop")</f>
        <v>https://www.linkedin.com/posts/davidgalipp_hiring-analytics-data-activity-7235007730392952832-ZpJX?utm_source=share&amp;utm_medium=member_desktop</v>
      </c>
    </row>
    <row r="402">
      <c r="A402" s="2">
        <f>IFERROR(__xludf.DUMMYFUNCTION("""COMPUTED_VALUE"""),45533.0)</f>
        <v>45533</v>
      </c>
      <c r="B402" s="1" t="str">
        <f>IFERROR(__xludf.DUMMYFUNCTION("""COMPUTED_VALUE"""),"McKesson")</f>
        <v>McKesson</v>
      </c>
      <c r="C402" s="1" t="str">
        <f>IFERROR(__xludf.DUMMYFUNCTION("""COMPUTED_VALUE"""),"Director, Data Engineer")</f>
        <v>Director, Data Engineer</v>
      </c>
      <c r="D402" s="1" t="str">
        <f>IFERROR(__xludf.DUMMYFUNCTION("""COMPUTED_VALUE"""),"Hybrid")</f>
        <v>Hybrid</v>
      </c>
      <c r="E402" s="3" t="str">
        <f>IFERROR(__xludf.DUMMYFUNCTION("""COMPUTED_VALUE"""),"$149k - $248k")</f>
        <v>$149k - $248k</v>
      </c>
      <c r="F402" s="1" t="str">
        <f>IFERROR(__xludf.DUMMYFUNCTION("""COMPUTED_VALUE"""),"10 +")</f>
        <v>10 +</v>
      </c>
      <c r="G402" s="1" t="str">
        <f>IFERROR(__xludf.DUMMYFUNCTION("""COMPUTED_VALUE"""),"Certain Locations")</f>
        <v>Certain Locations</v>
      </c>
      <c r="H402" s="4" t="str">
        <f>IFERROR(__xludf.DUMMYFUNCTION("""COMPUTED_VALUE"""),"https://www.linkedin.com/posts/parulkaura_mckesson-activity-7234920327959449601-BRnA?utm_source=share&amp;utm_medium=member_desktop")</f>
        <v>https://www.linkedin.com/posts/parulkaura_mckesson-activity-7234920327959449601-BRnA?utm_source=share&amp;utm_medium=member_desktop</v>
      </c>
    </row>
    <row r="403">
      <c r="A403" s="2">
        <f>IFERROR(__xludf.DUMMYFUNCTION("""COMPUTED_VALUE"""),45533.0)</f>
        <v>45533</v>
      </c>
      <c r="B403" s="1" t="str">
        <f>IFERROR(__xludf.DUMMYFUNCTION("""COMPUTED_VALUE"""),"McKesson")</f>
        <v>McKesson</v>
      </c>
      <c r="C403" s="1" t="str">
        <f>IFERROR(__xludf.DUMMYFUNCTION("""COMPUTED_VALUE"""),"Senior Data Scientist")</f>
        <v>Senior Data Scientist</v>
      </c>
      <c r="D403" s="1" t="str">
        <f>IFERROR(__xludf.DUMMYFUNCTION("""COMPUTED_VALUE"""),"Hybrid")</f>
        <v>Hybrid</v>
      </c>
      <c r="E403" s="3" t="str">
        <f>IFERROR(__xludf.DUMMYFUNCTION("""COMPUTED_VALUE"""),"$124k - $207k")</f>
        <v>$124k - $207k</v>
      </c>
      <c r="F403" s="1" t="str">
        <f>IFERROR(__xludf.DUMMYFUNCTION("""COMPUTED_VALUE"""),"6 - 9")</f>
        <v>6 - 9</v>
      </c>
      <c r="G403" s="1" t="str">
        <f>IFERROR(__xludf.DUMMYFUNCTION("""COMPUTED_VALUE"""),"Certain Locations")</f>
        <v>Certain Locations</v>
      </c>
      <c r="H403" s="4" t="str">
        <f>IFERROR(__xludf.DUMMYFUNCTION("""COMPUTED_VALUE"""),"https://www.linkedin.com/posts/parulkaura_mckesson-activity-7234920327959449601-BRnA?utm_source=share&amp;utm_medium=member_desktop")</f>
        <v>https://www.linkedin.com/posts/parulkaura_mckesson-activity-7234920327959449601-BRnA?utm_source=share&amp;utm_medium=member_desktop</v>
      </c>
    </row>
    <row r="404">
      <c r="A404" s="2">
        <f>IFERROR(__xludf.DUMMYFUNCTION("""COMPUTED_VALUE"""),45533.0)</f>
        <v>45533</v>
      </c>
      <c r="B404" s="1" t="str">
        <f>IFERROR(__xludf.DUMMYFUNCTION("""COMPUTED_VALUE"""),"Capital One")</f>
        <v>Capital One</v>
      </c>
      <c r="C404" s="1" t="str">
        <f>IFERROR(__xludf.DUMMYFUNCTION("""COMPUTED_VALUE"""),"Data Engineer, Bank Tech")</f>
        <v>Data Engineer, Bank Tech</v>
      </c>
      <c r="D404" s="1" t="str">
        <f>IFERROR(__xludf.DUMMYFUNCTION("""COMPUTED_VALUE"""),"On-Site")</f>
        <v>On-Site</v>
      </c>
      <c r="E404" s="3" t="str">
        <f>IFERROR(__xludf.DUMMYFUNCTION("""COMPUTED_VALUE"""),"N/A")</f>
        <v>N/A</v>
      </c>
      <c r="F404" s="1" t="str">
        <f>IFERROR(__xludf.DUMMYFUNCTION("""COMPUTED_VALUE"""),"0 - 2")</f>
        <v>0 - 2</v>
      </c>
      <c r="G404" s="1" t="str">
        <f>IFERROR(__xludf.DUMMYFUNCTION("""COMPUTED_VALUE"""),"Wilmington, DE / McLean, VA")</f>
        <v>Wilmington, DE / McLean, VA</v>
      </c>
      <c r="H404" s="4" t="str">
        <f>IFERROR(__xludf.DUMMYFUNCTION("""COMPUTED_VALUE"""),"https://www.linkedin.com/posts/manaswinigoutham_data-engineer-bank-tech-activity-7234708285344358400-99Ju?utm_source=share&amp;utm_medium=member_desktop")</f>
        <v>https://www.linkedin.com/posts/manaswinigoutham_data-engineer-bank-tech-activity-7234708285344358400-99Ju?utm_source=share&amp;utm_medium=member_desktop</v>
      </c>
    </row>
    <row r="405">
      <c r="A405" s="2">
        <f>IFERROR(__xludf.DUMMYFUNCTION("""COMPUTED_VALUE"""),45533.0)</f>
        <v>45533</v>
      </c>
      <c r="B405" s="1" t="str">
        <f>IFERROR(__xludf.DUMMYFUNCTION("""COMPUTED_VALUE"""),"SelectQuote")</f>
        <v>SelectQuote</v>
      </c>
      <c r="C405" s="1" t="str">
        <f>IFERROR(__xludf.DUMMYFUNCTION("""COMPUTED_VALUE"""),"Supv, Data Science")</f>
        <v>Supv, Data Science</v>
      </c>
      <c r="D405" s="1" t="str">
        <f>IFERROR(__xludf.DUMMYFUNCTION("""COMPUTED_VALUE"""),"Remote")</f>
        <v>Remote</v>
      </c>
      <c r="E405" s="3" t="str">
        <f>IFERROR(__xludf.DUMMYFUNCTION("""COMPUTED_VALUE"""),"$120k-$145k")</f>
        <v>$120k-$145k</v>
      </c>
      <c r="F405" s="1" t="str">
        <f>IFERROR(__xludf.DUMMYFUNCTION("""COMPUTED_VALUE"""),"3 - 5")</f>
        <v>3 - 5</v>
      </c>
      <c r="G405" s="1" t="str">
        <f>IFERROR(__xludf.DUMMYFUNCTION("""COMPUTED_VALUE"""),"USA")</f>
        <v>USA</v>
      </c>
      <c r="H405" s="4" t="str">
        <f>IFERROR(__xludf.DUMMYFUNCTION("""COMPUTED_VALUE"""),"https://www.linkedin.com/posts/bobby-johnson-mba-3bb25923_supv-data-science-in-remote-united-states-activity-7234985600154505216-THJc?utm_source=share&amp;utm_medium=member_desktop")</f>
        <v>https://www.linkedin.com/posts/bobby-johnson-mba-3bb25923_supv-data-science-in-remote-united-states-activity-7234985600154505216-THJc?utm_source=share&amp;utm_medium=member_desktop</v>
      </c>
    </row>
    <row r="406">
      <c r="A406" s="2">
        <f>IFERROR(__xludf.DUMMYFUNCTION("""COMPUTED_VALUE"""),45533.0)</f>
        <v>45533</v>
      </c>
      <c r="B406" s="1" t="str">
        <f>IFERROR(__xludf.DUMMYFUNCTION("""COMPUTED_VALUE"""),"Comcast")</f>
        <v>Comcast</v>
      </c>
      <c r="C406" s="1" t="str">
        <f>IFERROR(__xludf.DUMMYFUNCTION("""COMPUTED_VALUE"""),"Sr Analyst, Forecasting Performance Insights")</f>
        <v>Sr Analyst, Forecasting Performance Insights</v>
      </c>
      <c r="D406" s="1" t="str">
        <f>IFERROR(__xludf.DUMMYFUNCTION("""COMPUTED_VALUE"""),"Hybrid")</f>
        <v>Hybrid</v>
      </c>
      <c r="E406" s="3" t="str">
        <f>IFERROR(__xludf.DUMMYFUNCTION("""COMPUTED_VALUE"""),"$68k-$112k")</f>
        <v>$68k-$112k</v>
      </c>
      <c r="F406" s="1" t="str">
        <f>IFERROR(__xludf.DUMMYFUNCTION("""COMPUTED_VALUE"""),"3 - 5")</f>
        <v>3 - 5</v>
      </c>
      <c r="G406" s="1" t="str">
        <f>IFERROR(__xludf.DUMMYFUNCTION("""COMPUTED_VALUE"""),"Philadelphia, PA ")</f>
        <v>Philadelphia, PA </v>
      </c>
      <c r="H406" s="4" t="str">
        <f>IFERROR(__xludf.DUMMYFUNCTION("""COMPUTED_VALUE"""),"https://www.linkedin.com/posts/conner-clyde-b7ba2988_growing-teamwork-iworkforcomcast-activity-7234927125907079168-RDxQ?utm_source=share&amp;utm_medium=member_desktop")</f>
        <v>https://www.linkedin.com/posts/conner-clyde-b7ba2988_growing-teamwork-iworkforcomcast-activity-7234927125907079168-RDxQ?utm_source=share&amp;utm_medium=member_desktop</v>
      </c>
    </row>
    <row r="407">
      <c r="A407" s="2">
        <f>IFERROR(__xludf.DUMMYFUNCTION("""COMPUTED_VALUE"""),45533.0)</f>
        <v>45533</v>
      </c>
      <c r="B407" s="1" t="str">
        <f>IFERROR(__xludf.DUMMYFUNCTION("""COMPUTED_VALUE"""),"STAT")</f>
        <v>STAT</v>
      </c>
      <c r="C407" s="1" t="str">
        <f>IFERROR(__xludf.DUMMYFUNCTION("""COMPUTED_VALUE"""),"Financial Data Analyst")</f>
        <v>Financial Data Analyst</v>
      </c>
      <c r="D407" s="1" t="str">
        <f>IFERROR(__xludf.DUMMYFUNCTION("""COMPUTED_VALUE"""),"Remote")</f>
        <v>Remote</v>
      </c>
      <c r="E407" s="3" t="str">
        <f>IFERROR(__xludf.DUMMYFUNCTION("""COMPUTED_VALUE"""),"$90k")</f>
        <v>$90k</v>
      </c>
      <c r="F407" s="1" t="str">
        <f>IFERROR(__xludf.DUMMYFUNCTION("""COMPUTED_VALUE"""),"0 - 2")</f>
        <v>0 - 2</v>
      </c>
      <c r="G407" s="1" t="str">
        <f>IFERROR(__xludf.DUMMYFUNCTION("""COMPUTED_VALUE"""),"USA")</f>
        <v>USA</v>
      </c>
      <c r="H407" s="4" t="str">
        <f>IFERROR(__xludf.DUMMYFUNCTION("""COMPUTED_VALUE"""),"https://www.linkedin.com/posts/sa-sha-c-061b84196_financial-data-analyst-stat-recovery-services-activity-7234969436426788866-1nMa?utm_source=share&amp;utm_medium=member_desktop")</f>
        <v>https://www.linkedin.com/posts/sa-sha-c-061b84196_financial-data-analyst-stat-recovery-services-activity-7234969436426788866-1nMa?utm_source=share&amp;utm_medium=member_desktop</v>
      </c>
    </row>
    <row r="408">
      <c r="A408" s="2">
        <f>IFERROR(__xludf.DUMMYFUNCTION("""COMPUTED_VALUE"""),45533.0)</f>
        <v>45533</v>
      </c>
      <c r="B408" s="1" t="str">
        <f>IFERROR(__xludf.DUMMYFUNCTION("""COMPUTED_VALUE"""),"Mastercard")</f>
        <v>Mastercard</v>
      </c>
      <c r="C408" s="1" t="str">
        <f>IFERROR(__xludf.DUMMYFUNCTION("""COMPUTED_VALUE"""),"Data Scientist")</f>
        <v>Data Scientist</v>
      </c>
      <c r="D408" s="1" t="str">
        <f>IFERROR(__xludf.DUMMYFUNCTION("""COMPUTED_VALUE"""),"On-Site")</f>
        <v>On-Site</v>
      </c>
      <c r="E408" s="3" t="str">
        <f>IFERROR(__xludf.DUMMYFUNCTION("""COMPUTED_VALUE"""),"N/A")</f>
        <v>N/A</v>
      </c>
      <c r="F408" s="1" t="str">
        <f>IFERROR(__xludf.DUMMYFUNCTION("""COMPUTED_VALUE"""),"3 - 5")</f>
        <v>3 - 5</v>
      </c>
      <c r="G408" s="1" t="str">
        <f>IFERROR(__xludf.DUMMYFUNCTION("""COMPUTED_VALUE"""),"O Fallon, MO")</f>
        <v>O Fallon, MO</v>
      </c>
      <c r="H408" s="4" t="str">
        <f>IFERROR(__xludf.DUMMYFUNCTION("""COMPUTED_VALUE"""),"https://www.linkedin.com/posts/joni-bartlett-0245a5_data-scientist-in-ofallon-mo-activity-7235005708532858880-7tQP?utm_source=share&amp;utm_medium=member_desktop")</f>
        <v>https://www.linkedin.com/posts/joni-bartlett-0245a5_data-scientist-in-ofallon-mo-activity-7235005708532858880-7tQP?utm_source=share&amp;utm_medium=member_desktop</v>
      </c>
    </row>
    <row r="409">
      <c r="A409" s="2">
        <f>IFERROR(__xludf.DUMMYFUNCTION("""COMPUTED_VALUE"""),45533.0)</f>
        <v>45533</v>
      </c>
      <c r="B409" s="1" t="str">
        <f>IFERROR(__xludf.DUMMYFUNCTION("""COMPUTED_VALUE"""),"HubSpot")</f>
        <v>HubSpot</v>
      </c>
      <c r="C409" s="1" t="str">
        <f>IFERROR(__xludf.DUMMYFUNCTION("""COMPUTED_VALUE"""),"Senior Data Analyst")</f>
        <v>Senior Data Analyst</v>
      </c>
      <c r="D409" s="1" t="str">
        <f>IFERROR(__xludf.DUMMYFUNCTION("""COMPUTED_VALUE"""),"Remote")</f>
        <v>Remote</v>
      </c>
      <c r="E409" s="3" t="str">
        <f>IFERROR(__xludf.DUMMYFUNCTION("""COMPUTED_VALUE"""),"$188k - $190k")</f>
        <v>$188k - $190k</v>
      </c>
      <c r="F409" s="1" t="str">
        <f>IFERROR(__xludf.DUMMYFUNCTION("""COMPUTED_VALUE"""),"3 - 5")</f>
        <v>3 - 5</v>
      </c>
      <c r="G409" s="1" t="str">
        <f>IFERROR(__xludf.DUMMYFUNCTION("""COMPUTED_VALUE"""),"USA")</f>
        <v>USA</v>
      </c>
      <c r="H409" s="4" t="str">
        <f>IFERROR(__xludf.DUMMYFUNCTION("""COMPUTED_VALUE"""),"https://www.linkedin.com/posts/drew-mooney-data_data-analytics-hiring-activity-7234627958701711360-AcR4?utm_source=share&amp;utm_medium=member_desktop")</f>
        <v>https://www.linkedin.com/posts/drew-mooney-data_data-analytics-hiring-activity-7234627958701711360-AcR4?utm_source=share&amp;utm_medium=member_desktop</v>
      </c>
    </row>
    <row r="410">
      <c r="A410" s="2">
        <f>IFERROR(__xludf.DUMMYFUNCTION("""COMPUTED_VALUE"""),45533.0)</f>
        <v>45533</v>
      </c>
      <c r="B410" s="1" t="str">
        <f>IFERROR(__xludf.DUMMYFUNCTION("""COMPUTED_VALUE"""),"Carnival Corporation")</f>
        <v>Carnival Corporation</v>
      </c>
      <c r="C410" s="1" t="str">
        <f>IFERROR(__xludf.DUMMYFUNCTION("""COMPUTED_VALUE"""),"Health Informatics Data Analyst I")</f>
        <v>Health Informatics Data Analyst I</v>
      </c>
      <c r="D410" s="1" t="str">
        <f>IFERROR(__xludf.DUMMYFUNCTION("""COMPUTED_VALUE"""),"Hybrid")</f>
        <v>Hybrid</v>
      </c>
      <c r="E410" s="3" t="str">
        <f>IFERROR(__xludf.DUMMYFUNCTION("""COMPUTED_VALUE"""),"N/A")</f>
        <v>N/A</v>
      </c>
      <c r="F410" s="1" t="str">
        <f>IFERROR(__xludf.DUMMYFUNCTION("""COMPUTED_VALUE"""),"0 - 2")</f>
        <v>0 - 2</v>
      </c>
      <c r="G410" s="1" t="str">
        <f>IFERROR(__xludf.DUMMYFUNCTION("""COMPUTED_VALUE"""),"Miami, FL")</f>
        <v>Miami, FL</v>
      </c>
      <c r="H410" s="4" t="str">
        <f>IFERROR(__xludf.DUMMYFUNCTION("""COMPUTED_VALUE"""),"https://www.linkedin.com/posts/bwbrandt_health-informatics-data-analyst-i-at-carnival-activity-7234931463354224640-YIrM?utm_source=share&amp;utm_medium=member_desktop")</f>
        <v>https://www.linkedin.com/posts/bwbrandt_health-informatics-data-analyst-i-at-carnival-activity-7234931463354224640-YIrM?utm_source=share&amp;utm_medium=member_desktop</v>
      </c>
    </row>
    <row r="411">
      <c r="A411" s="2">
        <f>IFERROR(__xludf.DUMMYFUNCTION("""COMPUTED_VALUE"""),45533.0)</f>
        <v>45533</v>
      </c>
      <c r="B411" s="1" t="str">
        <f>IFERROR(__xludf.DUMMYFUNCTION("""COMPUTED_VALUE"""),"Givebacks")</f>
        <v>Givebacks</v>
      </c>
      <c r="C411" s="1" t="str">
        <f>IFERROR(__xludf.DUMMYFUNCTION("""COMPUTED_VALUE"""),"Business &amp; Product Data Analyst")</f>
        <v>Business &amp; Product Data Analyst</v>
      </c>
      <c r="D411" s="1" t="str">
        <f>IFERROR(__xludf.DUMMYFUNCTION("""COMPUTED_VALUE"""),"Remote")</f>
        <v>Remote</v>
      </c>
      <c r="E411" s="3" t="str">
        <f>IFERROR(__xludf.DUMMYFUNCTION("""COMPUTED_VALUE"""),"N/A")</f>
        <v>N/A</v>
      </c>
      <c r="F411" s="1" t="str">
        <f>IFERROR(__xludf.DUMMYFUNCTION("""COMPUTED_VALUE"""),"3 - 5")</f>
        <v>3 - 5</v>
      </c>
      <c r="G411" s="1" t="str">
        <f>IFERROR(__xludf.DUMMYFUNCTION("""COMPUTED_VALUE"""),"USA")</f>
        <v>USA</v>
      </c>
      <c r="H411" s="4" t="str">
        <f>IFERROR(__xludf.DUMMYFUNCTION("""COMPUTED_VALUE"""),"https://www.linkedin.com/posts/mattharrell_givebacks-activity-7234912885448019968-mFIZ?utm_source=share&amp;utm_medium=member_desktop")</f>
        <v>https://www.linkedin.com/posts/mattharrell_givebacks-activity-7234912885448019968-mFIZ?utm_source=share&amp;utm_medium=member_desktop</v>
      </c>
    </row>
    <row r="412">
      <c r="A412" s="2">
        <f>IFERROR(__xludf.DUMMYFUNCTION("""COMPUTED_VALUE"""),45533.0)</f>
        <v>45533</v>
      </c>
      <c r="B412" s="1" t="str">
        <f>IFERROR(__xludf.DUMMYFUNCTION("""COMPUTED_VALUE"""),"Hexaware Technologies")</f>
        <v>Hexaware Technologies</v>
      </c>
      <c r="C412" s="1" t="str">
        <f>IFERROR(__xludf.DUMMYFUNCTION("""COMPUTED_VALUE"""),"Senior Data Analyst")</f>
        <v>Senior Data Analyst</v>
      </c>
      <c r="D412" s="1" t="str">
        <f>IFERROR(__xludf.DUMMYFUNCTION("""COMPUTED_VALUE"""),"Hybrid")</f>
        <v>Hybrid</v>
      </c>
      <c r="E412" s="3" t="str">
        <f>IFERROR(__xludf.DUMMYFUNCTION("""COMPUTED_VALUE"""),"N/A")</f>
        <v>N/A</v>
      </c>
      <c r="F412" s="1" t="str">
        <f>IFERROR(__xludf.DUMMYFUNCTION("""COMPUTED_VALUE"""),"6 - 9")</f>
        <v>6 - 9</v>
      </c>
      <c r="G412" s="1" t="str">
        <f>IFERROR(__xludf.DUMMYFUNCTION("""COMPUTED_VALUE"""),"Chicago, IL")</f>
        <v>Chicago, IL</v>
      </c>
      <c r="H412" s="4" t="str">
        <f>IFERROR(__xludf.DUMMYFUNCTION("""COMPUTED_VALUE"""),"https://www.linkedin.com/posts/swetha-v-085356241_hi-all-hexaware-is-hiring-on-fulltime-for-activity-7234642931846963201-x0gx?utm_source=share&amp;utm_medium=member_desktop")</f>
        <v>https://www.linkedin.com/posts/swetha-v-085356241_hi-all-hexaware-is-hiring-on-fulltime-for-activity-7234642931846963201-x0gx?utm_source=share&amp;utm_medium=member_desktop</v>
      </c>
    </row>
    <row r="413">
      <c r="A413" s="2">
        <f>IFERROR(__xludf.DUMMYFUNCTION("""COMPUTED_VALUE"""),45533.0)</f>
        <v>45533</v>
      </c>
      <c r="B413" s="1" t="str">
        <f>IFERROR(__xludf.DUMMYFUNCTION("""COMPUTED_VALUE"""),"Kaiser Permanente")</f>
        <v>Kaiser Permanente</v>
      </c>
      <c r="C413" s="1" t="str">
        <f>IFERROR(__xludf.DUMMYFUNCTION("""COMPUTED_VALUE"""),"Data Assistant - SOM")</f>
        <v>Data Assistant - SOM</v>
      </c>
      <c r="D413" s="1" t="str">
        <f>IFERROR(__xludf.DUMMYFUNCTION("""COMPUTED_VALUE"""),"Hybrid")</f>
        <v>Hybrid</v>
      </c>
      <c r="E413" s="3" t="str">
        <f>IFERROR(__xludf.DUMMYFUNCTION("""COMPUTED_VALUE"""),"$62k - $80k")</f>
        <v>$62k - $80k</v>
      </c>
      <c r="F413" s="1" t="str">
        <f>IFERROR(__xludf.DUMMYFUNCTION("""COMPUTED_VALUE"""),"0 - 2")</f>
        <v>0 - 2</v>
      </c>
      <c r="G413" s="1" t="str">
        <f>IFERROR(__xludf.DUMMYFUNCTION("""COMPUTED_VALUE"""),"Pasadena, CA")</f>
        <v>Pasadena, CA</v>
      </c>
      <c r="H413" s="4" t="str">
        <f>IFERROR(__xludf.DUMMYFUNCTION("""COMPUTED_VALUE"""),"https://www.linkedin.com/posts/rocele-e-6654675b_were-hiring-for-a-data-assistant-this-person-activity-7234793068191793153-Wnvd?utm_source=share&amp;utm_medium=member_desktop")</f>
        <v>https://www.linkedin.com/posts/rocele-e-6654675b_were-hiring-for-a-data-assistant-this-person-activity-7234793068191793153-Wnvd?utm_source=share&amp;utm_medium=member_desktop</v>
      </c>
    </row>
    <row r="414">
      <c r="A414" s="2">
        <f>IFERROR(__xludf.DUMMYFUNCTION("""COMPUTED_VALUE"""),45533.0)</f>
        <v>45533</v>
      </c>
      <c r="B414" s="1" t="str">
        <f>IFERROR(__xludf.DUMMYFUNCTION("""COMPUTED_VALUE"""),"Bucks County Community College")</f>
        <v>Bucks County Community College</v>
      </c>
      <c r="C414" s="1" t="str">
        <f>IFERROR(__xludf.DUMMYFUNCTION("""COMPUTED_VALUE"""),"Data Analyst")</f>
        <v>Data Analyst</v>
      </c>
      <c r="D414" s="1" t="str">
        <f>IFERROR(__xludf.DUMMYFUNCTION("""COMPUTED_VALUE"""),"Hybrid")</f>
        <v>Hybrid</v>
      </c>
      <c r="E414" s="3" t="str">
        <f>IFERROR(__xludf.DUMMYFUNCTION("""COMPUTED_VALUE"""),"$56k - $71k")</f>
        <v>$56k - $71k</v>
      </c>
      <c r="F414" s="1" t="str">
        <f>IFERROR(__xludf.DUMMYFUNCTION("""COMPUTED_VALUE"""),"0 - 2")</f>
        <v>0 - 2</v>
      </c>
      <c r="G414" s="1" t="str">
        <f>IFERROR(__xludf.DUMMYFUNCTION("""COMPUTED_VALUE"""),"Newtown, PA")</f>
        <v>Newtown, PA</v>
      </c>
      <c r="H414" s="4" t="str">
        <f>IFERROR(__xludf.DUMMYFUNCTION("""COMPUTED_VALUE"""),"https://www.linkedin.com/posts/casey-kerins-64a58392_hello-everyone-my-team-is-hiring-a-data-activity-7234693502234673152--LbS?utm_source=share&amp;utm_medium=member_desktop")</f>
        <v>https://www.linkedin.com/posts/casey-kerins-64a58392_hello-everyone-my-team-is-hiring-a-data-activity-7234693502234673152--LbS?utm_source=share&amp;utm_medium=member_desktop</v>
      </c>
    </row>
    <row r="415">
      <c r="A415" s="2">
        <f>IFERROR(__xludf.DUMMYFUNCTION("""COMPUTED_VALUE"""),45533.0)</f>
        <v>45533</v>
      </c>
      <c r="B415" s="1" t="str">
        <f>IFERROR(__xludf.DUMMYFUNCTION("""COMPUTED_VALUE"""),"Amazon")</f>
        <v>Amazon</v>
      </c>
      <c r="C415" s="1" t="str">
        <f>IFERROR(__xludf.DUMMYFUNCTION("""COMPUTED_VALUE"""),"Business Analyst, Amazon Logistics, AMZL OTR Planning")</f>
        <v>Business Analyst, Amazon Logistics, AMZL OTR Planning</v>
      </c>
      <c r="D415" s="1" t="str">
        <f>IFERROR(__xludf.DUMMYFUNCTION("""COMPUTED_VALUE"""),"Hybrid")</f>
        <v>Hybrid</v>
      </c>
      <c r="E415" s="3" t="str">
        <f>IFERROR(__xludf.DUMMYFUNCTION("""COMPUTED_VALUE"""),"$67k - $143k")</f>
        <v>$67k - $143k</v>
      </c>
      <c r="F415" s="1" t="str">
        <f>IFERROR(__xludf.DUMMYFUNCTION("""COMPUTED_VALUE"""),"3 - 5")</f>
        <v>3 - 5</v>
      </c>
      <c r="G415" s="1" t="str">
        <f>IFERROR(__xludf.DUMMYFUNCTION("""COMPUTED_VALUE"""),"Certain Locations")</f>
        <v>Certain Locations</v>
      </c>
      <c r="H415" s="4" t="str">
        <f>IFERROR(__xludf.DUMMYFUNCTION("""COMPUTED_VALUE"""),"https://www.linkedin.com/posts/daniel-rood-4a4177114_hiring-activity-7234730145217941504-tgrT?utm_source=share&amp;utm_medium=member_desktop")</f>
        <v>https://www.linkedin.com/posts/daniel-rood-4a4177114_hiring-activity-7234730145217941504-tgrT?utm_source=share&amp;utm_medium=member_desktop</v>
      </c>
    </row>
    <row r="416">
      <c r="A416" s="2">
        <f>IFERROR(__xludf.DUMMYFUNCTION("""COMPUTED_VALUE"""),45533.0)</f>
        <v>45533</v>
      </c>
      <c r="B416" s="1" t="str">
        <f>IFERROR(__xludf.DUMMYFUNCTION("""COMPUTED_VALUE"""),"Affirm")</f>
        <v>Affirm</v>
      </c>
      <c r="C416" s="1" t="str">
        <f>IFERROR(__xludf.DUMMYFUNCTION("""COMPUTED_VALUE"""),"Analyst I, Fraud Strategy and Analytics")</f>
        <v>Analyst I, Fraud Strategy and Analytics</v>
      </c>
      <c r="D416" s="1" t="str">
        <f>IFERROR(__xludf.DUMMYFUNCTION("""COMPUTED_VALUE"""),"Remote")</f>
        <v>Remote</v>
      </c>
      <c r="E416" s="3" t="str">
        <f>IFERROR(__xludf.DUMMYFUNCTION("""COMPUTED_VALUE"""),"$102k - $155k")</f>
        <v>$102k - $155k</v>
      </c>
      <c r="F416" s="1" t="str">
        <f>IFERROR(__xludf.DUMMYFUNCTION("""COMPUTED_VALUE"""),"0 - 2")</f>
        <v>0 - 2</v>
      </c>
      <c r="G416" s="1" t="str">
        <f>IFERROR(__xludf.DUMMYFUNCTION("""COMPUTED_VALUE"""),"USA")</f>
        <v>USA</v>
      </c>
      <c r="H416" s="4" t="str">
        <f>IFERROR(__xludf.DUMMYFUNCTION("""COMPUTED_VALUE"""),"https://www.linkedin.com/posts/activity-7234913159558361088-uHQZ?utm_source=share&amp;utm_medium=member_desktop")</f>
        <v>https://www.linkedin.com/posts/activity-7234913159558361088-uHQZ?utm_source=share&amp;utm_medium=member_desktop</v>
      </c>
    </row>
    <row r="417">
      <c r="A417" s="2">
        <f>IFERROR(__xludf.DUMMYFUNCTION("""COMPUTED_VALUE"""),45533.0)</f>
        <v>45533</v>
      </c>
      <c r="B417" s="1" t="str">
        <f>IFERROR(__xludf.DUMMYFUNCTION("""COMPUTED_VALUE"""),"EmPRO Insurance")</f>
        <v>EmPRO Insurance</v>
      </c>
      <c r="C417" s="1" t="str">
        <f>IFERROR(__xludf.DUMMYFUNCTION("""COMPUTED_VALUE"""),"Business Analyst")</f>
        <v>Business Analyst</v>
      </c>
      <c r="D417" s="1" t="str">
        <f>IFERROR(__xludf.DUMMYFUNCTION("""COMPUTED_VALUE"""),"On-Site")</f>
        <v>On-Site</v>
      </c>
      <c r="E417" s="3" t="str">
        <f>IFERROR(__xludf.DUMMYFUNCTION("""COMPUTED_VALUE"""),"$65k - $75k")</f>
        <v>$65k - $75k</v>
      </c>
      <c r="F417" s="1" t="str">
        <f>IFERROR(__xludf.DUMMYFUNCTION("""COMPUTED_VALUE"""),"0 - 2")</f>
        <v>0 - 2</v>
      </c>
      <c r="G417" s="1" t="str">
        <f>IFERROR(__xludf.DUMMYFUNCTION("""COMPUTED_VALUE"""),"Roslyn, NY")</f>
        <v>Roslyn, NY</v>
      </c>
      <c r="H417" s="4" t="str">
        <f>IFERROR(__xludf.DUMMYFUNCTION("""COMPUTED_VALUE"""),"https://www.linkedin.com/posts/jade-gallagher_recruitment-activity-7234917293598687232-Q1o_?utm_source=share&amp;utm_medium=member_desktop")</f>
        <v>https://www.linkedin.com/posts/jade-gallagher_recruitment-activity-7234917293598687232-Q1o_?utm_source=share&amp;utm_medium=member_desktop</v>
      </c>
    </row>
    <row r="418">
      <c r="A418" s="2">
        <f>IFERROR(__xludf.DUMMYFUNCTION("""COMPUTED_VALUE"""),45533.0)</f>
        <v>45533</v>
      </c>
      <c r="B418" s="1" t="str">
        <f>IFERROR(__xludf.DUMMYFUNCTION("""COMPUTED_VALUE"""),"Homebase Medical")</f>
        <v>Homebase Medical</v>
      </c>
      <c r="C418" s="1" t="str">
        <f>IFERROR(__xludf.DUMMYFUNCTION("""COMPUTED_VALUE"""),"Sr. FP&amp;A Financial Analyst")</f>
        <v>Sr. FP&amp;A Financial Analyst</v>
      </c>
      <c r="D418" s="1" t="str">
        <f>IFERROR(__xludf.DUMMYFUNCTION("""COMPUTED_VALUE"""),"Remote")</f>
        <v>Remote</v>
      </c>
      <c r="E418" s="3" t="str">
        <f>IFERROR(__xludf.DUMMYFUNCTION("""COMPUTED_VALUE"""),"$80k - $128k")</f>
        <v>$80k - $128k</v>
      </c>
      <c r="F418" s="1" t="str">
        <f>IFERROR(__xludf.DUMMYFUNCTION("""COMPUTED_VALUE"""),"3 - 5")</f>
        <v>3 - 5</v>
      </c>
      <c r="G418" s="1" t="str">
        <f>IFERROR(__xludf.DUMMYFUNCTION("""COMPUTED_VALUE"""),"Certain Locations")</f>
        <v>Certain Locations</v>
      </c>
      <c r="H418" s="4" t="str">
        <f>IFERROR(__xludf.DUMMYFUNCTION("""COMPUTED_VALUE"""),"https://www.linkedin.com/posts/toby-wann_hiring-jobopportunity-financecareers-activity-7234904175736737792-iLG5?utm_source=share&amp;utm_medium=member_desktop")</f>
        <v>https://www.linkedin.com/posts/toby-wann_hiring-jobopportunity-financecareers-activity-7234904175736737792-iLG5?utm_source=share&amp;utm_medium=member_desktop</v>
      </c>
    </row>
    <row r="419">
      <c r="A419" s="2">
        <f>IFERROR(__xludf.DUMMYFUNCTION("""COMPUTED_VALUE"""),45533.0)</f>
        <v>45533</v>
      </c>
      <c r="B419" s="1" t="str">
        <f>IFERROR(__xludf.DUMMYFUNCTION("""COMPUTED_VALUE"""),"Cleartelligence")</f>
        <v>Cleartelligence</v>
      </c>
      <c r="C419" s="1" t="str">
        <f>IFERROR(__xludf.DUMMYFUNCTION("""COMPUTED_VALUE"""),"Lead Data Engineer")</f>
        <v>Lead Data Engineer</v>
      </c>
      <c r="D419" s="1" t="str">
        <f>IFERROR(__xludf.DUMMYFUNCTION("""COMPUTED_VALUE"""),"Remote")</f>
        <v>Remote</v>
      </c>
      <c r="E419" s="3" t="str">
        <f>IFERROR(__xludf.DUMMYFUNCTION("""COMPUTED_VALUE"""),"N/A")</f>
        <v>N/A</v>
      </c>
      <c r="F419" s="1" t="str">
        <f>IFERROR(__xludf.DUMMYFUNCTION("""COMPUTED_VALUE"""),"10 +")</f>
        <v>10 +</v>
      </c>
      <c r="G419" s="1" t="str">
        <f>IFERROR(__xludf.DUMMYFUNCTION("""COMPUTED_VALUE"""),"USA")</f>
        <v>USA</v>
      </c>
      <c r="H419" s="4" t="str">
        <f>IFERROR(__xludf.DUMMYFUNCTION("""COMPUTED_VALUE"""),"https://www.linkedin.com/posts/anil-bharadwa-2070161_hiring-activity-7234732112090714112-qNYN?utm_source=share&amp;utm_medium=member_desktop")</f>
        <v>https://www.linkedin.com/posts/anil-bharadwa-2070161_hiring-activity-7234732112090714112-qNYN?utm_source=share&amp;utm_medium=member_desktop</v>
      </c>
    </row>
    <row r="420">
      <c r="A420" s="2">
        <f>IFERROR(__xludf.DUMMYFUNCTION("""COMPUTED_VALUE"""),45533.0)</f>
        <v>45533</v>
      </c>
      <c r="B420" s="1" t="str">
        <f>IFERROR(__xludf.DUMMYFUNCTION("""COMPUTED_VALUE"""),"Ally Financial")</f>
        <v>Ally Financial</v>
      </c>
      <c r="C420" s="1" t="str">
        <f>IFERROR(__xludf.DUMMYFUNCTION("""COMPUTED_VALUE"""),"Consumer Auto Loss Forecasting - Senior Analyst")</f>
        <v>Consumer Auto Loss Forecasting - Senior Analyst</v>
      </c>
      <c r="D420" s="1" t="str">
        <f>IFERROR(__xludf.DUMMYFUNCTION("""COMPUTED_VALUE"""),"Hybrid")</f>
        <v>Hybrid</v>
      </c>
      <c r="E420" s="3" t="str">
        <f>IFERROR(__xludf.DUMMYFUNCTION("""COMPUTED_VALUE"""),"$85k - $150k")</f>
        <v>$85k - $150k</v>
      </c>
      <c r="F420" s="1" t="str">
        <f>IFERROR(__xludf.DUMMYFUNCTION("""COMPUTED_VALUE"""),"3 - 5")</f>
        <v>3 - 5</v>
      </c>
      <c r="G420" s="1" t="str">
        <f>IFERROR(__xludf.DUMMYFUNCTION("""COMPUTED_VALUE"""),"Certain Locations")</f>
        <v>Certain Locations</v>
      </c>
      <c r="H420" s="4" t="str">
        <f>IFERROR(__xludf.DUMMYFUNCTION("""COMPUTED_VALUE"""),"https://www.linkedin.com/posts/tommyanthony_consumer-auto-loss-forecasting-senior-analyst-activity-7231408039159869440-Tj0l?utm_source=share&amp;utm_medium=member_desktop")</f>
        <v>https://www.linkedin.com/posts/tommyanthony_consumer-auto-loss-forecasting-senior-analyst-activity-7231408039159869440-Tj0l?utm_source=share&amp;utm_medium=member_desktop</v>
      </c>
    </row>
    <row r="421">
      <c r="A421" s="2">
        <f>IFERROR(__xludf.DUMMYFUNCTION("""COMPUTED_VALUE"""),45533.0)</f>
        <v>45533</v>
      </c>
      <c r="B421" s="1" t="str">
        <f>IFERROR(__xludf.DUMMYFUNCTION("""COMPUTED_VALUE"""),"ICF")</f>
        <v>ICF</v>
      </c>
      <c r="C421" s="1" t="str">
        <f>IFERROR(__xludf.DUMMYFUNCTION("""COMPUTED_VALUE"""),"Senior Data Analyst")</f>
        <v>Senior Data Analyst</v>
      </c>
      <c r="D421" s="1" t="str">
        <f>IFERROR(__xludf.DUMMYFUNCTION("""COMPUTED_VALUE"""),"Remote")</f>
        <v>Remote</v>
      </c>
      <c r="E421" s="3" t="str">
        <f>IFERROR(__xludf.DUMMYFUNCTION("""COMPUTED_VALUE"""),"$72k - $123k")</f>
        <v>$72k - $123k</v>
      </c>
      <c r="F421" s="1" t="str">
        <f>IFERROR(__xludf.DUMMYFUNCTION("""COMPUTED_VALUE"""),"3 - 5")</f>
        <v>3 - 5</v>
      </c>
      <c r="G421" s="1" t="str">
        <f>IFERROR(__xludf.DUMMYFUNCTION("""COMPUTED_VALUE"""),"New Jersey")</f>
        <v>New Jersey</v>
      </c>
      <c r="H421" s="4" t="str">
        <f>IFERROR(__xludf.DUMMYFUNCTION("""COMPUTED_VALUE"""),"https://www.linkedin.com/posts/rachelbarocas_hiring-activity-7234559842504339457-1D6j?utm_source=share&amp;utm_medium=member_desktop")</f>
        <v>https://www.linkedin.com/posts/rachelbarocas_hiring-activity-7234559842504339457-1D6j?utm_source=share&amp;utm_medium=member_desktop</v>
      </c>
    </row>
    <row r="422">
      <c r="A422" s="2">
        <f>IFERROR(__xludf.DUMMYFUNCTION("""COMPUTED_VALUE"""),45533.0)</f>
        <v>45533</v>
      </c>
      <c r="B422" s="1" t="str">
        <f>IFERROR(__xludf.DUMMYFUNCTION("""COMPUTED_VALUE"""),"Community Health Choice")</f>
        <v>Community Health Choice</v>
      </c>
      <c r="C422" s="1" t="str">
        <f>IFERROR(__xludf.DUMMYFUNCTION("""COMPUTED_VALUE"""),"Financial Decision Support Analyst (Financial Analysis)")</f>
        <v>Financial Decision Support Analyst (Financial Analysis)</v>
      </c>
      <c r="D422" s="1" t="str">
        <f>IFERROR(__xludf.DUMMYFUNCTION("""COMPUTED_VALUE"""),"Hybrid")</f>
        <v>Hybrid</v>
      </c>
      <c r="E422" s="3" t="str">
        <f>IFERROR(__xludf.DUMMYFUNCTION("""COMPUTED_VALUE"""),"N/A")</f>
        <v>N/A</v>
      </c>
      <c r="F422" s="1" t="str">
        <f>IFERROR(__xludf.DUMMYFUNCTION("""COMPUTED_VALUE"""),"3 - 5")</f>
        <v>3 - 5</v>
      </c>
      <c r="G422" s="1" t="str">
        <f>IFERROR(__xludf.DUMMYFUNCTION("""COMPUTED_VALUE"""),"Houston, TX")</f>
        <v>Houston, TX</v>
      </c>
      <c r="H422" s="4" t="str">
        <f>IFERROR(__xludf.DUMMYFUNCTION("""COMPUTED_VALUE"""),"https://www.linkedin.com/posts/sunita-saksena-cdr-8893486_finance-budgeting-dataanalysis-activity-7234615686071734274-vtUV?utm_source=share&amp;utm_medium=member_desktop")</f>
        <v>https://www.linkedin.com/posts/sunita-saksena-cdr-8893486_finance-budgeting-dataanalysis-activity-7234615686071734274-vtUV?utm_source=share&amp;utm_medium=member_desktop</v>
      </c>
    </row>
    <row r="423">
      <c r="A423" s="2">
        <f>IFERROR(__xludf.DUMMYFUNCTION("""COMPUTED_VALUE"""),45533.0)</f>
        <v>45533</v>
      </c>
      <c r="B423" s="1" t="str">
        <f>IFERROR(__xludf.DUMMYFUNCTION("""COMPUTED_VALUE"""),"Rush")</f>
        <v>Rush</v>
      </c>
      <c r="C423" s="1" t="str">
        <f>IFERROR(__xludf.DUMMYFUNCTION("""COMPUTED_VALUE"""),"Clinical Data Analyst")</f>
        <v>Clinical Data Analyst</v>
      </c>
      <c r="D423" s="1" t="str">
        <f>IFERROR(__xludf.DUMMYFUNCTION("""COMPUTED_VALUE"""),"On-Site")</f>
        <v>On-Site</v>
      </c>
      <c r="E423" s="3" t="str">
        <f>IFERROR(__xludf.DUMMYFUNCTION("""COMPUTED_VALUE"""),"N/A")</f>
        <v>N/A</v>
      </c>
      <c r="F423" s="1" t="str">
        <f>IFERROR(__xludf.DUMMYFUNCTION("""COMPUTED_VALUE"""),"3 - 5")</f>
        <v>3 - 5</v>
      </c>
      <c r="G423" s="1" t="str">
        <f>IFERROR(__xludf.DUMMYFUNCTION("""COMPUTED_VALUE"""),"Chicago, IL")</f>
        <v>Chicago, IL</v>
      </c>
      <c r="H423" s="4" t="str">
        <f>IFERROR(__xludf.DUMMYFUNCTION("""COMPUTED_VALUE"""),"https://www.linkedin.com/posts/charnette-mcknight-70a91b2a_joinus-joinrush-activity-7234687873696866305-PvRq?utm_source=share&amp;utm_medium=member_desktop")</f>
        <v>https://www.linkedin.com/posts/charnette-mcknight-70a91b2a_joinus-joinrush-activity-7234687873696866305-PvRq?utm_source=share&amp;utm_medium=member_desktop</v>
      </c>
    </row>
    <row r="424">
      <c r="A424" s="2">
        <f>IFERROR(__xludf.DUMMYFUNCTION("""COMPUTED_VALUE"""),45533.0)</f>
        <v>45533</v>
      </c>
      <c r="B424" s="1" t="str">
        <f>IFERROR(__xludf.DUMMYFUNCTION("""COMPUTED_VALUE"""),"McKinstry")</f>
        <v>McKinstry</v>
      </c>
      <c r="C424" s="1" t="str">
        <f>IFERROR(__xludf.DUMMYFUNCTION("""COMPUTED_VALUE"""),"Senior Compensation Analyst")</f>
        <v>Senior Compensation Analyst</v>
      </c>
      <c r="D424" s="1" t="str">
        <f>IFERROR(__xludf.DUMMYFUNCTION("""COMPUTED_VALUE"""),"Remote")</f>
        <v>Remote</v>
      </c>
      <c r="E424" s="3" t="str">
        <f>IFERROR(__xludf.DUMMYFUNCTION("""COMPUTED_VALUE"""),"$89k - $134k")</f>
        <v>$89k - $134k</v>
      </c>
      <c r="F424" s="1" t="str">
        <f>IFERROR(__xludf.DUMMYFUNCTION("""COMPUTED_VALUE"""),"3 - 5")</f>
        <v>3 - 5</v>
      </c>
      <c r="G424" s="1" t="str">
        <f>IFERROR(__xludf.DUMMYFUNCTION("""COMPUTED_VALUE"""),"USA")</f>
        <v>USA</v>
      </c>
      <c r="H424" s="4" t="str">
        <f>IFERROR(__xludf.DUMMYFUNCTION("""COMPUTED_VALUE"""),"https://www.linkedin.com/posts/ugcPost-7234707199690711040-Bsgj?utm_source=share&amp;utm_medium=member_desktop")</f>
        <v>https://www.linkedin.com/posts/ugcPost-7234707199690711040-Bsgj?utm_source=share&amp;utm_medium=member_desktop</v>
      </c>
    </row>
    <row r="425">
      <c r="A425" s="2">
        <f>IFERROR(__xludf.DUMMYFUNCTION("""COMPUTED_VALUE"""),45533.0)</f>
        <v>45533</v>
      </c>
      <c r="B425" s="1" t="str">
        <f>IFERROR(__xludf.DUMMYFUNCTION("""COMPUTED_VALUE"""),"GitLab")</f>
        <v>GitLab</v>
      </c>
      <c r="C425" s="1" t="str">
        <f>IFERROR(__xludf.DUMMYFUNCTION("""COMPUTED_VALUE"""),"Senior Marketing Analyst (Sales Development)")</f>
        <v>Senior Marketing Analyst (Sales Development)</v>
      </c>
      <c r="D425" s="1" t="str">
        <f>IFERROR(__xludf.DUMMYFUNCTION("""COMPUTED_VALUE"""),"Remote")</f>
        <v>Remote</v>
      </c>
      <c r="E425" s="3" t="str">
        <f>IFERROR(__xludf.DUMMYFUNCTION("""COMPUTED_VALUE"""),"$91k - $194k")</f>
        <v>$91k - $194k</v>
      </c>
      <c r="F425" s="1" t="str">
        <f>IFERROR(__xludf.DUMMYFUNCTION("""COMPUTED_VALUE"""),"3 - 5")</f>
        <v>3 - 5</v>
      </c>
      <c r="G425" s="1" t="str">
        <f>IFERROR(__xludf.DUMMYFUNCTION("""COMPUTED_VALUE"""),"USA")</f>
        <v>USA</v>
      </c>
      <c r="H425" s="4" t="str">
        <f>IFERROR(__xludf.DUMMYFUNCTION("""COMPUTED_VALUE"""),"https://www.linkedin.com/posts/violahempel_hiring-ugcPost-7234280356198162432-boll?utm_source=share&amp;utm_medium=member_desktop")</f>
        <v>https://www.linkedin.com/posts/violahempel_hiring-ugcPost-7234280356198162432-boll?utm_source=share&amp;utm_medium=member_desktop</v>
      </c>
    </row>
    <row r="426">
      <c r="A426" s="2">
        <f>IFERROR(__xludf.DUMMYFUNCTION("""COMPUTED_VALUE"""),45533.0)</f>
        <v>45533</v>
      </c>
      <c r="B426" s="1" t="str">
        <f>IFERROR(__xludf.DUMMYFUNCTION("""COMPUTED_VALUE"""),"Discord")</f>
        <v>Discord</v>
      </c>
      <c r="C426" s="1" t="str">
        <f>IFERROR(__xludf.DUMMYFUNCTION("""COMPUTED_VALUE"""),"Staff Data Scientist, Analytics - Notifications")</f>
        <v>Staff Data Scientist, Analytics - Notifications</v>
      </c>
      <c r="D426" s="1" t="str">
        <f>IFERROR(__xludf.DUMMYFUNCTION("""COMPUTED_VALUE"""),"Remote")</f>
        <v>Remote</v>
      </c>
      <c r="E426" s="3" t="str">
        <f>IFERROR(__xludf.DUMMYFUNCTION("""COMPUTED_VALUE"""),"$223k - $246k")</f>
        <v>$223k - $246k</v>
      </c>
      <c r="F426" s="1" t="str">
        <f>IFERROR(__xludf.DUMMYFUNCTION("""COMPUTED_VALUE"""),"6 - 9")</f>
        <v>6 - 9</v>
      </c>
      <c r="G426" s="1" t="str">
        <f>IFERROR(__xludf.DUMMYFUNCTION("""COMPUTED_VALUE"""),"USA")</f>
        <v>USA</v>
      </c>
      <c r="H426" s="4" t="str">
        <f>IFERROR(__xludf.DUMMYFUNCTION("""COMPUTED_VALUE"""),"https://www.linkedin.com/posts/ilhyvmvm_discord-staff-data-scientist-analytics-activity-7234646168129941504-d8ce?utm_source=share&amp;utm_medium=member_desktop")</f>
        <v>https://www.linkedin.com/posts/ilhyvmvm_discord-staff-data-scientist-analytics-activity-7234646168129941504-d8ce?utm_source=share&amp;utm_medium=member_desktop</v>
      </c>
    </row>
    <row r="427">
      <c r="A427" s="2">
        <f>IFERROR(__xludf.DUMMYFUNCTION("""COMPUTED_VALUE"""),45533.0)</f>
        <v>45533</v>
      </c>
      <c r="B427" s="1" t="str">
        <f>IFERROR(__xludf.DUMMYFUNCTION("""COMPUTED_VALUE"""),"GitLab")</f>
        <v>GitLab</v>
      </c>
      <c r="C427" s="1" t="str">
        <f>IFERROR(__xludf.DUMMYFUNCTION("""COMPUTED_VALUE"""),"Senior Financial Analyst, Strategic Finance")</f>
        <v>Senior Financial Analyst, Strategic Finance</v>
      </c>
      <c r="D427" s="1" t="str">
        <f>IFERROR(__xludf.DUMMYFUNCTION("""COMPUTED_VALUE"""),"Remote")</f>
        <v>Remote</v>
      </c>
      <c r="E427" s="3" t="str">
        <f>IFERROR(__xludf.DUMMYFUNCTION("""COMPUTED_VALUE"""),"$91k - $194k")</f>
        <v>$91k - $194k</v>
      </c>
      <c r="F427" s="1" t="str">
        <f>IFERROR(__xludf.DUMMYFUNCTION("""COMPUTED_VALUE"""),"3 - 5")</f>
        <v>3 - 5</v>
      </c>
      <c r="G427" s="1" t="str">
        <f>IFERROR(__xludf.DUMMYFUNCTION("""COMPUTED_VALUE"""),"USA")</f>
        <v>USA</v>
      </c>
      <c r="H427" s="4" t="str">
        <f>IFERROR(__xludf.DUMMYFUNCTION("""COMPUTED_VALUE"""),"https://www.linkedin.com/posts/ugcPost-7232371993231212545-SVOU?utm_source=share&amp;utm_medium=member_desktop")</f>
        <v>https://www.linkedin.com/posts/ugcPost-7232371993231212545-SVOU?utm_source=share&amp;utm_medium=member_desktop</v>
      </c>
    </row>
    <row r="428">
      <c r="A428" s="2">
        <f>IFERROR(__xludf.DUMMYFUNCTION("""COMPUTED_VALUE"""),45533.0)</f>
        <v>45533</v>
      </c>
      <c r="B428" s="1" t="str">
        <f>IFERROR(__xludf.DUMMYFUNCTION("""COMPUTED_VALUE"""),"Hinge Health")</f>
        <v>Hinge Health</v>
      </c>
      <c r="C428" s="1" t="str">
        <f>IFERROR(__xludf.DUMMYFUNCTION("""COMPUTED_VALUE"""),"Staff Data Scientist, Growth")</f>
        <v>Staff Data Scientist, Growth</v>
      </c>
      <c r="D428" s="1" t="str">
        <f>IFERROR(__xludf.DUMMYFUNCTION("""COMPUTED_VALUE"""),"Hybrid")</f>
        <v>Hybrid</v>
      </c>
      <c r="E428" s="3" t="str">
        <f>IFERROR(__xludf.DUMMYFUNCTION("""COMPUTED_VALUE"""),"$182k - $274k")</f>
        <v>$182k - $274k</v>
      </c>
      <c r="F428" s="1" t="str">
        <f>IFERROR(__xludf.DUMMYFUNCTION("""COMPUTED_VALUE"""),"6 - 9")</f>
        <v>6 - 9</v>
      </c>
      <c r="G428" s="1" t="str">
        <f>IFERROR(__xludf.DUMMYFUNCTION("""COMPUTED_VALUE"""),"San Francisco, CA")</f>
        <v>San Francisco, CA</v>
      </c>
      <c r="H428" s="4" t="str">
        <f>IFERROR(__xludf.DUMMYFUNCTION("""COMPUTED_VALUE"""),"https://www.linkedin.com/posts/harshad-shrikhande-01bb9721_staff-data-scientist-growth-in-san-francisco-activity-7234662014801825792-cnMU?utm_source=share&amp;utm_medium=member_desktop")</f>
        <v>https://www.linkedin.com/posts/harshad-shrikhande-01bb9721_staff-data-scientist-growth-in-san-francisco-activity-7234662014801825792-cnMU?utm_source=share&amp;utm_medium=member_desktop</v>
      </c>
    </row>
    <row r="429">
      <c r="A429" s="2">
        <f>IFERROR(__xludf.DUMMYFUNCTION("""COMPUTED_VALUE"""),45533.0)</f>
        <v>45533</v>
      </c>
      <c r="B429" s="1" t="str">
        <f>IFERROR(__xludf.DUMMYFUNCTION("""COMPUTED_VALUE"""),"Constant Contact")</f>
        <v>Constant Contact</v>
      </c>
      <c r="C429" s="1" t="str">
        <f>IFERROR(__xludf.DUMMYFUNCTION("""COMPUTED_VALUE"""),"HR Data Analyst")</f>
        <v>HR Data Analyst</v>
      </c>
      <c r="D429" s="1" t="str">
        <f>IFERROR(__xludf.DUMMYFUNCTION("""COMPUTED_VALUE"""),"Hybrid")</f>
        <v>Hybrid</v>
      </c>
      <c r="E429" s="3" t="str">
        <f>IFERROR(__xludf.DUMMYFUNCTION("""COMPUTED_VALUE"""),"$60k - $76k")</f>
        <v>$60k - $76k</v>
      </c>
      <c r="F429" s="1" t="str">
        <f>IFERROR(__xludf.DUMMYFUNCTION("""COMPUTED_VALUE"""),"3 - 5")</f>
        <v>3 - 5</v>
      </c>
      <c r="G429" s="1" t="str">
        <f>IFERROR(__xludf.DUMMYFUNCTION("""COMPUTED_VALUE"""),"Waltham, MA")</f>
        <v>Waltham, MA</v>
      </c>
      <c r="H429" s="4" t="str">
        <f>IFERROR(__xludf.DUMMYFUNCTION("""COMPUTED_VALUE"""),"https://www.linkedin.com/posts/activity-7234555197958594561-MVC_?utm_source=share&amp;utm_medium=member_desktop")</f>
        <v>https://www.linkedin.com/posts/activity-7234555197958594561-MVC_?utm_source=share&amp;utm_medium=member_desktop</v>
      </c>
    </row>
    <row r="430">
      <c r="A430" s="2">
        <f>IFERROR(__xludf.DUMMYFUNCTION("""COMPUTED_VALUE"""),45533.0)</f>
        <v>45533</v>
      </c>
      <c r="B430" s="1" t="str">
        <f>IFERROR(__xludf.DUMMYFUNCTION("""COMPUTED_VALUE"""),"BlueVoyant")</f>
        <v>BlueVoyant</v>
      </c>
      <c r="C430" s="1" t="str">
        <f>IFERROR(__xludf.DUMMYFUNCTION("""COMPUTED_VALUE"""),"Jr. Data Analyst")</f>
        <v>Jr. Data Analyst</v>
      </c>
      <c r="D430" s="1" t="str">
        <f>IFERROR(__xludf.DUMMYFUNCTION("""COMPUTED_VALUE"""),"Hybrid")</f>
        <v>Hybrid</v>
      </c>
      <c r="E430" s="3" t="str">
        <f>IFERROR(__xludf.DUMMYFUNCTION("""COMPUTED_VALUE"""),"N/A")</f>
        <v>N/A</v>
      </c>
      <c r="F430" s="1" t="str">
        <f>IFERROR(__xludf.DUMMYFUNCTION("""COMPUTED_VALUE"""),"0 - 2")</f>
        <v>0 - 2</v>
      </c>
      <c r="G430" s="1" t="str">
        <f>IFERROR(__xludf.DUMMYFUNCTION("""COMPUTED_VALUE"""),"Washington, DC")</f>
        <v>Washington, DC</v>
      </c>
      <c r="H430" s="4" t="str">
        <f>IFERROR(__xludf.DUMMYFUNCTION("""COMPUTED_VALUE"""),"https://www.linkedin.com/posts/darshayblount_dataanalyst-hiring-jobopportunity-activity-7234559596047044611-7_yE?utm_source=share&amp;utm_medium=member_desktop")</f>
        <v>https://www.linkedin.com/posts/darshayblount_dataanalyst-hiring-jobopportunity-activity-7234559596047044611-7_yE?utm_source=share&amp;utm_medium=member_desktop</v>
      </c>
    </row>
    <row r="431">
      <c r="A431" s="2">
        <f>IFERROR(__xludf.DUMMYFUNCTION("""COMPUTED_VALUE"""),45533.0)</f>
        <v>45533</v>
      </c>
      <c r="B431" s="1" t="str">
        <f>IFERROR(__xludf.DUMMYFUNCTION("""COMPUTED_VALUE"""),"Workhuman")</f>
        <v>Workhuman</v>
      </c>
      <c r="C431" s="1" t="str">
        <f>IFERROR(__xludf.DUMMYFUNCTION("""COMPUTED_VALUE"""),"Senior People Data Scientist")</f>
        <v>Senior People Data Scientist</v>
      </c>
      <c r="D431" s="1" t="str">
        <f>IFERROR(__xludf.DUMMYFUNCTION("""COMPUTED_VALUE"""),"Hybrid")</f>
        <v>Hybrid</v>
      </c>
      <c r="E431" s="3" t="str">
        <f>IFERROR(__xludf.DUMMYFUNCTION("""COMPUTED_VALUE"""),"N/A")</f>
        <v>N/A</v>
      </c>
      <c r="F431" s="1" t="str">
        <f>IFERROR(__xludf.DUMMYFUNCTION("""COMPUTED_VALUE"""),"3 - 5")</f>
        <v>3 - 5</v>
      </c>
      <c r="G431" s="1" t="str">
        <f>IFERROR(__xludf.DUMMYFUNCTION("""COMPUTED_VALUE"""),"Framingham, MA")</f>
        <v>Framingham, MA</v>
      </c>
      <c r="H431" s="4" t="str">
        <f>IFERROR(__xludf.DUMMYFUNCTION("""COMPUTED_VALUE"""),"https://www.linkedin.com/posts/julian-wright_my-team-is-hiring-were-looking-for-a-senior-activity-7234660954691489795-O-55?utm_source=share&amp;utm_medium=member_desktop")</f>
        <v>https://www.linkedin.com/posts/julian-wright_my-team-is-hiring-were-looking-for-a-senior-activity-7234660954691489795-O-55?utm_source=share&amp;utm_medium=member_desktop</v>
      </c>
    </row>
    <row r="432">
      <c r="A432" s="2">
        <f>IFERROR(__xludf.DUMMYFUNCTION("""COMPUTED_VALUE"""),45533.0)</f>
        <v>45533</v>
      </c>
      <c r="B432" s="1" t="str">
        <f>IFERROR(__xludf.DUMMYFUNCTION("""COMPUTED_VALUE"""),"GM Financial")</f>
        <v>GM Financial</v>
      </c>
      <c r="C432" s="1" t="str">
        <f>IFERROR(__xludf.DUMMYFUNCTION("""COMPUTED_VALUE"""),"Data Analyst II")</f>
        <v>Data Analyst II</v>
      </c>
      <c r="D432" s="1" t="str">
        <f>IFERROR(__xludf.DUMMYFUNCTION("""COMPUTED_VALUE"""),"Hybrid")</f>
        <v>Hybrid</v>
      </c>
      <c r="E432" s="3" t="str">
        <f>IFERROR(__xludf.DUMMYFUNCTION("""COMPUTED_VALUE"""),"N/A")</f>
        <v>N/A</v>
      </c>
      <c r="F432" s="1" t="str">
        <f>IFERROR(__xludf.DUMMYFUNCTION("""COMPUTED_VALUE"""),"0 - 2")</f>
        <v>0 - 2</v>
      </c>
      <c r="G432" s="1" t="str">
        <f>IFERROR(__xludf.DUMMYFUNCTION("""COMPUTED_VALUE"""),"Irving, TX")</f>
        <v>Irving, TX</v>
      </c>
      <c r="H432" s="4" t="str">
        <f>IFERROR(__xludf.DUMMYFUNCTION("""COMPUTED_VALUE"""),"https://www.linkedin.com/posts/carissa-junger-53493bab_my-team-is-hiring-if-you-enjoy-activity-7234733989737963520-WzDH?utm_source=share&amp;utm_medium=member_desktop")</f>
        <v>https://www.linkedin.com/posts/carissa-junger-53493bab_my-team-is-hiring-if-you-enjoy-activity-7234733989737963520-WzDH?utm_source=share&amp;utm_medium=member_desktop</v>
      </c>
    </row>
    <row r="433">
      <c r="A433" s="2">
        <f>IFERROR(__xludf.DUMMYFUNCTION("""COMPUTED_VALUE"""),45532.0)</f>
        <v>45532</v>
      </c>
      <c r="B433" s="1" t="str">
        <f>IFERROR(__xludf.DUMMYFUNCTION("""COMPUTED_VALUE"""),"Zocdoc")</f>
        <v>Zocdoc</v>
      </c>
      <c r="C433" s="1" t="str">
        <f>IFERROR(__xludf.DUMMYFUNCTION("""COMPUTED_VALUE"""),"Principal Data Scientist")</f>
        <v>Principal Data Scientist</v>
      </c>
      <c r="D433" s="1" t="str">
        <f>IFERROR(__xludf.DUMMYFUNCTION("""COMPUTED_VALUE"""),"Hybrid")</f>
        <v>Hybrid</v>
      </c>
      <c r="E433" s="3" t="str">
        <f>IFERROR(__xludf.DUMMYFUNCTION("""COMPUTED_VALUE"""),"$177k - $239k")</f>
        <v>$177k - $239k</v>
      </c>
      <c r="F433" s="1" t="str">
        <f>IFERROR(__xludf.DUMMYFUNCTION("""COMPUTED_VALUE"""),"6 - 9")</f>
        <v>6 - 9</v>
      </c>
      <c r="G433" s="1" t="str">
        <f>IFERROR(__xludf.DUMMYFUNCTION("""COMPUTED_VALUE"""),"New York, NY")</f>
        <v>New York, NY</v>
      </c>
      <c r="H433" s="4" t="str">
        <f>IFERROR(__xludf.DUMMYFUNCTION("""COMPUTED_VALUE"""),"https://www.linkedin.com/posts/nicolasfinger_careers-at-zocdoc-activity-7234508584238157824-NhQp?utm_source=share&amp;utm_medium=member_desktop")</f>
        <v>https://www.linkedin.com/posts/nicolasfinger_careers-at-zocdoc-activity-7234508584238157824-NhQp?utm_source=share&amp;utm_medium=member_desktop</v>
      </c>
    </row>
    <row r="434">
      <c r="A434" s="2">
        <f>IFERROR(__xludf.DUMMYFUNCTION("""COMPUTED_VALUE"""),45532.0)</f>
        <v>45532</v>
      </c>
      <c r="B434" s="1" t="str">
        <f>IFERROR(__xludf.DUMMYFUNCTION("""COMPUTED_VALUE"""),"Zocdoc")</f>
        <v>Zocdoc</v>
      </c>
      <c r="C434" s="1" t="str">
        <f>IFERROR(__xludf.DUMMYFUNCTION("""COMPUTED_VALUE"""),"Senior Product Analyst")</f>
        <v>Senior Product Analyst</v>
      </c>
      <c r="D434" s="1" t="str">
        <f>IFERROR(__xludf.DUMMYFUNCTION("""COMPUTED_VALUE"""),"Hybrid")</f>
        <v>Hybrid</v>
      </c>
      <c r="E434" s="3" t="str">
        <f>IFERROR(__xludf.DUMMYFUNCTION("""COMPUTED_VALUE"""),"$128k - $152k")</f>
        <v>$128k - $152k</v>
      </c>
      <c r="F434" s="1" t="str">
        <f>IFERROR(__xludf.DUMMYFUNCTION("""COMPUTED_VALUE"""),"3 - 5")</f>
        <v>3 - 5</v>
      </c>
      <c r="G434" s="1" t="str">
        <f>IFERROR(__xludf.DUMMYFUNCTION("""COMPUTED_VALUE"""),"New York, NY")</f>
        <v>New York, NY</v>
      </c>
      <c r="H434" s="4" t="str">
        <f>IFERROR(__xludf.DUMMYFUNCTION("""COMPUTED_VALUE"""),"https://www.linkedin.com/posts/nicolasfinger_careers-at-zocdoc-activity-7234508584238157824-NhQp?utm_source=share&amp;utm_medium=member_desktop")</f>
        <v>https://www.linkedin.com/posts/nicolasfinger_careers-at-zocdoc-activity-7234508584238157824-NhQp?utm_source=share&amp;utm_medium=member_desktop</v>
      </c>
    </row>
    <row r="435">
      <c r="A435" s="2">
        <f>IFERROR(__xludf.DUMMYFUNCTION("""COMPUTED_VALUE"""),45532.0)</f>
        <v>45532</v>
      </c>
      <c r="B435" s="1" t="str">
        <f>IFERROR(__xludf.DUMMYFUNCTION("""COMPUTED_VALUE"""),"Whatnot")</f>
        <v>Whatnot</v>
      </c>
      <c r="C435" s="1" t="str">
        <f>IFERROR(__xludf.DUMMYFUNCTION("""COMPUTED_VALUE"""),"Strategic Finance Associate")</f>
        <v>Strategic Finance Associate</v>
      </c>
      <c r="D435" s="1" t="str">
        <f>IFERROR(__xludf.DUMMYFUNCTION("""COMPUTED_VALUE"""),"Remote")</f>
        <v>Remote</v>
      </c>
      <c r="E435" s="3" t="str">
        <f>IFERROR(__xludf.DUMMYFUNCTION("""COMPUTED_VALUE"""),"$135k - $150k")</f>
        <v>$135k - $150k</v>
      </c>
      <c r="F435" s="1" t="str">
        <f>IFERROR(__xludf.DUMMYFUNCTION("""COMPUTED_VALUE"""),"3 - 5")</f>
        <v>3 - 5</v>
      </c>
      <c r="G435" s="1" t="str">
        <f>IFERROR(__xludf.DUMMYFUNCTION("""COMPUTED_VALUE"""),"USA")</f>
        <v>USA</v>
      </c>
      <c r="H435" s="4" t="str">
        <f>IFERROR(__xludf.DUMMYFUNCTION("""COMPUTED_VALUE"""),"https://www.linkedin.com/posts/zizizhang_were-hiring-join-our-mighty-strategic-activity-7234566405919006720-9DgN?utm_source=share&amp;utm_medium=member_desktop")</f>
        <v>https://www.linkedin.com/posts/zizizhang_were-hiring-join-our-mighty-strategic-activity-7234566405919006720-9DgN?utm_source=share&amp;utm_medium=member_desktop</v>
      </c>
    </row>
    <row r="436">
      <c r="A436" s="2">
        <f>IFERROR(__xludf.DUMMYFUNCTION("""COMPUTED_VALUE"""),45532.0)</f>
        <v>45532</v>
      </c>
      <c r="B436" s="1" t="str">
        <f>IFERROR(__xludf.DUMMYFUNCTION("""COMPUTED_VALUE"""),"Out Teach")</f>
        <v>Out Teach</v>
      </c>
      <c r="C436" s="1" t="str">
        <f>IFERROR(__xludf.DUMMYFUNCTION("""COMPUTED_VALUE"""),"Data Manager")</f>
        <v>Data Manager</v>
      </c>
      <c r="D436" s="1" t="str">
        <f>IFERROR(__xludf.DUMMYFUNCTION("""COMPUTED_VALUE"""),"Remote")</f>
        <v>Remote</v>
      </c>
      <c r="E436" s="3" t="str">
        <f>IFERROR(__xludf.DUMMYFUNCTION("""COMPUTED_VALUE"""),"$60k - $80k")</f>
        <v>$60k - $80k</v>
      </c>
      <c r="F436" s="1" t="str">
        <f>IFERROR(__xludf.DUMMYFUNCTION("""COMPUTED_VALUE"""),"3 - 5")</f>
        <v>3 - 5</v>
      </c>
      <c r="G436" s="1" t="str">
        <f>IFERROR(__xludf.DUMMYFUNCTION("""COMPUTED_VALUE"""),"USA")</f>
        <v>USA</v>
      </c>
      <c r="H436" s="4" t="str">
        <f>IFERROR(__xludf.DUMMYFUNCTION("""COMPUTED_VALUE"""),"https://www.linkedin.com/posts/brielle-siskin-13b17a70_hiring-activity-7234716714624512000-orCG?utm_source=share&amp;utm_medium=member_desktop")</f>
        <v>https://www.linkedin.com/posts/brielle-siskin-13b17a70_hiring-activity-7234716714624512000-orCG?utm_source=share&amp;utm_medium=member_desktop</v>
      </c>
    </row>
    <row r="437">
      <c r="A437" s="2">
        <f>IFERROR(__xludf.DUMMYFUNCTION("""COMPUTED_VALUE"""),45532.0)</f>
        <v>45532</v>
      </c>
      <c r="B437" s="1" t="str">
        <f>IFERROR(__xludf.DUMMYFUNCTION("""COMPUTED_VALUE"""),"Brite Consulting")</f>
        <v>Brite Consulting</v>
      </c>
      <c r="C437" s="1" t="str">
        <f>IFERROR(__xludf.DUMMYFUNCTION("""COMPUTED_VALUE"""),"Junior Data Analyst (Tableau)")</f>
        <v>Junior Data Analyst (Tableau)</v>
      </c>
      <c r="D437" s="1" t="str">
        <f>IFERROR(__xludf.DUMMYFUNCTION("""COMPUTED_VALUE"""),"Hybrid")</f>
        <v>Hybrid</v>
      </c>
      <c r="E437" s="3" t="str">
        <f>IFERROR(__xludf.DUMMYFUNCTION("""COMPUTED_VALUE"""),"N/A")</f>
        <v>N/A</v>
      </c>
      <c r="F437" s="1" t="str">
        <f>IFERROR(__xludf.DUMMYFUNCTION("""COMPUTED_VALUE"""),"0 - 2")</f>
        <v>0 - 2</v>
      </c>
      <c r="G437" s="1" t="str">
        <f>IFERROR(__xludf.DUMMYFUNCTION("""COMPUTED_VALUE"""),"San Antonio, TX")</f>
        <v>San Antonio, TX</v>
      </c>
      <c r="H437" s="4" t="str">
        <f>IFERROR(__xludf.DUMMYFUNCTION("""COMPUTED_VALUE"""),"https://www.linkedin.com/posts/tmadlinger_hiring-activity-7234559824141688834-lEll?utm_source=share&amp;utm_medium=member_desktop")</f>
        <v>https://www.linkedin.com/posts/tmadlinger_hiring-activity-7234559824141688834-lEll?utm_source=share&amp;utm_medium=member_desktop</v>
      </c>
    </row>
    <row r="438">
      <c r="A438" s="2">
        <f>IFERROR(__xludf.DUMMYFUNCTION("""COMPUTED_VALUE"""),45532.0)</f>
        <v>45532</v>
      </c>
      <c r="B438" s="1" t="str">
        <f>IFERROR(__xludf.DUMMYFUNCTION("""COMPUTED_VALUE"""),"ReUp")</f>
        <v>ReUp</v>
      </c>
      <c r="C438" s="1" t="str">
        <f>IFERROR(__xludf.DUMMYFUNCTION("""COMPUTED_VALUE"""),"Senior Data Scientist")</f>
        <v>Senior Data Scientist</v>
      </c>
      <c r="D438" s="1" t="str">
        <f>IFERROR(__xludf.DUMMYFUNCTION("""COMPUTED_VALUE"""),"Hybrid")</f>
        <v>Hybrid</v>
      </c>
      <c r="E438" s="3" t="str">
        <f>IFERROR(__xludf.DUMMYFUNCTION("""COMPUTED_VALUE"""),"$120k - $130k")</f>
        <v>$120k - $130k</v>
      </c>
      <c r="F438" s="1" t="str">
        <f>IFERROR(__xludf.DUMMYFUNCTION("""COMPUTED_VALUE"""),"3 - 5")</f>
        <v>3 - 5</v>
      </c>
      <c r="G438" s="1" t="str">
        <f>IFERROR(__xludf.DUMMYFUNCTION("""COMPUTED_VALUE"""),"Austin, TX")</f>
        <v>Austin, TX</v>
      </c>
      <c r="H438" s="4" t="str">
        <f>IFERROR(__xludf.DUMMYFUNCTION("""COMPUTED_VALUE"""),"https://www.linkedin.com/posts/activity-7234666407097987073-ZY7b?utm_source=share&amp;utm_medium=member_desktop")</f>
        <v>https://www.linkedin.com/posts/activity-7234666407097987073-ZY7b?utm_source=share&amp;utm_medium=member_desktop</v>
      </c>
    </row>
    <row r="439">
      <c r="A439" s="2">
        <f>IFERROR(__xludf.DUMMYFUNCTION("""COMPUTED_VALUE"""),45532.0)</f>
        <v>45532</v>
      </c>
      <c r="B439" s="1" t="str">
        <f>IFERROR(__xludf.DUMMYFUNCTION("""COMPUTED_VALUE"""),"BILL")</f>
        <v>BILL</v>
      </c>
      <c r="C439" s="1" t="str">
        <f>IFERROR(__xludf.DUMMYFUNCTION("""COMPUTED_VALUE"""),"Sr. Analytics Engineer")</f>
        <v>Sr. Analytics Engineer</v>
      </c>
      <c r="D439" s="1" t="str">
        <f>IFERROR(__xludf.DUMMYFUNCTION("""COMPUTED_VALUE"""),"Hybrid")</f>
        <v>Hybrid</v>
      </c>
      <c r="E439" s="3" t="str">
        <f>IFERROR(__xludf.DUMMYFUNCTION("""COMPUTED_VALUE"""),"$117k - $140k")</f>
        <v>$117k - $140k</v>
      </c>
      <c r="F439" s="1" t="str">
        <f>IFERROR(__xludf.DUMMYFUNCTION("""COMPUTED_VALUE"""),"3 - 5")</f>
        <v>3 - 5</v>
      </c>
      <c r="G439" s="1" t="str">
        <f>IFERROR(__xludf.DUMMYFUNCTION("""COMPUTED_VALUE"""),"Draper, UT")</f>
        <v>Draper, UT</v>
      </c>
      <c r="H439" s="4" t="str">
        <f>IFERROR(__xludf.DUMMYFUNCTION("""COMPUTED_VALUE"""),"https://www.linkedin.com/posts/casclark2_jobs-at-bill-bill-activity-7234635200024952832-QwLk?utm_source=share&amp;utm_medium=member_desktop")</f>
        <v>https://www.linkedin.com/posts/casclark2_jobs-at-bill-bill-activity-7234635200024952832-QwLk?utm_source=share&amp;utm_medium=member_desktop</v>
      </c>
    </row>
    <row r="440">
      <c r="A440" s="2">
        <f>IFERROR(__xludf.DUMMYFUNCTION("""COMPUTED_VALUE"""),45532.0)</f>
        <v>45532</v>
      </c>
      <c r="B440" s="1" t="str">
        <f>IFERROR(__xludf.DUMMYFUNCTION("""COMPUTED_VALUE"""),"The Farmer’s Dog")</f>
        <v>The Farmer’s Dog</v>
      </c>
      <c r="C440" s="1" t="str">
        <f>IFERROR(__xludf.DUMMYFUNCTION("""COMPUTED_VALUE"""),"Senior Analytics Engineer 1")</f>
        <v>Senior Analytics Engineer 1</v>
      </c>
      <c r="D440" s="1" t="str">
        <f>IFERROR(__xludf.DUMMYFUNCTION("""COMPUTED_VALUE"""),"Hybrid")</f>
        <v>Hybrid</v>
      </c>
      <c r="E440" s="3" t="str">
        <f>IFERROR(__xludf.DUMMYFUNCTION("""COMPUTED_VALUE"""),"$155k - $175k")</f>
        <v>$155k - $175k</v>
      </c>
      <c r="F440" s="1" t="str">
        <f>IFERROR(__xludf.DUMMYFUNCTION("""COMPUTED_VALUE"""),"3 - 5")</f>
        <v>3 - 5</v>
      </c>
      <c r="G440" s="1" t="str">
        <f>IFERROR(__xludf.DUMMYFUNCTION("""COMPUTED_VALUE"""),"New York, NY")</f>
        <v>New York, NY</v>
      </c>
      <c r="H440" s="4" t="str">
        <f>IFERROR(__xludf.DUMMYFUNCTION("""COMPUTED_VALUE"""),"https://www.linkedin.com/posts/activity-7234705673937178624-WhRp?utm_source=share&amp;utm_medium=member_desktop")</f>
        <v>https://www.linkedin.com/posts/activity-7234705673937178624-WhRp?utm_source=share&amp;utm_medium=member_desktop</v>
      </c>
    </row>
    <row r="441">
      <c r="A441" s="2">
        <f>IFERROR(__xludf.DUMMYFUNCTION("""COMPUTED_VALUE"""),45532.0)</f>
        <v>45532</v>
      </c>
      <c r="B441" s="1" t="str">
        <f>IFERROR(__xludf.DUMMYFUNCTION("""COMPUTED_VALUE"""),"Alliant - The Audience Company")</f>
        <v>Alliant - The Audience Company</v>
      </c>
      <c r="C441" s="1" t="str">
        <f>IFERROR(__xludf.DUMMYFUNCTION("""COMPUTED_VALUE"""),"Senior Data Analyst")</f>
        <v>Senior Data Analyst</v>
      </c>
      <c r="D441" s="1" t="str">
        <f>IFERROR(__xludf.DUMMYFUNCTION("""COMPUTED_VALUE"""),"On-Site")</f>
        <v>On-Site</v>
      </c>
      <c r="E441" s="3" t="str">
        <f>IFERROR(__xludf.DUMMYFUNCTION("""COMPUTED_VALUE"""),"$70k - $100k")</f>
        <v>$70k - $100k</v>
      </c>
      <c r="F441" s="1" t="str">
        <f>IFERROR(__xludf.DUMMYFUNCTION("""COMPUTED_VALUE"""),"3 - 5")</f>
        <v>3 - 5</v>
      </c>
      <c r="G441" s="1" t="str">
        <f>IFERROR(__xludf.DUMMYFUNCTION("""COMPUTED_VALUE"""),"Brewster, NY")</f>
        <v>Brewster, NY</v>
      </c>
      <c r="H441" s="4" t="str">
        <f>IFERROR(__xludf.DUMMYFUNCTION("""COMPUTED_VALUE"""),"https://www.linkedin.com/posts/activity-7234685013730963456-Zlsq?utm_source=share&amp;utm_medium=member_desktop")</f>
        <v>https://www.linkedin.com/posts/activity-7234685013730963456-Zlsq?utm_source=share&amp;utm_medium=member_desktop</v>
      </c>
    </row>
    <row r="442">
      <c r="A442" s="2">
        <f>IFERROR(__xludf.DUMMYFUNCTION("""COMPUTED_VALUE"""),45532.0)</f>
        <v>45532</v>
      </c>
      <c r="B442" s="1" t="str">
        <f>IFERROR(__xludf.DUMMYFUNCTION("""COMPUTED_VALUE"""),"Food52")</f>
        <v>Food52</v>
      </c>
      <c r="C442" s="1" t="str">
        <f>IFERROR(__xludf.DUMMYFUNCTION("""COMPUTED_VALUE"""),"Operations Analyst")</f>
        <v>Operations Analyst</v>
      </c>
      <c r="D442" s="1" t="str">
        <f>IFERROR(__xludf.DUMMYFUNCTION("""COMPUTED_VALUE"""),"Hybrid")</f>
        <v>Hybrid</v>
      </c>
      <c r="E442" s="3" t="str">
        <f>IFERROR(__xludf.DUMMYFUNCTION("""COMPUTED_VALUE"""),"$75k - $90k")</f>
        <v>$75k - $90k</v>
      </c>
      <c r="F442" s="1" t="str">
        <f>IFERROR(__xludf.DUMMYFUNCTION("""COMPUTED_VALUE"""),"0 - 2")</f>
        <v>0 - 2</v>
      </c>
      <c r="G442" s="1" t="str">
        <f>IFERROR(__xludf.DUMMYFUNCTION("""COMPUTED_VALUE"""),"New York, NY")</f>
        <v>New York, NY</v>
      </c>
      <c r="H442" s="4" t="str">
        <f>IFERROR(__xludf.DUMMYFUNCTION("""COMPUTED_VALUE"""),"https://www.linkedin.com/posts/justin-lyles-44596242_my-team-is-looking-to-add-on-a-new-operations-activity-7234605183471644672-9MnX?utm_source=share&amp;utm_medium=member_desktop")</f>
        <v>https://www.linkedin.com/posts/justin-lyles-44596242_my-team-is-looking-to-add-on-a-new-operations-activity-7234605183471644672-9MnX?utm_source=share&amp;utm_medium=member_desktop</v>
      </c>
    </row>
    <row r="443">
      <c r="A443" s="2">
        <f>IFERROR(__xludf.DUMMYFUNCTION("""COMPUTED_VALUE"""),45532.0)</f>
        <v>45532</v>
      </c>
      <c r="B443" s="1" t="str">
        <f>IFERROR(__xludf.DUMMYFUNCTION("""COMPUTED_VALUE"""),"Archetype")</f>
        <v>Archetype</v>
      </c>
      <c r="C443" s="1" t="str">
        <f>IFERROR(__xludf.DUMMYFUNCTION("""COMPUTED_VALUE"""),"Data Analyst, Media &amp; Marketing")</f>
        <v>Data Analyst, Media &amp; Marketing</v>
      </c>
      <c r="D443" s="1" t="str">
        <f>IFERROR(__xludf.DUMMYFUNCTION("""COMPUTED_VALUE"""),"Hybrid")</f>
        <v>Hybrid</v>
      </c>
      <c r="E443" s="3" t="str">
        <f>IFERROR(__xludf.DUMMYFUNCTION("""COMPUTED_VALUE"""),"$76k - $95k")</f>
        <v>$76k - $95k</v>
      </c>
      <c r="F443" s="1" t="str">
        <f>IFERROR(__xludf.DUMMYFUNCTION("""COMPUTED_VALUE"""),"3 - 5")</f>
        <v>3 - 5</v>
      </c>
      <c r="G443" s="1" t="str">
        <f>IFERROR(__xludf.DUMMYFUNCTION("""COMPUTED_VALUE"""),"Certain Locations")</f>
        <v>Certain Locations</v>
      </c>
      <c r="H443" s="4" t="str">
        <f>IFERROR(__xludf.DUMMYFUNCTION("""COMPUTED_VALUE"""),"https://www.linkedin.com/posts/chasefitzgerald_were-looking-for-a-new-data-analyst-to-join-activity-7234642450848301060-45Bj?utm_source=share&amp;utm_medium=member_desktop")</f>
        <v>https://www.linkedin.com/posts/chasefitzgerald_were-looking-for-a-new-data-analyst-to-join-activity-7234642450848301060-45Bj?utm_source=share&amp;utm_medium=member_desktop</v>
      </c>
    </row>
    <row r="444">
      <c r="A444" s="2">
        <f>IFERROR(__xludf.DUMMYFUNCTION("""COMPUTED_VALUE"""),45532.0)</f>
        <v>45532</v>
      </c>
      <c r="B444" s="1" t="str">
        <f>IFERROR(__xludf.DUMMYFUNCTION("""COMPUTED_VALUE"""),"JetBlue")</f>
        <v>JetBlue</v>
      </c>
      <c r="C444" s="1" t="str">
        <f>IFERROR(__xludf.DUMMYFUNCTION("""COMPUTED_VALUE"""),"Senior Analyst Financial Reporting")</f>
        <v>Senior Analyst Financial Reporting</v>
      </c>
      <c r="D444" s="1" t="str">
        <f>IFERROR(__xludf.DUMMYFUNCTION("""COMPUTED_VALUE"""),"Hybrid")</f>
        <v>Hybrid</v>
      </c>
      <c r="E444" s="3" t="str">
        <f>IFERROR(__xludf.DUMMYFUNCTION("""COMPUTED_VALUE"""),"$64k - $103k")</f>
        <v>$64k - $103k</v>
      </c>
      <c r="F444" s="1" t="str">
        <f>IFERROR(__xludf.DUMMYFUNCTION("""COMPUTED_VALUE"""),"0 - 2")</f>
        <v>0 - 2</v>
      </c>
      <c r="G444" s="1" t="str">
        <f>IFERROR(__xludf.DUMMYFUNCTION("""COMPUTED_VALUE"""),"Long Island City, NY")</f>
        <v>Long Island City, NY</v>
      </c>
      <c r="H444" s="4" t="str">
        <f>IFERROR(__xludf.DUMMYFUNCTION("""COMPUTED_VALUE"""),"https://www.linkedin.com/posts/emily-walia-rossman-946aa92b_senior-analyst-financial-reporting-activity-7234646341312770050-6z_d?utm_source=share&amp;utm_medium=member_desktop")</f>
        <v>https://www.linkedin.com/posts/emily-walia-rossman-946aa92b_senior-analyst-financial-reporting-activity-7234646341312770050-6z_d?utm_source=share&amp;utm_medium=member_desktop</v>
      </c>
    </row>
    <row r="445">
      <c r="A445" s="2">
        <f>IFERROR(__xludf.DUMMYFUNCTION("""COMPUTED_VALUE"""),45532.0)</f>
        <v>45532</v>
      </c>
      <c r="B445" s="1" t="str">
        <f>IFERROR(__xludf.DUMMYFUNCTION("""COMPUTED_VALUE"""),"Haus")</f>
        <v>Haus</v>
      </c>
      <c r="C445" s="1" t="str">
        <f>IFERROR(__xludf.DUMMYFUNCTION("""COMPUTED_VALUE"""),"Analytical Lead")</f>
        <v>Analytical Lead</v>
      </c>
      <c r="D445" s="1" t="str">
        <f>IFERROR(__xludf.DUMMYFUNCTION("""COMPUTED_VALUE"""),"Remote")</f>
        <v>Remote</v>
      </c>
      <c r="E445" s="3" t="str">
        <f>IFERROR(__xludf.DUMMYFUNCTION("""COMPUTED_VALUE"""),"$140k - $170k")</f>
        <v>$140k - $170k</v>
      </c>
      <c r="F445" s="1" t="str">
        <f>IFERROR(__xludf.DUMMYFUNCTION("""COMPUTED_VALUE"""),"3 - 5")</f>
        <v>3 - 5</v>
      </c>
      <c r="G445" s="1" t="str">
        <f>IFERROR(__xludf.DUMMYFUNCTION("""COMPUTED_VALUE"""),"USA")</f>
        <v>USA</v>
      </c>
      <c r="H445" s="4" t="str">
        <f>IFERROR(__xludf.DUMMYFUNCTION("""COMPUTED_VALUE"""),"https://www.linkedin.com/posts/eric-hayward-7393b038_haus-analytical-lead-activity-7234361477145501697-CW0g?utm_source=share&amp;utm_medium=member_desktop")</f>
        <v>https://www.linkedin.com/posts/eric-hayward-7393b038_haus-analytical-lead-activity-7234361477145501697-CW0g?utm_source=share&amp;utm_medium=member_desktop</v>
      </c>
    </row>
    <row r="446">
      <c r="A446" s="2">
        <f>IFERROR(__xludf.DUMMYFUNCTION("""COMPUTED_VALUE"""),45532.0)</f>
        <v>45532</v>
      </c>
      <c r="B446" s="1" t="str">
        <f>IFERROR(__xludf.DUMMYFUNCTION("""COMPUTED_VALUE"""),"Wisetack")</f>
        <v>Wisetack</v>
      </c>
      <c r="C446" s="1" t="str">
        <f>IFERROR(__xludf.DUMMYFUNCTION("""COMPUTED_VALUE"""),"FP&amp;A Analyst")</f>
        <v>FP&amp;A Analyst</v>
      </c>
      <c r="D446" s="1" t="str">
        <f>IFERROR(__xludf.DUMMYFUNCTION("""COMPUTED_VALUE"""),"Remote")</f>
        <v>Remote</v>
      </c>
      <c r="E446" s="3" t="str">
        <f>IFERROR(__xludf.DUMMYFUNCTION("""COMPUTED_VALUE"""),"$71k - $99k")</f>
        <v>$71k - $99k</v>
      </c>
      <c r="F446" s="1" t="str">
        <f>IFERROR(__xludf.DUMMYFUNCTION("""COMPUTED_VALUE"""),"3 - 5")</f>
        <v>3 - 5</v>
      </c>
      <c r="G446" s="1" t="str">
        <f>IFERROR(__xludf.DUMMYFUNCTION("""COMPUTED_VALUE"""),"USA")</f>
        <v>USA</v>
      </c>
      <c r="H446" s="4" t="str">
        <f>IFERROR(__xludf.DUMMYFUNCTION("""COMPUTED_VALUE"""),"https://www.linkedin.com/posts/ryansteffner_recruiting-for-three-roles-on-our-finance-activity-7234257718646075392-PozM?utm_source=share&amp;utm_medium=member_desktop")</f>
        <v>https://www.linkedin.com/posts/ryansteffner_recruiting-for-three-roles-on-our-finance-activity-7234257718646075392-PozM?utm_source=share&amp;utm_medium=member_desktop</v>
      </c>
    </row>
    <row r="447">
      <c r="A447" s="2">
        <f>IFERROR(__xludf.DUMMYFUNCTION("""COMPUTED_VALUE"""),45532.0)</f>
        <v>45532</v>
      </c>
      <c r="B447" s="1" t="str">
        <f>IFERROR(__xludf.DUMMYFUNCTION("""COMPUTED_VALUE"""),"LPL Financial")</f>
        <v>LPL Financial</v>
      </c>
      <c r="C447" s="1" t="str">
        <f>IFERROR(__xludf.DUMMYFUNCTION("""COMPUTED_VALUE"""),"AVP, Data Analytics")</f>
        <v>AVP, Data Analytics</v>
      </c>
      <c r="D447" s="1" t="str">
        <f>IFERROR(__xludf.DUMMYFUNCTION("""COMPUTED_VALUE"""),"Hybrid")</f>
        <v>Hybrid</v>
      </c>
      <c r="E447" s="3" t="str">
        <f>IFERROR(__xludf.DUMMYFUNCTION("""COMPUTED_VALUE"""),"$116k - $193k")</f>
        <v>$116k - $193k</v>
      </c>
      <c r="F447" s="1" t="str">
        <f>IFERROR(__xludf.DUMMYFUNCTION("""COMPUTED_VALUE"""),"6 - 9")</f>
        <v>6 - 9</v>
      </c>
      <c r="G447" s="1" t="str">
        <f>IFERROR(__xludf.DUMMYFUNCTION("""COMPUTED_VALUE"""),"Fort Mill, SC")</f>
        <v>Fort Mill, SC</v>
      </c>
      <c r="H447" s="4" t="str">
        <f>IFERROR(__xludf.DUMMYFUNCTION("""COMPUTED_VALUE"""),"https://www.linkedin.com/posts/sampygajre_hiring-activity-7234586131315519488-d4iB?utm_source=share&amp;utm_medium=member_desktop")</f>
        <v>https://www.linkedin.com/posts/sampygajre_hiring-activity-7234586131315519488-d4iB?utm_source=share&amp;utm_medium=member_desktop</v>
      </c>
    </row>
    <row r="448">
      <c r="A448" s="2">
        <f>IFERROR(__xludf.DUMMYFUNCTION("""COMPUTED_VALUE"""),45532.0)</f>
        <v>45532</v>
      </c>
      <c r="B448" s="1" t="str">
        <f>IFERROR(__xludf.DUMMYFUNCTION("""COMPUTED_VALUE"""),"JSI Research &amp; Training Institute")</f>
        <v>JSI Research &amp; Training Institute</v>
      </c>
      <c r="C448" s="1" t="str">
        <f>IFERROR(__xludf.DUMMYFUNCTION("""COMPUTED_VALUE"""),"Data Scientist I - Database Systems")</f>
        <v>Data Scientist I - Database Systems</v>
      </c>
      <c r="D448" s="1" t="str">
        <f>IFERROR(__xludf.DUMMYFUNCTION("""COMPUTED_VALUE"""),"Remote")</f>
        <v>Remote</v>
      </c>
      <c r="E448" s="3" t="str">
        <f>IFERROR(__xludf.DUMMYFUNCTION("""COMPUTED_VALUE"""),"$61k - $94k")</f>
        <v>$61k - $94k</v>
      </c>
      <c r="F448" s="1" t="str">
        <f>IFERROR(__xludf.DUMMYFUNCTION("""COMPUTED_VALUE"""),"3 - 5")</f>
        <v>3 - 5</v>
      </c>
      <c r="G448" s="1" t="str">
        <f>IFERROR(__xludf.DUMMYFUNCTION("""COMPUTED_VALUE"""),"Certain Locations")</f>
        <v>Certain Locations</v>
      </c>
      <c r="H448" s="4" t="str">
        <f>IFERROR(__xludf.DUMMYFUNCTION("""COMPUTED_VALUE"""),"https://www.linkedin.com/posts/katie-robert_were-excited-to-be-recruiting-for-a-new-activity-7232453451270569985-PkK-?utm_source=share&amp;utm_medium=member_desktop")</f>
        <v>https://www.linkedin.com/posts/katie-robert_were-excited-to-be-recruiting-for-a-new-activity-7232453451270569985-PkK-?utm_source=share&amp;utm_medium=member_desktop</v>
      </c>
    </row>
    <row r="449">
      <c r="A449" s="2">
        <f>IFERROR(__xludf.DUMMYFUNCTION("""COMPUTED_VALUE"""),45532.0)</f>
        <v>45532</v>
      </c>
      <c r="B449" s="1" t="str">
        <f>IFERROR(__xludf.DUMMYFUNCTION("""COMPUTED_VALUE"""),"TriCom Technical Services")</f>
        <v>TriCom Technical Services</v>
      </c>
      <c r="C449" s="1" t="str">
        <f>IFERROR(__xludf.DUMMYFUNCTION("""COMPUTED_VALUE"""),"Data Analyst - Publications")</f>
        <v>Data Analyst - Publications</v>
      </c>
      <c r="D449" s="1" t="str">
        <f>IFERROR(__xludf.DUMMYFUNCTION("""COMPUTED_VALUE"""),"On-Site")</f>
        <v>On-Site</v>
      </c>
      <c r="E449" s="3" t="str">
        <f>IFERROR(__xludf.DUMMYFUNCTION("""COMPUTED_VALUE"""),"N/A")</f>
        <v>N/A</v>
      </c>
      <c r="F449" s="1" t="str">
        <f>IFERROR(__xludf.DUMMYFUNCTION("""COMPUTED_VALUE"""),"0 - 2")</f>
        <v>0 - 2</v>
      </c>
      <c r="G449" s="1" t="str">
        <f>IFERROR(__xludf.DUMMYFUNCTION("""COMPUTED_VALUE"""),"Kansa City, MO")</f>
        <v>Kansa City, MO</v>
      </c>
      <c r="H449" s="4" t="str">
        <f>IFERROR(__xludf.DUMMYFUNCTION("""COMPUTED_VALUE"""),"https://www.linkedin.com/posts/jimerhard_kcjobs-hiring-immediatehire-activity-7234569985233207296-Px1M?utm_source=share&amp;utm_medium=member_desktop")</f>
        <v>https://www.linkedin.com/posts/jimerhard_kcjobs-hiring-immediatehire-activity-7234569985233207296-Px1M?utm_source=share&amp;utm_medium=member_desktop</v>
      </c>
    </row>
    <row r="450">
      <c r="A450" s="2">
        <f>IFERROR(__xludf.DUMMYFUNCTION("""COMPUTED_VALUE"""),45532.0)</f>
        <v>45532</v>
      </c>
      <c r="B450" s="1" t="str">
        <f>IFERROR(__xludf.DUMMYFUNCTION("""COMPUTED_VALUE"""),"DataShapes AI")</f>
        <v>DataShapes AI</v>
      </c>
      <c r="C450" s="1" t="str">
        <f>IFERROR(__xludf.DUMMYFUNCTION("""COMPUTED_VALUE"""),"Open Rank Data Scientist")</f>
        <v>Open Rank Data Scientist</v>
      </c>
      <c r="D450" s="1" t="str">
        <f>IFERROR(__xludf.DUMMYFUNCTION("""COMPUTED_VALUE"""),"On-Site")</f>
        <v>On-Site</v>
      </c>
      <c r="E450" s="3" t="str">
        <f>IFERROR(__xludf.DUMMYFUNCTION("""COMPUTED_VALUE"""),"N/A")</f>
        <v>N/A</v>
      </c>
      <c r="F450" s="1" t="str">
        <f>IFERROR(__xludf.DUMMYFUNCTION("""COMPUTED_VALUE"""),"3 - 5")</f>
        <v>3 - 5</v>
      </c>
      <c r="G450" s="1" t="str">
        <f>IFERROR(__xludf.DUMMYFUNCTION("""COMPUTED_VALUE"""),"Charlottesville, VA")</f>
        <v>Charlottesville, VA</v>
      </c>
      <c r="H450" s="4" t="str">
        <f>IFERROR(__xludf.DUMMYFUNCTION("""COMPUTED_VALUE"""),"https://www.linkedin.com/posts/kevin-larrabee_careers-datashapes-ai-activity-7234303434932338689-WNTC?utm_source=share&amp;utm_medium=member_desktop")</f>
        <v>https://www.linkedin.com/posts/kevin-larrabee_careers-datashapes-ai-activity-7234303434932338689-WNTC?utm_source=share&amp;utm_medium=member_desktop</v>
      </c>
    </row>
    <row r="451">
      <c r="A451" s="2">
        <f>IFERROR(__xludf.DUMMYFUNCTION("""COMPUTED_VALUE"""),45532.0)</f>
        <v>45532</v>
      </c>
      <c r="B451" s="1" t="str">
        <f>IFERROR(__xludf.DUMMYFUNCTION("""COMPUTED_VALUE"""),"The Home Depot")</f>
        <v>The Home Depot</v>
      </c>
      <c r="C451" s="1" t="str">
        <f>IFERROR(__xludf.DUMMYFUNCTION("""COMPUTED_VALUE"""),"Data Scientist - Customer Experience")</f>
        <v>Data Scientist - Customer Experience</v>
      </c>
      <c r="D451" s="1" t="str">
        <f>IFERROR(__xludf.DUMMYFUNCTION("""COMPUTED_VALUE"""),"Remote")</f>
        <v>Remote</v>
      </c>
      <c r="E451" s="3" t="str">
        <f>IFERROR(__xludf.DUMMYFUNCTION("""COMPUTED_VALUE"""),"N/A")</f>
        <v>N/A</v>
      </c>
      <c r="F451" s="1" t="str">
        <f>IFERROR(__xludf.DUMMYFUNCTION("""COMPUTED_VALUE"""),"3 - 5")</f>
        <v>3 - 5</v>
      </c>
      <c r="G451" s="1" t="str">
        <f>IFERROR(__xludf.DUMMYFUNCTION("""COMPUTED_VALUE"""),"USA")</f>
        <v>USA</v>
      </c>
      <c r="H451" s="4" t="str">
        <f>IFERROR(__xludf.DUMMYFUNCTION("""COMPUTED_VALUE"""),"https://www.linkedin.com/posts/caseydevaux_datascience-customerexperience-hiring-activity-7234563626068582400-DCb6?utm_source=share&amp;utm_medium=member_desktop")</f>
        <v>https://www.linkedin.com/posts/caseydevaux_datascience-customerexperience-hiring-activity-7234563626068582400-DCb6?utm_source=share&amp;utm_medium=member_desktop</v>
      </c>
    </row>
    <row r="452">
      <c r="A452" s="2">
        <f>IFERROR(__xludf.DUMMYFUNCTION("""COMPUTED_VALUE"""),45532.0)</f>
        <v>45532</v>
      </c>
      <c r="B452" s="1" t="str">
        <f>IFERROR(__xludf.DUMMYFUNCTION("""COMPUTED_VALUE"""),"Impact Engine")</f>
        <v>Impact Engine</v>
      </c>
      <c r="C452" s="1" t="str">
        <f>IFERROR(__xludf.DUMMYFUNCTION("""COMPUTED_VALUE"""),"Investment Analyst")</f>
        <v>Investment Analyst</v>
      </c>
      <c r="D452" s="1" t="str">
        <f>IFERROR(__xludf.DUMMYFUNCTION("""COMPUTED_VALUE"""),"Hybrid")</f>
        <v>Hybrid</v>
      </c>
      <c r="E452" s="3" t="str">
        <f>IFERROR(__xludf.DUMMYFUNCTION("""COMPUTED_VALUE"""),"N/A")</f>
        <v>N/A</v>
      </c>
      <c r="F452" s="1" t="str">
        <f>IFERROR(__xludf.DUMMYFUNCTION("""COMPUTED_VALUE"""),"0 - 2")</f>
        <v>0 - 2</v>
      </c>
      <c r="G452" s="1" t="str">
        <f>IFERROR(__xludf.DUMMYFUNCTION("""COMPUTED_VALUE"""),"Chicago, IL")</f>
        <v>Chicago, IL</v>
      </c>
      <c r="H452" s="4" t="str">
        <f>IFERROR(__xludf.DUMMYFUNCTION("""COMPUTED_VALUE"""),"https://www.linkedin.com/posts/maggiestohler_come-join-the-impact-engine-team-were-hiring-activity-7234559623578439680-2OUH?utm_source=share&amp;utm_medium=member_desktop")</f>
        <v>https://www.linkedin.com/posts/maggiestohler_come-join-the-impact-engine-team-were-hiring-activity-7234559623578439680-2OUH?utm_source=share&amp;utm_medium=member_desktop</v>
      </c>
    </row>
    <row r="453">
      <c r="A453" s="2">
        <f>IFERROR(__xludf.DUMMYFUNCTION("""COMPUTED_VALUE"""),45532.0)</f>
        <v>45532</v>
      </c>
      <c r="B453" s="1" t="str">
        <f>IFERROR(__xludf.DUMMYFUNCTION("""COMPUTED_VALUE"""),"Flexjet")</f>
        <v>Flexjet</v>
      </c>
      <c r="C453" s="1" t="str">
        <f>IFERROR(__xludf.DUMMYFUNCTION("""COMPUTED_VALUE"""),"Marketing Analyst")</f>
        <v>Marketing Analyst</v>
      </c>
      <c r="D453" s="1" t="str">
        <f>IFERROR(__xludf.DUMMYFUNCTION("""COMPUTED_VALUE"""),"Hybrid")</f>
        <v>Hybrid</v>
      </c>
      <c r="E453" s="3" t="str">
        <f>IFERROR(__xludf.DUMMYFUNCTION("""COMPUTED_VALUE"""),"N/A")</f>
        <v>N/A</v>
      </c>
      <c r="F453" s="1" t="str">
        <f>IFERROR(__xludf.DUMMYFUNCTION("""COMPUTED_VALUE"""),"3 - 5")</f>
        <v>3 - 5</v>
      </c>
      <c r="G453" s="1" t="str">
        <f>IFERROR(__xludf.DUMMYFUNCTION("""COMPUTED_VALUE"""),"Quincy, MA")</f>
        <v>Quincy, MA</v>
      </c>
      <c r="H453" s="4" t="str">
        <f>IFERROR(__xludf.DUMMYFUNCTION("""COMPUTED_VALUE"""),"https://www.linkedin.com/posts/activity-7234548892942381056--tVt?utm_source=share&amp;utm_medium=member_desktop")</f>
        <v>https://www.linkedin.com/posts/activity-7234548892942381056--tVt?utm_source=share&amp;utm_medium=member_desktop</v>
      </c>
    </row>
    <row r="454">
      <c r="A454" s="2">
        <f>IFERROR(__xludf.DUMMYFUNCTION("""COMPUTED_VALUE"""),45532.0)</f>
        <v>45532</v>
      </c>
      <c r="B454" s="1" t="str">
        <f>IFERROR(__xludf.DUMMYFUNCTION("""COMPUTED_VALUE"""),"SOLVE(D) | An IPG Health Company")</f>
        <v>SOLVE(D) | An IPG Health Company</v>
      </c>
      <c r="C454" s="1" t="str">
        <f>IFERROR(__xludf.DUMMYFUNCTION("""COMPUTED_VALUE"""),"Analyst")</f>
        <v>Analyst</v>
      </c>
      <c r="D454" s="1" t="str">
        <f>IFERROR(__xludf.DUMMYFUNCTION("""COMPUTED_VALUE"""),"Hybrid")</f>
        <v>Hybrid</v>
      </c>
      <c r="E454" s="3" t="str">
        <f>IFERROR(__xludf.DUMMYFUNCTION("""COMPUTED_VALUE"""),"$61k - $90k")</f>
        <v>$61k - $90k</v>
      </c>
      <c r="F454" s="1" t="str">
        <f>IFERROR(__xludf.DUMMYFUNCTION("""COMPUTED_VALUE"""),"0 - 2")</f>
        <v>0 - 2</v>
      </c>
      <c r="G454" s="1" t="str">
        <f>IFERROR(__xludf.DUMMYFUNCTION("""COMPUTED_VALUE"""),"New York, NY")</f>
        <v>New York, NY</v>
      </c>
      <c r="H454" s="4" t="str">
        <f>IFERROR(__xludf.DUMMYFUNCTION("""COMPUTED_VALUE"""),"https://www.linkedin.com/posts/megan-peabody_hey-all-i-am-actively-hiring-for-an-entry-activity-7234293911119167488-feCI?utm_source=share&amp;utm_medium=member_desktop")</f>
        <v>https://www.linkedin.com/posts/megan-peabody_hey-all-i-am-actively-hiring-for-an-entry-activity-7234293911119167488-feCI?utm_source=share&amp;utm_medium=member_desktop</v>
      </c>
    </row>
    <row r="455">
      <c r="A455" s="2">
        <f>IFERROR(__xludf.DUMMYFUNCTION("""COMPUTED_VALUE"""),45532.0)</f>
        <v>45532</v>
      </c>
      <c r="B455" s="1" t="str">
        <f>IFERROR(__xludf.DUMMYFUNCTION("""COMPUTED_VALUE"""),"Knowt Inc.")</f>
        <v>Knowt Inc.</v>
      </c>
      <c r="C455" s="1" t="str">
        <f>IFERROR(__xludf.DUMMYFUNCTION("""COMPUTED_VALUE"""),"Business Analyst")</f>
        <v>Business Analyst</v>
      </c>
      <c r="D455" s="1" t="str">
        <f>IFERROR(__xludf.DUMMYFUNCTION("""COMPUTED_VALUE"""),"Remote")</f>
        <v>Remote</v>
      </c>
      <c r="E455" s="3" t="str">
        <f>IFERROR(__xludf.DUMMYFUNCTION("""COMPUTED_VALUE"""),"$60k - $70k")</f>
        <v>$60k - $70k</v>
      </c>
      <c r="F455" s="1" t="str">
        <f>IFERROR(__xludf.DUMMYFUNCTION("""COMPUTED_VALUE"""),"0 - 2")</f>
        <v>0 - 2</v>
      </c>
      <c r="G455" s="1" t="str">
        <f>IFERROR(__xludf.DUMMYFUNCTION("""COMPUTED_VALUE"""),"USA")</f>
        <v>USA</v>
      </c>
      <c r="H455" s="4" t="str">
        <f>IFERROR(__xludf.DUMMYFUNCTION("""COMPUTED_VALUE"""),"https://www.linkedin.com/posts/abheek-pandoh_knowt-full-time-business-analyst-entry-activity-7234327173841506304-MAkQ?utm_source=share&amp;utm_medium=member_desktop")</f>
        <v>https://www.linkedin.com/posts/abheek-pandoh_knowt-full-time-business-analyst-entry-activity-7234327173841506304-MAkQ?utm_source=share&amp;utm_medium=member_desktop</v>
      </c>
    </row>
    <row r="456">
      <c r="A456" s="2">
        <f>IFERROR(__xludf.DUMMYFUNCTION("""COMPUTED_VALUE"""),45532.0)</f>
        <v>45532</v>
      </c>
      <c r="B456" s="1" t="str">
        <f>IFERROR(__xludf.DUMMYFUNCTION("""COMPUTED_VALUE"""),"Syracuse University")</f>
        <v>Syracuse University</v>
      </c>
      <c r="C456" s="1" t="str">
        <f>IFERROR(__xludf.DUMMYFUNCTION("""COMPUTED_VALUE"""),"Research Analyst")</f>
        <v>Research Analyst</v>
      </c>
      <c r="D456" s="1" t="str">
        <f>IFERROR(__xludf.DUMMYFUNCTION("""COMPUTED_VALUE"""),"On-Site")</f>
        <v>On-Site</v>
      </c>
      <c r="E456" s="3" t="str">
        <f>IFERROR(__xludf.DUMMYFUNCTION("""COMPUTED_VALUE"""),"$60k - $65k")</f>
        <v>$60k - $65k</v>
      </c>
      <c r="F456" s="1" t="str">
        <f>IFERROR(__xludf.DUMMYFUNCTION("""COMPUTED_VALUE"""),"0 - 2")</f>
        <v>0 - 2</v>
      </c>
      <c r="G456" s="1" t="str">
        <f>IFERROR(__xludf.DUMMYFUNCTION("""COMPUTED_VALUE"""),"Syracuse, NY")</f>
        <v>Syracuse, NY</v>
      </c>
      <c r="H456" s="4" t="str">
        <f>IFERROR(__xludf.DUMMYFUNCTION("""COMPUTED_VALUE"""),"https://www.linkedin.com/posts/dunnbridget_research-analyst-activity-7234612197442609153-sR54?utm_source=share&amp;utm_medium=member_desktop")</f>
        <v>https://www.linkedin.com/posts/dunnbridget_research-analyst-activity-7234612197442609153-sR54?utm_source=share&amp;utm_medium=member_desktop</v>
      </c>
    </row>
    <row r="457">
      <c r="A457" s="2">
        <f>IFERROR(__xludf.DUMMYFUNCTION("""COMPUTED_VALUE"""),45532.0)</f>
        <v>45532</v>
      </c>
      <c r="B457" s="1" t="str">
        <f>IFERROR(__xludf.DUMMYFUNCTION("""COMPUTED_VALUE"""),"Lowe's")</f>
        <v>Lowe's</v>
      </c>
      <c r="C457" s="1" t="str">
        <f>IFERROR(__xludf.DUMMYFUNCTION("""COMPUTED_VALUE"""),"Corporate Merchandising Analyst - Seasonal &amp; Outdoor Living")</f>
        <v>Corporate Merchandising Analyst - Seasonal &amp; Outdoor Living</v>
      </c>
      <c r="D457" s="1" t="str">
        <f>IFERROR(__xludf.DUMMYFUNCTION("""COMPUTED_VALUE"""),"Hybrid")</f>
        <v>Hybrid</v>
      </c>
      <c r="E457" s="3" t="str">
        <f>IFERROR(__xludf.DUMMYFUNCTION("""COMPUTED_VALUE"""),"N/A")</f>
        <v>N/A</v>
      </c>
      <c r="F457" s="1" t="str">
        <f>IFERROR(__xludf.DUMMYFUNCTION("""COMPUTED_VALUE"""),"0 - 2")</f>
        <v>0 - 2</v>
      </c>
      <c r="G457" s="1" t="str">
        <f>IFERROR(__xludf.DUMMYFUNCTION("""COMPUTED_VALUE"""),"Mooresville, NC")</f>
        <v>Mooresville, NC</v>
      </c>
      <c r="H457" s="4" t="str">
        <f>IFERROR(__xludf.DUMMYFUNCTION("""COMPUTED_VALUE"""),"https://www.linkedin.com/posts/jordanreitzel_corporate-merchandising-analyst-seasonal-activity-7234378931573866496-tQMx?utm_source=share&amp;utm_medium=member_desktop")</f>
        <v>https://www.linkedin.com/posts/jordanreitzel_corporate-merchandising-analyst-seasonal-activity-7234378931573866496-tQMx?utm_source=share&amp;utm_medium=member_desktop</v>
      </c>
    </row>
    <row r="458">
      <c r="A458" s="2">
        <f>IFERROR(__xludf.DUMMYFUNCTION("""COMPUTED_VALUE"""),45532.0)</f>
        <v>45532</v>
      </c>
      <c r="B458" s="1" t="str">
        <f>IFERROR(__xludf.DUMMYFUNCTION("""COMPUTED_VALUE"""),"Albertsons Companies")</f>
        <v>Albertsons Companies</v>
      </c>
      <c r="C458" s="1" t="str">
        <f>IFERROR(__xludf.DUMMYFUNCTION("""COMPUTED_VALUE"""),"Principal Data Scientist")</f>
        <v>Principal Data Scientist</v>
      </c>
      <c r="D458" s="1" t="str">
        <f>IFERROR(__xludf.DUMMYFUNCTION("""COMPUTED_VALUE"""),"Hybrid")</f>
        <v>Hybrid</v>
      </c>
      <c r="E458" s="3" t="str">
        <f>IFERROR(__xludf.DUMMYFUNCTION("""COMPUTED_VALUE"""),"$182k - $247k")</f>
        <v>$182k - $247k</v>
      </c>
      <c r="F458" s="1" t="str">
        <f>IFERROR(__xludf.DUMMYFUNCTION("""COMPUTED_VALUE"""),"6 - 9")</f>
        <v>6 - 9</v>
      </c>
      <c r="G458" s="1" t="str">
        <f>IFERROR(__xludf.DUMMYFUNCTION("""COMPUTED_VALUE"""),"Pleasanton, CA/Boise, ID")</f>
        <v>Pleasanton, CA/Boise, ID</v>
      </c>
      <c r="H458" s="4" t="str">
        <f>IFERROR(__xludf.DUMMYFUNCTION("""COMPUTED_VALUE"""),"https://www.linkedin.com/posts/sheema-talib-411a3237_principal-data-scientist-activity-7234243075659718656-QeLd?utm_source=share&amp;utm_medium=member_desktop")</f>
        <v>https://www.linkedin.com/posts/sheema-talib-411a3237_principal-data-scientist-activity-7234243075659718656-QeLd?utm_source=share&amp;utm_medium=member_desktop</v>
      </c>
    </row>
    <row r="459">
      <c r="A459" s="2">
        <f>IFERROR(__xludf.DUMMYFUNCTION("""COMPUTED_VALUE"""),45532.0)</f>
        <v>45532</v>
      </c>
      <c r="B459" s="1" t="str">
        <f>IFERROR(__xludf.DUMMYFUNCTION("""COMPUTED_VALUE"""),"ADP")</f>
        <v>ADP</v>
      </c>
      <c r="C459" s="1" t="str">
        <f>IFERROR(__xludf.DUMMYFUNCTION("""COMPUTED_VALUE"""),"Sr. Data Scientist")</f>
        <v>Sr. Data Scientist</v>
      </c>
      <c r="D459" s="1" t="str">
        <f>IFERROR(__xludf.DUMMYFUNCTION("""COMPUTED_VALUE"""),"Hybrid")</f>
        <v>Hybrid</v>
      </c>
      <c r="E459" s="3" t="str">
        <f>IFERROR(__xludf.DUMMYFUNCTION("""COMPUTED_VALUE"""),"N/A")</f>
        <v>N/A</v>
      </c>
      <c r="F459" s="1" t="str">
        <f>IFERROR(__xludf.DUMMYFUNCTION("""COMPUTED_VALUE"""),"3 - 5")</f>
        <v>3 - 5</v>
      </c>
      <c r="G459" s="1" t="str">
        <f>IFERROR(__xludf.DUMMYFUNCTION("""COMPUTED_VALUE"""),"Parsippany, NJ")</f>
        <v>Parsippany, NJ</v>
      </c>
      <c r="H459" s="4" t="str">
        <f>IFERROR(__xludf.DUMMYFUNCTION("""COMPUTED_VALUE"""),"https://www.linkedin.com/posts/travis-beedy_hiring-activity-7234273081710534659-jglI?utm_source=share&amp;utm_medium=member_desktop")</f>
        <v>https://www.linkedin.com/posts/travis-beedy_hiring-activity-7234273081710534659-jglI?utm_source=share&amp;utm_medium=member_desktop</v>
      </c>
    </row>
    <row r="460">
      <c r="A460" s="2">
        <f>IFERROR(__xludf.DUMMYFUNCTION("""COMPUTED_VALUE"""),45532.0)</f>
        <v>45532</v>
      </c>
      <c r="B460" s="1" t="str">
        <f>IFERROR(__xludf.DUMMYFUNCTION("""COMPUTED_VALUE"""),"WebBank")</f>
        <v>WebBank</v>
      </c>
      <c r="C460" s="1" t="str">
        <f>IFERROR(__xludf.DUMMYFUNCTION("""COMPUTED_VALUE"""),"Data Manager/Senior Data Manager")</f>
        <v>Data Manager/Senior Data Manager</v>
      </c>
      <c r="D460" s="1" t="str">
        <f>IFERROR(__xludf.DUMMYFUNCTION("""COMPUTED_VALUE"""),"On-Site")</f>
        <v>On-Site</v>
      </c>
      <c r="E460" s="3" t="str">
        <f>IFERROR(__xludf.DUMMYFUNCTION("""COMPUTED_VALUE"""),"N/A")</f>
        <v>N/A</v>
      </c>
      <c r="F460" s="1" t="str">
        <f>IFERROR(__xludf.DUMMYFUNCTION("""COMPUTED_VALUE"""),"3 - 5")</f>
        <v>3 - 5</v>
      </c>
      <c r="G460" s="1" t="str">
        <f>IFERROR(__xludf.DUMMYFUNCTION("""COMPUTED_VALUE"""),"Summit, NJ")</f>
        <v>Summit, NJ</v>
      </c>
      <c r="H460" s="4" t="str">
        <f>IFERROR(__xludf.DUMMYFUNCTION("""COMPUTED_VALUE"""),"https://www.linkedin.com/posts/alexis-read-b5085835_hiring-datamanager-webbank-activity-7234215412039651328-fN7_?utm_source=share&amp;utm_medium=member_desktop")</f>
        <v>https://www.linkedin.com/posts/alexis-read-b5085835_hiring-datamanager-webbank-activity-7234215412039651328-fN7_?utm_source=share&amp;utm_medium=member_desktop</v>
      </c>
    </row>
    <row r="461">
      <c r="A461" s="2">
        <f>IFERROR(__xludf.DUMMYFUNCTION("""COMPUTED_VALUE"""),45532.0)</f>
        <v>45532</v>
      </c>
      <c r="B461" s="1" t="str">
        <f>IFERROR(__xludf.DUMMYFUNCTION("""COMPUTED_VALUE"""),"Meltwater")</f>
        <v>Meltwater</v>
      </c>
      <c r="C461" s="1" t="str">
        <f>IFERROR(__xludf.DUMMYFUNCTION("""COMPUTED_VALUE"""),"Analyst, GTM Planning &amp; Analytics")</f>
        <v>Analyst, GTM Planning &amp; Analytics</v>
      </c>
      <c r="D461" s="1" t="str">
        <f>IFERROR(__xludf.DUMMYFUNCTION("""COMPUTED_VALUE"""),"Hybrid")</f>
        <v>Hybrid</v>
      </c>
      <c r="E461" s="3" t="str">
        <f>IFERROR(__xludf.DUMMYFUNCTION("""COMPUTED_VALUE"""),"$80k - $105k")</f>
        <v>$80k - $105k</v>
      </c>
      <c r="F461" s="1" t="str">
        <f>IFERROR(__xludf.DUMMYFUNCTION("""COMPUTED_VALUE"""),"0 - 2")</f>
        <v>0 - 2</v>
      </c>
      <c r="G461" s="1" t="str">
        <f>IFERROR(__xludf.DUMMYFUNCTION("""COMPUTED_VALUE"""),"Charlotte, NC")</f>
        <v>Charlotte, NC</v>
      </c>
      <c r="H461" s="4" t="str">
        <f>IFERROR(__xludf.DUMMYFUNCTION("""COMPUTED_VALUE"""),"https://www.linkedin.com/posts/michaeltmauldin_revops-activity-7234488955704938496-okp9?utm_source=share&amp;utm_medium=member_desktop")</f>
        <v>https://www.linkedin.com/posts/michaeltmauldin_revops-activity-7234488955704938496-okp9?utm_source=share&amp;utm_medium=member_desktop</v>
      </c>
    </row>
    <row r="462">
      <c r="A462" s="2">
        <f>IFERROR(__xludf.DUMMYFUNCTION("""COMPUTED_VALUE"""),45532.0)</f>
        <v>45532</v>
      </c>
      <c r="B462" s="1" t="str">
        <f>IFERROR(__xludf.DUMMYFUNCTION("""COMPUTED_VALUE"""),"H-E-B")</f>
        <v>H-E-B</v>
      </c>
      <c r="C462" s="1" t="str">
        <f>IFERROR(__xludf.DUMMYFUNCTION("""COMPUTED_VALUE"""),"Decision Science Analyst I - Retail Media")</f>
        <v>Decision Science Analyst I - Retail Media</v>
      </c>
      <c r="D462" s="1" t="str">
        <f>IFERROR(__xludf.DUMMYFUNCTION("""COMPUTED_VALUE"""),"Hybrid")</f>
        <v>Hybrid</v>
      </c>
      <c r="E462" s="3" t="str">
        <f>IFERROR(__xludf.DUMMYFUNCTION("""COMPUTED_VALUE"""),"N/A")</f>
        <v>N/A</v>
      </c>
      <c r="F462" s="1" t="str">
        <f>IFERROR(__xludf.DUMMYFUNCTION("""COMPUTED_VALUE"""),"0 - 2")</f>
        <v>0 - 2</v>
      </c>
      <c r="G462" s="1" t="str">
        <f>IFERROR(__xludf.DUMMYFUNCTION("""COMPUTED_VALUE"""),"San Antonio, TX")</f>
        <v>San Antonio, TX</v>
      </c>
      <c r="H462" s="4" t="str">
        <f>IFERROR(__xludf.DUMMYFUNCTION("""COMPUTED_VALUE"""),"https://www.linkedin.com/posts/mhuff04_decision-science-analyst-i-retail-media-activity-7234243287119708161-C9W1?utm_source=share&amp;utm_medium=member_desktop")</f>
        <v>https://www.linkedin.com/posts/mhuff04_decision-science-analyst-i-retail-media-activity-7234243287119708161-C9W1?utm_source=share&amp;utm_medium=member_desktop</v>
      </c>
    </row>
    <row r="463">
      <c r="A463" s="2">
        <f>IFERROR(__xludf.DUMMYFUNCTION("""COMPUTED_VALUE"""),45532.0)</f>
        <v>45532</v>
      </c>
      <c r="B463" s="1" t="str">
        <f>IFERROR(__xludf.DUMMYFUNCTION("""COMPUTED_VALUE"""),"Comcast")</f>
        <v>Comcast</v>
      </c>
      <c r="C463" s="1" t="str">
        <f>IFERROR(__xludf.DUMMYFUNCTION("""COMPUTED_VALUE"""),"Sr. Analyst, Product Management – Broadband Emerging Products")</f>
        <v>Sr. Analyst, Product Management – Broadband Emerging Products</v>
      </c>
      <c r="D463" s="1" t="str">
        <f>IFERROR(__xludf.DUMMYFUNCTION("""COMPUTED_VALUE"""),"Hybrid")</f>
        <v>Hybrid</v>
      </c>
      <c r="E463" s="3" t="str">
        <f>IFERROR(__xludf.DUMMYFUNCTION("""COMPUTED_VALUE"""),"N/A")</f>
        <v>N/A</v>
      </c>
      <c r="F463" s="1" t="str">
        <f>IFERROR(__xludf.DUMMYFUNCTION("""COMPUTED_VALUE"""),"3 - 5")</f>
        <v>3 - 5</v>
      </c>
      <c r="G463" s="1" t="str">
        <f>IFERROR(__xludf.DUMMYFUNCTION("""COMPUTED_VALUE"""),"Philadelphia, PA")</f>
        <v>Philadelphia, PA</v>
      </c>
      <c r="H463" s="4" t="str">
        <f>IFERROR(__xludf.DUMMYFUNCTION("""COMPUTED_VALUE"""),"https://www.linkedin.com/posts/dimitry-cohen_sr-analyst-product-management-broadband-activity-7234275229433229313-U6Z7?utm_source=share&amp;utm_medium=member_desktop")</f>
        <v>https://www.linkedin.com/posts/dimitry-cohen_sr-analyst-product-management-broadband-activity-7234275229433229313-U6Z7?utm_source=share&amp;utm_medium=member_desktop</v>
      </c>
    </row>
    <row r="464">
      <c r="A464" s="2">
        <f>IFERROR(__xludf.DUMMYFUNCTION("""COMPUTED_VALUE"""),45531.0)</f>
        <v>45531</v>
      </c>
      <c r="B464" s="1" t="str">
        <f>IFERROR(__xludf.DUMMYFUNCTION("""COMPUTED_VALUE"""),"Citizen")</f>
        <v>Citizen</v>
      </c>
      <c r="C464" s="1" t="str">
        <f>IFERROR(__xludf.DUMMYFUNCTION("""COMPUTED_VALUE"""),"Data Scientist, Product Analytics")</f>
        <v>Data Scientist, Product Analytics</v>
      </c>
      <c r="D464" s="1" t="str">
        <f>IFERROR(__xludf.DUMMYFUNCTION("""COMPUTED_VALUE"""),"Hybrid")</f>
        <v>Hybrid</v>
      </c>
      <c r="E464" s="3" t="str">
        <f>IFERROR(__xludf.DUMMYFUNCTION("""COMPUTED_VALUE"""),"$140k - $160k")</f>
        <v>$140k - $160k</v>
      </c>
      <c r="F464" s="1" t="str">
        <f>IFERROR(__xludf.DUMMYFUNCTION("""COMPUTED_VALUE"""),"0 - 2")</f>
        <v>0 - 2</v>
      </c>
      <c r="G464" s="1" t="str">
        <f>IFERROR(__xludf.DUMMYFUNCTION("""COMPUTED_VALUE"""),"Certain Locations")</f>
        <v>Certain Locations</v>
      </c>
      <c r="H464" s="4" t="str">
        <f>IFERROR(__xludf.DUMMYFUNCTION("""COMPUTED_VALUE"""),"https://www.linkedin.com/posts/activity-7234338769166852096-TCbf?utm_source=share&amp;utm_medium=member_desktop")</f>
        <v>https://www.linkedin.com/posts/activity-7234338769166852096-TCbf?utm_source=share&amp;utm_medium=member_desktop</v>
      </c>
    </row>
    <row r="465">
      <c r="A465" s="2">
        <f>IFERROR(__xludf.DUMMYFUNCTION("""COMPUTED_VALUE"""),45531.0)</f>
        <v>45531</v>
      </c>
      <c r="B465" s="1" t="str">
        <f>IFERROR(__xludf.DUMMYFUNCTION("""COMPUTED_VALUE"""),"Global Partners LP")</f>
        <v>Global Partners LP</v>
      </c>
      <c r="C465" s="1" t="str">
        <f>IFERROR(__xludf.DUMMYFUNCTION("""COMPUTED_VALUE"""),"Senior Compensation Analyst")</f>
        <v>Senior Compensation Analyst</v>
      </c>
      <c r="D465" s="1" t="str">
        <f>IFERROR(__xludf.DUMMYFUNCTION("""COMPUTED_VALUE"""),"Hybrid")</f>
        <v>Hybrid</v>
      </c>
      <c r="E465" s="3" t="str">
        <f>IFERROR(__xludf.DUMMYFUNCTION("""COMPUTED_VALUE"""),"N/A")</f>
        <v>N/A</v>
      </c>
      <c r="F465" s="1" t="str">
        <f>IFERROR(__xludf.DUMMYFUNCTION("""COMPUTED_VALUE"""),"3 - 5")</f>
        <v>3 - 5</v>
      </c>
      <c r="G465" s="1" t="str">
        <f>IFERROR(__xludf.DUMMYFUNCTION("""COMPUTED_VALUE"""),"Waltham, MA")</f>
        <v>Waltham, MA</v>
      </c>
      <c r="H465" s="4" t="str">
        <f>IFERROR(__xludf.DUMMYFUNCTION("""COMPUTED_VALUE"""),"https://www.linkedin.com/posts/ryan-dube-948a90104_seniorcompensationanalyst-totalrewards-jobopportunity-activity-7234256074260779010-aNfR?utm_source=share&amp;utm_medium=member_desktop")</f>
        <v>https://www.linkedin.com/posts/ryan-dube-948a90104_seniorcompensationanalyst-totalrewards-jobopportunity-activity-7234256074260779010-aNfR?utm_source=share&amp;utm_medium=member_desktop</v>
      </c>
    </row>
    <row r="466">
      <c r="A466" s="2">
        <f>IFERROR(__xludf.DUMMYFUNCTION("""COMPUTED_VALUE"""),45531.0)</f>
        <v>45531</v>
      </c>
      <c r="B466" s="1" t="str">
        <f>IFERROR(__xludf.DUMMYFUNCTION("""COMPUTED_VALUE"""),"PACSUN")</f>
        <v>PACSUN</v>
      </c>
      <c r="C466" s="1" t="str">
        <f>IFERROR(__xludf.DUMMYFUNCTION("""COMPUTED_VALUE"""),"Business Intelligence (BI) Analyst")</f>
        <v>Business Intelligence (BI) Analyst</v>
      </c>
      <c r="D466" s="1" t="str">
        <f>IFERROR(__xludf.DUMMYFUNCTION("""COMPUTED_VALUE"""),"Hybrid")</f>
        <v>Hybrid</v>
      </c>
      <c r="E466" s="3" t="str">
        <f>IFERROR(__xludf.DUMMYFUNCTION("""COMPUTED_VALUE"""),"$73k - $83k")</f>
        <v>$73k - $83k</v>
      </c>
      <c r="F466" s="1" t="str">
        <f>IFERROR(__xludf.DUMMYFUNCTION("""COMPUTED_VALUE"""),"0 - 2")</f>
        <v>0 - 2</v>
      </c>
      <c r="G466" s="1" t="str">
        <f>IFERROR(__xludf.DUMMYFUNCTION("""COMPUTED_VALUE"""),"Anaheim, CA")</f>
        <v>Anaheim, CA</v>
      </c>
      <c r="H466" s="4" t="str">
        <f>IFERROR(__xludf.DUMMYFUNCTION("""COMPUTED_VALUE"""),"https://www.linkedin.com/posts/kathyconnors_are-you-passionate-about-retail-and-data-activity-7234246887933894657-7PWQ?utm_source=share&amp;utm_medium=member_desktop")</f>
        <v>https://www.linkedin.com/posts/kathyconnors_are-you-passionate-about-retail-and-data-activity-7234246887933894657-7PWQ?utm_source=share&amp;utm_medium=member_desktop</v>
      </c>
    </row>
    <row r="467">
      <c r="A467" s="2">
        <f>IFERROR(__xludf.DUMMYFUNCTION("""COMPUTED_VALUE"""),45531.0)</f>
        <v>45531</v>
      </c>
      <c r="B467" s="1" t="str">
        <f>IFERROR(__xludf.DUMMYFUNCTION("""COMPUTED_VALUE"""),"American Equity")</f>
        <v>American Equity</v>
      </c>
      <c r="C467" s="1" t="str">
        <f>IFERROR(__xludf.DUMMYFUNCTION("""COMPUTED_VALUE"""),"Manager, Data Analytics")</f>
        <v>Manager, Data Analytics</v>
      </c>
      <c r="D467" s="1" t="str">
        <f>IFERROR(__xludf.DUMMYFUNCTION("""COMPUTED_VALUE"""),"Hybrid")</f>
        <v>Hybrid</v>
      </c>
      <c r="E467" s="3" t="str">
        <f>IFERROR(__xludf.DUMMYFUNCTION("""COMPUTED_VALUE"""),"N/A")</f>
        <v>N/A</v>
      </c>
      <c r="F467" s="1" t="str">
        <f>IFERROR(__xludf.DUMMYFUNCTION("""COMPUTED_VALUE"""),"6 - 9")</f>
        <v>6 - 9</v>
      </c>
      <c r="G467" s="1" t="str">
        <f>IFERROR(__xludf.DUMMYFUNCTION("""COMPUTED_VALUE"""),"Des Moines, IA")</f>
        <v>Des Moines, IA</v>
      </c>
      <c r="H467" s="4" t="str">
        <f>IFERROR(__xludf.DUMMYFUNCTION("""COMPUTED_VALUE"""),"https://www.linkedin.com/posts/julie-boelter-a2215685_epicatael-dataanalytics-leadership-activity-7234284858359869440-htVD?utm_source=share&amp;utm_medium=member_desktop")</f>
        <v>https://www.linkedin.com/posts/julie-boelter-a2215685_epicatael-dataanalytics-leadership-activity-7234284858359869440-htVD?utm_source=share&amp;utm_medium=member_desktop</v>
      </c>
    </row>
    <row r="468">
      <c r="A468" s="2">
        <f>IFERROR(__xludf.DUMMYFUNCTION("""COMPUTED_VALUE"""),45531.0)</f>
        <v>45531</v>
      </c>
      <c r="B468" s="1" t="str">
        <f>IFERROR(__xludf.DUMMYFUNCTION("""COMPUTED_VALUE"""),"Hiya Inc.")</f>
        <v>Hiya Inc.</v>
      </c>
      <c r="C468" s="1" t="str">
        <f>IFERROR(__xludf.DUMMYFUNCTION("""COMPUTED_VALUE"""),"FP&amp;A Analyst")</f>
        <v>FP&amp;A Analyst</v>
      </c>
      <c r="D468" s="1" t="str">
        <f>IFERROR(__xludf.DUMMYFUNCTION("""COMPUTED_VALUE"""),"Hybrid")</f>
        <v>Hybrid</v>
      </c>
      <c r="E468" s="3" t="str">
        <f>IFERROR(__xludf.DUMMYFUNCTION("""COMPUTED_VALUE"""),"$78k - $120k")</f>
        <v>$78k - $120k</v>
      </c>
      <c r="F468" s="1" t="str">
        <f>IFERROR(__xludf.DUMMYFUNCTION("""COMPUTED_VALUE"""),"3 - 5")</f>
        <v>3 - 5</v>
      </c>
      <c r="G468" s="1" t="str">
        <f>IFERROR(__xludf.DUMMYFUNCTION("""COMPUTED_VALUE"""),"Seattle, WA")</f>
        <v>Seattle, WA</v>
      </c>
      <c r="H468" s="4" t="str">
        <f>IFERROR(__xludf.DUMMYFUNCTION("""COMPUTED_VALUE"""),"https://www.linkedin.com/posts/jenbonynge_come-work-on-my-team-were-hiring-an-fp-activity-7234291697554186243-pSno?utm_source=share&amp;utm_medium=member_desktop")</f>
        <v>https://www.linkedin.com/posts/jenbonynge_come-work-on-my-team-were-hiring-an-fp-activity-7234291697554186243-pSno?utm_source=share&amp;utm_medium=member_desktop</v>
      </c>
    </row>
    <row r="469">
      <c r="A469" s="2">
        <f>IFERROR(__xludf.DUMMYFUNCTION("""COMPUTED_VALUE"""),45531.0)</f>
        <v>45531</v>
      </c>
      <c r="B469" s="1" t="str">
        <f>IFERROR(__xludf.DUMMYFUNCTION("""COMPUTED_VALUE"""),"Canto")</f>
        <v>Canto</v>
      </c>
      <c r="C469" s="1" t="str">
        <f>IFERROR(__xludf.DUMMYFUNCTION("""COMPUTED_VALUE"""),"Revenue Operations Analyst")</f>
        <v>Revenue Operations Analyst</v>
      </c>
      <c r="D469" s="1" t="str">
        <f>IFERROR(__xludf.DUMMYFUNCTION("""COMPUTED_VALUE"""),"Remote")</f>
        <v>Remote</v>
      </c>
      <c r="E469" s="3" t="str">
        <f>IFERROR(__xludf.DUMMYFUNCTION("""COMPUTED_VALUE"""),"N/A")</f>
        <v>N/A</v>
      </c>
      <c r="F469" s="1" t="str">
        <f>IFERROR(__xludf.DUMMYFUNCTION("""COMPUTED_VALUE"""),"0 - 2")</f>
        <v>0 - 2</v>
      </c>
      <c r="G469" s="1" t="str">
        <f>IFERROR(__xludf.DUMMYFUNCTION("""COMPUTED_VALUE"""),"Certain Locations")</f>
        <v>Certain Locations</v>
      </c>
      <c r="H469" s="4" t="str">
        <f>IFERROR(__xludf.DUMMYFUNCTION("""COMPUTED_VALUE"""),"https://www.linkedin.com/posts/megansmith-revops_any-analysts-seeking-their-next-opportunity-activity-7234295146253574144-xsn6?utm_source=share&amp;utm_medium=member_desktop")</f>
        <v>https://www.linkedin.com/posts/megansmith-revops_any-analysts-seeking-their-next-opportunity-activity-7234295146253574144-xsn6?utm_source=share&amp;utm_medium=member_desktop</v>
      </c>
    </row>
    <row r="470">
      <c r="A470" s="2">
        <f>IFERROR(__xludf.DUMMYFUNCTION("""COMPUTED_VALUE"""),45531.0)</f>
        <v>45531</v>
      </c>
      <c r="B470" s="1" t="str">
        <f>IFERROR(__xludf.DUMMYFUNCTION("""COMPUTED_VALUE"""),"Nicklaus Children's Health System")</f>
        <v>Nicklaus Children's Health System</v>
      </c>
      <c r="C470" s="1" t="str">
        <f>IFERROR(__xludf.DUMMYFUNCTION("""COMPUTED_VALUE"""),"Payer Strategy Analyst")</f>
        <v>Payer Strategy Analyst</v>
      </c>
      <c r="D470" s="1" t="str">
        <f>IFERROR(__xludf.DUMMYFUNCTION("""COMPUTED_VALUE"""),"Remote")</f>
        <v>Remote</v>
      </c>
      <c r="E470" s="3" t="str">
        <f>IFERROR(__xludf.DUMMYFUNCTION("""COMPUTED_VALUE"""),"N/A")</f>
        <v>N/A</v>
      </c>
      <c r="F470" s="1" t="str">
        <f>IFERROR(__xludf.DUMMYFUNCTION("""COMPUTED_VALUE"""),"3 - 5")</f>
        <v>3 - 5</v>
      </c>
      <c r="G470" s="1" t="str">
        <f>IFERROR(__xludf.DUMMYFUNCTION("""COMPUTED_VALUE"""),"USA")</f>
        <v>USA</v>
      </c>
      <c r="H470" s="4" t="str">
        <f>IFERROR(__xludf.DUMMYFUNCTION("""COMPUTED_VALUE"""),"https://www.linkedin.com/posts/louraine-blake-ab7a5999_payer-strategy-analyst-in-miami-fl-activity-7234213144653369344-1h-7?utm_source=share&amp;utm_medium=member_desktop")</f>
        <v>https://www.linkedin.com/posts/louraine-blake-ab7a5999_payer-strategy-analyst-in-miami-fl-activity-7234213144653369344-1h-7?utm_source=share&amp;utm_medium=member_desktop</v>
      </c>
    </row>
    <row r="471">
      <c r="A471" s="2">
        <f>IFERROR(__xludf.DUMMYFUNCTION("""COMPUTED_VALUE"""),45531.0)</f>
        <v>45531</v>
      </c>
      <c r="B471" s="1" t="str">
        <f>IFERROR(__xludf.DUMMYFUNCTION("""COMPUTED_VALUE"""),"Streamline Health")</f>
        <v>Streamline Health</v>
      </c>
      <c r="C471" s="1" t="str">
        <f>IFERROR(__xludf.DUMMYFUNCTION("""COMPUTED_VALUE"""),"Marketing Analyst (Remote)")</f>
        <v>Marketing Analyst (Remote)</v>
      </c>
      <c r="D471" s="1" t="str">
        <f>IFERROR(__xludf.DUMMYFUNCTION("""COMPUTED_VALUE"""),"Remote")</f>
        <v>Remote</v>
      </c>
      <c r="E471" s="3" t="str">
        <f>IFERROR(__xludf.DUMMYFUNCTION("""COMPUTED_VALUE"""),"N/A")</f>
        <v>N/A</v>
      </c>
      <c r="F471" s="1" t="str">
        <f>IFERROR(__xludf.DUMMYFUNCTION("""COMPUTED_VALUE"""),"3 - 5")</f>
        <v>3 - 5</v>
      </c>
      <c r="G471" s="1" t="str">
        <f>IFERROR(__xludf.DUMMYFUNCTION("""COMPUTED_VALUE"""),"USA")</f>
        <v>USA</v>
      </c>
      <c r="H471" s="4" t="str">
        <f>IFERROR(__xludf.DUMMYFUNCTION("""COMPUTED_VALUE"""),"https://www.linkedin.com/posts/tahmed7_were-seeking-a-marketing-analyst-with-an-activity-7234256928053362690-g9dr?utm_source=share&amp;utm_medium=member_desktop")</f>
        <v>https://www.linkedin.com/posts/tahmed7_were-seeking-a-marketing-analyst-with-an-activity-7234256928053362690-g9dr?utm_source=share&amp;utm_medium=member_desktop</v>
      </c>
    </row>
    <row r="472">
      <c r="A472" s="2">
        <f>IFERROR(__xludf.DUMMYFUNCTION("""COMPUTED_VALUE"""),45531.0)</f>
        <v>45531</v>
      </c>
      <c r="B472" s="1" t="str">
        <f>IFERROR(__xludf.DUMMYFUNCTION("""COMPUTED_VALUE"""),"Ford Motor Company")</f>
        <v>Ford Motor Company</v>
      </c>
      <c r="C472" s="1" t="str">
        <f>IFERROR(__xludf.DUMMYFUNCTION("""COMPUTED_VALUE"""),"Data Science Manager")</f>
        <v>Data Science Manager</v>
      </c>
      <c r="D472" s="1" t="str">
        <f>IFERROR(__xludf.DUMMYFUNCTION("""COMPUTED_VALUE"""),"Remote")</f>
        <v>Remote</v>
      </c>
      <c r="E472" s="3" t="str">
        <f>IFERROR(__xludf.DUMMYFUNCTION("""COMPUTED_VALUE"""),"N/A")</f>
        <v>N/A</v>
      </c>
      <c r="F472" s="1" t="str">
        <f>IFERROR(__xludf.DUMMYFUNCTION("""COMPUTED_VALUE"""),"3 - 5")</f>
        <v>3 - 5</v>
      </c>
      <c r="G472" s="1" t="str">
        <f>IFERROR(__xludf.DUMMYFUNCTION("""COMPUTED_VALUE"""),"USA")</f>
        <v>USA</v>
      </c>
      <c r="H472" s="4" t="str">
        <f>IFERROR(__xludf.DUMMYFUNCTION("""COMPUTED_VALUE"""),"https://www.linkedin.com/posts/hendrik-s-2232142_we-are-hiring-for-my-advanced-analytics-team-activity-7233995597551124482-nlVG?utm_source=share&amp;utm_medium=member_desktop")</f>
        <v>https://www.linkedin.com/posts/hendrik-s-2232142_we-are-hiring-for-my-advanced-analytics-team-activity-7233995597551124482-nlVG?utm_source=share&amp;utm_medium=member_desktop</v>
      </c>
    </row>
    <row r="473">
      <c r="A473" s="2">
        <f>IFERROR(__xludf.DUMMYFUNCTION("""COMPUTED_VALUE"""),45531.0)</f>
        <v>45531</v>
      </c>
      <c r="B473" s="1" t="str">
        <f>IFERROR(__xludf.DUMMYFUNCTION("""COMPUTED_VALUE"""),"Nestlé")</f>
        <v>Nestlé</v>
      </c>
      <c r="C473" s="1" t="str">
        <f>IFERROR(__xludf.DUMMYFUNCTION("""COMPUTED_VALUE"""),"Senior Analyst, Supply Chain Analytics")</f>
        <v>Senior Analyst, Supply Chain Analytics</v>
      </c>
      <c r="D473" s="1" t="str">
        <f>IFERROR(__xludf.DUMMYFUNCTION("""COMPUTED_VALUE"""),"Hybrid")</f>
        <v>Hybrid</v>
      </c>
      <c r="E473" s="3" t="str">
        <f>IFERROR(__xludf.DUMMYFUNCTION("""COMPUTED_VALUE"""),"N/A")</f>
        <v>N/A</v>
      </c>
      <c r="F473" s="1" t="str">
        <f>IFERROR(__xludf.DUMMYFUNCTION("""COMPUTED_VALUE"""),"3 - 5")</f>
        <v>3 - 5</v>
      </c>
      <c r="G473" s="1" t="str">
        <f>IFERROR(__xludf.DUMMYFUNCTION("""COMPUTED_VALUE"""),"Arlington, VA")</f>
        <v>Arlington, VA</v>
      </c>
      <c r="H473" s="4" t="str">
        <f>IFERROR(__xludf.DUMMYFUNCTION("""COMPUTED_VALUE"""),"https://www.linkedin.com/posts/salahalchanati_nestle-data-analytics-activity-7234011224236044289-ya5F?utm_source=share&amp;utm_medium=member_desktop")</f>
        <v>https://www.linkedin.com/posts/salahalchanati_nestle-data-analytics-activity-7234011224236044289-ya5F?utm_source=share&amp;utm_medium=member_desktop</v>
      </c>
    </row>
    <row r="474">
      <c r="A474" s="2">
        <f>IFERROR(__xludf.DUMMYFUNCTION("""COMPUTED_VALUE"""),45531.0)</f>
        <v>45531</v>
      </c>
      <c r="B474" s="1" t="str">
        <f>IFERROR(__xludf.DUMMYFUNCTION("""COMPUTED_VALUE"""),"American Medical Association")</f>
        <v>American Medical Association</v>
      </c>
      <c r="C474" s="1" t="str">
        <f>IFERROR(__xludf.DUMMYFUNCTION("""COMPUTED_VALUE"""),"Market Intelligence Analyst")</f>
        <v>Market Intelligence Analyst</v>
      </c>
      <c r="D474" s="1" t="str">
        <f>IFERROR(__xludf.DUMMYFUNCTION("""COMPUTED_VALUE"""),"Remote")</f>
        <v>Remote</v>
      </c>
      <c r="E474" s="3" t="str">
        <f>IFERROR(__xludf.DUMMYFUNCTION("""COMPUTED_VALUE"""),"N/A")</f>
        <v>N/A</v>
      </c>
      <c r="F474" s="1" t="str">
        <f>IFERROR(__xludf.DUMMYFUNCTION("""COMPUTED_VALUE"""),"3 - 5")</f>
        <v>3 - 5</v>
      </c>
      <c r="G474" s="1" t="str">
        <f>IFERROR(__xludf.DUMMYFUNCTION("""COMPUTED_VALUE"""),"Certain Locations")</f>
        <v>Certain Locations</v>
      </c>
      <c r="H474" s="4" t="str">
        <f>IFERROR(__xludf.DUMMYFUNCTION("""COMPUTED_VALUE"""),"https://www.linkedin.com/posts/anna-yakovenko-a420252_come-join-my-team-at-ama-as-a-market-intelligence-activity-7233892165393739777-A7GU?utm_source=share&amp;utm_medium=member_desktop")</f>
        <v>https://www.linkedin.com/posts/anna-yakovenko-a420252_come-join-my-team-at-ama-as-a-market-intelligence-activity-7233892165393739777-A7GU?utm_source=share&amp;utm_medium=member_desktop</v>
      </c>
    </row>
    <row r="475">
      <c r="A475" s="2">
        <f>IFERROR(__xludf.DUMMYFUNCTION("""COMPUTED_VALUE"""),45531.0)</f>
        <v>45531</v>
      </c>
      <c r="B475" s="1" t="str">
        <f>IFERROR(__xludf.DUMMYFUNCTION("""COMPUTED_VALUE"""),"Janus Henderson Investors")</f>
        <v>Janus Henderson Investors</v>
      </c>
      <c r="C475" s="1" t="str">
        <f>IFERROR(__xludf.DUMMYFUNCTION("""COMPUTED_VALUE"""),"Data Analyst")</f>
        <v>Data Analyst</v>
      </c>
      <c r="D475" s="1" t="str">
        <f>IFERROR(__xludf.DUMMYFUNCTION("""COMPUTED_VALUE"""),"Hybrid")</f>
        <v>Hybrid</v>
      </c>
      <c r="E475" s="3" t="str">
        <f>IFERROR(__xludf.DUMMYFUNCTION("""COMPUTED_VALUE"""),"$90k - $110k ")</f>
        <v>$90k - $110k </v>
      </c>
      <c r="F475" s="1" t="str">
        <f>IFERROR(__xludf.DUMMYFUNCTION("""COMPUTED_VALUE"""),"3 - 5")</f>
        <v>3 - 5</v>
      </c>
      <c r="G475" s="1" t="str">
        <f>IFERROR(__xludf.DUMMYFUNCTION("""COMPUTED_VALUE"""),"Denver, CO")</f>
        <v>Denver, CO</v>
      </c>
      <c r="H475" s="4" t="str">
        <f>IFERROR(__xludf.DUMMYFUNCTION("""COMPUTED_VALUE"""),"https://www.linkedin.com/posts/jessicanorwoodcoach_check-out-this-job-at-janus-henderson-investors-activity-7233957180213714944-vnTF?utm_source=share&amp;utm_medium=member_desktop")</f>
        <v>https://www.linkedin.com/posts/jessicanorwoodcoach_check-out-this-job-at-janus-henderson-investors-activity-7233957180213714944-vnTF?utm_source=share&amp;utm_medium=member_desktop</v>
      </c>
    </row>
    <row r="476">
      <c r="A476" s="2">
        <f>IFERROR(__xludf.DUMMYFUNCTION("""COMPUTED_VALUE"""),45531.0)</f>
        <v>45531</v>
      </c>
      <c r="B476" s="1" t="str">
        <f>IFERROR(__xludf.DUMMYFUNCTION("""COMPUTED_VALUE"""),"Reddit, Inc.")</f>
        <v>Reddit, Inc.</v>
      </c>
      <c r="C476" s="1" t="str">
        <f>IFERROR(__xludf.DUMMYFUNCTION("""COMPUTED_VALUE"""),"Staff Analytics Engineer, Ads")</f>
        <v>Staff Analytics Engineer, Ads</v>
      </c>
      <c r="D476" s="1" t="str">
        <f>IFERROR(__xludf.DUMMYFUNCTION("""COMPUTED_VALUE"""),"Remote")</f>
        <v>Remote</v>
      </c>
      <c r="E476" s="3" t="str">
        <f>IFERROR(__xludf.DUMMYFUNCTION("""COMPUTED_VALUE"""),"$207k - $289k")</f>
        <v>$207k - $289k</v>
      </c>
      <c r="F476" s="1" t="str">
        <f>IFERROR(__xludf.DUMMYFUNCTION("""COMPUTED_VALUE"""),"6 - 9")</f>
        <v>6 - 9</v>
      </c>
      <c r="G476" s="1" t="str">
        <f>IFERROR(__xludf.DUMMYFUNCTION("""COMPUTED_VALUE"""),"USA")</f>
        <v>USA</v>
      </c>
      <c r="H476" s="4" t="str">
        <f>IFERROR(__xludf.DUMMYFUNCTION("""COMPUTED_VALUE"""),"https://www.linkedin.com/posts/daniel-cohen-5384a418_help-us-scale-ads-data-at-reddit-were-activity-7234056731973054464-O8qI?utm_source=share&amp;utm_medium=member_desktop")</f>
        <v>https://www.linkedin.com/posts/daniel-cohen-5384a418_help-us-scale-ads-data-at-reddit-were-activity-7234056731973054464-O8qI?utm_source=share&amp;utm_medium=member_desktop</v>
      </c>
    </row>
    <row r="477">
      <c r="A477" s="2">
        <f>IFERROR(__xludf.DUMMYFUNCTION("""COMPUTED_VALUE"""),45531.0)</f>
        <v>45531</v>
      </c>
      <c r="B477" s="1" t="str">
        <f>IFERROR(__xludf.DUMMYFUNCTION("""COMPUTED_VALUE"""),"BPD")</f>
        <v>BPD</v>
      </c>
      <c r="C477" s="1" t="str">
        <f>IFERROR(__xludf.DUMMYFUNCTION("""COMPUTED_VALUE"""),"Director, Data Engingeering")</f>
        <v>Director, Data Engingeering</v>
      </c>
      <c r="D477" s="1" t="str">
        <f>IFERROR(__xludf.DUMMYFUNCTION("""COMPUTED_VALUE"""),"Remote")</f>
        <v>Remote</v>
      </c>
      <c r="E477" s="3" t="str">
        <f>IFERROR(__xludf.DUMMYFUNCTION("""COMPUTED_VALUE"""),"N/A")</f>
        <v>N/A</v>
      </c>
      <c r="F477" s="1" t="str">
        <f>IFERROR(__xludf.DUMMYFUNCTION("""COMPUTED_VALUE"""),"6 - 9")</f>
        <v>6 - 9</v>
      </c>
      <c r="G477" s="1" t="str">
        <f>IFERROR(__xludf.DUMMYFUNCTION("""COMPUTED_VALUE"""),"USA")</f>
        <v>USA</v>
      </c>
      <c r="H477" s="4" t="str">
        <f>IFERROR(__xludf.DUMMYFUNCTION("""COMPUTED_VALUE"""),"https://www.linkedin.com/posts/mirandaatrevive_our-data-solutions-and-analytics-team-at-activity-7233986344094515200-DlkH?utm_source=share&amp;utm_medium=member_desktop")</f>
        <v>https://www.linkedin.com/posts/mirandaatrevive_our-data-solutions-and-analytics-team-at-activity-7233986344094515200-DlkH?utm_source=share&amp;utm_medium=member_desktop</v>
      </c>
    </row>
    <row r="478">
      <c r="A478" s="2">
        <f>IFERROR(__xludf.DUMMYFUNCTION("""COMPUTED_VALUE"""),45531.0)</f>
        <v>45531</v>
      </c>
      <c r="B478" s="1" t="str">
        <f>IFERROR(__xludf.DUMMYFUNCTION("""COMPUTED_VALUE"""),"BPD")</f>
        <v>BPD</v>
      </c>
      <c r="C478" s="1" t="str">
        <f>IFERROR(__xludf.DUMMYFUNCTION("""COMPUTED_VALUE"""),"Director, Data Science")</f>
        <v>Director, Data Science</v>
      </c>
      <c r="D478" s="1" t="str">
        <f>IFERROR(__xludf.DUMMYFUNCTION("""COMPUTED_VALUE"""),"Remote")</f>
        <v>Remote</v>
      </c>
      <c r="E478" s="3" t="str">
        <f>IFERROR(__xludf.DUMMYFUNCTION("""COMPUTED_VALUE"""),"N/A")</f>
        <v>N/A</v>
      </c>
      <c r="F478" s="1" t="str">
        <f>IFERROR(__xludf.DUMMYFUNCTION("""COMPUTED_VALUE"""),"6 - 9")</f>
        <v>6 - 9</v>
      </c>
      <c r="G478" s="1" t="str">
        <f>IFERROR(__xludf.DUMMYFUNCTION("""COMPUTED_VALUE"""),"USA")</f>
        <v>USA</v>
      </c>
      <c r="H478" s="4" t="str">
        <f>IFERROR(__xludf.DUMMYFUNCTION("""COMPUTED_VALUE"""),"https://www.linkedin.com/posts/mirandaatrevive_our-data-solutions-and-analytics-team-at-activity-7233986344094515200-DlkH?utm_source=share&amp;utm_medium=member_desktop")</f>
        <v>https://www.linkedin.com/posts/mirandaatrevive_our-data-solutions-and-analytics-team-at-activity-7233986344094515200-DlkH?utm_source=share&amp;utm_medium=member_desktop</v>
      </c>
    </row>
    <row r="479">
      <c r="A479" s="2">
        <f>IFERROR(__xludf.DUMMYFUNCTION("""COMPUTED_VALUE"""),45531.0)</f>
        <v>45531</v>
      </c>
      <c r="B479" s="1" t="str">
        <f>IFERROR(__xludf.DUMMYFUNCTION("""COMPUTED_VALUE"""),"Cardless")</f>
        <v>Cardless</v>
      </c>
      <c r="C479" s="1" t="str">
        <f>IFERROR(__xludf.DUMMYFUNCTION("""COMPUTED_VALUE"""),"Senior Data Analyst")</f>
        <v>Senior Data Analyst</v>
      </c>
      <c r="D479" s="1" t="str">
        <f>IFERROR(__xludf.DUMMYFUNCTION("""COMPUTED_VALUE"""),"Hybrid")</f>
        <v>Hybrid</v>
      </c>
      <c r="E479" s="3" t="str">
        <f>IFERROR(__xludf.DUMMYFUNCTION("""COMPUTED_VALUE"""),"$130k - $180k")</f>
        <v>$130k - $180k</v>
      </c>
      <c r="F479" s="1" t="str">
        <f>IFERROR(__xludf.DUMMYFUNCTION("""COMPUTED_VALUE"""),"3 - 5")</f>
        <v>3 - 5</v>
      </c>
      <c r="G479" s="1" t="str">
        <f>IFERROR(__xludf.DUMMYFUNCTION("""COMPUTED_VALUE"""),"San Francisco, CA")</f>
        <v>San Francisco, CA</v>
      </c>
      <c r="H479" s="4" t="str">
        <f>IFERROR(__xludf.DUMMYFUNCTION("""COMPUTED_VALUE"""),"https://www.linkedin.com/posts/jsingh41_cardless-senior-data-analyst-activity-7233958320930234370-61Mo?utm_source=share&amp;utm_medium=member_desktop")</f>
        <v>https://www.linkedin.com/posts/jsingh41_cardless-senior-data-analyst-activity-7233958320930234370-61Mo?utm_source=share&amp;utm_medium=member_desktop</v>
      </c>
    </row>
    <row r="480">
      <c r="A480" s="2">
        <f>IFERROR(__xludf.DUMMYFUNCTION("""COMPUTED_VALUE"""),45531.0)</f>
        <v>45531</v>
      </c>
      <c r="B480" s="1" t="str">
        <f>IFERROR(__xludf.DUMMYFUNCTION("""COMPUTED_VALUE"""),"Ambr Group")</f>
        <v>Ambr Group</v>
      </c>
      <c r="C480" s="1" t="str">
        <f>IFERROR(__xludf.DUMMYFUNCTION("""COMPUTED_VALUE"""),"Data and Analytics Lead")</f>
        <v>Data and Analytics Lead</v>
      </c>
      <c r="D480" s="1" t="str">
        <f>IFERROR(__xludf.DUMMYFUNCTION("""COMPUTED_VALUE"""),"Remote")</f>
        <v>Remote</v>
      </c>
      <c r="E480" s="3" t="str">
        <f>IFERROR(__xludf.DUMMYFUNCTION("""COMPUTED_VALUE"""),"$140k - $160k")</f>
        <v>$140k - $160k</v>
      </c>
      <c r="F480" s="1" t="str">
        <f>IFERROR(__xludf.DUMMYFUNCTION("""COMPUTED_VALUE"""),"3 - 5")</f>
        <v>3 - 5</v>
      </c>
      <c r="G480" s="1" t="str">
        <f>IFERROR(__xludf.DUMMYFUNCTION("""COMPUTED_VALUE"""),"USA")</f>
        <v>USA</v>
      </c>
      <c r="H480" s="4" t="str">
        <f>IFERROR(__xludf.DUMMYFUNCTION("""COMPUTED_VALUE"""),"https://www.linkedin.com/posts/aneesharao_the-ambr-group-data-and-analytics-lead-activity-7233892190576427009-epn3?utm_source=share&amp;utm_medium=member_desktop")</f>
        <v>https://www.linkedin.com/posts/aneesharao_the-ambr-group-data-and-analytics-lead-activity-7233892190576427009-epn3?utm_source=share&amp;utm_medium=member_desktop</v>
      </c>
    </row>
    <row r="481">
      <c r="A481" s="2">
        <f>IFERROR(__xludf.DUMMYFUNCTION("""COMPUTED_VALUE"""),45531.0)</f>
        <v>45531</v>
      </c>
      <c r="B481" s="1" t="str">
        <f>IFERROR(__xludf.DUMMYFUNCTION("""COMPUTED_VALUE"""),"Thermo Fisher Scientific")</f>
        <v>Thermo Fisher Scientific</v>
      </c>
      <c r="C481" s="1" t="str">
        <f>IFERROR(__xludf.DUMMYFUNCTION("""COMPUTED_VALUE"""),"Commercial Analyst I")</f>
        <v>Commercial Analyst I</v>
      </c>
      <c r="D481" s="1" t="str">
        <f>IFERROR(__xludf.DUMMYFUNCTION("""COMPUTED_VALUE"""),"Remote")</f>
        <v>Remote</v>
      </c>
      <c r="E481" s="3" t="str">
        <f>IFERROR(__xludf.DUMMYFUNCTION("""COMPUTED_VALUE"""),"N/A")</f>
        <v>N/A</v>
      </c>
      <c r="F481" s="1" t="str">
        <f>IFERROR(__xludf.DUMMYFUNCTION("""COMPUTED_VALUE"""),"0 - 2")</f>
        <v>0 - 2</v>
      </c>
      <c r="G481" s="1" t="str">
        <f>IFERROR(__xludf.DUMMYFUNCTION("""COMPUTED_VALUE"""),"North Carolina")</f>
        <v>North Carolina</v>
      </c>
      <c r="H481" s="4" t="str">
        <f>IFERROR(__xludf.DUMMYFUNCTION("""COMPUTED_VALUE"""),"https://www.linkedin.com/posts/irina-summey_commercial-analyst-i-in-remote-north-carolina-activity-7233992597763993600-a4wl?utm_source=share&amp;utm_medium=member_desktop")</f>
        <v>https://www.linkedin.com/posts/irina-summey_commercial-analyst-i-in-remote-north-carolina-activity-7233992597763993600-a4wl?utm_source=share&amp;utm_medium=member_desktop</v>
      </c>
    </row>
    <row r="482">
      <c r="A482" s="2">
        <f>IFERROR(__xludf.DUMMYFUNCTION("""COMPUTED_VALUE"""),45531.0)</f>
        <v>45531</v>
      </c>
      <c r="B482" s="1" t="str">
        <f>IFERROR(__xludf.DUMMYFUNCTION("""COMPUTED_VALUE"""),"GlossGenius")</f>
        <v>GlossGenius</v>
      </c>
      <c r="C482" s="1" t="str">
        <f>IFERROR(__xludf.DUMMYFUNCTION("""COMPUTED_VALUE"""),"Senior Analytics Engineer")</f>
        <v>Senior Analytics Engineer</v>
      </c>
      <c r="D482" s="1" t="str">
        <f>IFERROR(__xludf.DUMMYFUNCTION("""COMPUTED_VALUE"""),"Remote")</f>
        <v>Remote</v>
      </c>
      <c r="E482" s="3" t="str">
        <f>IFERROR(__xludf.DUMMYFUNCTION("""COMPUTED_VALUE"""),"$160k - $178k")</f>
        <v>$160k - $178k</v>
      </c>
      <c r="F482" s="1" t="str">
        <f>IFERROR(__xludf.DUMMYFUNCTION("""COMPUTED_VALUE"""),"3 - 5")</f>
        <v>3 - 5</v>
      </c>
      <c r="G482" s="1" t="str">
        <f>IFERROR(__xludf.DUMMYFUNCTION("""COMPUTED_VALUE"""),"Certain Locations")</f>
        <v>Certain Locations</v>
      </c>
      <c r="H482" s="4" t="str">
        <f>IFERROR(__xludf.DUMMYFUNCTION("""COMPUTED_VALUE"""),"https://www.linkedin.com/posts/hawkinsemily_the-analytics-engineering-team-at-glossgenius-activity-7234287121790894081-12e5?utm_source=share&amp;utm_medium=member_desktop")</f>
        <v>https://www.linkedin.com/posts/hawkinsemily_the-analytics-engineering-team-at-glossgenius-activity-7234287121790894081-12e5?utm_source=share&amp;utm_medium=member_desktop</v>
      </c>
    </row>
    <row r="483">
      <c r="A483" s="2">
        <f>IFERROR(__xludf.DUMMYFUNCTION("""COMPUTED_VALUE"""),45531.0)</f>
        <v>45531</v>
      </c>
      <c r="B483" s="1" t="str">
        <f>IFERROR(__xludf.DUMMYFUNCTION("""COMPUTED_VALUE"""),"Nespresso")</f>
        <v>Nespresso</v>
      </c>
      <c r="C483" s="1" t="str">
        <f>IFERROR(__xludf.DUMMYFUNCTION("""COMPUTED_VALUE"""),"eCommerce Sales Analytics Lead (E-Retail)")</f>
        <v>eCommerce Sales Analytics Lead (E-Retail)</v>
      </c>
      <c r="D483" s="1" t="str">
        <f>IFERROR(__xludf.DUMMYFUNCTION("""COMPUTED_VALUE"""),"Hybrid")</f>
        <v>Hybrid</v>
      </c>
      <c r="E483" s="3" t="str">
        <f>IFERROR(__xludf.DUMMYFUNCTION("""COMPUTED_VALUE"""),"$135k - $148k")</f>
        <v>$135k - $148k</v>
      </c>
      <c r="F483" s="1" t="str">
        <f>IFERROR(__xludf.DUMMYFUNCTION("""COMPUTED_VALUE"""),"3 - 5")</f>
        <v>3 - 5</v>
      </c>
      <c r="G483" s="1" t="str">
        <f>IFERROR(__xludf.DUMMYFUNCTION("""COMPUTED_VALUE"""),"New York, NY")</f>
        <v>New York, NY</v>
      </c>
      <c r="H483" s="4" t="str">
        <f>IFERROR(__xludf.DUMMYFUNCTION("""COMPUTED_VALUE"""),"https://www.linkedin.com/posts/marycmonahan_now-hiring-e-commerce-sales-analytics-lead-activity-7234223017801781249-mj7k?utm_source=share&amp;utm_medium=member_desktop")</f>
        <v>https://www.linkedin.com/posts/marycmonahan_now-hiring-e-commerce-sales-analytics-lead-activity-7234223017801781249-mj7k?utm_source=share&amp;utm_medium=member_desktop</v>
      </c>
    </row>
    <row r="484">
      <c r="A484" s="2">
        <f>IFERROR(__xludf.DUMMYFUNCTION("""COMPUTED_VALUE"""),45531.0)</f>
        <v>45531</v>
      </c>
      <c r="B484" s="1" t="str">
        <f>IFERROR(__xludf.DUMMYFUNCTION("""COMPUTED_VALUE"""),"CVS Health")</f>
        <v>CVS Health</v>
      </c>
      <c r="C484" s="1" t="str">
        <f>IFERROR(__xludf.DUMMYFUNCTION("""COMPUTED_VALUE"""),"Marketing Strategy - Health Care Delivery - Senior Analyst")</f>
        <v>Marketing Strategy - Health Care Delivery - Senior Analyst</v>
      </c>
      <c r="D484" s="1" t="str">
        <f>IFERROR(__xludf.DUMMYFUNCTION("""COMPUTED_VALUE"""),"Hybrid")</f>
        <v>Hybrid</v>
      </c>
      <c r="E484" s="3" t="str">
        <f>IFERROR(__xludf.DUMMYFUNCTION("""COMPUTED_VALUE"""),"$47k - $122k")</f>
        <v>$47k - $122k</v>
      </c>
      <c r="F484" s="1" t="str">
        <f>IFERROR(__xludf.DUMMYFUNCTION("""COMPUTED_VALUE"""),"3 - 5")</f>
        <v>3 - 5</v>
      </c>
      <c r="G484" s="1" t="str">
        <f>IFERROR(__xludf.DUMMYFUNCTION("""COMPUTED_VALUE"""),"Certain Locations")</f>
        <v>Certain Locations</v>
      </c>
      <c r="H484" s="4" t="str">
        <f>IFERROR(__xludf.DUMMYFUNCTION("""COMPUTED_VALUE"""),"https://www.linkedin.com/posts/schmidtkayla_marketing-strategy-health-care-delivery-activity-7234156162030428160-9I4Q?utm_source=share&amp;utm_medium=member_desktop")</f>
        <v>https://www.linkedin.com/posts/schmidtkayla_marketing-strategy-health-care-delivery-activity-7234156162030428160-9I4Q?utm_source=share&amp;utm_medium=member_desktop</v>
      </c>
    </row>
    <row r="485">
      <c r="A485" s="2">
        <f>IFERROR(__xludf.DUMMYFUNCTION("""COMPUTED_VALUE"""),45531.0)</f>
        <v>45531</v>
      </c>
      <c r="B485" s="1" t="str">
        <f>IFERROR(__xludf.DUMMYFUNCTION("""COMPUTED_VALUE"""),"Traditional Medicinals")</f>
        <v>Traditional Medicinals</v>
      </c>
      <c r="C485" s="1" t="str">
        <f>IFERROR(__xludf.DUMMYFUNCTION("""COMPUTED_VALUE"""),"Financial Reporting Analyst")</f>
        <v>Financial Reporting Analyst</v>
      </c>
      <c r="D485" s="1" t="str">
        <f>IFERROR(__xludf.DUMMYFUNCTION("""COMPUTED_VALUE"""),"Hybrid")</f>
        <v>Hybrid</v>
      </c>
      <c r="E485" s="3" t="str">
        <f>IFERROR(__xludf.DUMMYFUNCTION("""COMPUTED_VALUE"""),"$79k - $104k")</f>
        <v>$79k - $104k</v>
      </c>
      <c r="F485" s="1" t="str">
        <f>IFERROR(__xludf.DUMMYFUNCTION("""COMPUTED_VALUE"""),"3 - 5")</f>
        <v>3 - 5</v>
      </c>
      <c r="G485" s="1" t="str">
        <f>IFERROR(__xludf.DUMMYFUNCTION("""COMPUTED_VALUE"""),"Rohnert Park, CA")</f>
        <v>Rohnert Park, CA</v>
      </c>
      <c r="H485" s="4" t="str">
        <f>IFERROR(__xludf.DUMMYFUNCTION("""COMPUTED_VALUE"""),"https://www.linkedin.com/posts/dan-lindsay-6779894_check-out-this-job-at-traditional-medicinals-activity-7234206644035850242-pGSU?utm_source=share&amp;utm_medium=member_desktop")</f>
        <v>https://www.linkedin.com/posts/dan-lindsay-6779894_check-out-this-job-at-traditional-medicinals-activity-7234206644035850242-pGSU?utm_source=share&amp;utm_medium=member_desktop</v>
      </c>
    </row>
    <row r="486">
      <c r="A486" s="2">
        <f>IFERROR(__xludf.DUMMYFUNCTION("""COMPUTED_VALUE"""),45531.0)</f>
        <v>45531</v>
      </c>
      <c r="B486" s="1" t="str">
        <f>IFERROR(__xludf.DUMMYFUNCTION("""COMPUTED_VALUE"""),"Fontainebleau Las Vegas")</f>
        <v>Fontainebleau Las Vegas</v>
      </c>
      <c r="C486" s="1" t="str">
        <f>IFERROR(__xludf.DUMMYFUNCTION("""COMPUTED_VALUE"""),"Casino Marketing Analyst")</f>
        <v>Casino Marketing Analyst</v>
      </c>
      <c r="D486" s="1" t="str">
        <f>IFERROR(__xludf.DUMMYFUNCTION("""COMPUTED_VALUE"""),"On-Site")</f>
        <v>On-Site</v>
      </c>
      <c r="E486" s="3" t="str">
        <f>IFERROR(__xludf.DUMMYFUNCTION("""COMPUTED_VALUE"""),"$65k - $80k")</f>
        <v>$65k - $80k</v>
      </c>
      <c r="F486" s="1" t="str">
        <f>IFERROR(__xludf.DUMMYFUNCTION("""COMPUTED_VALUE"""),"0 - 2")</f>
        <v>0 - 2</v>
      </c>
      <c r="G486" s="1" t="str">
        <f>IFERROR(__xludf.DUMMYFUNCTION("""COMPUTED_VALUE"""),"Las Vegas, NV")</f>
        <v>Las Vegas, NV</v>
      </c>
      <c r="H486" s="4" t="str">
        <f>IFERROR(__xludf.DUMMYFUNCTION("""COMPUTED_VALUE"""),"https://www.linkedin.com/posts/activity-7234228080519602176-fW7y?utm_source=share&amp;utm_medium=member_desktop")</f>
        <v>https://www.linkedin.com/posts/activity-7234228080519602176-fW7y?utm_source=share&amp;utm_medium=member_desktop</v>
      </c>
    </row>
    <row r="487">
      <c r="A487" s="2">
        <f>IFERROR(__xludf.DUMMYFUNCTION("""COMPUTED_VALUE"""),45531.0)</f>
        <v>45531</v>
      </c>
      <c r="B487" s="1" t="str">
        <f>IFERROR(__xludf.DUMMYFUNCTION("""COMPUTED_VALUE"""),"Priceline")</f>
        <v>Priceline</v>
      </c>
      <c r="C487" s="1" t="str">
        <f>IFERROR(__xludf.DUMMYFUNCTION("""COMPUTED_VALUE"""),"Compensation Analyst")</f>
        <v>Compensation Analyst</v>
      </c>
      <c r="D487" s="1" t="str">
        <f>IFERROR(__xludf.DUMMYFUNCTION("""COMPUTED_VALUE"""),"Hybrid")</f>
        <v>Hybrid</v>
      </c>
      <c r="E487" s="3" t="str">
        <f>IFERROR(__xludf.DUMMYFUNCTION("""COMPUTED_VALUE"""),"$100k - $120k")</f>
        <v>$100k - $120k</v>
      </c>
      <c r="F487" s="1" t="str">
        <f>IFERROR(__xludf.DUMMYFUNCTION("""COMPUTED_VALUE"""),"3 - 5")</f>
        <v>3 - 5</v>
      </c>
      <c r="G487" s="1" t="str">
        <f>IFERROR(__xludf.DUMMYFUNCTION("""COMPUTED_VALUE"""),"Norwalk, CT")</f>
        <v>Norwalk, CT</v>
      </c>
      <c r="H487" s="4" t="str">
        <f>IFERROR(__xludf.DUMMYFUNCTION("""COMPUTED_VALUE"""),"https://www.linkedin.com/posts/mistyhuntley_hiring-compensation-compensationanalyst-activity-7234194111392542720-MxZZ?utm_source=share&amp;utm_medium=member_desktop")</f>
        <v>https://www.linkedin.com/posts/mistyhuntley_hiring-compensation-compensationanalyst-activity-7234194111392542720-MxZZ?utm_source=share&amp;utm_medium=member_desktop</v>
      </c>
    </row>
    <row r="488">
      <c r="A488" s="2">
        <f>IFERROR(__xludf.DUMMYFUNCTION("""COMPUTED_VALUE"""),45531.0)</f>
        <v>45531</v>
      </c>
      <c r="B488" s="1" t="str">
        <f>IFERROR(__xludf.DUMMYFUNCTION("""COMPUTED_VALUE"""),"New America")</f>
        <v>New America</v>
      </c>
      <c r="C488" s="1" t="str">
        <f>IFERROR(__xludf.DUMMYFUNCTION("""COMPUTED_VALUE"""),"Senior Data Visualization Developer")</f>
        <v>Senior Data Visualization Developer</v>
      </c>
      <c r="D488" s="1" t="str">
        <f>IFERROR(__xludf.DUMMYFUNCTION("""COMPUTED_VALUE"""),"Hybrid")</f>
        <v>Hybrid</v>
      </c>
      <c r="E488" s="3" t="str">
        <f>IFERROR(__xludf.DUMMYFUNCTION("""COMPUTED_VALUE"""),"$91k - $115k")</f>
        <v>$91k - $115k</v>
      </c>
      <c r="F488" s="1" t="str">
        <f>IFERROR(__xludf.DUMMYFUNCTION("""COMPUTED_VALUE"""),"6 - 9")</f>
        <v>6 - 9</v>
      </c>
      <c r="G488" s="1" t="str">
        <f>IFERROR(__xludf.DUMMYFUNCTION("""COMPUTED_VALUE"""),"Washington, DC")</f>
        <v>Washington, DC</v>
      </c>
      <c r="H488" s="4" t="str">
        <f>IFERROR(__xludf.DUMMYFUNCTION("""COMPUTED_VALUE"""),"https://www.linkedin.com/posts/cmfiles_im-hiring-a-senior-data-visualization-activity-7234214917078171650-EiMc?utm_source=share&amp;utm_medium=member_desktop")</f>
        <v>https://www.linkedin.com/posts/cmfiles_im-hiring-a-senior-data-visualization-activity-7234214917078171650-EiMc?utm_source=share&amp;utm_medium=member_desktop</v>
      </c>
    </row>
    <row r="489">
      <c r="A489" s="2">
        <f>IFERROR(__xludf.DUMMYFUNCTION("""COMPUTED_VALUE"""),45531.0)</f>
        <v>45531</v>
      </c>
      <c r="B489" s="1" t="str">
        <f>IFERROR(__xludf.DUMMYFUNCTION("""COMPUTED_VALUE"""),"Bloomberg")</f>
        <v>Bloomberg</v>
      </c>
      <c r="C489" s="1" t="str">
        <f>IFERROR(__xludf.DUMMYFUNCTION("""COMPUTED_VALUE"""),"HR Insights Partner")</f>
        <v>HR Insights Partner</v>
      </c>
      <c r="D489" s="1" t="str">
        <f>IFERROR(__xludf.DUMMYFUNCTION("""COMPUTED_VALUE"""),"On-Site")</f>
        <v>On-Site</v>
      </c>
      <c r="E489" s="3" t="str">
        <f>IFERROR(__xludf.DUMMYFUNCTION("""COMPUTED_VALUE"""),"$135k - $165k")</f>
        <v>$135k - $165k</v>
      </c>
      <c r="F489" s="1" t="str">
        <f>IFERROR(__xludf.DUMMYFUNCTION("""COMPUTED_VALUE"""),"3 - 5")</f>
        <v>3 - 5</v>
      </c>
      <c r="G489" s="1" t="str">
        <f>IFERROR(__xludf.DUMMYFUNCTION("""COMPUTED_VALUE"""),"New York, NY")</f>
        <v>New York, NY</v>
      </c>
      <c r="H489" s="4" t="str">
        <f>IFERROR(__xludf.DUMMYFUNCTION("""COMPUTED_VALUE"""),"https://www.linkedin.com/posts/harunhasib_our-team-is-hiring-if-you-have-a-passion-activity-7234227498241130497-Kj9K?utm_source=share&amp;utm_medium=member_desktop")</f>
        <v>https://www.linkedin.com/posts/harunhasib_our-team-is-hiring-if-you-have-a-passion-activity-7234227498241130497-Kj9K?utm_source=share&amp;utm_medium=member_desktop</v>
      </c>
    </row>
    <row r="490">
      <c r="A490" s="2">
        <f>IFERROR(__xludf.DUMMYFUNCTION("""COMPUTED_VALUE"""),45531.0)</f>
        <v>45531</v>
      </c>
      <c r="B490" s="1" t="str">
        <f>IFERROR(__xludf.DUMMYFUNCTION("""COMPUTED_VALUE"""),"Charlie Health")</f>
        <v>Charlie Health</v>
      </c>
      <c r="C490" s="1" t="str">
        <f>IFERROR(__xludf.DUMMYFUNCTION("""COMPUTED_VALUE"""),"Care Strategy Analyst")</f>
        <v>Care Strategy Analyst</v>
      </c>
      <c r="D490" s="1" t="str">
        <f>IFERROR(__xludf.DUMMYFUNCTION("""COMPUTED_VALUE"""),"Hybrid")</f>
        <v>Hybrid</v>
      </c>
      <c r="E490" s="3" t="str">
        <f>IFERROR(__xludf.DUMMYFUNCTION("""COMPUTED_VALUE"""),"$75k - $92k")</f>
        <v>$75k - $92k</v>
      </c>
      <c r="F490" s="1" t="str">
        <f>IFERROR(__xludf.DUMMYFUNCTION("""COMPUTED_VALUE"""),"0 - 2")</f>
        <v>0 - 2</v>
      </c>
      <c r="G490" s="1" t="str">
        <f>IFERROR(__xludf.DUMMYFUNCTION("""COMPUTED_VALUE"""),"New York, NY ")</f>
        <v>New York, NY </v>
      </c>
      <c r="H490" s="4" t="str">
        <f>IFERROR(__xludf.DUMMYFUNCTION("""COMPUTED_VALUE"""),"https://www.linkedin.com/posts/jordan-gottlieb-27b10a15b_were-hiring-on-the-care-strategy-team-at-activity-7233951160276000769-Uwra?utm_source=share&amp;utm_medium=member_desktop")</f>
        <v>https://www.linkedin.com/posts/jordan-gottlieb-27b10a15b_were-hiring-on-the-care-strategy-team-at-activity-7233951160276000769-Uwra?utm_source=share&amp;utm_medium=member_desktop</v>
      </c>
    </row>
    <row r="491">
      <c r="A491" s="2">
        <f>IFERROR(__xludf.DUMMYFUNCTION("""COMPUTED_VALUE"""),45531.0)</f>
        <v>45531</v>
      </c>
      <c r="B491" s="1" t="str">
        <f>IFERROR(__xludf.DUMMYFUNCTION("""COMPUTED_VALUE"""),"Fortune Brands Innovations")</f>
        <v>Fortune Brands Innovations</v>
      </c>
      <c r="C491" s="1" t="str">
        <f>IFERROR(__xludf.DUMMYFUNCTION("""COMPUTED_VALUE"""),"Senior Financial Analyst")</f>
        <v>Senior Financial Analyst</v>
      </c>
      <c r="D491" s="1" t="str">
        <f>IFERROR(__xludf.DUMMYFUNCTION("""COMPUTED_VALUE"""),"On-Site")</f>
        <v>On-Site</v>
      </c>
      <c r="E491" s="3" t="str">
        <f>IFERROR(__xludf.DUMMYFUNCTION("""COMPUTED_VALUE"""),"N/A")</f>
        <v>N/A</v>
      </c>
      <c r="F491" s="1" t="str">
        <f>IFERROR(__xludf.DUMMYFUNCTION("""COMPUTED_VALUE"""),"6 - 9")</f>
        <v>6 - 9</v>
      </c>
      <c r="G491" s="1" t="str">
        <f>IFERROR(__xludf.DUMMYFUNCTION("""COMPUTED_VALUE"""),"Oak Creek, WI")</f>
        <v>Oak Creek, WI</v>
      </c>
      <c r="H491" s="4" t="str">
        <f>IFERROR(__xludf.DUMMYFUNCTION("""COMPUTED_VALUE"""),"https://www.linkedin.com/posts/rebeccaseufzer_hiring-jobs-finance-activity-7234218075737219073-MR_G?utm_source=share&amp;utm_medium=member_desktop")</f>
        <v>https://www.linkedin.com/posts/rebeccaseufzer_hiring-jobs-finance-activity-7234218075737219073-MR_G?utm_source=share&amp;utm_medium=member_desktop</v>
      </c>
    </row>
    <row r="492">
      <c r="A492" s="2">
        <f>IFERROR(__xludf.DUMMYFUNCTION("""COMPUTED_VALUE"""),45531.0)</f>
        <v>45531</v>
      </c>
      <c r="B492" s="1" t="str">
        <f>IFERROR(__xludf.DUMMYFUNCTION("""COMPUTED_VALUE"""),"Versapay")</f>
        <v>Versapay</v>
      </c>
      <c r="C492" s="1" t="str">
        <f>IFERROR(__xludf.DUMMYFUNCTION("""COMPUTED_VALUE"""),"Sr. GTM Data Analyst")</f>
        <v>Sr. GTM Data Analyst</v>
      </c>
      <c r="D492" s="1" t="str">
        <f>IFERROR(__xludf.DUMMYFUNCTION("""COMPUTED_VALUE"""),"Remote")</f>
        <v>Remote</v>
      </c>
      <c r="E492" s="3" t="str">
        <f>IFERROR(__xludf.DUMMYFUNCTION("""COMPUTED_VALUE"""),"CA$110K - CA$130K")</f>
        <v>CA$110K - CA$130K</v>
      </c>
      <c r="F492" s="1" t="str">
        <f>IFERROR(__xludf.DUMMYFUNCTION("""COMPUTED_VALUE"""),"6 - 9")</f>
        <v>6 - 9</v>
      </c>
      <c r="G492" s="1" t="str">
        <f>IFERROR(__xludf.DUMMYFUNCTION("""COMPUTED_VALUE"""),"Canada")</f>
        <v>Canada</v>
      </c>
      <c r="H492" s="4" t="str">
        <f>IFERROR(__xludf.DUMMYFUNCTION("""COMPUTED_VALUE"""),"https://www.linkedin.com/posts/taolmsted_hiring-activity-7234182320029593600-qwHc?utm_source=share&amp;utm_medium=member_desktop")</f>
        <v>https://www.linkedin.com/posts/taolmsted_hiring-activity-7234182320029593600-qwHc?utm_source=share&amp;utm_medium=member_desktop</v>
      </c>
    </row>
    <row r="493">
      <c r="A493" s="2">
        <f>IFERROR(__xludf.DUMMYFUNCTION("""COMPUTED_VALUE"""),45531.0)</f>
        <v>45531</v>
      </c>
      <c r="B493" s="1" t="str">
        <f>IFERROR(__xludf.DUMMYFUNCTION("""COMPUTED_VALUE"""),"Versapay")</f>
        <v>Versapay</v>
      </c>
      <c r="C493" s="1" t="str">
        <f>IFERROR(__xludf.DUMMYFUNCTION("""COMPUTED_VALUE"""),"Sr. GTM Data Analyst")</f>
        <v>Sr. GTM Data Analyst</v>
      </c>
      <c r="D493" s="1" t="str">
        <f>IFERROR(__xludf.DUMMYFUNCTION("""COMPUTED_VALUE"""),"Remote")</f>
        <v>Remote</v>
      </c>
      <c r="E493" s="3" t="str">
        <f>IFERROR(__xludf.DUMMYFUNCTION("""COMPUTED_VALUE"""),"$100k - $120k")</f>
        <v>$100k - $120k</v>
      </c>
      <c r="F493" s="1" t="str">
        <f>IFERROR(__xludf.DUMMYFUNCTION("""COMPUTED_VALUE"""),"6 - 9")</f>
        <v>6 - 9</v>
      </c>
      <c r="G493" s="1" t="str">
        <f>IFERROR(__xludf.DUMMYFUNCTION("""COMPUTED_VALUE"""),"USA")</f>
        <v>USA</v>
      </c>
      <c r="H493" s="4" t="str">
        <f>IFERROR(__xludf.DUMMYFUNCTION("""COMPUTED_VALUE"""),"https://www.linkedin.com/posts/taolmsted_hiring-activity-7234182320029593600-qwHc?utm_source=share&amp;utm_medium=member_desktop")</f>
        <v>https://www.linkedin.com/posts/taolmsted_hiring-activity-7234182320029593600-qwHc?utm_source=share&amp;utm_medium=member_desktop</v>
      </c>
    </row>
    <row r="494">
      <c r="A494" s="2">
        <f>IFERROR(__xludf.DUMMYFUNCTION("""COMPUTED_VALUE"""),45531.0)</f>
        <v>45531</v>
      </c>
      <c r="B494" s="1" t="str">
        <f>IFERROR(__xludf.DUMMYFUNCTION("""COMPUTED_VALUE"""),"Kaseya")</f>
        <v>Kaseya</v>
      </c>
      <c r="C494" s="1" t="str">
        <f>IFERROR(__xludf.DUMMYFUNCTION("""COMPUTED_VALUE"""),"Senior Compensation Analyst")</f>
        <v>Senior Compensation Analyst</v>
      </c>
      <c r="D494" s="1" t="str">
        <f>IFERROR(__xludf.DUMMYFUNCTION("""COMPUTED_VALUE"""),"On-Site")</f>
        <v>On-Site</v>
      </c>
      <c r="E494" s="3" t="str">
        <f>IFERROR(__xludf.DUMMYFUNCTION("""COMPUTED_VALUE"""),"N/A")</f>
        <v>N/A</v>
      </c>
      <c r="F494" s="1" t="str">
        <f>IFERROR(__xludf.DUMMYFUNCTION("""COMPUTED_VALUE"""),"3 - 5")</f>
        <v>3 - 5</v>
      </c>
      <c r="G494" s="1" t="str">
        <f>IFERROR(__xludf.DUMMYFUNCTION("""COMPUTED_VALUE"""),"Miami, FL")</f>
        <v>Miami, FL</v>
      </c>
      <c r="H494" s="4" t="str">
        <f>IFERROR(__xludf.DUMMYFUNCTION("""COMPUTED_VALUE"""),"https://www.linkedin.com/posts/fidelmachado_hiring-miamijobs-analytics-activity-7233871139607846912-xp77?utm_source=share&amp;utm_medium=member_desktop")</f>
        <v>https://www.linkedin.com/posts/fidelmachado_hiring-miamijobs-analytics-activity-7233871139607846912-xp77?utm_source=share&amp;utm_medium=member_desktop</v>
      </c>
    </row>
    <row r="495">
      <c r="A495" s="2">
        <f>IFERROR(__xludf.DUMMYFUNCTION("""COMPUTED_VALUE"""),45531.0)</f>
        <v>45531</v>
      </c>
      <c r="B495" s="1" t="str">
        <f>IFERROR(__xludf.DUMMYFUNCTION("""COMPUTED_VALUE"""),"The Johns Hopkins University")</f>
        <v>The Johns Hopkins University</v>
      </c>
      <c r="C495" s="1" t="str">
        <f>IFERROR(__xludf.DUMMYFUNCTION("""COMPUTED_VALUE"""),"Business Intelligence Analyst, Medical Development Services &amp; Analytics")</f>
        <v>Business Intelligence Analyst, Medical Development Services &amp; Analytics</v>
      </c>
      <c r="D495" s="1" t="str">
        <f>IFERROR(__xludf.DUMMYFUNCTION("""COMPUTED_VALUE"""),"On-Site")</f>
        <v>On-Site</v>
      </c>
      <c r="E495" s="3" t="str">
        <f>IFERROR(__xludf.DUMMYFUNCTION("""COMPUTED_VALUE"""),"$46k - $81k")</f>
        <v>$46k - $81k</v>
      </c>
      <c r="F495" s="1" t="str">
        <f>IFERROR(__xludf.DUMMYFUNCTION("""COMPUTED_VALUE"""),"0 - 2")</f>
        <v>0 - 2</v>
      </c>
      <c r="G495" s="1" t="str">
        <f>IFERROR(__xludf.DUMMYFUNCTION("""COMPUTED_VALUE"""),"Baltimore, MD")</f>
        <v>Baltimore, MD</v>
      </c>
      <c r="H495" s="4" t="str">
        <f>IFERROR(__xludf.DUMMYFUNCTION("""COMPUTED_VALUE"""),"https://www.linkedin.com/posts/activity-7234141090528870403-aob9?utm_source=share&amp;utm_medium=member_desktop")</f>
        <v>https://www.linkedin.com/posts/activity-7234141090528870403-aob9?utm_source=share&amp;utm_medium=member_desktop</v>
      </c>
    </row>
    <row r="496">
      <c r="A496" s="2">
        <f>IFERROR(__xludf.DUMMYFUNCTION("""COMPUTED_VALUE"""),45531.0)</f>
        <v>45531</v>
      </c>
      <c r="B496" s="1" t="str">
        <f>IFERROR(__xludf.DUMMYFUNCTION("""COMPUTED_VALUE"""),"American Express")</f>
        <v>American Express</v>
      </c>
      <c r="C496" s="1" t="str">
        <f>IFERROR(__xludf.DUMMYFUNCTION("""COMPUTED_VALUE"""),"Compensation Analyst")</f>
        <v>Compensation Analyst</v>
      </c>
      <c r="D496" s="1" t="str">
        <f>IFERROR(__xludf.DUMMYFUNCTION("""COMPUTED_VALUE"""),"Hybrid")</f>
        <v>Hybrid</v>
      </c>
      <c r="E496" s="3" t="str">
        <f>IFERROR(__xludf.DUMMYFUNCTION("""COMPUTED_VALUE"""),"$55k - $105k")</f>
        <v>$55k - $105k</v>
      </c>
      <c r="F496" s="1" t="str">
        <f>IFERROR(__xludf.DUMMYFUNCTION("""COMPUTED_VALUE"""),"3 - 5")</f>
        <v>3 - 5</v>
      </c>
      <c r="G496" s="1" t="str">
        <f>IFERROR(__xludf.DUMMYFUNCTION("""COMPUTED_VALUE"""),"New York, NY")</f>
        <v>New York, NY</v>
      </c>
      <c r="H496" s="4" t="str">
        <f>IFERROR(__xludf.DUMMYFUNCTION("""COMPUTED_VALUE"""),"https://www.linkedin.com/posts/evama1_just-sharing-this-here-were-seeking-a-activity-7234200541906534402-QU6-?utm_source=share&amp;utm_medium=member_desktop")</f>
        <v>https://www.linkedin.com/posts/evama1_just-sharing-this-here-were-seeking-a-activity-7234200541906534402-QU6-?utm_source=share&amp;utm_medium=member_desktop</v>
      </c>
    </row>
    <row r="497">
      <c r="A497" s="2">
        <f>IFERROR(__xludf.DUMMYFUNCTION("""COMPUTED_VALUE"""),45531.0)</f>
        <v>45531</v>
      </c>
      <c r="B497" s="1" t="str">
        <f>IFERROR(__xludf.DUMMYFUNCTION("""COMPUTED_VALUE"""),"EagleView")</f>
        <v>EagleView</v>
      </c>
      <c r="C497" s="1" t="str">
        <f>IFERROR(__xludf.DUMMYFUNCTION("""COMPUTED_VALUE"""),"Business Intelligence Analyst")</f>
        <v>Business Intelligence Analyst</v>
      </c>
      <c r="D497" s="1" t="str">
        <f>IFERROR(__xludf.DUMMYFUNCTION("""COMPUTED_VALUE"""),"Hybrid")</f>
        <v>Hybrid</v>
      </c>
      <c r="E497" s="3" t="str">
        <f>IFERROR(__xludf.DUMMYFUNCTION("""COMPUTED_VALUE"""),"N/A")</f>
        <v>N/A</v>
      </c>
      <c r="F497" s="1" t="str">
        <f>IFERROR(__xludf.DUMMYFUNCTION("""COMPUTED_VALUE"""),"0 - 2")</f>
        <v>0 - 2</v>
      </c>
      <c r="G497" s="1" t="str">
        <f>IFERROR(__xludf.DUMMYFUNCTION("""COMPUTED_VALUE"""),"Rochester, NY")</f>
        <v>Rochester, NY</v>
      </c>
      <c r="H497" s="4" t="str">
        <f>IFERROR(__xludf.DUMMYFUNCTION("""COMPUTED_VALUE"""),"https://www.linkedin.com/posts/brigetgrbic_business-intelligence-analyst-in-rochester-activity-7234179148292788225-1Lth?utm_source=share&amp;utm_medium=member_desktop")</f>
        <v>https://www.linkedin.com/posts/brigetgrbic_business-intelligence-analyst-in-rochester-activity-7234179148292788225-1Lth?utm_source=share&amp;utm_medium=member_desktop</v>
      </c>
    </row>
    <row r="498">
      <c r="A498" s="2">
        <f>IFERROR(__xludf.DUMMYFUNCTION("""COMPUTED_VALUE"""),45531.0)</f>
        <v>45531</v>
      </c>
      <c r="B498" s="1" t="str">
        <f>IFERROR(__xludf.DUMMYFUNCTION("""COMPUTED_VALUE"""),"Vasion")</f>
        <v>Vasion</v>
      </c>
      <c r="C498" s="1" t="str">
        <f>IFERROR(__xludf.DUMMYFUNCTION("""COMPUTED_VALUE"""),"Sales Operations Business Analyst")</f>
        <v>Sales Operations Business Analyst</v>
      </c>
      <c r="D498" s="1" t="str">
        <f>IFERROR(__xludf.DUMMYFUNCTION("""COMPUTED_VALUE"""),"Remote")</f>
        <v>Remote</v>
      </c>
      <c r="E498" s="3" t="str">
        <f>IFERROR(__xludf.DUMMYFUNCTION("""COMPUTED_VALUE"""),"N/A")</f>
        <v>N/A</v>
      </c>
      <c r="F498" s="1" t="str">
        <f>IFERROR(__xludf.DUMMYFUNCTION("""COMPUTED_VALUE"""),"0 - 2")</f>
        <v>0 - 2</v>
      </c>
      <c r="G498" s="1" t="str">
        <f>IFERROR(__xludf.DUMMYFUNCTION("""COMPUTED_VALUE"""),"USA")</f>
        <v>USA</v>
      </c>
      <c r="H498" s="4" t="str">
        <f>IFERROR(__xludf.DUMMYFUNCTION("""COMPUTED_VALUE"""),"https://www.linkedin.com/posts/amysuomelawilson_salesops-businessanalyst-jobopening-activity-7234201925930405889--ozu?utm_source=share&amp;utm_medium=member_desktop")</f>
        <v>https://www.linkedin.com/posts/amysuomelawilson_salesops-businessanalyst-jobopening-activity-7234201925930405889--ozu?utm_source=share&amp;utm_medium=member_desktop</v>
      </c>
    </row>
    <row r="499">
      <c r="A499" s="2">
        <f>IFERROR(__xludf.DUMMYFUNCTION("""COMPUTED_VALUE"""),45531.0)</f>
        <v>45531</v>
      </c>
      <c r="B499" s="1" t="str">
        <f>IFERROR(__xludf.DUMMYFUNCTION("""COMPUTED_VALUE"""),"Doximity")</f>
        <v>Doximity</v>
      </c>
      <c r="C499" s="1" t="str">
        <f>IFERROR(__xludf.DUMMYFUNCTION("""COMPUTED_VALUE"""),"Pricing &amp; Yield Analyst")</f>
        <v>Pricing &amp; Yield Analyst</v>
      </c>
      <c r="D499" s="1" t="str">
        <f>IFERROR(__xludf.DUMMYFUNCTION("""COMPUTED_VALUE"""),"Remote")</f>
        <v>Remote</v>
      </c>
      <c r="E499" s="3" t="str">
        <f>IFERROR(__xludf.DUMMYFUNCTION("""COMPUTED_VALUE"""),"$108k - $150k")</f>
        <v>$108k - $150k</v>
      </c>
      <c r="F499" s="1" t="str">
        <f>IFERROR(__xludf.DUMMYFUNCTION("""COMPUTED_VALUE"""),"3 - 5")</f>
        <v>3 - 5</v>
      </c>
      <c r="G499" s="1" t="str">
        <f>IFERROR(__xludf.DUMMYFUNCTION("""COMPUTED_VALUE"""),"USA")</f>
        <v>USA</v>
      </c>
      <c r="H499" s="4" t="str">
        <f>IFERROR(__xludf.DUMMYFUNCTION("""COMPUTED_VALUE"""),"https://www.linkedin.com/posts/andrewnevins1_my-team-is-growing-were-hiring-a-new-p-activity-7234225023744450562-yYAg?utm_source=share&amp;utm_medium=member_desktop")</f>
        <v>https://www.linkedin.com/posts/andrewnevins1_my-team-is-growing-were-hiring-a-new-p-activity-7234225023744450562-yYAg?utm_source=share&amp;utm_medium=member_desktop</v>
      </c>
    </row>
    <row r="500">
      <c r="A500" s="2">
        <f>IFERROR(__xludf.DUMMYFUNCTION("""COMPUTED_VALUE"""),45530.0)</f>
        <v>45530</v>
      </c>
      <c r="B500" s="1" t="str">
        <f>IFERROR(__xludf.DUMMYFUNCTION("""COMPUTED_VALUE"""),"Edward Jones")</f>
        <v>Edward Jones</v>
      </c>
      <c r="C500" s="1" t="str">
        <f>IFERROR(__xludf.DUMMYFUNCTION("""COMPUTED_VALUE"""),"Strategy Analyst II - Finance")</f>
        <v>Strategy Analyst II - Finance</v>
      </c>
      <c r="D500" s="1" t="str">
        <f>IFERROR(__xludf.DUMMYFUNCTION("""COMPUTED_VALUE"""),"Hybrid")</f>
        <v>Hybrid</v>
      </c>
      <c r="E500" s="3" t="str">
        <f>IFERROR(__xludf.DUMMYFUNCTION("""COMPUTED_VALUE"""),"$82k - $139k ")</f>
        <v>$82k - $139k </v>
      </c>
      <c r="F500" s="1" t="str">
        <f>IFERROR(__xludf.DUMMYFUNCTION("""COMPUTED_VALUE"""),"3 - 5")</f>
        <v>3 - 5</v>
      </c>
      <c r="G500" s="1" t="str">
        <f>IFERROR(__xludf.DUMMYFUNCTION("""COMPUTED_VALUE"""),"St. Louis, MO")</f>
        <v>St. Louis, MO</v>
      </c>
      <c r="H500" s="4" t="str">
        <f>IFERROR(__xludf.DUMMYFUNCTION("""COMPUTED_VALUE"""),"https://www.linkedin.com/posts/courtney-cottman-7087a724_exciting-job-alert-check-out-this-job-at-activity-7233884925404352512-R9-W?utm_source=share&amp;utm_medium=member_desktop")</f>
        <v>https://www.linkedin.com/posts/courtney-cottman-7087a724_exciting-job-alert-check-out-this-job-at-activity-7233884925404352512-R9-W?utm_source=share&amp;utm_medium=member_desktop</v>
      </c>
    </row>
    <row r="501">
      <c r="A501" s="2">
        <f>IFERROR(__xludf.DUMMYFUNCTION("""COMPUTED_VALUE"""),45530.0)</f>
        <v>45530</v>
      </c>
      <c r="B501" s="1" t="str">
        <f>IFERROR(__xludf.DUMMYFUNCTION("""COMPUTED_VALUE"""),"Belkin")</f>
        <v>Belkin</v>
      </c>
      <c r="C501" s="1" t="str">
        <f>IFERROR(__xludf.DUMMYFUNCTION("""COMPUTED_VALUE"""),"Senior Financial Analyst (Hybrid - 2 days/week) ")</f>
        <v>Senior Financial Analyst (Hybrid - 2 days/week) </v>
      </c>
      <c r="D501" s="1" t="str">
        <f>IFERROR(__xludf.DUMMYFUNCTION("""COMPUTED_VALUE"""),"Hybrid")</f>
        <v>Hybrid</v>
      </c>
      <c r="E501" s="3" t="str">
        <f>IFERROR(__xludf.DUMMYFUNCTION("""COMPUTED_VALUE"""),"$80k - $90k")</f>
        <v>$80k - $90k</v>
      </c>
      <c r="F501" s="1" t="str">
        <f>IFERROR(__xludf.DUMMYFUNCTION("""COMPUTED_VALUE"""),"3 - 5")</f>
        <v>3 - 5</v>
      </c>
      <c r="G501" s="1" t="str">
        <f>IFERROR(__xludf.DUMMYFUNCTION("""COMPUTED_VALUE"""),"El Segundo, CA")</f>
        <v>El Segundo, CA</v>
      </c>
      <c r="H501" s="4" t="str">
        <f>IFERROR(__xludf.DUMMYFUNCTION("""COMPUTED_VALUE"""),"https://www.linkedin.com/posts/ruthlchu_new-job-coming-in-hot-were-excited-activity-7233958836762468352-q-kn?utm_source=share&amp;utm_medium=member_desktop")</f>
        <v>https://www.linkedin.com/posts/ruthlchu_new-job-coming-in-hot-were-excited-activity-7233958836762468352-q-kn?utm_source=share&amp;utm_medium=member_desktop</v>
      </c>
    </row>
    <row r="502">
      <c r="A502" s="2">
        <f>IFERROR(__xludf.DUMMYFUNCTION("""COMPUTED_VALUE"""),45530.0)</f>
        <v>45530</v>
      </c>
      <c r="B502" s="1" t="str">
        <f>IFERROR(__xludf.DUMMYFUNCTION("""COMPUTED_VALUE"""),"GEON Performance Solutions")</f>
        <v>GEON Performance Solutions</v>
      </c>
      <c r="C502" s="1" t="str">
        <f>IFERROR(__xludf.DUMMYFUNCTION("""COMPUTED_VALUE"""),"Business Intelligence Data Analyst")</f>
        <v>Business Intelligence Data Analyst</v>
      </c>
      <c r="D502" s="1" t="str">
        <f>IFERROR(__xludf.DUMMYFUNCTION("""COMPUTED_VALUE"""),"Hybrid")</f>
        <v>Hybrid</v>
      </c>
      <c r="E502" s="3" t="str">
        <f>IFERROR(__xludf.DUMMYFUNCTION("""COMPUTED_VALUE"""),"N/A")</f>
        <v>N/A</v>
      </c>
      <c r="F502" s="1" t="str">
        <f>IFERROR(__xludf.DUMMYFUNCTION("""COMPUTED_VALUE"""),"0 - 2")</f>
        <v>0 - 2</v>
      </c>
      <c r="G502" s="1" t="str">
        <f>IFERROR(__xludf.DUMMYFUNCTION("""COMPUTED_VALUE"""),"Westlake, OH")</f>
        <v>Westlake, OH</v>
      </c>
      <c r="H502" s="4" t="str">
        <f>IFERROR(__xludf.DUMMYFUNCTION("""COMPUTED_VALUE"""),"https://www.linkedin.com/posts/brad-gornall-38505b8_check-out-this-job-at-geon-performance-solutions-activity-7233870122984095744-jchi?utm_source=share&amp;utm_medium=member_desktop")</f>
        <v>https://www.linkedin.com/posts/brad-gornall-38505b8_check-out-this-job-at-geon-performance-solutions-activity-7233870122984095744-jchi?utm_source=share&amp;utm_medium=member_desktop</v>
      </c>
    </row>
    <row r="503">
      <c r="A503" s="2">
        <f>IFERROR(__xludf.DUMMYFUNCTION("""COMPUTED_VALUE"""),45530.0)</f>
        <v>45530</v>
      </c>
      <c r="B503" s="1" t="str">
        <f>IFERROR(__xludf.DUMMYFUNCTION("""COMPUTED_VALUE"""),"Disney")</f>
        <v>Disney</v>
      </c>
      <c r="C503" s="1" t="str">
        <f>IFERROR(__xludf.DUMMYFUNCTION("""COMPUTED_VALUE"""),"Senior Financial Analyst, Disney Entertainment Television FP&amp;A")</f>
        <v>Senior Financial Analyst, Disney Entertainment Television FP&amp;A</v>
      </c>
      <c r="D503" s="1" t="str">
        <f>IFERROR(__xludf.DUMMYFUNCTION("""COMPUTED_VALUE"""),"Hybrid")</f>
        <v>Hybrid</v>
      </c>
      <c r="E503" s="3" t="str">
        <f>IFERROR(__xludf.DUMMYFUNCTION("""COMPUTED_VALUE"""),"$93k - $124k")</f>
        <v>$93k - $124k</v>
      </c>
      <c r="F503" s="1" t="str">
        <f>IFERROR(__xludf.DUMMYFUNCTION("""COMPUTED_VALUE"""),"0 - 2")</f>
        <v>0 - 2</v>
      </c>
      <c r="G503" s="1" t="str">
        <f>IFERROR(__xludf.DUMMYFUNCTION("""COMPUTED_VALUE"""),"Burbank, CA")</f>
        <v>Burbank, CA</v>
      </c>
      <c r="H503" s="4" t="str">
        <f>IFERROR(__xludf.DUMMYFUNCTION("""COMPUTED_VALUE"""),"https://www.linkedin.com/posts/benholley_senior-financial-analyst-disney-entertainment-activity-7233632507450011649-0lQZ?utm_source=share&amp;utm_medium=member_desktop")</f>
        <v>https://www.linkedin.com/posts/benholley_senior-financial-analyst-disney-entertainment-activity-7233632507450011649-0lQZ?utm_source=share&amp;utm_medium=member_desktop</v>
      </c>
    </row>
    <row r="504">
      <c r="A504" s="2">
        <f>IFERROR(__xludf.DUMMYFUNCTION("""COMPUTED_VALUE"""),45530.0)</f>
        <v>45530</v>
      </c>
      <c r="B504" s="1" t="str">
        <f>IFERROR(__xludf.DUMMYFUNCTION("""COMPUTED_VALUE"""),"Discover")</f>
        <v>Discover</v>
      </c>
      <c r="C504" s="1" t="str">
        <f>IFERROR(__xludf.DUMMYFUNCTION("""COMPUTED_VALUE"""),"Lead Financial Analyst- Deposits")</f>
        <v>Lead Financial Analyst- Deposits</v>
      </c>
      <c r="D504" s="1" t="str">
        <f>IFERROR(__xludf.DUMMYFUNCTION("""COMPUTED_VALUE"""),"Hybrid")</f>
        <v>Hybrid</v>
      </c>
      <c r="E504" s="3" t="str">
        <f>IFERROR(__xludf.DUMMYFUNCTION("""COMPUTED_VALUE"""),"N/A")</f>
        <v>N/A</v>
      </c>
      <c r="F504" s="1" t="str">
        <f>IFERROR(__xludf.DUMMYFUNCTION("""COMPUTED_VALUE"""),"3 - 5")</f>
        <v>3 - 5</v>
      </c>
      <c r="G504" s="1" t="str">
        <f>IFERROR(__xludf.DUMMYFUNCTION("""COMPUTED_VALUE"""),"Riverwoods, IL")</f>
        <v>Riverwoods, IL</v>
      </c>
      <c r="H504" s="4" t="str">
        <f>IFERROR(__xludf.DUMMYFUNCTION("""COMPUTED_VALUE"""),"https://www.linkedin.com/posts/amina-rokadia-37a1b94_r39420lead-financial-analyst-discover-careers-activity-7232105009016881155-MgSE?utm_source=share&amp;utm_medium=member_desktop")</f>
        <v>https://www.linkedin.com/posts/amina-rokadia-37a1b94_r39420lead-financial-analyst-discover-careers-activity-7232105009016881155-MgSE?utm_source=share&amp;utm_medium=member_desktop</v>
      </c>
    </row>
    <row r="505">
      <c r="A505" s="2">
        <f>IFERROR(__xludf.DUMMYFUNCTION("""COMPUTED_VALUE"""),45530.0)</f>
        <v>45530</v>
      </c>
      <c r="B505" s="1" t="str">
        <f>IFERROR(__xludf.DUMMYFUNCTION("""COMPUTED_VALUE"""),"CVS Health")</f>
        <v>CVS Health</v>
      </c>
      <c r="C505" s="1" t="str">
        <f>IFERROR(__xludf.DUMMYFUNCTION("""COMPUTED_VALUE"""),"Manager, Financial Planning and Analysis")</f>
        <v>Manager, Financial Planning and Analysis</v>
      </c>
      <c r="D505" s="1" t="str">
        <f>IFERROR(__xludf.DUMMYFUNCTION("""COMPUTED_VALUE"""),"Hybrid")</f>
        <v>Hybrid</v>
      </c>
      <c r="E505" s="3" t="str">
        <f>IFERROR(__xludf.DUMMYFUNCTION("""COMPUTED_VALUE"""),"$54k - $119k")</f>
        <v>$54k - $119k</v>
      </c>
      <c r="F505" s="1" t="str">
        <f>IFERROR(__xludf.DUMMYFUNCTION("""COMPUTED_VALUE"""),"3 - 5")</f>
        <v>3 - 5</v>
      </c>
      <c r="G505" s="1" t="str">
        <f>IFERROR(__xludf.DUMMYFUNCTION("""COMPUTED_VALUE"""),"Louisville, KY")</f>
        <v>Louisville, KY</v>
      </c>
      <c r="H505" s="4" t="str">
        <f>IFERROR(__xludf.DUMMYFUNCTION("""COMPUTED_VALUE"""),"https://www.linkedin.com/posts/schmidtkayla_manager-financial-planning-and-analysis-activity-7233792771684233216-FmTk?utm_source=share&amp;utm_medium=member_desktop")</f>
        <v>https://www.linkedin.com/posts/schmidtkayla_manager-financial-planning-and-analysis-activity-7233792771684233216-FmTk?utm_source=share&amp;utm_medium=member_desktop</v>
      </c>
    </row>
    <row r="506">
      <c r="A506" s="2">
        <f>IFERROR(__xludf.DUMMYFUNCTION("""COMPUTED_VALUE"""),45530.0)</f>
        <v>45530</v>
      </c>
      <c r="B506" s="1" t="str">
        <f>IFERROR(__xludf.DUMMYFUNCTION("""COMPUTED_VALUE"""),"Homebase")</f>
        <v>Homebase</v>
      </c>
      <c r="C506" s="1" t="str">
        <f>IFERROR(__xludf.DUMMYFUNCTION("""COMPUTED_VALUE"""),"Senior Revenue Operations Analyst (Hybrid)")</f>
        <v>Senior Revenue Operations Analyst (Hybrid)</v>
      </c>
      <c r="D506" s="1" t="str">
        <f>IFERROR(__xludf.DUMMYFUNCTION("""COMPUTED_VALUE"""),"Hybrid")</f>
        <v>Hybrid</v>
      </c>
      <c r="E506" s="3" t="str">
        <f>IFERROR(__xludf.DUMMYFUNCTION("""COMPUTED_VALUE"""),"N/A")</f>
        <v>N/A</v>
      </c>
      <c r="F506" s="1" t="str">
        <f>IFERROR(__xludf.DUMMYFUNCTION("""COMPUTED_VALUE"""),"3 - 5")</f>
        <v>3 - 5</v>
      </c>
      <c r="G506" s="1" t="str">
        <f>IFERROR(__xludf.DUMMYFUNCTION("""COMPUTED_VALUE"""),"Denver, CO")</f>
        <v>Denver, CO</v>
      </c>
      <c r="H506" s="4" t="str">
        <f>IFERROR(__xludf.DUMMYFUNCTION("""COMPUTED_VALUE"""),"https://www.linkedin.com/posts/tylerhsin_careers-at-homebase-activity-7233657976434081793-KNIV?utm_source=share&amp;utm_medium=member_desktop")</f>
        <v>https://www.linkedin.com/posts/tylerhsin_careers-at-homebase-activity-7233657976434081793-KNIV?utm_source=share&amp;utm_medium=member_desktop</v>
      </c>
    </row>
    <row r="507">
      <c r="A507" s="2">
        <f>IFERROR(__xludf.DUMMYFUNCTION("""COMPUTED_VALUE"""),45530.0)</f>
        <v>45530</v>
      </c>
      <c r="B507" s="1" t="str">
        <f>IFERROR(__xludf.DUMMYFUNCTION("""COMPUTED_VALUE"""),"American AgCredit")</f>
        <v>American AgCredit</v>
      </c>
      <c r="C507" s="1" t="str">
        <f>IFERROR(__xludf.DUMMYFUNCTION("""COMPUTED_VALUE"""),"Financial Modeling Analyst")</f>
        <v>Financial Modeling Analyst</v>
      </c>
      <c r="D507" s="1" t="str">
        <f>IFERROR(__xludf.DUMMYFUNCTION("""COMPUTED_VALUE"""),"Remote")</f>
        <v>Remote</v>
      </c>
      <c r="E507" s="3" t="str">
        <f>IFERROR(__xludf.DUMMYFUNCTION("""COMPUTED_VALUE"""),"$78k - $133k")</f>
        <v>$78k - $133k</v>
      </c>
      <c r="F507" s="1" t="str">
        <f>IFERROR(__xludf.DUMMYFUNCTION("""COMPUTED_VALUE"""),"3 - 5")</f>
        <v>3 - 5</v>
      </c>
      <c r="G507" s="1" t="str">
        <f>IFERROR(__xludf.DUMMYFUNCTION("""COMPUTED_VALUE"""),"USA")</f>
        <v>USA</v>
      </c>
      <c r="H507" s="4" t="str">
        <f>IFERROR(__xludf.DUMMYFUNCTION("""COMPUTED_VALUE"""),"https://www.linkedin.com/posts/jenna-fiala-53249a7a_looking-for-a-motivated-analyst-who-enjoys-activity-7233921393036275712-B80c?utm_source=share&amp;utm_medium=member_desktop")</f>
        <v>https://www.linkedin.com/posts/jenna-fiala-53249a7a_looking-for-a-motivated-analyst-who-enjoys-activity-7233921393036275712-B80c?utm_source=share&amp;utm_medium=member_desktop</v>
      </c>
    </row>
    <row r="508">
      <c r="A508" s="2">
        <f>IFERROR(__xludf.DUMMYFUNCTION("""COMPUTED_VALUE"""),45530.0)</f>
        <v>45530</v>
      </c>
      <c r="B508" s="1" t="str">
        <f>IFERROR(__xludf.DUMMYFUNCTION("""COMPUTED_VALUE"""),"Revalize")</f>
        <v>Revalize</v>
      </c>
      <c r="C508" s="1" t="str">
        <f>IFERROR(__xludf.DUMMYFUNCTION("""COMPUTED_VALUE"""),"Senior Financial Analyst")</f>
        <v>Senior Financial Analyst</v>
      </c>
      <c r="D508" s="1" t="str">
        <f>IFERROR(__xludf.DUMMYFUNCTION("""COMPUTED_VALUE"""),"Remote")</f>
        <v>Remote</v>
      </c>
      <c r="E508" s="3" t="str">
        <f>IFERROR(__xludf.DUMMYFUNCTION("""COMPUTED_VALUE"""),"N/A")</f>
        <v>N/A</v>
      </c>
      <c r="F508" s="1" t="str">
        <f>IFERROR(__xludf.DUMMYFUNCTION("""COMPUTED_VALUE"""),"3 - 5")</f>
        <v>3 - 5</v>
      </c>
      <c r="G508" s="1" t="str">
        <f>IFERROR(__xludf.DUMMYFUNCTION("""COMPUTED_VALUE"""),"USA")</f>
        <v>USA</v>
      </c>
      <c r="H508" s="4" t="str">
        <f>IFERROR(__xludf.DUMMYFUNCTION("""COMPUTED_VALUE"""),"https://www.linkedin.com/posts/john-mills-5a86744_senior-financial-analyst-activity-7233931883988860929-alz6?utm_source=share&amp;utm_medium=member_desktop")</f>
        <v>https://www.linkedin.com/posts/john-mills-5a86744_senior-financial-analyst-activity-7233931883988860929-alz6?utm_source=share&amp;utm_medium=member_desktop</v>
      </c>
    </row>
    <row r="509">
      <c r="A509" s="2">
        <f>IFERROR(__xludf.DUMMYFUNCTION("""COMPUTED_VALUE"""),45530.0)</f>
        <v>45530</v>
      </c>
      <c r="B509" s="1" t="str">
        <f>IFERROR(__xludf.DUMMYFUNCTION("""COMPUTED_VALUE"""),"Databricks")</f>
        <v>Databricks</v>
      </c>
      <c r="C509" s="1" t="str">
        <f>IFERROR(__xludf.DUMMYFUNCTION("""COMPUTED_VALUE"""),"Delivery Solutions Architect - Data &amp; Analytics")</f>
        <v>Delivery Solutions Architect - Data &amp; Analytics</v>
      </c>
      <c r="D509" s="1" t="str">
        <f>IFERROR(__xludf.DUMMYFUNCTION("""COMPUTED_VALUE"""),"Remote")</f>
        <v>Remote</v>
      </c>
      <c r="E509" s="3" t="str">
        <f>IFERROR(__xludf.DUMMYFUNCTION("""COMPUTED_VALUE"""),"$140k - $247k")</f>
        <v>$140k - $247k</v>
      </c>
      <c r="F509" s="1" t="str">
        <f>IFERROR(__xludf.DUMMYFUNCTION("""COMPUTED_VALUE"""),"3 - 5")</f>
        <v>3 - 5</v>
      </c>
      <c r="G509" s="1" t="str">
        <f>IFERROR(__xludf.DUMMYFUNCTION("""COMPUTED_VALUE"""),"USA")</f>
        <v>USA</v>
      </c>
      <c r="H509" s="4" t="str">
        <f>IFERROR(__xludf.DUMMYFUNCTION("""COMPUTED_VALUE"""),"https://www.linkedin.com/posts/ashish-upadhyay-3827903_databricks-hiring-joinourteam-ugcPost-7233661842978418688-NE4a?utm_source=share&amp;utm_medium=member_desktop")</f>
        <v>https://www.linkedin.com/posts/ashish-upadhyay-3827903_databricks-hiring-joinourteam-ugcPost-7233661842978418688-NE4a?utm_source=share&amp;utm_medium=member_desktop</v>
      </c>
    </row>
    <row r="510">
      <c r="A510" s="2">
        <f>IFERROR(__xludf.DUMMYFUNCTION("""COMPUTED_VALUE"""),45530.0)</f>
        <v>45530</v>
      </c>
      <c r="B510" s="1" t="str">
        <f>IFERROR(__xludf.DUMMYFUNCTION("""COMPUTED_VALUE"""),"Oscar")</f>
        <v>Oscar</v>
      </c>
      <c r="C510" s="1" t="str">
        <f>IFERROR(__xludf.DUMMYFUNCTION("""COMPUTED_VALUE"""),"Staff Data Scientist")</f>
        <v>Staff Data Scientist</v>
      </c>
      <c r="D510" s="1" t="str">
        <f>IFERROR(__xludf.DUMMYFUNCTION("""COMPUTED_VALUE"""),"Remote")</f>
        <v>Remote</v>
      </c>
      <c r="E510" s="3" t="str">
        <f>IFERROR(__xludf.DUMMYFUNCTION("""COMPUTED_VALUE"""),"$190k - $230k")</f>
        <v>$190k - $230k</v>
      </c>
      <c r="F510" s="1" t="str">
        <f>IFERROR(__xludf.DUMMYFUNCTION("""COMPUTED_VALUE"""),"6 - 9")</f>
        <v>6 - 9</v>
      </c>
      <c r="G510" s="1" t="str">
        <f>IFERROR(__xludf.DUMMYFUNCTION("""COMPUTED_VALUE"""),"USA")</f>
        <v>USA</v>
      </c>
      <c r="H510" s="4" t="str">
        <f>IFERROR(__xludf.DUMMYFUNCTION("""COMPUTED_VALUE"""),"https://www.linkedin.com/posts/michael-crispin-jr-9902_hiring-genai-llm-activity-7233829656259391488-icmk?utm_source=share&amp;utm_medium=member_desktop")</f>
        <v>https://www.linkedin.com/posts/michael-crispin-jr-9902_hiring-genai-llm-activity-7233829656259391488-icmk?utm_source=share&amp;utm_medium=member_desktop</v>
      </c>
    </row>
    <row r="511">
      <c r="A511" s="2">
        <f>IFERROR(__xludf.DUMMYFUNCTION("""COMPUTED_VALUE"""),45530.0)</f>
        <v>45530</v>
      </c>
      <c r="B511" s="1" t="str">
        <f>IFERROR(__xludf.DUMMYFUNCTION("""COMPUTED_VALUE"""),"Elsevier")</f>
        <v>Elsevier</v>
      </c>
      <c r="C511" s="1" t="str">
        <f>IFERROR(__xludf.DUMMYFUNCTION("""COMPUTED_VALUE"""),"Product Manager, Data &amp; Analytics (REMOTE - EST)")</f>
        <v>Product Manager, Data &amp; Analytics (REMOTE - EST)</v>
      </c>
      <c r="D511" s="1" t="str">
        <f>IFERROR(__xludf.DUMMYFUNCTION("""COMPUTED_VALUE"""),"Remote")</f>
        <v>Remote</v>
      </c>
      <c r="E511" s="3" t="str">
        <f>IFERROR(__xludf.DUMMYFUNCTION("""COMPUTED_VALUE"""),"N/A")</f>
        <v>N/A</v>
      </c>
      <c r="F511" s="1" t="str">
        <f>IFERROR(__xludf.DUMMYFUNCTION("""COMPUTED_VALUE"""),"3 - 5")</f>
        <v>3 - 5</v>
      </c>
      <c r="G511" s="1" t="str">
        <f>IFERROR(__xludf.DUMMYFUNCTION("""COMPUTED_VALUE"""),"Certain Locations")</f>
        <v>Certain Locations</v>
      </c>
      <c r="H511" s="4" t="str">
        <f>IFERROR(__xludf.DUMMYFUNCTION("""COMPUTED_VALUE"""),"https://www.linkedin.com/posts/melodyalyssa_product-manager-data-analytics-remote-activity-7233940389143920640-sYlq?utm_source=share&amp;utm_medium=member_desktop")</f>
        <v>https://www.linkedin.com/posts/melodyalyssa_product-manager-data-analytics-remote-activity-7233940389143920640-sYlq?utm_source=share&amp;utm_medium=member_desktop</v>
      </c>
    </row>
    <row r="512">
      <c r="A512" s="2">
        <f>IFERROR(__xludf.DUMMYFUNCTION("""COMPUTED_VALUE"""),45530.0)</f>
        <v>45530</v>
      </c>
      <c r="B512" s="1" t="str">
        <f>IFERROR(__xludf.DUMMYFUNCTION("""COMPUTED_VALUE"""),"Hazel Health")</f>
        <v>Hazel Health</v>
      </c>
      <c r="C512" s="1" t="str">
        <f>IFERROR(__xludf.DUMMYFUNCTION("""COMPUTED_VALUE"""),"Analytics Engineer")</f>
        <v>Analytics Engineer</v>
      </c>
      <c r="D512" s="1" t="str">
        <f>IFERROR(__xludf.DUMMYFUNCTION("""COMPUTED_VALUE"""),"Remote")</f>
        <v>Remote</v>
      </c>
      <c r="E512" s="3" t="str">
        <f>IFERROR(__xludf.DUMMYFUNCTION("""COMPUTED_VALUE"""),"$100k - $120k")</f>
        <v>$100k - $120k</v>
      </c>
      <c r="F512" s="1" t="str">
        <f>IFERROR(__xludf.DUMMYFUNCTION("""COMPUTED_VALUE"""),"3 - 5")</f>
        <v>3 - 5</v>
      </c>
      <c r="G512" s="1" t="str">
        <f>IFERROR(__xludf.DUMMYFUNCTION("""COMPUTED_VALUE"""),"Certain Locations")</f>
        <v>Certain Locations</v>
      </c>
      <c r="H512" s="4" t="str">
        <f>IFERROR(__xludf.DUMMYFUNCTION("""COMPUTED_VALUE"""),"https://www.linkedin.com/posts/iancooper96_analytics-engineer-activity-7233949587068051456-2k1x?utm_source=share&amp;utm_medium=member_desktop")</f>
        <v>https://www.linkedin.com/posts/iancooper96_analytics-engineer-activity-7233949587068051456-2k1x?utm_source=share&amp;utm_medium=member_desktop</v>
      </c>
    </row>
    <row r="513">
      <c r="A513" s="2">
        <f>IFERROR(__xludf.DUMMYFUNCTION("""COMPUTED_VALUE"""),45530.0)</f>
        <v>45530</v>
      </c>
      <c r="B513" s="1" t="str">
        <f>IFERROR(__xludf.DUMMYFUNCTION("""COMPUTED_VALUE"""),"HD Supply")</f>
        <v>HD Supply</v>
      </c>
      <c r="C513" s="1" t="str">
        <f>IFERROR(__xludf.DUMMYFUNCTION("""COMPUTED_VALUE"""),"Senior Merchandising Operations Analyst")</f>
        <v>Senior Merchandising Operations Analyst</v>
      </c>
      <c r="D513" s="1" t="str">
        <f>IFERROR(__xludf.DUMMYFUNCTION("""COMPUTED_VALUE"""),"On-Site")</f>
        <v>On-Site</v>
      </c>
      <c r="E513" s="3" t="str">
        <f>IFERROR(__xludf.DUMMYFUNCTION("""COMPUTED_VALUE"""),"N/A")</f>
        <v>N/A</v>
      </c>
      <c r="F513" s="1" t="str">
        <f>IFERROR(__xludf.DUMMYFUNCTION("""COMPUTED_VALUE"""),"6 - 9")</f>
        <v>6 - 9</v>
      </c>
      <c r="G513" s="1" t="str">
        <f>IFERROR(__xludf.DUMMYFUNCTION("""COMPUTED_VALUE"""),"Atlanta, GA")</f>
        <v>Atlanta, GA</v>
      </c>
      <c r="H513" s="4" t="str">
        <f>IFERROR(__xludf.DUMMYFUNCTION("""COMPUTED_VALUE"""),"https://www.linkedin.com/posts/christopher-sullivan-21401661_senior-merchandising-operations-analyst-activity-7233815911042854913-TQew?utm_source=share&amp;utm_medium=member_desktop")</f>
        <v>https://www.linkedin.com/posts/christopher-sullivan-21401661_senior-merchandising-operations-analyst-activity-7233815911042854913-TQew?utm_source=share&amp;utm_medium=member_desktop</v>
      </c>
    </row>
    <row r="514">
      <c r="A514" s="2">
        <f>IFERROR(__xludf.DUMMYFUNCTION("""COMPUTED_VALUE"""),45530.0)</f>
        <v>45530</v>
      </c>
      <c r="B514" s="1" t="str">
        <f>IFERROR(__xludf.DUMMYFUNCTION("""COMPUTED_VALUE"""),"Mastercard")</f>
        <v>Mastercard</v>
      </c>
      <c r="C514" s="1" t="str">
        <f>IFERROR(__xludf.DUMMYFUNCTION("""COMPUTED_VALUE"""),"Data Scientist I, Launch Program 2025")</f>
        <v>Data Scientist I, Launch Program 2025</v>
      </c>
      <c r="D514" s="1" t="str">
        <f>IFERROR(__xludf.DUMMYFUNCTION("""COMPUTED_VALUE"""),"On-Site")</f>
        <v>On-Site</v>
      </c>
      <c r="E514" s="3" t="str">
        <f>IFERROR(__xludf.DUMMYFUNCTION("""COMPUTED_VALUE"""),"N/A")</f>
        <v>N/A</v>
      </c>
      <c r="F514" s="1" t="str">
        <f>IFERROR(__xludf.DUMMYFUNCTION("""COMPUTED_VALUE"""),"0 - 2")</f>
        <v>0 - 2</v>
      </c>
      <c r="G514" s="1" t="str">
        <f>IFERROR(__xludf.DUMMYFUNCTION("""COMPUTED_VALUE"""),"Salt Lake City, UT")</f>
        <v>Salt Lake City, UT</v>
      </c>
      <c r="H514" s="4" t="str">
        <f>IFERROR(__xludf.DUMMYFUNCTION("""COMPUTED_VALUE"""),"https://www.linkedin.com/posts/leah-rothberg_data-scientist-i-launch-program-2025-united-activity-7233866964467601411-YUBw?utm_source=share&amp;utm_medium=member_desktop")</f>
        <v>https://www.linkedin.com/posts/leah-rothberg_data-scientist-i-launch-program-2025-united-activity-7233866964467601411-YUBw?utm_source=share&amp;utm_medium=member_desktop</v>
      </c>
    </row>
    <row r="515">
      <c r="A515" s="2">
        <f>IFERROR(__xludf.DUMMYFUNCTION("""COMPUTED_VALUE"""),45530.0)</f>
        <v>45530</v>
      </c>
      <c r="B515" s="1" t="str">
        <f>IFERROR(__xludf.DUMMYFUNCTION("""COMPUTED_VALUE"""),"Gainwell")</f>
        <v>Gainwell</v>
      </c>
      <c r="C515" s="1" t="str">
        <f>IFERROR(__xludf.DUMMYFUNCTION("""COMPUTED_VALUE"""),"Business Analyst - Research")</f>
        <v>Business Analyst - Research</v>
      </c>
      <c r="D515" s="1" t="str">
        <f>IFERROR(__xludf.DUMMYFUNCTION("""COMPUTED_VALUE"""),"Hybrid")</f>
        <v>Hybrid</v>
      </c>
      <c r="E515" s="3" t="str">
        <f>IFERROR(__xludf.DUMMYFUNCTION("""COMPUTED_VALUE"""),"$59k - $85k")</f>
        <v>$59k - $85k</v>
      </c>
      <c r="F515" s="1" t="str">
        <f>IFERROR(__xludf.DUMMYFUNCTION("""COMPUTED_VALUE"""),"3 - 5")</f>
        <v>3 - 5</v>
      </c>
      <c r="G515" s="1" t="str">
        <f>IFERROR(__xludf.DUMMYFUNCTION("""COMPUTED_VALUE"""),"Roseville, CA")</f>
        <v>Roseville, CA</v>
      </c>
      <c r="H515" s="4" t="str">
        <f>IFERROR(__xludf.DUMMYFUNCTION("""COMPUTED_VALUE"""),"https://www.linkedin.com/posts/princess-posey-093bb9228_opportunity-teamgainwell-apply-activity-7232827697196924928-uuzm?utm_source=share&amp;utm_medium=member_desktop")</f>
        <v>https://www.linkedin.com/posts/princess-posey-093bb9228_opportunity-teamgainwell-apply-activity-7232827697196924928-uuzm?utm_source=share&amp;utm_medium=member_desktop</v>
      </c>
    </row>
    <row r="516">
      <c r="A516" s="2">
        <f>IFERROR(__xludf.DUMMYFUNCTION("""COMPUTED_VALUE"""),45530.0)</f>
        <v>45530</v>
      </c>
      <c r="B516" s="1" t="str">
        <f>IFERROR(__xludf.DUMMYFUNCTION("""COMPUTED_VALUE"""),"Suncoast Credit Union")</f>
        <v>Suncoast Credit Union</v>
      </c>
      <c r="C516" s="1" t="str">
        <f>IFERROR(__xludf.DUMMYFUNCTION("""COMPUTED_VALUE"""),"Senior Fraud Analyst")</f>
        <v>Senior Fraud Analyst</v>
      </c>
      <c r="D516" s="1" t="str">
        <f>IFERROR(__xludf.DUMMYFUNCTION("""COMPUTED_VALUE"""),"Remote")</f>
        <v>Remote</v>
      </c>
      <c r="E516" s="3" t="str">
        <f>IFERROR(__xludf.DUMMYFUNCTION("""COMPUTED_VALUE"""),"$71k - $117k")</f>
        <v>$71k - $117k</v>
      </c>
      <c r="F516" s="1" t="str">
        <f>IFERROR(__xludf.DUMMYFUNCTION("""COMPUTED_VALUE"""),"6 - 9")</f>
        <v>6 - 9</v>
      </c>
      <c r="G516" s="1" t="str">
        <f>IFERROR(__xludf.DUMMYFUNCTION("""COMPUTED_VALUE"""),"Certain Locations")</f>
        <v>Certain Locations</v>
      </c>
      <c r="H516" s="4" t="str">
        <f>IFERROR(__xludf.DUMMYFUNCTION("""COMPUTED_VALUE"""),"https://www.linkedin.com/posts/donte-harris-0842bb99_senior-fraud-analyst-in-tampa-florida-activity-7232490039463612419-jpHK?utm_source=share&amp;utm_medium=member_desktop")</f>
        <v>https://www.linkedin.com/posts/donte-harris-0842bb99_senior-fraud-analyst-in-tampa-florida-activity-7232490039463612419-jpHK?utm_source=share&amp;utm_medium=member_desktop</v>
      </c>
    </row>
    <row r="517">
      <c r="A517" s="2">
        <f>IFERROR(__xludf.DUMMYFUNCTION("""COMPUTED_VALUE"""),45530.0)</f>
        <v>45530</v>
      </c>
      <c r="B517" s="1" t="str">
        <f>IFERROR(__xludf.DUMMYFUNCTION("""COMPUTED_VALUE"""),"UCLA Health")</f>
        <v>UCLA Health</v>
      </c>
      <c r="C517" s="1" t="str">
        <f>IFERROR(__xludf.DUMMYFUNCTION("""COMPUTED_VALUE"""),"Sustainability Program Analyst")</f>
        <v>Sustainability Program Analyst</v>
      </c>
      <c r="D517" s="1" t="str">
        <f>IFERROR(__xludf.DUMMYFUNCTION("""COMPUTED_VALUE"""),"On-Site")</f>
        <v>On-Site</v>
      </c>
      <c r="E517" s="3" t="str">
        <f>IFERROR(__xludf.DUMMYFUNCTION("""COMPUTED_VALUE"""),"$76k - $159k")</f>
        <v>$76k - $159k</v>
      </c>
      <c r="F517" s="1" t="str">
        <f>IFERROR(__xludf.DUMMYFUNCTION("""COMPUTED_VALUE"""),"3 - 5")</f>
        <v>3 - 5</v>
      </c>
      <c r="G517" s="1" t="str">
        <f>IFERROR(__xludf.DUMMYFUNCTION("""COMPUTED_VALUE"""),"Los Angeles, CA")</f>
        <v>Los Angeles, CA</v>
      </c>
      <c r="H517" s="4" t="str">
        <f>IFERROR(__xludf.DUMMYFUNCTION("""COMPUTED_VALUE"""),"https://www.linkedin.com/posts/activity-7232803200934756353-Ul-N?utm_source=share&amp;utm_medium=member_desktop")</f>
        <v>https://www.linkedin.com/posts/activity-7232803200934756353-Ul-N?utm_source=share&amp;utm_medium=member_desktop</v>
      </c>
    </row>
    <row r="518">
      <c r="A518" s="2">
        <f>IFERROR(__xludf.DUMMYFUNCTION("""COMPUTED_VALUE"""),45530.0)</f>
        <v>45530</v>
      </c>
      <c r="B518" s="1" t="str">
        <f>IFERROR(__xludf.DUMMYFUNCTION("""COMPUTED_VALUE"""),"CMI Media Group")</f>
        <v>CMI Media Group</v>
      </c>
      <c r="C518" s="1" t="str">
        <f>IFERROR(__xludf.DUMMYFUNCTION("""COMPUTED_VALUE"""),"Analyst, SEO")</f>
        <v>Analyst, SEO</v>
      </c>
      <c r="D518" s="1" t="str">
        <f>IFERROR(__xludf.DUMMYFUNCTION("""COMPUTED_VALUE"""),"On-Site")</f>
        <v>On-Site</v>
      </c>
      <c r="E518" s="3" t="str">
        <f>IFERROR(__xludf.DUMMYFUNCTION("""COMPUTED_VALUE"""),"N/A")</f>
        <v>N/A</v>
      </c>
      <c r="F518" s="1" t="str">
        <f>IFERROR(__xludf.DUMMYFUNCTION("""COMPUTED_VALUE"""),"0 - 2")</f>
        <v>0 - 2</v>
      </c>
      <c r="G518" s="1" t="str">
        <f>IFERROR(__xludf.DUMMYFUNCTION("""COMPUTED_VALUE"""),"Certain Locations")</f>
        <v>Certain Locations</v>
      </c>
      <c r="H518" s="4" t="str">
        <f>IFERROR(__xludf.DUMMYFUNCTION("""COMPUTED_VALUE"""),"https://www.linkedin.com/posts/christina-iannetta_analyst-seo-activity-7233819084771979266-Xj0A?utm_source=share&amp;utm_medium=member_desktop")</f>
        <v>https://www.linkedin.com/posts/christina-iannetta_analyst-seo-activity-7233819084771979266-Xj0A?utm_source=share&amp;utm_medium=member_desktop</v>
      </c>
    </row>
    <row r="519">
      <c r="A519" s="2">
        <f>IFERROR(__xludf.DUMMYFUNCTION("""COMPUTED_VALUE"""),45530.0)</f>
        <v>45530</v>
      </c>
      <c r="B519" s="1" t="str">
        <f>IFERROR(__xludf.DUMMYFUNCTION("""COMPUTED_VALUE"""),"CMI Media Group")</f>
        <v>CMI Media Group</v>
      </c>
      <c r="C519" s="1" t="str">
        <f>IFERROR(__xludf.DUMMYFUNCTION("""COMPUTED_VALUE"""),"Senior Analyst, Programmatic")</f>
        <v>Senior Analyst, Programmatic</v>
      </c>
      <c r="D519" s="1" t="str">
        <f>IFERROR(__xludf.DUMMYFUNCTION("""COMPUTED_VALUE"""),"On-Site")</f>
        <v>On-Site</v>
      </c>
      <c r="E519" s="3" t="str">
        <f>IFERROR(__xludf.DUMMYFUNCTION("""COMPUTED_VALUE"""),"N/A")</f>
        <v>N/A</v>
      </c>
      <c r="F519" s="1" t="str">
        <f>IFERROR(__xludf.DUMMYFUNCTION("""COMPUTED_VALUE"""),"3 - 5")</f>
        <v>3 - 5</v>
      </c>
      <c r="G519" s="1" t="str">
        <f>IFERROR(__xludf.DUMMYFUNCTION("""COMPUTED_VALUE"""),"Certain Locations")</f>
        <v>Certain Locations</v>
      </c>
      <c r="H519" s="4" t="str">
        <f>IFERROR(__xludf.DUMMYFUNCTION("""COMPUTED_VALUE"""),"https://www.linkedin.com/posts/christina-iannetta_senior-analyst-programmatic-activity-7233384219614326784-qy6L?utm_source=share&amp;utm_medium=member_desktop")</f>
        <v>https://www.linkedin.com/posts/christina-iannetta_senior-analyst-programmatic-activity-7233384219614326784-qy6L?utm_source=share&amp;utm_medium=member_desktop</v>
      </c>
    </row>
    <row r="520">
      <c r="A520" s="2">
        <f>IFERROR(__xludf.DUMMYFUNCTION("""COMPUTED_VALUE"""),45530.0)</f>
        <v>45530</v>
      </c>
      <c r="B520" s="1" t="str">
        <f>IFERROR(__xludf.DUMMYFUNCTION("""COMPUTED_VALUE"""),"CMI Media Group")</f>
        <v>CMI Media Group</v>
      </c>
      <c r="C520" s="1" t="str">
        <f>IFERROR(__xludf.DUMMYFUNCTION("""COMPUTED_VALUE"""),"Director, Digital Marketing Analytics")</f>
        <v>Director, Digital Marketing Analytics</v>
      </c>
      <c r="D520" s="1" t="str">
        <f>IFERROR(__xludf.DUMMYFUNCTION("""COMPUTED_VALUE"""),"On-Site")</f>
        <v>On-Site</v>
      </c>
      <c r="E520" s="3" t="str">
        <f>IFERROR(__xludf.DUMMYFUNCTION("""COMPUTED_VALUE"""),"N/A")</f>
        <v>N/A</v>
      </c>
      <c r="F520" s="1" t="str">
        <f>IFERROR(__xludf.DUMMYFUNCTION("""COMPUTED_VALUE"""),"6 - 9")</f>
        <v>6 - 9</v>
      </c>
      <c r="G520" s="1" t="str">
        <f>IFERROR(__xludf.DUMMYFUNCTION("""COMPUTED_VALUE"""),"Certain Locations")</f>
        <v>Certain Locations</v>
      </c>
      <c r="H520" s="4" t="str">
        <f>IFERROR(__xludf.DUMMYFUNCTION("""COMPUTED_VALUE"""),"https://www.linkedin.com/posts/christina-iannetta_director-digital-marketing-analytics-activity-7233094309258940416-bH_K?utm_source=share&amp;utm_medium=member_desktop")</f>
        <v>https://www.linkedin.com/posts/christina-iannetta_director-digital-marketing-analytics-activity-7233094309258940416-bH_K?utm_source=share&amp;utm_medium=member_desktop</v>
      </c>
    </row>
    <row r="521">
      <c r="A521" s="2">
        <f>IFERROR(__xludf.DUMMYFUNCTION("""COMPUTED_VALUE"""),45530.0)</f>
        <v>45530</v>
      </c>
      <c r="B521" s="1" t="str">
        <f>IFERROR(__xludf.DUMMYFUNCTION("""COMPUTED_VALUE"""),"Omada")</f>
        <v>Omada</v>
      </c>
      <c r="C521" s="1" t="str">
        <f>IFERROR(__xludf.DUMMYFUNCTION("""COMPUTED_VALUE"""),"Senior Data Analyst, Client Analytics")</f>
        <v>Senior Data Analyst, Client Analytics</v>
      </c>
      <c r="D521" s="1" t="str">
        <f>IFERROR(__xludf.DUMMYFUNCTION("""COMPUTED_VALUE"""),"Remote")</f>
        <v>Remote</v>
      </c>
      <c r="E521" s="3" t="str">
        <f>IFERROR(__xludf.DUMMYFUNCTION("""COMPUTED_VALUE"""),"$138k - $192k")</f>
        <v>$138k - $192k</v>
      </c>
      <c r="F521" s="1" t="str">
        <f>IFERROR(__xludf.DUMMYFUNCTION("""COMPUTED_VALUE"""),"6 - 9")</f>
        <v>6 - 9</v>
      </c>
      <c r="G521" s="1" t="str">
        <f>IFERROR(__xludf.DUMMYFUNCTION("""COMPUTED_VALUE"""),"USA")</f>
        <v>USA</v>
      </c>
      <c r="H521" s="4" t="str">
        <f>IFERROR(__xludf.DUMMYFUNCTION("""COMPUTED_VALUE"""),"https://www.linkedin.com/posts/activity-7233873335942586369-h1l2?utm_source=share&amp;utm_medium=member_desktop")</f>
        <v>https://www.linkedin.com/posts/activity-7233873335942586369-h1l2?utm_source=share&amp;utm_medium=member_desktop</v>
      </c>
    </row>
    <row r="522">
      <c r="A522" s="2">
        <f>IFERROR(__xludf.DUMMYFUNCTION("""COMPUTED_VALUE"""),45530.0)</f>
        <v>45530</v>
      </c>
      <c r="B522" s="1" t="str">
        <f>IFERROR(__xludf.DUMMYFUNCTION("""COMPUTED_VALUE"""),"Amazon")</f>
        <v>Amazon</v>
      </c>
      <c r="C522" s="1" t="str">
        <f>IFERROR(__xludf.DUMMYFUNCTION("""COMPUTED_VALUE"""),"Senior Startup BD Operations Analyst, GSO - STARTUP (SUP) - Sales Operations - SBO")</f>
        <v>Senior Startup BD Operations Analyst, GSO - STARTUP (SUP) - Sales Operations - SBO</v>
      </c>
      <c r="D522" s="1" t="str">
        <f>IFERROR(__xludf.DUMMYFUNCTION("""COMPUTED_VALUE"""),"Hybrid")</f>
        <v>Hybrid</v>
      </c>
      <c r="E522" s="3" t="str">
        <f>IFERROR(__xludf.DUMMYFUNCTION("""COMPUTED_VALUE"""),"$79k - $169k")</f>
        <v>$79k - $169k</v>
      </c>
      <c r="F522" s="1" t="str">
        <f>IFERROR(__xludf.DUMMYFUNCTION("""COMPUTED_VALUE"""),"3 - 5")</f>
        <v>3 - 5</v>
      </c>
      <c r="G522" s="1" t="str">
        <f>IFERROR(__xludf.DUMMYFUNCTION("""COMPUTED_VALUE"""),"Certain Locations")</f>
        <v>Certain Locations</v>
      </c>
      <c r="H522" s="4" t="str">
        <f>IFERROR(__xludf.DUMMYFUNCTION("""COMPUTED_VALUE"""),"https://www.linkedin.com/posts/claresheehan_senior-startup-bd-operations-analyst-gso-activity-7232379490952179714-iQ8i?utm_source=share&amp;utm_medium=member_desktop")</f>
        <v>https://www.linkedin.com/posts/claresheehan_senior-startup-bd-operations-analyst-gso-activity-7232379490952179714-iQ8i?utm_source=share&amp;utm_medium=member_desktop</v>
      </c>
    </row>
    <row r="523">
      <c r="A523" s="2">
        <f>IFERROR(__xludf.DUMMYFUNCTION("""COMPUTED_VALUE"""),45530.0)</f>
        <v>45530</v>
      </c>
      <c r="B523" s="1" t="str">
        <f>IFERROR(__xludf.DUMMYFUNCTION("""COMPUTED_VALUE"""),"BPD")</f>
        <v>BPD</v>
      </c>
      <c r="C523" s="1" t="str">
        <f>IFERROR(__xludf.DUMMYFUNCTION("""COMPUTED_VALUE"""),"Marketing Data Analyst")</f>
        <v>Marketing Data Analyst</v>
      </c>
      <c r="D523" s="1" t="str">
        <f>IFERROR(__xludf.DUMMYFUNCTION("""COMPUTED_VALUE"""),"Remote")</f>
        <v>Remote</v>
      </c>
      <c r="E523" s="3" t="str">
        <f>IFERROR(__xludf.DUMMYFUNCTION("""COMPUTED_VALUE"""),"N/A")</f>
        <v>N/A</v>
      </c>
      <c r="F523" s="1" t="str">
        <f>IFERROR(__xludf.DUMMYFUNCTION("""COMPUTED_VALUE"""),"0 - 2")</f>
        <v>0 - 2</v>
      </c>
      <c r="G523" s="1" t="str">
        <f>IFERROR(__xludf.DUMMYFUNCTION("""COMPUTED_VALUE"""),"USA")</f>
        <v>USA</v>
      </c>
      <c r="H523" s="4" t="str">
        <f>IFERROR(__xludf.DUMMYFUNCTION("""COMPUTED_VALUE"""),"https://www.linkedin.com/posts/katmorgan_built-activity-7232392456237916160-N8wi?utm_source=share&amp;utm_medium=member_desktop")</f>
        <v>https://www.linkedin.com/posts/katmorgan_built-activity-7232392456237916160-N8wi?utm_source=share&amp;utm_medium=member_desktop</v>
      </c>
    </row>
    <row r="524">
      <c r="A524" s="2">
        <f>IFERROR(__xludf.DUMMYFUNCTION("""COMPUTED_VALUE"""),45530.0)</f>
        <v>45530</v>
      </c>
      <c r="B524" s="1" t="str">
        <f>IFERROR(__xludf.DUMMYFUNCTION("""COMPUTED_VALUE"""),"EBI Consulting")</f>
        <v>EBI Consulting</v>
      </c>
      <c r="C524" s="1" t="str">
        <f>IFERROR(__xludf.DUMMYFUNCTION("""COMPUTED_VALUE"""),"Financial Analyst")</f>
        <v>Financial Analyst</v>
      </c>
      <c r="D524" s="1" t="str">
        <f>IFERROR(__xludf.DUMMYFUNCTION("""COMPUTED_VALUE"""),"Hybrid")</f>
        <v>Hybrid</v>
      </c>
      <c r="E524" s="3" t="str">
        <f>IFERROR(__xludf.DUMMYFUNCTION("""COMPUTED_VALUE"""),"N/A")</f>
        <v>N/A</v>
      </c>
      <c r="F524" s="1" t="str">
        <f>IFERROR(__xludf.DUMMYFUNCTION("""COMPUTED_VALUE"""),"0 - 2")</f>
        <v>0 - 2</v>
      </c>
      <c r="G524" s="1" t="str">
        <f>IFERROR(__xludf.DUMMYFUNCTION("""COMPUTED_VALUE"""),"Burlington, MA")</f>
        <v>Burlington, MA</v>
      </c>
      <c r="H524" s="4" t="str">
        <f>IFERROR(__xludf.DUMMYFUNCTION("""COMPUTED_VALUE"""),"https://www.linkedin.com/posts/jchrysikos_hiring-activity-7233830938290331649-XYjV?utm_source=share&amp;utm_medium=member_desktop")</f>
        <v>https://www.linkedin.com/posts/jchrysikos_hiring-activity-7233830938290331649-XYjV?utm_source=share&amp;utm_medium=member_desktop</v>
      </c>
    </row>
    <row r="525">
      <c r="A525" s="2">
        <f>IFERROR(__xludf.DUMMYFUNCTION("""COMPUTED_VALUE"""),45530.0)</f>
        <v>45530</v>
      </c>
      <c r="B525" s="1" t="str">
        <f>IFERROR(__xludf.DUMMYFUNCTION("""COMPUTED_VALUE"""),"Vaco")</f>
        <v>Vaco</v>
      </c>
      <c r="C525" s="1" t="str">
        <f>IFERROR(__xludf.DUMMYFUNCTION("""COMPUTED_VALUE"""),"Data Analyst")</f>
        <v>Data Analyst</v>
      </c>
      <c r="D525" s="1" t="str">
        <f>IFERROR(__xludf.DUMMYFUNCTION("""COMPUTED_VALUE"""),"On-Site")</f>
        <v>On-Site</v>
      </c>
      <c r="E525" s="3" t="str">
        <f>IFERROR(__xludf.DUMMYFUNCTION("""COMPUTED_VALUE"""),"$45/hr - $50/hr")</f>
        <v>$45/hr - $50/hr</v>
      </c>
      <c r="F525" s="1" t="str">
        <f>IFERROR(__xludf.DUMMYFUNCTION("""COMPUTED_VALUE"""),"6 - 9")</f>
        <v>6 - 9</v>
      </c>
      <c r="G525" s="1" t="str">
        <f>IFERROR(__xludf.DUMMYFUNCTION("""COMPUTED_VALUE"""),"Richmond, VA")</f>
        <v>Richmond, VA</v>
      </c>
      <c r="H525" s="4" t="str">
        <f>IFERROR(__xludf.DUMMYFUNCTION("""COMPUTED_VALUE"""),"https://www.linkedin.com/posts/nina-sorkin-291811220_data-analyst-activity-7229828811243077633-5pOJ?utm_source=share&amp;utm_medium=member_desktop")</f>
        <v>https://www.linkedin.com/posts/nina-sorkin-291811220_data-analyst-activity-7229828811243077633-5pOJ?utm_source=share&amp;utm_medium=member_desktop</v>
      </c>
    </row>
    <row r="526">
      <c r="A526" s="2">
        <f>IFERROR(__xludf.DUMMYFUNCTION("""COMPUTED_VALUE"""),45530.0)</f>
        <v>45530</v>
      </c>
      <c r="B526" s="1" t="str">
        <f>IFERROR(__xludf.DUMMYFUNCTION("""COMPUTED_VALUE"""),"AmeriCU")</f>
        <v>AmeriCU</v>
      </c>
      <c r="C526" s="1" t="str">
        <f>IFERROR(__xludf.DUMMYFUNCTION("""COMPUTED_VALUE"""),"Marketing Data Analyst")</f>
        <v>Marketing Data Analyst</v>
      </c>
      <c r="D526" s="1" t="str">
        <f>IFERROR(__xludf.DUMMYFUNCTION("""COMPUTED_VALUE"""),"On-Site")</f>
        <v>On-Site</v>
      </c>
      <c r="E526" s="3" t="str">
        <f>IFERROR(__xludf.DUMMYFUNCTION("""COMPUTED_VALUE"""),"$32/hr - $40/hr")</f>
        <v>$32/hr - $40/hr</v>
      </c>
      <c r="F526" s="1" t="str">
        <f>IFERROR(__xludf.DUMMYFUNCTION("""COMPUTED_VALUE"""),"3 - 5")</f>
        <v>3 - 5</v>
      </c>
      <c r="G526" s="1" t="str">
        <f>IFERROR(__xludf.DUMMYFUNCTION("""COMPUTED_VALUE"""),"Yorkville, NY")</f>
        <v>Yorkville, NY</v>
      </c>
      <c r="H526" s="4" t="str">
        <f>IFERROR(__xludf.DUMMYFUNCTION("""COMPUTED_VALUE"""),"https://www.linkedin.com/posts/ron-j-barber_check-out-this-job-at-americu-credit-union-activity-7233852670132822018-Wj5b?utm_source=share&amp;utm_medium=member_desktop")</f>
        <v>https://www.linkedin.com/posts/ron-j-barber_check-out-this-job-at-americu-credit-union-activity-7233852670132822018-Wj5b?utm_source=share&amp;utm_medium=member_desktop</v>
      </c>
    </row>
    <row r="527">
      <c r="A527" s="2">
        <f>IFERROR(__xludf.DUMMYFUNCTION("""COMPUTED_VALUE"""),45530.0)</f>
        <v>45530</v>
      </c>
      <c r="B527" s="1" t="str">
        <f>IFERROR(__xludf.DUMMYFUNCTION("""COMPUTED_VALUE"""),"Citi")</f>
        <v>Citi</v>
      </c>
      <c r="C527" s="1" t="str">
        <f>IFERROR(__xludf.DUMMYFUNCTION("""COMPUTED_VALUE"""),"Data Scientist Lead Analyst")</f>
        <v>Data Scientist Lead Analyst</v>
      </c>
      <c r="D527" s="1" t="str">
        <f>IFERROR(__xludf.DUMMYFUNCTION("""COMPUTED_VALUE"""),"Hybrid")</f>
        <v>Hybrid</v>
      </c>
      <c r="E527" s="3" t="str">
        <f>IFERROR(__xludf.DUMMYFUNCTION("""COMPUTED_VALUE"""),"$138k - $208k")</f>
        <v>$138k - $208k</v>
      </c>
      <c r="F527" s="1" t="str">
        <f>IFERROR(__xludf.DUMMYFUNCTION("""COMPUTED_VALUE"""),"3 - 5")</f>
        <v>3 - 5</v>
      </c>
      <c r="G527" s="1" t="str">
        <f>IFERROR(__xludf.DUMMYFUNCTION("""COMPUTED_VALUE"""),"Wilmington, DE")</f>
        <v>Wilmington, DE</v>
      </c>
      <c r="H527" s="4" t="str">
        <f>IFERROR(__xludf.DUMMYFUNCTION("""COMPUTED_VALUE"""),"https://www.linkedin.com/posts/brenda-smith-92b95b95_hiring-citi-citicareers-activity-7232711082115502082-Ek4B?utm_source=share&amp;utm_medium=member_desktop")</f>
        <v>https://www.linkedin.com/posts/brenda-smith-92b95b95_hiring-citi-citicareers-activity-7232711082115502082-Ek4B?utm_source=share&amp;utm_medium=member_desktop</v>
      </c>
    </row>
    <row r="528">
      <c r="A528" s="2">
        <f>IFERROR(__xludf.DUMMYFUNCTION("""COMPUTED_VALUE"""),45530.0)</f>
        <v>45530</v>
      </c>
      <c r="B528" s="1" t="str">
        <f>IFERROR(__xludf.DUMMYFUNCTION("""COMPUTED_VALUE"""),"Entrust")</f>
        <v>Entrust</v>
      </c>
      <c r="C528" s="1" t="str">
        <f>IFERROR(__xludf.DUMMYFUNCTION("""COMPUTED_VALUE"""),"Customer Performance Analyst")</f>
        <v>Customer Performance Analyst</v>
      </c>
      <c r="D528" s="1" t="str">
        <f>IFERROR(__xludf.DUMMYFUNCTION("""COMPUTED_VALUE"""),"Remote")</f>
        <v>Remote</v>
      </c>
      <c r="E528" s="3" t="str">
        <f>IFERROR(__xludf.DUMMYFUNCTION("""COMPUTED_VALUE"""),"$50k - $89k")</f>
        <v>$50k - $89k</v>
      </c>
      <c r="F528" s="1" t="str">
        <f>IFERROR(__xludf.DUMMYFUNCTION("""COMPUTED_VALUE"""),"0 - 2")</f>
        <v>0 - 2</v>
      </c>
      <c r="G528" s="1" t="str">
        <f>IFERROR(__xludf.DUMMYFUNCTION("""COMPUTED_VALUE"""),"Certain Locations")</f>
        <v>Certain Locations</v>
      </c>
      <c r="H528" s="4" t="str">
        <f>IFERROR(__xludf.DUMMYFUNCTION("""COMPUTED_VALUE"""),"https://www.linkedin.com/posts/richasrivastava1_customer-performance-analyst-activity-7233861898289438723-j30H?utm_source=share&amp;utm_medium=member_desktop")</f>
        <v>https://www.linkedin.com/posts/richasrivastava1_customer-performance-analyst-activity-7233861898289438723-j30H?utm_source=share&amp;utm_medium=member_desktop</v>
      </c>
    </row>
    <row r="529">
      <c r="A529" s="2">
        <f>IFERROR(__xludf.DUMMYFUNCTION("""COMPUTED_VALUE"""),45530.0)</f>
        <v>45530</v>
      </c>
      <c r="B529" s="1" t="str">
        <f>IFERROR(__xludf.DUMMYFUNCTION("""COMPUTED_VALUE"""),"Rollins, Inc.")</f>
        <v>Rollins, Inc.</v>
      </c>
      <c r="C529" s="1" t="str">
        <f>IFERROR(__xludf.DUMMYFUNCTION("""COMPUTED_VALUE"""),"Talent Management System Analyst")</f>
        <v>Talent Management System Analyst</v>
      </c>
      <c r="D529" s="1" t="str">
        <f>IFERROR(__xludf.DUMMYFUNCTION("""COMPUTED_VALUE"""),"Hybrid")</f>
        <v>Hybrid</v>
      </c>
      <c r="E529" s="3" t="str">
        <f>IFERROR(__xludf.DUMMYFUNCTION("""COMPUTED_VALUE"""),"N/A")</f>
        <v>N/A</v>
      </c>
      <c r="F529" s="1" t="str">
        <f>IFERROR(__xludf.DUMMYFUNCTION("""COMPUTED_VALUE"""),"3 - 5")</f>
        <v>3 - 5</v>
      </c>
      <c r="G529" s="1" t="str">
        <f>IFERROR(__xludf.DUMMYFUNCTION("""COMPUTED_VALUE"""),"Atlanta, GA")</f>
        <v>Atlanta, GA</v>
      </c>
      <c r="H529" s="4" t="str">
        <f>IFERROR(__xludf.DUMMYFUNCTION("""COMPUTED_VALUE"""),"https://www.linkedin.com/posts/clarissa-mitchell-7761371_hiring-activity-7233619357958840320-EYq2?utm_source=share&amp;utm_medium=member_desktop")</f>
        <v>https://www.linkedin.com/posts/clarissa-mitchell-7761371_hiring-activity-7233619357958840320-EYq2?utm_source=share&amp;utm_medium=member_desktop</v>
      </c>
    </row>
    <row r="530">
      <c r="A530" s="2">
        <f>IFERROR(__xludf.DUMMYFUNCTION("""COMPUTED_VALUE"""),45530.0)</f>
        <v>45530</v>
      </c>
      <c r="B530" s="1" t="str">
        <f>IFERROR(__xludf.DUMMYFUNCTION("""COMPUTED_VALUE"""),"Kellanova")</f>
        <v>Kellanova</v>
      </c>
      <c r="C530" s="1" t="str">
        <f>IFERROR(__xludf.DUMMYFUNCTION("""COMPUTED_VALUE"""),"Senior Customer Analyst")</f>
        <v>Senior Customer Analyst</v>
      </c>
      <c r="D530" s="1" t="str">
        <f>IFERROR(__xludf.DUMMYFUNCTION("""COMPUTED_VALUE"""),"Remote")</f>
        <v>Remote</v>
      </c>
      <c r="E530" s="3" t="str">
        <f>IFERROR(__xludf.DUMMYFUNCTION("""COMPUTED_VALUE"""),"N/A")</f>
        <v>N/A</v>
      </c>
      <c r="F530" s="1" t="str">
        <f>IFERROR(__xludf.DUMMYFUNCTION("""COMPUTED_VALUE"""),"3 - 5")</f>
        <v>3 - 5</v>
      </c>
      <c r="G530" s="1" t="str">
        <f>IFERROR(__xludf.DUMMYFUNCTION("""COMPUTED_VALUE"""),"Certain Locations")</f>
        <v>Certain Locations</v>
      </c>
      <c r="H530" s="4" t="str">
        <f>IFERROR(__xludf.DUMMYFUNCTION("""COMPUTED_VALUE"""),"https://www.linkedin.com/posts/allison-saile_come-join-the-best-team-ever-we-are-hiring-activity-7233847066274213888-4fi5?utm_source=share&amp;utm_medium=member_desktop")</f>
        <v>https://www.linkedin.com/posts/allison-saile_come-join-the-best-team-ever-we-are-hiring-activity-7233847066274213888-4fi5?utm_source=share&amp;utm_medium=member_desktop</v>
      </c>
    </row>
    <row r="531">
      <c r="A531" s="2">
        <f>IFERROR(__xludf.DUMMYFUNCTION("""COMPUTED_VALUE"""),45530.0)</f>
        <v>45530</v>
      </c>
      <c r="B531" s="1" t="str">
        <f>IFERROR(__xludf.DUMMYFUNCTION("""COMPUTED_VALUE"""),"Atlassian")</f>
        <v>Atlassian</v>
      </c>
      <c r="C531" s="1" t="str">
        <f>IFERROR(__xludf.DUMMYFUNCTION("""COMPUTED_VALUE"""),"Principal Data Scientist")</f>
        <v>Principal Data Scientist</v>
      </c>
      <c r="D531" s="1" t="str">
        <f>IFERROR(__xludf.DUMMYFUNCTION("""COMPUTED_VALUE"""),"Remote")</f>
        <v>Remote</v>
      </c>
      <c r="E531" s="3" t="str">
        <f>IFERROR(__xludf.DUMMYFUNCTION("""COMPUTED_VALUE"""),"$167k - $268k")</f>
        <v>$167k - $268k</v>
      </c>
      <c r="F531" s="1" t="str">
        <f>IFERROR(__xludf.DUMMYFUNCTION("""COMPUTED_VALUE"""),"6 - 9")</f>
        <v>6 - 9</v>
      </c>
      <c r="G531" s="1" t="str">
        <f>IFERROR(__xludf.DUMMYFUNCTION("""COMPUTED_VALUE"""),"San Francisco, CA")</f>
        <v>San Francisco, CA</v>
      </c>
      <c r="H531" s="4" t="str">
        <f>IFERROR(__xludf.DUMMYFUNCTION("""COMPUTED_VALUE"""),"https://www.linkedin.com/posts/raj-d-natarajan_job-details-atlassian-activity-7232076134945898496-rpN6?utm_source=share&amp;utm_medium=member_desktop")</f>
        <v>https://www.linkedin.com/posts/raj-d-natarajan_job-details-atlassian-activity-7232076134945898496-rpN6?utm_source=share&amp;utm_medium=member_desktop</v>
      </c>
    </row>
    <row r="532">
      <c r="A532" s="2">
        <f>IFERROR(__xludf.DUMMYFUNCTION("""COMPUTED_VALUE"""),45530.0)</f>
        <v>45530</v>
      </c>
      <c r="B532" s="1" t="str">
        <f>IFERROR(__xludf.DUMMYFUNCTION("""COMPUTED_VALUE"""),"California Public Utilities Commission")</f>
        <v>California Public Utilities Commission</v>
      </c>
      <c r="C532" s="1" t="str">
        <f>IFERROR(__xludf.DUMMYFUNCTION("""COMPUTED_VALUE"""),"Senior Data Scientist")</f>
        <v>Senior Data Scientist</v>
      </c>
      <c r="D532" s="1" t="str">
        <f>IFERROR(__xludf.DUMMYFUNCTION("""COMPUTED_VALUE"""),"Hybrid")</f>
        <v>Hybrid</v>
      </c>
      <c r="E532" s="3" t="str">
        <f>IFERROR(__xludf.DUMMYFUNCTION("""COMPUTED_VALUE"""),"$102k - $127k")</f>
        <v>$102k - $127k</v>
      </c>
      <c r="F532" s="1" t="str">
        <f>IFERROR(__xludf.DUMMYFUNCTION("""COMPUTED_VALUE"""),"3 - 5")</f>
        <v>3 - 5</v>
      </c>
      <c r="G532" s="1" t="str">
        <f>IFERROR(__xludf.DUMMYFUNCTION("""COMPUTED_VALUE"""),"San Francisco, CA/Sacramento, CA")</f>
        <v>San Francisco, CA/Sacramento, CA</v>
      </c>
      <c r="H532" s="4" t="str">
        <f>IFERROR(__xludf.DUMMYFUNCTION("""COMPUTED_VALUE"""),"https://www.linkedin.com/posts/josh-huneycutt-8452a012_senior-data-scientist-activity-7231786796383150082-nTK1?utm_source=share&amp;utm_medium=member_desktop")</f>
        <v>https://www.linkedin.com/posts/josh-huneycutt-8452a012_senior-data-scientist-activity-7231786796383150082-nTK1?utm_source=share&amp;utm_medium=member_desktop</v>
      </c>
    </row>
    <row r="533">
      <c r="A533" s="2">
        <f>IFERROR(__xludf.DUMMYFUNCTION("""COMPUTED_VALUE"""),45530.0)</f>
        <v>45530</v>
      </c>
      <c r="B533" s="1" t="str">
        <f>IFERROR(__xludf.DUMMYFUNCTION("""COMPUTED_VALUE"""),"Apple")</f>
        <v>Apple</v>
      </c>
      <c r="C533" s="1" t="str">
        <f>IFERROR(__xludf.DUMMYFUNCTION("""COMPUTED_VALUE"""),"AIML - Sr Data Scientist, AIML Data")</f>
        <v>AIML - Sr Data Scientist, AIML Data</v>
      </c>
      <c r="D533" s="1" t="str">
        <f>IFERROR(__xludf.DUMMYFUNCTION("""COMPUTED_VALUE"""),"On-Site")</f>
        <v>On-Site</v>
      </c>
      <c r="E533" s="3" t="str">
        <f>IFERROR(__xludf.DUMMYFUNCTION("""COMPUTED_VALUE"""),"$135k - $251k")</f>
        <v>$135k - $251k</v>
      </c>
      <c r="F533" s="1" t="str">
        <f>IFERROR(__xludf.DUMMYFUNCTION("""COMPUTED_VALUE"""),"3 - 5")</f>
        <v>3 - 5</v>
      </c>
      <c r="G533" s="1" t="str">
        <f>IFERROR(__xludf.DUMMYFUNCTION("""COMPUTED_VALUE"""),"Seattle, WA/New York, NY")</f>
        <v>Seattle, WA/New York, NY</v>
      </c>
      <c r="H533" s="4" t="str">
        <f>IFERROR(__xludf.DUMMYFUNCTION("""COMPUTED_VALUE"""),"https://www.linkedin.com/posts/zhi-ouyang-5bb80b9_aiml-sr-data-scientist-aiml-data-careers-activity-7232906602637320192-iGlo?utm_source=share&amp;utm_medium=member_desktop")</f>
        <v>https://www.linkedin.com/posts/zhi-ouyang-5bb80b9_aiml-sr-data-scientist-aiml-data-careers-activity-7232906602637320192-iGlo?utm_source=share&amp;utm_medium=member_desktop</v>
      </c>
    </row>
    <row r="534">
      <c r="A534" s="2">
        <f>IFERROR(__xludf.DUMMYFUNCTION("""COMPUTED_VALUE"""),45530.0)</f>
        <v>45530</v>
      </c>
      <c r="B534" s="1" t="str">
        <f>IFERROR(__xludf.DUMMYFUNCTION("""COMPUTED_VALUE"""),"Tesla")</f>
        <v>Tesla</v>
      </c>
      <c r="C534" s="1" t="str">
        <f>IFERROR(__xludf.DUMMYFUNCTION("""COMPUTED_VALUE"""),"Data Analyst, Service Demand Planning")</f>
        <v>Data Analyst, Service Demand Planning</v>
      </c>
      <c r="D534" s="1" t="str">
        <f>IFERROR(__xludf.DUMMYFUNCTION("""COMPUTED_VALUE"""),"On-Site")</f>
        <v>On-Site</v>
      </c>
      <c r="E534" s="3" t="str">
        <f>IFERROR(__xludf.DUMMYFUNCTION("""COMPUTED_VALUE"""),"$80k - $258k")</f>
        <v>$80k - $258k</v>
      </c>
      <c r="F534" s="1" t="str">
        <f>IFERROR(__xludf.DUMMYFUNCTION("""COMPUTED_VALUE"""),"3 - 5")</f>
        <v>3 - 5</v>
      </c>
      <c r="G534" s="1" t="str">
        <f>IFERROR(__xludf.DUMMYFUNCTION("""COMPUTED_VALUE"""),"Fremont, CA")</f>
        <v>Fremont, CA</v>
      </c>
      <c r="H534" s="4" t="str">
        <f>IFERROR(__xludf.DUMMYFUNCTION("""COMPUTED_VALUE"""),"https://www.linkedin.com/posts/krutarthmehta1996_datascience-forecasting-ml-activity-7231845558548623361-ggF-?utm_source=share&amp;utm_medium=member_desktop")</f>
        <v>https://www.linkedin.com/posts/krutarthmehta1996_datascience-forecasting-ml-activity-7231845558548623361-ggF-?utm_source=share&amp;utm_medium=member_desktop</v>
      </c>
    </row>
    <row r="535">
      <c r="A535" s="2">
        <f>IFERROR(__xludf.DUMMYFUNCTION("""COMPUTED_VALUE"""),45530.0)</f>
        <v>45530</v>
      </c>
      <c r="B535" s="1" t="str">
        <f>IFERROR(__xludf.DUMMYFUNCTION("""COMPUTED_VALUE"""),"KLA")</f>
        <v>KLA</v>
      </c>
      <c r="C535" s="1" t="str">
        <f>IFERROR(__xludf.DUMMYFUNCTION("""COMPUTED_VALUE"""),"Data Scientist")</f>
        <v>Data Scientist</v>
      </c>
      <c r="D535" s="1" t="str">
        <f>IFERROR(__xludf.DUMMYFUNCTION("""COMPUTED_VALUE"""),"Hybrid")</f>
        <v>Hybrid</v>
      </c>
      <c r="E535" s="3" t="str">
        <f>IFERROR(__xludf.DUMMYFUNCTION("""COMPUTED_VALUE"""),"$80k - $137k")</f>
        <v>$80k - $137k</v>
      </c>
      <c r="F535" s="1" t="str">
        <f>IFERROR(__xludf.DUMMYFUNCTION("""COMPUTED_VALUE"""),"3 - 5")</f>
        <v>3 - 5</v>
      </c>
      <c r="G535" s="1" t="str">
        <f>IFERROR(__xludf.DUMMYFUNCTION("""COMPUTED_VALUE"""),"Ann Arbor, MI")</f>
        <v>Ann Arbor, MI</v>
      </c>
      <c r="H535" s="4" t="str">
        <f>IFERROR(__xludf.DUMMYFUNCTION("""COMPUTED_VALUE"""),"https://www.linkedin.com/posts/marcia-smith-6114663_data-scientist-activity-7231404325028212738-CgAD?utm_source=share&amp;utm_medium=member_desktop")</f>
        <v>https://www.linkedin.com/posts/marcia-smith-6114663_data-scientist-activity-7231404325028212738-CgAD?utm_source=share&amp;utm_medium=member_desktop</v>
      </c>
    </row>
    <row r="536">
      <c r="A536" s="2">
        <f>IFERROR(__xludf.DUMMYFUNCTION("""COMPUTED_VALUE"""),45530.0)</f>
        <v>45530</v>
      </c>
      <c r="B536" s="1" t="str">
        <f>IFERROR(__xludf.DUMMYFUNCTION("""COMPUTED_VALUE"""),"Branch")</f>
        <v>Branch</v>
      </c>
      <c r="C536" s="1" t="str">
        <f>IFERROR(__xludf.DUMMYFUNCTION("""COMPUTED_VALUE"""),"Senior Data Scientist")</f>
        <v>Senior Data Scientist</v>
      </c>
      <c r="D536" s="1" t="str">
        <f>IFERROR(__xludf.DUMMYFUNCTION("""COMPUTED_VALUE"""),"Remote")</f>
        <v>Remote</v>
      </c>
      <c r="E536" s="3" t="str">
        <f>IFERROR(__xludf.DUMMYFUNCTION("""COMPUTED_VALUE"""),"N/A")</f>
        <v>N/A</v>
      </c>
      <c r="F536" s="1" t="str">
        <f>IFERROR(__xludf.DUMMYFUNCTION("""COMPUTED_VALUE"""),"3 - 5")</f>
        <v>3 - 5</v>
      </c>
      <c r="G536" s="1" t="str">
        <f>IFERROR(__xludf.DUMMYFUNCTION("""COMPUTED_VALUE"""),"TX")</f>
        <v>TX</v>
      </c>
      <c r="H536" s="4" t="str">
        <f>IFERROR(__xludf.DUMMYFUNCTION("""COMPUTED_VALUE"""),"https://www.linkedin.com/posts/petr-tsatsin-a259274b_apply-branch-activity-7232466411757953026-Nnuu?utm_source=share&amp;utm_medium=member_desktop")</f>
        <v>https://www.linkedin.com/posts/petr-tsatsin-a259274b_apply-branch-activity-7232466411757953026-Nnuu?utm_source=share&amp;utm_medium=member_desktop</v>
      </c>
    </row>
    <row r="537">
      <c r="A537" s="2">
        <f>IFERROR(__xludf.DUMMYFUNCTION("""COMPUTED_VALUE"""),45530.0)</f>
        <v>45530</v>
      </c>
      <c r="B537" s="1" t="str">
        <f>IFERROR(__xludf.DUMMYFUNCTION("""COMPUTED_VALUE"""),"M&amp;T Bank")</f>
        <v>M&amp;T Bank</v>
      </c>
      <c r="C537" s="1" t="str">
        <f>IFERROR(__xludf.DUMMYFUNCTION("""COMPUTED_VALUE"""),"Data Scientist - Data Academy")</f>
        <v>Data Scientist - Data Academy</v>
      </c>
      <c r="D537" s="1" t="str">
        <f>IFERROR(__xludf.DUMMYFUNCTION("""COMPUTED_VALUE"""),"Hybrid")</f>
        <v>Hybrid</v>
      </c>
      <c r="E537" s="3" t="str">
        <f>IFERROR(__xludf.DUMMYFUNCTION("""COMPUTED_VALUE"""),"$83k - $138k")</f>
        <v>$83k - $138k</v>
      </c>
      <c r="F537" s="1" t="str">
        <f>IFERROR(__xludf.DUMMYFUNCTION("""COMPUTED_VALUE"""),"3 - 5")</f>
        <v>3 - 5</v>
      </c>
      <c r="G537" s="1" t="str">
        <f>IFERROR(__xludf.DUMMYFUNCTION("""COMPUTED_VALUE"""),"Buffalo, NY")</f>
        <v>Buffalo, NY</v>
      </c>
      <c r="H537" s="4" t="str">
        <f>IFERROR(__xludf.DUMMYFUNCTION("""COMPUTED_VALUE"""),"https://www.linkedin.com/posts/anna-pennachi-b46a22142_hiring-datascience-education-activity-7232824133158342656-fQ4k?utm_source=share&amp;utm_medium=member_desktop")</f>
        <v>https://www.linkedin.com/posts/anna-pennachi-b46a22142_hiring-datascience-education-activity-7232824133158342656-fQ4k?utm_source=share&amp;utm_medium=member_desktop</v>
      </c>
    </row>
    <row r="538">
      <c r="A538" s="2">
        <f>IFERROR(__xludf.DUMMYFUNCTION("""COMPUTED_VALUE"""),45530.0)</f>
        <v>45530</v>
      </c>
      <c r="B538" s="1" t="str">
        <f>IFERROR(__xludf.DUMMYFUNCTION("""COMPUTED_VALUE"""),"Zscaler")</f>
        <v>Zscaler</v>
      </c>
      <c r="C538" s="1" t="str">
        <f>IFERROR(__xludf.DUMMYFUNCTION("""COMPUTED_VALUE"""),"Senior Business Data Analyst")</f>
        <v>Senior Business Data Analyst</v>
      </c>
      <c r="D538" s="1" t="str">
        <f>IFERROR(__xludf.DUMMYFUNCTION("""COMPUTED_VALUE"""),"Remote")</f>
        <v>Remote</v>
      </c>
      <c r="E538" s="3" t="str">
        <f>IFERROR(__xludf.DUMMYFUNCTION("""COMPUTED_VALUE"""),"$105k - $150k")</f>
        <v>$105k - $150k</v>
      </c>
      <c r="F538" s="1" t="str">
        <f>IFERROR(__xludf.DUMMYFUNCTION("""COMPUTED_VALUE"""),"6 - 9")</f>
        <v>6 - 9</v>
      </c>
      <c r="G538" s="1" t="str">
        <f>IFERROR(__xludf.DUMMYFUNCTION("""COMPUTED_VALUE"""),"USA")</f>
        <v>USA</v>
      </c>
      <c r="H538" s="4" t="str">
        <f>IFERROR(__xludf.DUMMYFUNCTION("""COMPUTED_VALUE"""),"https://www.linkedin.com/posts/aaeffinger_senior-business-data-analyst-activity-7233832754797240320-xtgN?utm_source=share&amp;utm_medium=member_desktop")</f>
        <v>https://www.linkedin.com/posts/aaeffinger_senior-business-data-analyst-activity-7233832754797240320-xtgN?utm_source=share&amp;utm_medium=member_desktop</v>
      </c>
    </row>
    <row r="539">
      <c r="A539" s="2">
        <f>IFERROR(__xludf.DUMMYFUNCTION("""COMPUTED_VALUE"""),45530.0)</f>
        <v>45530</v>
      </c>
      <c r="B539" s="1" t="str">
        <f>IFERROR(__xludf.DUMMYFUNCTION("""COMPUTED_VALUE"""),"SciPlay")</f>
        <v>SciPlay</v>
      </c>
      <c r="C539" s="1" t="str">
        <f>IFERROR(__xludf.DUMMYFUNCTION("""COMPUTED_VALUE"""),"Senior Gameplay Analyst")</f>
        <v>Senior Gameplay Analyst</v>
      </c>
      <c r="D539" s="1" t="str">
        <f>IFERROR(__xludf.DUMMYFUNCTION("""COMPUTED_VALUE"""),"Hybrid")</f>
        <v>Hybrid</v>
      </c>
      <c r="E539" s="3" t="str">
        <f>IFERROR(__xludf.DUMMYFUNCTION("""COMPUTED_VALUE"""),"N/A")</f>
        <v>N/A</v>
      </c>
      <c r="F539" s="1" t="str">
        <f>IFERROR(__xludf.DUMMYFUNCTION("""COMPUTED_VALUE"""),"6 - 9")</f>
        <v>6 - 9</v>
      </c>
      <c r="G539" s="1" t="str">
        <f>IFERROR(__xludf.DUMMYFUNCTION("""COMPUTED_VALUE"""),"Austin, TX")</f>
        <v>Austin, TX</v>
      </c>
      <c r="H539" s="4" t="str">
        <f>IFERROR(__xludf.DUMMYFUNCTION("""COMPUTED_VALUE"""),"https://www.linkedin.com/posts/tasha-dehmlow-6a97a0192_senior-gameplay-analyst-activity-7233835664109158400-X8jR?utm_source=share&amp;utm_medium=member_desktop")</f>
        <v>https://www.linkedin.com/posts/tasha-dehmlow-6a97a0192_senior-gameplay-analyst-activity-7233835664109158400-X8jR?utm_source=share&amp;utm_medium=member_desktop</v>
      </c>
    </row>
    <row r="540">
      <c r="A540" s="2">
        <f>IFERROR(__xludf.DUMMYFUNCTION("""COMPUTED_VALUE"""),45530.0)</f>
        <v>45530</v>
      </c>
      <c r="B540" s="1" t="str">
        <f>IFERROR(__xludf.DUMMYFUNCTION("""COMPUTED_VALUE"""),"Oberlin College")</f>
        <v>Oberlin College</v>
      </c>
      <c r="C540" s="1" t="str">
        <f>IFERROR(__xludf.DUMMYFUNCTION("""COMPUTED_VALUE"""),"Financial Analyst")</f>
        <v>Financial Analyst</v>
      </c>
      <c r="D540" s="1" t="str">
        <f>IFERROR(__xludf.DUMMYFUNCTION("""COMPUTED_VALUE"""),"On-Site")</f>
        <v>On-Site</v>
      </c>
      <c r="E540" s="3" t="str">
        <f>IFERROR(__xludf.DUMMYFUNCTION("""COMPUTED_VALUE"""),"N/A")</f>
        <v>N/A</v>
      </c>
      <c r="F540" s="1" t="str">
        <f>IFERROR(__xludf.DUMMYFUNCTION("""COMPUTED_VALUE"""),"0 - 2")</f>
        <v>0 - 2</v>
      </c>
      <c r="G540" s="1" t="str">
        <f>IFERROR(__xludf.DUMMYFUNCTION("""COMPUTED_VALUE"""),"Oberlin, OH")</f>
        <v>Oberlin, OH</v>
      </c>
      <c r="H540" s="4" t="str">
        <f>IFERROR(__xludf.DUMMYFUNCTION("""COMPUTED_VALUE"""),"https://www.linkedin.com/posts/beth-gonzales-6b192414_finance-financialanalyst-accounting-activity-7233808903484923904-hGoB?utm_source=share&amp;utm_medium=member_desktop")</f>
        <v>https://www.linkedin.com/posts/beth-gonzales-6b192414_finance-financialanalyst-accounting-activity-7233808903484923904-hGoB?utm_source=share&amp;utm_medium=member_desktop</v>
      </c>
    </row>
    <row r="541">
      <c r="A541" s="2">
        <f>IFERROR(__xludf.DUMMYFUNCTION("""COMPUTED_VALUE"""),45530.0)</f>
        <v>45530</v>
      </c>
      <c r="B541" s="1" t="str">
        <f>IFERROR(__xludf.DUMMYFUNCTION("""COMPUTED_VALUE"""),"HNTB")</f>
        <v>HNTB</v>
      </c>
      <c r="C541" s="1" t="str">
        <f>IFERROR(__xludf.DUMMYFUNCTION("""COMPUTED_VALUE"""),"Project Finance Analyst I")</f>
        <v>Project Finance Analyst I</v>
      </c>
      <c r="D541" s="1" t="str">
        <f>IFERROR(__xludf.DUMMYFUNCTION("""COMPUTED_VALUE"""),"On-Site")</f>
        <v>On-Site</v>
      </c>
      <c r="E541" s="3" t="str">
        <f>IFERROR(__xludf.DUMMYFUNCTION("""COMPUTED_VALUE"""),"N/A")</f>
        <v>N/A</v>
      </c>
      <c r="F541" s="1" t="str">
        <f>IFERROR(__xludf.DUMMYFUNCTION("""COMPUTED_VALUE"""),"0 - 2")</f>
        <v>0 - 2</v>
      </c>
      <c r="G541" s="1" t="str">
        <f>IFERROR(__xludf.DUMMYFUNCTION("""COMPUTED_VALUE"""),"Atlanta, GA")</f>
        <v>Atlanta, GA</v>
      </c>
      <c r="H541" s="4" t="str">
        <f>IFERROR(__xludf.DUMMYFUNCTION("""COMPUTED_VALUE"""),"https://www.linkedin.com/posts/pinky50_project-finance-analyst-i-in-atlanta-georgia-activity-7233638308461834240-D4Dp?utm_source=share&amp;utm_medium=member_desktop")</f>
        <v>https://www.linkedin.com/posts/pinky50_project-finance-analyst-i-in-atlanta-georgia-activity-7233638308461834240-D4Dp?utm_source=share&amp;utm_medium=member_desktop</v>
      </c>
    </row>
    <row r="542">
      <c r="A542" s="2">
        <f>IFERROR(__xludf.DUMMYFUNCTION("""COMPUTED_VALUE"""),45530.0)</f>
        <v>45530</v>
      </c>
      <c r="B542" s="1" t="str">
        <f>IFERROR(__xludf.DUMMYFUNCTION("""COMPUTED_VALUE"""),"Cardlytics")</f>
        <v>Cardlytics</v>
      </c>
      <c r="C542" s="1" t="str">
        <f>IFERROR(__xludf.DUMMYFUNCTION("""COMPUTED_VALUE"""),"Lead Analyst, Retail")</f>
        <v>Lead Analyst, Retail</v>
      </c>
      <c r="D542" s="1" t="str">
        <f>IFERROR(__xludf.DUMMYFUNCTION("""COMPUTED_VALUE"""),"On-Site")</f>
        <v>On-Site</v>
      </c>
      <c r="E542" s="3" t="str">
        <f>IFERROR(__xludf.DUMMYFUNCTION("""COMPUTED_VALUE"""),"N/A")</f>
        <v>N/A</v>
      </c>
      <c r="F542" s="1" t="str">
        <f>IFERROR(__xludf.DUMMYFUNCTION("""COMPUTED_VALUE"""),"6 - 9")</f>
        <v>6 - 9</v>
      </c>
      <c r="G542" s="1" t="str">
        <f>IFERROR(__xludf.DUMMYFUNCTION("""COMPUTED_VALUE"""),"Atlanta, GA")</f>
        <v>Atlanta, GA</v>
      </c>
      <c r="H542" s="4" t="str">
        <f>IFERROR(__xludf.DUMMYFUNCTION("""COMPUTED_VALUE"""),"https://www.linkedin.com/posts/alex-bahr_i-am-hiring-looking-for-a-rockstar-ugcPost-7233519212399337472-iK8j?utm_source=share&amp;utm_medium=member_desktop")</f>
        <v>https://www.linkedin.com/posts/alex-bahr_i-am-hiring-looking-for-a-rockstar-ugcPost-7233519212399337472-iK8j?utm_source=share&amp;utm_medium=member_desktop</v>
      </c>
    </row>
    <row r="543">
      <c r="A543" s="2">
        <f>IFERROR(__xludf.DUMMYFUNCTION("""COMPUTED_VALUE"""),45530.0)</f>
        <v>45530</v>
      </c>
      <c r="B543" s="1" t="str">
        <f>IFERROR(__xludf.DUMMYFUNCTION("""COMPUTED_VALUE"""),"Aledade, Inc.")</f>
        <v>Aledade, Inc.</v>
      </c>
      <c r="C543" s="1" t="str">
        <f>IFERROR(__xludf.DUMMYFUNCTION("""COMPUTED_VALUE"""),"Value Based Care Performance Analyst")</f>
        <v>Value Based Care Performance Analyst</v>
      </c>
      <c r="D543" s="1" t="str">
        <f>IFERROR(__xludf.DUMMYFUNCTION("""COMPUTED_VALUE"""),"Remote")</f>
        <v>Remote</v>
      </c>
      <c r="E543" s="3" t="str">
        <f>IFERROR(__xludf.DUMMYFUNCTION("""COMPUTED_VALUE"""),"$50k - $60k")</f>
        <v>$50k - $60k</v>
      </c>
      <c r="F543" s="1" t="str">
        <f>IFERROR(__xludf.DUMMYFUNCTION("""COMPUTED_VALUE"""),"0 - 2")</f>
        <v>0 - 2</v>
      </c>
      <c r="G543" s="1" t="str">
        <f>IFERROR(__xludf.DUMMYFUNCTION("""COMPUTED_VALUE"""),"USA")</f>
        <v>USA</v>
      </c>
      <c r="H543" s="4" t="str">
        <f>IFERROR(__xludf.DUMMYFUNCTION("""COMPUTED_VALUE"""),"https://www.linkedin.com/posts/shannondias_aledade-value-based-care-performance-analyst-activity-7233792246528008192-c2_b?utm_source=share&amp;utm_medium=member_desktop")</f>
        <v>https://www.linkedin.com/posts/shannondias_aledade-value-based-care-performance-analyst-activity-7233792246528008192-c2_b?utm_source=share&amp;utm_medium=member_desktop</v>
      </c>
    </row>
    <row r="544">
      <c r="A544" s="2">
        <f>IFERROR(__xludf.DUMMYFUNCTION("""COMPUTED_VALUE"""),45530.0)</f>
        <v>45530</v>
      </c>
      <c r="B544" s="1" t="str">
        <f>IFERROR(__xludf.DUMMYFUNCTION("""COMPUTED_VALUE"""),"Aledade, Inc.")</f>
        <v>Aledade, Inc.</v>
      </c>
      <c r="C544" s="1" t="str">
        <f>IFERROR(__xludf.DUMMYFUNCTION("""COMPUTED_VALUE"""),"Senior Product Analyst (Data Ingestion)")</f>
        <v>Senior Product Analyst (Data Ingestion)</v>
      </c>
      <c r="D544" s="1" t="str">
        <f>IFERROR(__xludf.DUMMYFUNCTION("""COMPUTED_VALUE"""),"Remote")</f>
        <v>Remote</v>
      </c>
      <c r="E544" s="3" t="str">
        <f>IFERROR(__xludf.DUMMYFUNCTION("""COMPUTED_VALUE"""),"N/A")</f>
        <v>N/A</v>
      </c>
      <c r="F544" s="1" t="str">
        <f>IFERROR(__xludf.DUMMYFUNCTION("""COMPUTED_VALUE"""),"3 - 5")</f>
        <v>3 - 5</v>
      </c>
      <c r="G544" s="1" t="str">
        <f>IFERROR(__xludf.DUMMYFUNCTION("""COMPUTED_VALUE"""),"USA")</f>
        <v>USA</v>
      </c>
      <c r="H544" s="4" t="str">
        <f>IFERROR(__xludf.DUMMYFUNCTION("""COMPUTED_VALUE"""),"https://www.linkedin.com/posts/shannondias_aledade-senior-product-analyst-data-ingestion-activity-7233792213120376832-YVTL?utm_source=share&amp;utm_medium=member_desktop")</f>
        <v>https://www.linkedin.com/posts/shannondias_aledade-senior-product-analyst-data-ingestion-activity-7233792213120376832-YVTL?utm_source=share&amp;utm_medium=member_desktop</v>
      </c>
    </row>
    <row r="545">
      <c r="A545" s="2">
        <f>IFERROR(__xludf.DUMMYFUNCTION("""COMPUTED_VALUE"""),45530.0)</f>
        <v>45530</v>
      </c>
      <c r="B545" s="1" t="str">
        <f>IFERROR(__xludf.DUMMYFUNCTION("""COMPUTED_VALUE"""),"AssistRx")</f>
        <v>AssistRx</v>
      </c>
      <c r="C545" s="1" t="str">
        <f>IFERROR(__xludf.DUMMYFUNCTION("""COMPUTED_VALUE"""),"Data Insights Analyst - Healthcare")</f>
        <v>Data Insights Analyst - Healthcare</v>
      </c>
      <c r="D545" s="1" t="str">
        <f>IFERROR(__xludf.DUMMYFUNCTION("""COMPUTED_VALUE"""),"Remote")</f>
        <v>Remote</v>
      </c>
      <c r="E545" s="3" t="str">
        <f>IFERROR(__xludf.DUMMYFUNCTION("""COMPUTED_VALUE"""),"N/A")</f>
        <v>N/A</v>
      </c>
      <c r="F545" s="1" t="str">
        <f>IFERROR(__xludf.DUMMYFUNCTION("""COMPUTED_VALUE"""),"3 - 5")</f>
        <v>3 - 5</v>
      </c>
      <c r="G545" s="1" t="str">
        <f>IFERROR(__xludf.DUMMYFUNCTION("""COMPUTED_VALUE"""),"USA")</f>
        <v>USA</v>
      </c>
      <c r="H545" s="4" t="str">
        <f>IFERROR(__xludf.DUMMYFUNCTION("""COMPUTED_VALUE"""),"https://www.linkedin.com/posts/robertbetz_data-insights-analyst-healthcare-remote-activity-7233787165954973696-wW4q?utm_source=share&amp;utm_medium=member_desktop")</f>
        <v>https://www.linkedin.com/posts/robertbetz_data-insights-analyst-healthcare-remote-activity-7233787165954973696-wW4q?utm_source=share&amp;utm_medium=member_desktop</v>
      </c>
    </row>
    <row r="546">
      <c r="A546" s="2">
        <f>IFERROR(__xludf.DUMMYFUNCTION("""COMPUTED_VALUE"""),45530.0)</f>
        <v>45530</v>
      </c>
      <c r="B546" s="1" t="str">
        <f>IFERROR(__xludf.DUMMYFUNCTION("""COMPUTED_VALUE"""),"Imagine Learning")</f>
        <v>Imagine Learning</v>
      </c>
      <c r="C546" s="1" t="str">
        <f>IFERROR(__xludf.DUMMYFUNCTION("""COMPUTED_VALUE"""),"Financial Analyst")</f>
        <v>Financial Analyst</v>
      </c>
      <c r="D546" s="1" t="str">
        <f>IFERROR(__xludf.DUMMYFUNCTION("""COMPUTED_VALUE"""),"Remote")</f>
        <v>Remote</v>
      </c>
      <c r="E546" s="3" t="str">
        <f>IFERROR(__xludf.DUMMYFUNCTION("""COMPUTED_VALUE"""),"$74k - $90k")</f>
        <v>$74k - $90k</v>
      </c>
      <c r="F546" s="1" t="str">
        <f>IFERROR(__xludf.DUMMYFUNCTION("""COMPUTED_VALUE"""),"3 - 5")</f>
        <v>3 - 5</v>
      </c>
      <c r="G546" s="1" t="str">
        <f>IFERROR(__xludf.DUMMYFUNCTION("""COMPUTED_VALUE"""),"USA")</f>
        <v>USA</v>
      </c>
      <c r="H546" s="4" t="str">
        <f>IFERROR(__xludf.DUMMYFUNCTION("""COMPUTED_VALUE"""),"https://www.linkedin.com/posts/cynthia-page-46b591219_financial-analyst-activity-7233261419754889216-l_Wj?utm_source=share&amp;utm_medium=member_desktop")</f>
        <v>https://www.linkedin.com/posts/cynthia-page-46b591219_financial-analyst-activity-7233261419754889216-l_Wj?utm_source=share&amp;utm_medium=member_desktop</v>
      </c>
    </row>
    <row r="547">
      <c r="A547" s="2">
        <f>IFERROR(__xludf.DUMMYFUNCTION("""COMPUTED_VALUE"""),45530.0)</f>
        <v>45530</v>
      </c>
      <c r="B547" s="1" t="str">
        <f>IFERROR(__xludf.DUMMYFUNCTION("""COMPUTED_VALUE"""),"Omada")</f>
        <v>Omada</v>
      </c>
      <c r="C547" s="1" t="str">
        <f>IFERROR(__xludf.DUMMYFUNCTION("""COMPUTED_VALUE"""),"Data Analyst II, Client Analytics")</f>
        <v>Data Analyst II, Client Analytics</v>
      </c>
      <c r="D547" s="1" t="str">
        <f>IFERROR(__xludf.DUMMYFUNCTION("""COMPUTED_VALUE"""),"Remote")</f>
        <v>Remote</v>
      </c>
      <c r="E547" s="3" t="str">
        <f>IFERROR(__xludf.DUMMYFUNCTION("""COMPUTED_VALUE"""),"N/A")</f>
        <v>N/A</v>
      </c>
      <c r="F547" s="1" t="str">
        <f>IFERROR(__xludf.DUMMYFUNCTION("""COMPUTED_VALUE"""),"3 - 5")</f>
        <v>3 - 5</v>
      </c>
      <c r="G547" s="1" t="str">
        <f>IFERROR(__xludf.DUMMYFUNCTION("""COMPUTED_VALUE"""),"USA")</f>
        <v>USA</v>
      </c>
      <c r="H547" s="4" t="str">
        <f>IFERROR(__xludf.DUMMYFUNCTION("""COMPUTED_VALUE"""),"https://www.linkedin.com/posts/activity-7233503398656950272-sS3Y?utm_source=share&amp;utm_medium=member_desktop")</f>
        <v>https://www.linkedin.com/posts/activity-7233503398656950272-sS3Y?utm_source=share&amp;utm_medium=member_desktop</v>
      </c>
    </row>
    <row r="548">
      <c r="A548" s="2">
        <f>IFERROR(__xludf.DUMMYFUNCTION("""COMPUTED_VALUE"""),45530.0)</f>
        <v>45530</v>
      </c>
      <c r="B548" s="1" t="str">
        <f>IFERROR(__xludf.DUMMYFUNCTION("""COMPUTED_VALUE"""),"CMI Media Group")</f>
        <v>CMI Media Group</v>
      </c>
      <c r="C548" s="1" t="str">
        <f>IFERROR(__xludf.DUMMYFUNCTION("""COMPUTED_VALUE"""),"Associate Analyst, Paid Social")</f>
        <v>Associate Analyst, Paid Social</v>
      </c>
      <c r="D548" s="1" t="str">
        <f>IFERROR(__xludf.DUMMYFUNCTION("""COMPUTED_VALUE"""),"On-Site")</f>
        <v>On-Site</v>
      </c>
      <c r="E548" s="3" t="str">
        <f>IFERROR(__xludf.DUMMYFUNCTION("""COMPUTED_VALUE"""),"$40k - $45k")</f>
        <v>$40k - $45k</v>
      </c>
      <c r="F548" s="1" t="str">
        <f>IFERROR(__xludf.DUMMYFUNCTION("""COMPUTED_VALUE"""),"0 - 2")</f>
        <v>0 - 2</v>
      </c>
      <c r="G548" s="1" t="str">
        <f>IFERROR(__xludf.DUMMYFUNCTION("""COMPUTED_VALUE"""),"Certain Locations")</f>
        <v>Certain Locations</v>
      </c>
      <c r="H548" s="4" t="str">
        <f>IFERROR(__xludf.DUMMYFUNCTION("""COMPUTED_VALUE"""),"https://www.linkedin.com/posts/richard-schneider-66815759_associate-analyst-paid-social-activity-7233311569718206467-YBiq?utm_source=share&amp;utm_medium=member_desktop")</f>
        <v>https://www.linkedin.com/posts/richard-schneider-66815759_associate-analyst-paid-social-activity-7233311569718206467-YBiq?utm_source=share&amp;utm_medium=member_desktop</v>
      </c>
    </row>
    <row r="549">
      <c r="A549" s="2">
        <f>IFERROR(__xludf.DUMMYFUNCTION("""COMPUTED_VALUE"""),45530.0)</f>
        <v>45530</v>
      </c>
      <c r="B549" s="1" t="str">
        <f>IFERROR(__xludf.DUMMYFUNCTION("""COMPUTED_VALUE"""),"Brink's")</f>
        <v>Brink's</v>
      </c>
      <c r="C549" s="1" t="str">
        <f>IFERROR(__xludf.DUMMYFUNCTION("""COMPUTED_VALUE"""),"Senior Financial Analyst")</f>
        <v>Senior Financial Analyst</v>
      </c>
      <c r="D549" s="1" t="str">
        <f>IFERROR(__xludf.DUMMYFUNCTION("""COMPUTED_VALUE"""),"On-Site")</f>
        <v>On-Site</v>
      </c>
      <c r="E549" s="3" t="str">
        <f>IFERROR(__xludf.DUMMYFUNCTION("""COMPUTED_VALUE"""),"N/A")</f>
        <v>N/A</v>
      </c>
      <c r="F549" s="1" t="str">
        <f>IFERROR(__xludf.DUMMYFUNCTION("""COMPUTED_VALUE"""),"3 - 5")</f>
        <v>3 - 5</v>
      </c>
      <c r="G549" s="1" t="str">
        <f>IFERROR(__xludf.DUMMYFUNCTION("""COMPUTED_VALUE"""),"Coppel, TX")</f>
        <v>Coppel, TX</v>
      </c>
      <c r="H549" s="4" t="str">
        <f>IFERROR(__xludf.DUMMYFUNCTION("""COMPUTED_VALUE"""),"https://www.linkedin.com/posts/emily-h-2a578a22b_senior-financial-analyst-activity-7233529141327806464-8Ztg?utm_source=share&amp;utm_medium=member_desktop")</f>
        <v>https://www.linkedin.com/posts/emily-h-2a578a22b_senior-financial-analyst-activity-7233529141327806464-8Ztg?utm_source=share&amp;utm_medium=member_desktop</v>
      </c>
    </row>
    <row r="550">
      <c r="A550" s="2">
        <f>IFERROR(__xludf.DUMMYFUNCTION("""COMPUTED_VALUE"""),45530.0)</f>
        <v>45530</v>
      </c>
      <c r="B550" s="1" t="str">
        <f>IFERROR(__xludf.DUMMYFUNCTION("""COMPUTED_VALUE"""),"National Basketball Association (NBA)")</f>
        <v>National Basketball Association (NBA)</v>
      </c>
      <c r="C550" s="1" t="str">
        <f>IFERROR(__xludf.DUMMYFUNCTION("""COMPUTED_VALUE"""),"Senior Compensation Analyst")</f>
        <v>Senior Compensation Analyst</v>
      </c>
      <c r="D550" s="1" t="str">
        <f>IFERROR(__xludf.DUMMYFUNCTION("""COMPUTED_VALUE"""),"Hybrid")</f>
        <v>Hybrid</v>
      </c>
      <c r="E550" s="3" t="str">
        <f>IFERROR(__xludf.DUMMYFUNCTION("""COMPUTED_VALUE"""),"$135k - $150k")</f>
        <v>$135k - $150k</v>
      </c>
      <c r="F550" s="1" t="str">
        <f>IFERROR(__xludf.DUMMYFUNCTION("""COMPUTED_VALUE"""),"6 - 9")</f>
        <v>6 - 9</v>
      </c>
      <c r="G550" s="1" t="str">
        <f>IFERROR(__xludf.DUMMYFUNCTION("""COMPUTED_VALUE"""),"New York, NY")</f>
        <v>New York, NY</v>
      </c>
      <c r="H550" s="4" t="str">
        <f>IFERROR(__xludf.DUMMYFUNCTION("""COMPUTED_VALUE"""),"https://www.linkedin.com/posts/activity-7233468339895898112-8uzt?utm_source=share&amp;utm_medium=member_desktop")</f>
        <v>https://www.linkedin.com/posts/activity-7233468339895898112-8uzt?utm_source=share&amp;utm_medium=member_desktop</v>
      </c>
    </row>
    <row r="551">
      <c r="A551" s="2">
        <f>IFERROR(__xludf.DUMMYFUNCTION("""COMPUTED_VALUE"""),45530.0)</f>
        <v>45530</v>
      </c>
      <c r="B551" s="1" t="str">
        <f>IFERROR(__xludf.DUMMYFUNCTION("""COMPUTED_VALUE"""),"CMI Media Group")</f>
        <v>CMI Media Group</v>
      </c>
      <c r="C551" s="1" t="str">
        <f>IFERROR(__xludf.DUMMYFUNCTION("""COMPUTED_VALUE"""),"Analyst, Digital Marketing Analytics")</f>
        <v>Analyst, Digital Marketing Analytics</v>
      </c>
      <c r="D551" s="1" t="str">
        <f>IFERROR(__xludf.DUMMYFUNCTION("""COMPUTED_VALUE"""),"On-Site")</f>
        <v>On-Site</v>
      </c>
      <c r="E551" s="3" t="str">
        <f>IFERROR(__xludf.DUMMYFUNCTION("""COMPUTED_VALUE"""),"N/A")</f>
        <v>N/A</v>
      </c>
      <c r="F551" s="1" t="str">
        <f>IFERROR(__xludf.DUMMYFUNCTION("""COMPUTED_VALUE"""),"0 - 2")</f>
        <v>0 - 2</v>
      </c>
      <c r="G551" s="1" t="str">
        <f>IFERROR(__xludf.DUMMYFUNCTION("""COMPUTED_VALUE"""),"Certain Locations")</f>
        <v>Certain Locations</v>
      </c>
      <c r="H551" s="4" t="str">
        <f>IFERROR(__xludf.DUMMYFUNCTION("""COMPUTED_VALUE"""),"https://www.linkedin.com/posts/christina-iannetta_analyst-digital-marketing-analytics-activity-7233601652115607552-vA6O?utm_source=share&amp;utm_medium=member_desktop")</f>
        <v>https://www.linkedin.com/posts/christina-iannetta_analyst-digital-marketing-analytics-activity-7233601652115607552-vA6O?utm_source=share&amp;utm_medium=member_desktop</v>
      </c>
    </row>
    <row r="552">
      <c r="A552" s="2">
        <f>IFERROR(__xludf.DUMMYFUNCTION("""COMPUTED_VALUE"""),45529.0)</f>
        <v>45529</v>
      </c>
      <c r="B552" s="1" t="str">
        <f>IFERROR(__xludf.DUMMYFUNCTION("""COMPUTED_VALUE"""),"CPS Solutions, LLC")</f>
        <v>CPS Solutions, LLC</v>
      </c>
      <c r="C552" s="1" t="str">
        <f>IFERROR(__xludf.DUMMYFUNCTION("""COMPUTED_VALUE"""),"Data Analyst")</f>
        <v>Data Analyst</v>
      </c>
      <c r="D552" s="1" t="str">
        <f>IFERROR(__xludf.DUMMYFUNCTION("""COMPUTED_VALUE"""),"Remote")</f>
        <v>Remote</v>
      </c>
      <c r="E552" s="3" t="str">
        <f>IFERROR(__xludf.DUMMYFUNCTION("""COMPUTED_VALUE"""),"$90k - $100k")</f>
        <v>$90k - $100k</v>
      </c>
      <c r="F552" s="1" t="str">
        <f>IFERROR(__xludf.DUMMYFUNCTION("""COMPUTED_VALUE"""),"3 - 5")</f>
        <v>3 - 5</v>
      </c>
      <c r="G552" s="1" t="str">
        <f>IFERROR(__xludf.DUMMYFUNCTION("""COMPUTED_VALUE"""),"USA")</f>
        <v>USA</v>
      </c>
      <c r="H552" s="4" t="str">
        <f>IFERROR(__xludf.DUMMYFUNCTION("""COMPUTED_VALUE"""),"https://www.linkedin.com/posts/marierausch_data-analyst-in-dublin-ohio-activity-7233610494090043393-VaQO?utm_source=share&amp;utm_medium=member_desktop")</f>
        <v>https://www.linkedin.com/posts/marierausch_data-analyst-in-dublin-ohio-activity-7233610494090043393-VaQO?utm_source=share&amp;utm_medium=member_desktop</v>
      </c>
    </row>
    <row r="553">
      <c r="A553" s="2">
        <f>IFERROR(__xludf.DUMMYFUNCTION("""COMPUTED_VALUE"""),45529.0)</f>
        <v>45529</v>
      </c>
      <c r="B553" s="1" t="str">
        <f>IFERROR(__xludf.DUMMYFUNCTION("""COMPUTED_VALUE"""),"GreenSky")</f>
        <v>GreenSky</v>
      </c>
      <c r="C553" s="1" t="str">
        <f>IFERROR(__xludf.DUMMYFUNCTION("""COMPUTED_VALUE"""),"Operations Analyst")</f>
        <v>Operations Analyst</v>
      </c>
      <c r="D553" s="1" t="str">
        <f>IFERROR(__xludf.DUMMYFUNCTION("""COMPUTED_VALUE"""),"Remote")</f>
        <v>Remote</v>
      </c>
      <c r="E553" s="3" t="str">
        <f>IFERROR(__xludf.DUMMYFUNCTION("""COMPUTED_VALUE"""),"N/A")</f>
        <v>N/A</v>
      </c>
      <c r="F553" s="1" t="str">
        <f>IFERROR(__xludf.DUMMYFUNCTION("""COMPUTED_VALUE"""),"0 - 2")</f>
        <v>0 - 2</v>
      </c>
      <c r="G553" s="1" t="str">
        <f>IFERROR(__xludf.DUMMYFUNCTION("""COMPUTED_VALUE"""),"Atlanta, GA")</f>
        <v>Atlanta, GA</v>
      </c>
      <c r="H553" s="4" t="str">
        <f>IFERROR(__xludf.DUMMYFUNCTION("""COMPUTED_VALUE"""),"https://www.linkedin.com/posts/erin-porter-m-a-ed-86a1b254_operations-analyst-in-atlanta-careers-at-activity-7232812832730329089-8Fm6?utm_source=share&amp;utm_medium=member_desktop")</f>
        <v>https://www.linkedin.com/posts/erin-porter-m-a-ed-86a1b254_operations-analyst-in-atlanta-careers-at-activity-7232812832730329089-8Fm6?utm_source=share&amp;utm_medium=member_desktop</v>
      </c>
    </row>
    <row r="554">
      <c r="A554" s="2">
        <f>IFERROR(__xludf.DUMMYFUNCTION("""COMPUTED_VALUE"""),45529.0)</f>
        <v>45529</v>
      </c>
      <c r="B554" s="1" t="str">
        <f>IFERROR(__xludf.DUMMYFUNCTION("""COMPUTED_VALUE"""),"Raptive")</f>
        <v>Raptive</v>
      </c>
      <c r="C554" s="1" t="str">
        <f>IFERROR(__xludf.DUMMYFUNCTION("""COMPUTED_VALUE"""),"Data Analyst - Revenue &amp; Digital Ad Intelligence ")</f>
        <v>Data Analyst - Revenue &amp; Digital Ad Intelligence </v>
      </c>
      <c r="D554" s="1" t="str">
        <f>IFERROR(__xludf.DUMMYFUNCTION("""COMPUTED_VALUE"""),"Remote")</f>
        <v>Remote</v>
      </c>
      <c r="E554" s="3" t="str">
        <f>IFERROR(__xludf.DUMMYFUNCTION("""COMPUTED_VALUE"""),"$115k - $150k")</f>
        <v>$115k - $150k</v>
      </c>
      <c r="F554" s="1" t="str">
        <f>IFERROR(__xludf.DUMMYFUNCTION("""COMPUTED_VALUE"""),"0 - 2")</f>
        <v>0 - 2</v>
      </c>
      <c r="G554" s="1" t="str">
        <f>IFERROR(__xludf.DUMMYFUNCTION("""COMPUTED_VALUE"""),"USA")</f>
        <v>USA</v>
      </c>
      <c r="H554" s="4" t="str">
        <f>IFERROR(__xludf.DUMMYFUNCTION("""COMPUTED_VALUE"""),"https://www.linkedin.com/posts/aus-gomez_exciting-opportunity-alert-raptive-is-activity-7233473548487401472-wGcW?utm_source=share&amp;utm_medium=member_desktop")</f>
        <v>https://www.linkedin.com/posts/aus-gomez_exciting-opportunity-alert-raptive-is-activity-7233473548487401472-wGcW?utm_source=share&amp;utm_medium=member_desktop</v>
      </c>
    </row>
    <row r="555">
      <c r="A555" s="2">
        <f>IFERROR(__xludf.DUMMYFUNCTION("""COMPUTED_VALUE"""),45529.0)</f>
        <v>45529</v>
      </c>
      <c r="B555" s="1" t="str">
        <f>IFERROR(__xludf.DUMMYFUNCTION("""COMPUTED_VALUE"""),"6sense")</f>
        <v>6sense</v>
      </c>
      <c r="C555" s="1" t="str">
        <f>IFERROR(__xludf.DUMMYFUNCTION("""COMPUTED_VALUE"""),"Senior Data Scientist")</f>
        <v>Senior Data Scientist</v>
      </c>
      <c r="D555" s="1" t="str">
        <f>IFERROR(__xludf.DUMMYFUNCTION("""COMPUTED_VALUE"""),"Remote")</f>
        <v>Remote</v>
      </c>
      <c r="E555" s="3" t="str">
        <f>IFERROR(__xludf.DUMMYFUNCTION("""COMPUTED_VALUE"""),"$156k - $228k")</f>
        <v>$156k - $228k</v>
      </c>
      <c r="F555" s="1" t="str">
        <f>IFERROR(__xludf.DUMMYFUNCTION("""COMPUTED_VALUE"""),"6 - 9")</f>
        <v>6 - 9</v>
      </c>
      <c r="G555" s="1" t="str">
        <f>IFERROR(__xludf.DUMMYFUNCTION("""COMPUTED_VALUE"""),"USA")</f>
        <v>USA</v>
      </c>
      <c r="H555" s="4" t="str">
        <f>IFERROR(__xludf.DUMMYFUNCTION("""COMPUTED_VALUE"""),"https://www.linkedin.com/posts/haobing-frank-chu-4b38aba3_senior-data-scientist-activity-7232988012911980544-kNuV?utm_source=share&amp;utm_medium=member_desktop")</f>
        <v>https://www.linkedin.com/posts/haobing-frank-chu-4b38aba3_senior-data-scientist-activity-7232988012911980544-kNuV?utm_source=share&amp;utm_medium=member_desktop</v>
      </c>
    </row>
    <row r="556">
      <c r="A556" s="2">
        <f>IFERROR(__xludf.DUMMYFUNCTION("""COMPUTED_VALUE"""),45529.0)</f>
        <v>45529</v>
      </c>
      <c r="B556" s="1" t="str">
        <f>IFERROR(__xludf.DUMMYFUNCTION("""COMPUTED_VALUE"""),"National University")</f>
        <v>National University</v>
      </c>
      <c r="C556" s="1" t="str">
        <f>IFERROR(__xludf.DUMMYFUNCTION("""COMPUTED_VALUE"""),"Senior Director, Data and Insights")</f>
        <v>Senior Director, Data and Insights</v>
      </c>
      <c r="D556" s="1" t="str">
        <f>IFERROR(__xludf.DUMMYFUNCTION("""COMPUTED_VALUE"""),"Remote")</f>
        <v>Remote</v>
      </c>
      <c r="E556" s="3" t="str">
        <f>IFERROR(__xludf.DUMMYFUNCTION("""COMPUTED_VALUE"""),"$98k - $133k")</f>
        <v>$98k - $133k</v>
      </c>
      <c r="F556" s="1" t="str">
        <f>IFERROR(__xludf.DUMMYFUNCTION("""COMPUTED_VALUE"""),"10 +")</f>
        <v>10 +</v>
      </c>
      <c r="G556" s="1" t="str">
        <f>IFERROR(__xludf.DUMMYFUNCTION("""COMPUTED_VALUE"""),"USA")</f>
        <v>USA</v>
      </c>
      <c r="H556" s="4" t="str">
        <f>IFERROR(__xludf.DUMMYFUNCTION("""COMPUTED_VALUE"""),"https://www.linkedin.com/posts/angela-baldasare_senior-director-data-and-insights-activity-7232865285752430593-YmiP?utm_source=share&amp;utm_medium=member_desktop")</f>
        <v>https://www.linkedin.com/posts/angela-baldasare_senior-director-data-and-insights-activity-7232865285752430593-YmiP?utm_source=share&amp;utm_medium=member_desktop</v>
      </c>
    </row>
    <row r="557">
      <c r="A557" s="2">
        <f>IFERROR(__xludf.DUMMYFUNCTION("""COMPUTED_VALUE"""),45529.0)</f>
        <v>45529</v>
      </c>
      <c r="B557" s="1" t="str">
        <f>IFERROR(__xludf.DUMMYFUNCTION("""COMPUTED_VALUE"""),"University of Minnesota")</f>
        <v>University of Minnesota</v>
      </c>
      <c r="C557" s="1" t="str">
        <f>IFERROR(__xludf.DUMMYFUNCTION("""COMPUTED_VALUE"""),"Senior Data Engineer")</f>
        <v>Senior Data Engineer</v>
      </c>
      <c r="D557" s="1" t="str">
        <f>IFERROR(__xludf.DUMMYFUNCTION("""COMPUTED_VALUE"""),"Hybrid")</f>
        <v>Hybrid</v>
      </c>
      <c r="E557" s="3" t="str">
        <f>IFERROR(__xludf.DUMMYFUNCTION("""COMPUTED_VALUE"""),"$133k - $123k")</f>
        <v>$133k - $123k</v>
      </c>
      <c r="F557" s="1" t="str">
        <f>IFERROR(__xludf.DUMMYFUNCTION("""COMPUTED_VALUE"""),"3 - 5")</f>
        <v>3 - 5</v>
      </c>
      <c r="G557" s="1" t="str">
        <f>IFERROR(__xludf.DUMMYFUNCTION("""COMPUTED_VALUE"""),"Minneapolis, MN")</f>
        <v>Minneapolis, MN</v>
      </c>
      <c r="H557" s="4" t="str">
        <f>IFERROR(__xludf.DUMMYFUNCTION("""COMPUTED_VALUE"""),"https://www.linkedin.com/posts/recruitermax_good-morning-linkedin-network-i-am-hiring-activity-7232740548174880769-TRqh?utm_source=share&amp;utm_medium=member_desktop")</f>
        <v>https://www.linkedin.com/posts/recruitermax_good-morning-linkedin-network-i-am-hiring-activity-7232740548174880769-TRqh?utm_source=share&amp;utm_medium=member_desktop</v>
      </c>
    </row>
    <row r="558">
      <c r="A558" s="2">
        <f>IFERROR(__xludf.DUMMYFUNCTION("""COMPUTED_VALUE"""),45529.0)</f>
        <v>45529</v>
      </c>
      <c r="B558" s="1" t="str">
        <f>IFERROR(__xludf.DUMMYFUNCTION("""COMPUTED_VALUE"""),"Sandia Laboratory Federal Credit Union")</f>
        <v>Sandia Laboratory Federal Credit Union</v>
      </c>
      <c r="C558" s="1" t="str">
        <f>IFERROR(__xludf.DUMMYFUNCTION("""COMPUTED_VALUE"""),"Marketing and Martech Analyst")</f>
        <v>Marketing and Martech Analyst</v>
      </c>
      <c r="D558" s="1" t="str">
        <f>IFERROR(__xludf.DUMMYFUNCTION("""COMPUTED_VALUE"""),"Hybrid")</f>
        <v>Hybrid</v>
      </c>
      <c r="E558" s="3" t="str">
        <f>IFERROR(__xludf.DUMMYFUNCTION("""COMPUTED_VALUE"""),"$81k - $101k")</f>
        <v>$81k - $101k</v>
      </c>
      <c r="F558" s="1" t="str">
        <f>IFERROR(__xludf.DUMMYFUNCTION("""COMPUTED_VALUE"""),"3 - 5")</f>
        <v>3 - 5</v>
      </c>
      <c r="G558" s="1" t="str">
        <f>IFERROR(__xludf.DUMMYFUNCTION("""COMPUTED_VALUE"""),"Albuquerque, NM ")</f>
        <v>Albuquerque, NM </v>
      </c>
      <c r="H558" s="4" t="str">
        <f>IFERROR(__xludf.DUMMYFUNCTION("""COMPUTED_VALUE"""),"https://www.linkedin.com/posts/muriellotto_sandia-laboratory-federal-credit-union-activity-7232432338763149312-zZ2A?utm_source=share&amp;utm_medium=member_desktop")</f>
        <v>https://www.linkedin.com/posts/muriellotto_sandia-laboratory-federal-credit-union-activity-7232432338763149312-zZ2A?utm_source=share&amp;utm_medium=member_desktop</v>
      </c>
    </row>
    <row r="559">
      <c r="A559" s="2">
        <f>IFERROR(__xludf.DUMMYFUNCTION("""COMPUTED_VALUE"""),45529.0)</f>
        <v>45529</v>
      </c>
      <c r="B559" s="1" t="str">
        <f>IFERROR(__xludf.DUMMYFUNCTION("""COMPUTED_VALUE"""),"MMGY Global")</f>
        <v>MMGY Global</v>
      </c>
      <c r="C559" s="1" t="str">
        <f>IFERROR(__xludf.DUMMYFUNCTION("""COMPUTED_VALUE"""),"Marketing Performance Analyst")</f>
        <v>Marketing Performance Analyst</v>
      </c>
      <c r="D559" s="1" t="str">
        <f>IFERROR(__xludf.DUMMYFUNCTION("""COMPUTED_VALUE"""),"Hybrid")</f>
        <v>Hybrid</v>
      </c>
      <c r="E559" s="3" t="str">
        <f>IFERROR(__xludf.DUMMYFUNCTION("""COMPUTED_VALUE"""),"N/A")</f>
        <v>N/A</v>
      </c>
      <c r="F559" s="1" t="str">
        <f>IFERROR(__xludf.DUMMYFUNCTION("""COMPUTED_VALUE"""),"0 - 2")</f>
        <v>0 - 2</v>
      </c>
      <c r="G559" s="1" t="str">
        <f>IFERROR(__xludf.DUMMYFUNCTION("""COMPUTED_VALUE"""),"Overland Park, KS")</f>
        <v>Overland Park, KS</v>
      </c>
      <c r="H559" s="4" t="str">
        <f>IFERROR(__xludf.DUMMYFUNCTION("""COMPUTED_VALUE"""),"https://www.linkedin.com/posts/angelamason_marketing-performance-analyst-activity-7232553442324406272-329T?utm_source=share&amp;utm_medium=member_desktop")</f>
        <v>https://www.linkedin.com/posts/angelamason_marketing-performance-analyst-activity-7232553442324406272-329T?utm_source=share&amp;utm_medium=member_desktop</v>
      </c>
    </row>
    <row r="560">
      <c r="A560" s="2">
        <f>IFERROR(__xludf.DUMMYFUNCTION("""COMPUTED_VALUE"""),45529.0)</f>
        <v>45529</v>
      </c>
      <c r="B560" s="1" t="str">
        <f>IFERROR(__xludf.DUMMYFUNCTION("""COMPUTED_VALUE"""),"NFP")</f>
        <v>NFP</v>
      </c>
      <c r="C560" s="1" t="str">
        <f>IFERROR(__xludf.DUMMYFUNCTION("""COMPUTED_VALUE"""),"(Hybrid) Data Analyst ")</f>
        <v>(Hybrid) Data Analyst </v>
      </c>
      <c r="D560" s="1" t="str">
        <f>IFERROR(__xludf.DUMMYFUNCTION("""COMPUTED_VALUE"""),"Hybrid")</f>
        <v>Hybrid</v>
      </c>
      <c r="E560" s="3" t="str">
        <f>IFERROR(__xludf.DUMMYFUNCTION("""COMPUTED_VALUE"""),"N/A")</f>
        <v>N/A</v>
      </c>
      <c r="F560" s="1" t="str">
        <f>IFERROR(__xludf.DUMMYFUNCTION("""COMPUTED_VALUE"""),"3 - 5")</f>
        <v>3 - 5</v>
      </c>
      <c r="G560" s="1" t="str">
        <f>IFERROR(__xludf.DUMMYFUNCTION("""COMPUTED_VALUE"""),"Austin, TX")</f>
        <v>Austin, TX</v>
      </c>
      <c r="H560" s="4" t="str">
        <f>IFERROR(__xludf.DUMMYFUNCTION("""COMPUTED_VALUE"""),"https://www.linkedin.com/posts/arianecline_hiring-activity-7233100315300913152-RvrF?utm_source=share&amp;utm_medium=member_desktop")</f>
        <v>https://www.linkedin.com/posts/arianecline_hiring-activity-7233100315300913152-RvrF?utm_source=share&amp;utm_medium=member_desktop</v>
      </c>
    </row>
    <row r="561">
      <c r="A561" s="2">
        <f>IFERROR(__xludf.DUMMYFUNCTION("""COMPUTED_VALUE"""),45529.0)</f>
        <v>45529</v>
      </c>
      <c r="B561" s="1" t="str">
        <f>IFERROR(__xludf.DUMMYFUNCTION("""COMPUTED_VALUE"""),"Discover Financial Services")</f>
        <v>Discover Financial Services</v>
      </c>
      <c r="C561" s="1" t="str">
        <f>IFERROR(__xludf.DUMMYFUNCTION("""COMPUTED_VALUE"""),"Payments Strategy &amp; Research Analyst")</f>
        <v>Payments Strategy &amp; Research Analyst</v>
      </c>
      <c r="D561" s="1" t="str">
        <f>IFERROR(__xludf.DUMMYFUNCTION("""COMPUTED_VALUE"""),"Remote")</f>
        <v>Remote</v>
      </c>
      <c r="E561" s="3" t="str">
        <f>IFERROR(__xludf.DUMMYFUNCTION("""COMPUTED_VALUE"""),"$89k - $149k")</f>
        <v>$89k - $149k</v>
      </c>
      <c r="F561" s="1" t="str">
        <f>IFERROR(__xludf.DUMMYFUNCTION("""COMPUTED_VALUE"""),"3 - 5")</f>
        <v>3 - 5</v>
      </c>
      <c r="G561" s="1" t="str">
        <f>IFERROR(__xludf.DUMMYFUNCTION("""COMPUTED_VALUE"""),"Riverwoods, IL")</f>
        <v>Riverwoods, IL</v>
      </c>
      <c r="H561" s="4" t="str">
        <f>IFERROR(__xludf.DUMMYFUNCTION("""COMPUTED_VALUE"""),"https://www.linkedin.com/posts/activity-7233095674479742976-1GyZ?utm_source=share&amp;utm_medium=member_desktop")</f>
        <v>https://www.linkedin.com/posts/activity-7233095674479742976-1GyZ?utm_source=share&amp;utm_medium=member_desktop</v>
      </c>
    </row>
    <row r="562">
      <c r="A562" s="2">
        <f>IFERROR(__xludf.DUMMYFUNCTION("""COMPUTED_VALUE"""),45529.0)</f>
        <v>45529</v>
      </c>
      <c r="B562" s="4" t="str">
        <f>IFERROR(__xludf.DUMMYFUNCTION("""COMPUTED_VALUE"""),"Rev.io")</f>
        <v>Rev.io</v>
      </c>
      <c r="C562" s="1" t="str">
        <f>IFERROR(__xludf.DUMMYFUNCTION("""COMPUTED_VALUE"""),"FP&amp;A Analyst")</f>
        <v>FP&amp;A Analyst</v>
      </c>
      <c r="D562" s="1" t="str">
        <f>IFERROR(__xludf.DUMMYFUNCTION("""COMPUTED_VALUE"""),"Hybrid")</f>
        <v>Hybrid</v>
      </c>
      <c r="E562" s="3" t="str">
        <f>IFERROR(__xludf.DUMMYFUNCTION("""COMPUTED_VALUE"""),"N/A")</f>
        <v>N/A</v>
      </c>
      <c r="F562" s="1" t="str">
        <f>IFERROR(__xludf.DUMMYFUNCTION("""COMPUTED_VALUE"""),"3 - 5")</f>
        <v>3 - 5</v>
      </c>
      <c r="G562" s="1" t="str">
        <f>IFERROR(__xludf.DUMMYFUNCTION("""COMPUTED_VALUE"""),"Atlanta, GA")</f>
        <v>Atlanta, GA</v>
      </c>
      <c r="H562" s="4" t="str">
        <f>IFERROR(__xludf.DUMMYFUNCTION("""COMPUTED_VALUE"""),"https://www.linkedin.com/posts/shayna-sutton-mba-cdr-b0b36860_hiringnow-financejobs-joinourteam-activity-7232813621683126272-TEof?utm_source=share&amp;utm_medium=member_desktop")</f>
        <v>https://www.linkedin.com/posts/shayna-sutton-mba-cdr-b0b36860_hiringnow-financejobs-joinourteam-activity-7232813621683126272-TEof?utm_source=share&amp;utm_medium=member_desktop</v>
      </c>
    </row>
    <row r="563">
      <c r="A563" s="2">
        <f>IFERROR(__xludf.DUMMYFUNCTION("""COMPUTED_VALUE"""),45529.0)</f>
        <v>45529</v>
      </c>
      <c r="B563" s="1" t="str">
        <f>IFERROR(__xludf.DUMMYFUNCTION("""COMPUTED_VALUE"""),"Comcast")</f>
        <v>Comcast</v>
      </c>
      <c r="C563" s="1" t="str">
        <f>IFERROR(__xludf.DUMMYFUNCTION("""COMPUTED_VALUE"""),"Sr. Analyst, Internet Product Strategy and Management")</f>
        <v>Sr. Analyst, Internet Product Strategy and Management</v>
      </c>
      <c r="D563" s="1" t="str">
        <f>IFERROR(__xludf.DUMMYFUNCTION("""COMPUTED_VALUE"""),"Hybrid")</f>
        <v>Hybrid</v>
      </c>
      <c r="E563" s="3" t="str">
        <f>IFERROR(__xludf.DUMMYFUNCTION("""COMPUTED_VALUE"""),"N/A")</f>
        <v>N/A</v>
      </c>
      <c r="F563" s="1" t="str">
        <f>IFERROR(__xludf.DUMMYFUNCTION("""COMPUTED_VALUE"""),"6 - 9")</f>
        <v>6 - 9</v>
      </c>
      <c r="G563" s="1" t="str">
        <f>IFERROR(__xludf.DUMMYFUNCTION("""COMPUTED_VALUE"""),"Philadelphia, PA")</f>
        <v>Philadelphia, PA</v>
      </c>
      <c r="H563" s="4" t="str">
        <f>IFERROR(__xludf.DUMMYFUNCTION("""COMPUTED_VALUE"""),"https://www.linkedin.com/posts/viviennedobbs_sr-analyst-internet-product-strategy-and-activity-7232435954966278146-vxI_?utm_source=share&amp;utm_medium=member_desktop")</f>
        <v>https://www.linkedin.com/posts/viviennedobbs_sr-analyst-internet-product-strategy-and-activity-7232435954966278146-vxI_?utm_source=share&amp;utm_medium=member_desktop</v>
      </c>
    </row>
    <row r="564">
      <c r="A564" s="2">
        <f>IFERROR(__xludf.DUMMYFUNCTION("""COMPUTED_VALUE"""),45529.0)</f>
        <v>45529</v>
      </c>
      <c r="B564" s="1" t="str">
        <f>IFERROR(__xludf.DUMMYFUNCTION("""COMPUTED_VALUE"""),"Fanatics")</f>
        <v>Fanatics</v>
      </c>
      <c r="C564" s="1" t="str">
        <f>IFERROR(__xludf.DUMMYFUNCTION("""COMPUTED_VALUE"""),"Sourcing Analytics Manager")</f>
        <v>Sourcing Analytics Manager</v>
      </c>
      <c r="D564" s="1" t="str">
        <f>IFERROR(__xludf.DUMMYFUNCTION("""COMPUTED_VALUE"""),"Hybrid")</f>
        <v>Hybrid</v>
      </c>
      <c r="E564" s="3" t="str">
        <f>IFERROR(__xludf.DUMMYFUNCTION("""COMPUTED_VALUE"""),"N/A")</f>
        <v>N/A</v>
      </c>
      <c r="F564" s="1" t="str">
        <f>IFERROR(__xludf.DUMMYFUNCTION("""COMPUTED_VALUE"""),"6 - 9")</f>
        <v>6 - 9</v>
      </c>
      <c r="G564" s="1" t="str">
        <f>IFERROR(__xludf.DUMMYFUNCTION("""COMPUTED_VALUE"""),"Tampa, FL")</f>
        <v>Tampa, FL</v>
      </c>
      <c r="H564" s="4" t="str">
        <f>IFERROR(__xludf.DUMMYFUNCTION("""COMPUTED_VALUE"""),"https://www.linkedin.com/posts/fanaticsbrandsteam_sourcing-analytics-manager-activity-7232894504775610368-PM7j?utm_source=share&amp;utm_medium=member_desktop")</f>
        <v>https://www.linkedin.com/posts/fanaticsbrandsteam_sourcing-analytics-manager-activity-7232894504775610368-PM7j?utm_source=share&amp;utm_medium=member_desktop</v>
      </c>
    </row>
    <row r="565">
      <c r="A565" s="2">
        <f>IFERROR(__xludf.DUMMYFUNCTION("""COMPUTED_VALUE"""),45529.0)</f>
        <v>45529</v>
      </c>
      <c r="B565" s="1" t="str">
        <f>IFERROR(__xludf.DUMMYFUNCTION("""COMPUTED_VALUE"""),"Banner Health")</f>
        <v>Banner Health</v>
      </c>
      <c r="C565" s="1" t="str">
        <f>IFERROR(__xludf.DUMMYFUNCTION("""COMPUTED_VALUE"""),"Senior Data Scientist")</f>
        <v>Senior Data Scientist</v>
      </c>
      <c r="D565" s="1" t="str">
        <f>IFERROR(__xludf.DUMMYFUNCTION("""COMPUTED_VALUE"""),"Remote")</f>
        <v>Remote</v>
      </c>
      <c r="E565" s="3" t="str">
        <f>IFERROR(__xludf.DUMMYFUNCTION("""COMPUTED_VALUE"""),"N/A")</f>
        <v>N/A</v>
      </c>
      <c r="F565" s="1" t="str">
        <f>IFERROR(__xludf.DUMMYFUNCTION("""COMPUTED_VALUE"""),"6 - 9")</f>
        <v>6 - 9</v>
      </c>
      <c r="G565" s="1" t="str">
        <f>IFERROR(__xludf.DUMMYFUNCTION("""COMPUTED_VALUE"""),"Certain Locations")</f>
        <v>Certain Locations</v>
      </c>
      <c r="H565" s="4" t="str">
        <f>IFERROR(__xludf.DUMMYFUNCTION("""COMPUTED_VALUE"""),"https://www.linkedin.com/posts/mattmhall_senior-data-scientist-in-us-activity-7232399156890222592-SVQC?utm_source=share&amp;utm_medium=member_desktop")</f>
        <v>https://www.linkedin.com/posts/mattmhall_senior-data-scientist-in-us-activity-7232399156890222592-SVQC?utm_source=share&amp;utm_medium=member_desktop</v>
      </c>
    </row>
    <row r="566">
      <c r="A566" s="2">
        <f>IFERROR(__xludf.DUMMYFUNCTION("""COMPUTED_VALUE"""),45529.0)</f>
        <v>45529</v>
      </c>
      <c r="B566" s="1" t="str">
        <f>IFERROR(__xludf.DUMMYFUNCTION("""COMPUTED_VALUE"""),"Citi")</f>
        <v>Citi</v>
      </c>
      <c r="C566" s="1" t="str">
        <f>IFERROR(__xludf.DUMMYFUNCTION("""COMPUTED_VALUE"""),"Specialized Analytics Sr Anlst")</f>
        <v>Specialized Analytics Sr Anlst</v>
      </c>
      <c r="D566" s="1" t="str">
        <f>IFERROR(__xludf.DUMMYFUNCTION("""COMPUTED_VALUE"""),"On-Site")</f>
        <v>On-Site</v>
      </c>
      <c r="E566" s="3" t="str">
        <f>IFERROR(__xludf.DUMMYFUNCTION("""COMPUTED_VALUE"""),"$121k - $182k")</f>
        <v>$121k - $182k</v>
      </c>
      <c r="F566" s="1" t="str">
        <f>IFERROR(__xludf.DUMMYFUNCTION("""COMPUTED_VALUE"""),"3 - 5")</f>
        <v>3 - 5</v>
      </c>
      <c r="G566" s="1" t="str">
        <f>IFERROR(__xludf.DUMMYFUNCTION("""COMPUTED_VALUE"""),"New York, NY")</f>
        <v>New York, NY</v>
      </c>
      <c r="H566" s="4" t="str">
        <f>IFERROR(__xludf.DUMMYFUNCTION("""COMPUTED_VALUE"""),"https://www.linkedin.com/posts/araceliperezquezada_datascientist-genai-innovation-activity-7232736031114956800-pzzz?utm_source=share&amp;utm_medium=member_desktop")</f>
        <v>https://www.linkedin.com/posts/araceliperezquezada_datascientist-genai-innovation-activity-7232736031114956800-pzzz?utm_source=share&amp;utm_medium=member_desktop</v>
      </c>
    </row>
    <row r="567">
      <c r="A567" s="2">
        <f>IFERROR(__xludf.DUMMYFUNCTION("""COMPUTED_VALUE"""),45529.0)</f>
        <v>45529</v>
      </c>
      <c r="B567" s="1" t="str">
        <f>IFERROR(__xludf.DUMMYFUNCTION("""COMPUTED_VALUE"""),"Google")</f>
        <v>Google</v>
      </c>
      <c r="C567" s="1" t="str">
        <f>IFERROR(__xludf.DUMMYFUNCTION("""COMPUTED_VALUE"""),"Senior Staff Data Scientist, Research")</f>
        <v>Senior Staff Data Scientist, Research</v>
      </c>
      <c r="D567" s="1" t="str">
        <f>IFERROR(__xludf.DUMMYFUNCTION("""COMPUTED_VALUE"""),"Hybrid")</f>
        <v>Hybrid</v>
      </c>
      <c r="E567" s="3" t="str">
        <f>IFERROR(__xludf.DUMMYFUNCTION("""COMPUTED_VALUE"""),"$221k - $314k")</f>
        <v>$221k - $314k</v>
      </c>
      <c r="F567" s="1" t="str">
        <f>IFERROR(__xludf.DUMMYFUNCTION("""COMPUTED_VALUE"""),"10 +")</f>
        <v>10 +</v>
      </c>
      <c r="G567" s="1" t="str">
        <f>IFERROR(__xludf.DUMMYFUNCTION("""COMPUTED_VALUE"""),"Certain Locations")</f>
        <v>Certain Locations</v>
      </c>
      <c r="H567" s="4" t="str">
        <f>IFERROR(__xludf.DUMMYFUNCTION("""COMPUTED_VALUE"""),"https://www.linkedin.com/posts/cohenlisa_senior-staff-data-scientist-research-activity-7233011571776479232-xSrQ?utm_source=share&amp;utm_medium=member_desktop")</f>
        <v>https://www.linkedin.com/posts/cohenlisa_senior-staff-data-scientist-research-activity-7233011571776479232-xSrQ?utm_source=share&amp;utm_medium=member_desktop</v>
      </c>
    </row>
    <row r="568">
      <c r="A568" s="2">
        <f>IFERROR(__xludf.DUMMYFUNCTION("""COMPUTED_VALUE"""),45528.0)</f>
        <v>45528</v>
      </c>
      <c r="B568" s="1" t="str">
        <f>IFERROR(__xludf.DUMMYFUNCTION("""COMPUTED_VALUE"""),"Vistage Worldwide, Inc.")</f>
        <v>Vistage Worldwide, Inc.</v>
      </c>
      <c r="C568" s="1" t="str">
        <f>IFERROR(__xludf.DUMMYFUNCTION("""COMPUTED_VALUE"""),"Analyst, Strategic Finance")</f>
        <v>Analyst, Strategic Finance</v>
      </c>
      <c r="D568" s="1" t="str">
        <f>IFERROR(__xludf.DUMMYFUNCTION("""COMPUTED_VALUE"""),"Hybrid")</f>
        <v>Hybrid</v>
      </c>
      <c r="E568" s="3" t="str">
        <f>IFERROR(__xludf.DUMMYFUNCTION("""COMPUTED_VALUE"""),"$90k - $100k")</f>
        <v>$90k - $100k</v>
      </c>
      <c r="F568" s="1" t="str">
        <f>IFERROR(__xludf.DUMMYFUNCTION("""COMPUTED_VALUE"""),"0 - 2")</f>
        <v>0 - 2</v>
      </c>
      <c r="G568" s="1" t="str">
        <f>IFERROR(__xludf.DUMMYFUNCTION("""COMPUTED_VALUE"""),"San Diego, CA")</f>
        <v>San Diego, CA</v>
      </c>
      <c r="H568" s="4" t="str">
        <f>IFERROR(__xludf.DUMMYFUNCTION("""COMPUTED_VALUE"""),"https://www.linkedin.com/posts/brendan-carr-jr_hiring-jobopportunity-financeanalyst-activity-7232976592115748864-UwL8?utm_source=share&amp;utm_medium=member_desktop")</f>
        <v>https://www.linkedin.com/posts/brendan-carr-jr_hiring-jobopportunity-financeanalyst-activity-7232976592115748864-UwL8?utm_source=share&amp;utm_medium=member_desktop</v>
      </c>
    </row>
    <row r="569">
      <c r="A569" s="2">
        <f>IFERROR(__xludf.DUMMYFUNCTION("""COMPUTED_VALUE"""),45528.0)</f>
        <v>45528</v>
      </c>
      <c r="B569" s="1" t="str">
        <f>IFERROR(__xludf.DUMMYFUNCTION("""COMPUTED_VALUE"""),"Federal Home Loan Bank of Atlanta")</f>
        <v>Federal Home Loan Bank of Atlanta</v>
      </c>
      <c r="C569" s="1" t="str">
        <f>IFERROR(__xludf.DUMMYFUNCTION("""COMPUTED_VALUE"""),"Quantitative and Statistical Analyst II")</f>
        <v>Quantitative and Statistical Analyst II</v>
      </c>
      <c r="D569" s="1" t="str">
        <f>IFERROR(__xludf.DUMMYFUNCTION("""COMPUTED_VALUE"""),"Hybrid")</f>
        <v>Hybrid</v>
      </c>
      <c r="E569" s="3" t="str">
        <f>IFERROR(__xludf.DUMMYFUNCTION("""COMPUTED_VALUE"""),"N/A")</f>
        <v>N/A</v>
      </c>
      <c r="F569" s="1" t="str">
        <f>IFERROR(__xludf.DUMMYFUNCTION("""COMPUTED_VALUE"""),"3 - 5")</f>
        <v>3 - 5</v>
      </c>
      <c r="G569" s="1" t="str">
        <f>IFERROR(__xludf.DUMMYFUNCTION("""COMPUTED_VALUE"""),"Atlanta, GA")</f>
        <v>Atlanta, GA</v>
      </c>
      <c r="H569" s="4" t="str">
        <f>IFERROR(__xludf.DUMMYFUNCTION("""COMPUTED_VALUE"""),"https://www.linkedin.com/posts/kaushalya19_hiring-activity-7232783989508304896-jF23?utm_source=share&amp;utm_medium=member_desktop")</f>
        <v>https://www.linkedin.com/posts/kaushalya19_hiring-activity-7232783989508304896-jF23?utm_source=share&amp;utm_medium=member_desktop</v>
      </c>
    </row>
    <row r="570">
      <c r="A570" s="2">
        <f>IFERROR(__xludf.DUMMYFUNCTION("""COMPUTED_VALUE"""),45528.0)</f>
        <v>45528</v>
      </c>
      <c r="B570" s="1" t="str">
        <f>IFERROR(__xludf.DUMMYFUNCTION("""COMPUTED_VALUE"""),"Golden Hippo")</f>
        <v>Golden Hippo</v>
      </c>
      <c r="C570" s="1" t="str">
        <f>IFERROR(__xludf.DUMMYFUNCTION("""COMPUTED_VALUE"""),"Financial Planning &amp; Analysis Analyst")</f>
        <v>Financial Planning &amp; Analysis Analyst</v>
      </c>
      <c r="D570" s="1" t="str">
        <f>IFERROR(__xludf.DUMMYFUNCTION("""COMPUTED_VALUE"""),"Hybrid")</f>
        <v>Hybrid</v>
      </c>
      <c r="E570" s="3" t="str">
        <f>IFERROR(__xludf.DUMMYFUNCTION("""COMPUTED_VALUE"""),"$60k - $85k")</f>
        <v>$60k - $85k</v>
      </c>
      <c r="F570" s="1" t="str">
        <f>IFERROR(__xludf.DUMMYFUNCTION("""COMPUTED_VALUE"""),"3 - 5")</f>
        <v>3 - 5</v>
      </c>
      <c r="G570" s="1" t="str">
        <f>IFERROR(__xludf.DUMMYFUNCTION("""COMPUTED_VALUE"""),"Los Angeles, CA")</f>
        <v>Los Angeles, CA</v>
      </c>
      <c r="H570" s="4" t="str">
        <f>IFERROR(__xludf.DUMMYFUNCTION("""COMPUTED_VALUE"""),"https://www.linkedin.com/posts/claire-allen-b7096054_hiring-financejobs-careergrowth-activity-7232871979391795200-KOaa?utm_source=share&amp;utm_medium=member_desktop")</f>
        <v>https://www.linkedin.com/posts/claire-allen-b7096054_hiring-financejobs-careergrowth-activity-7232871979391795200-KOaa?utm_source=share&amp;utm_medium=member_desktop</v>
      </c>
    </row>
    <row r="571">
      <c r="A571" s="2">
        <f>IFERROR(__xludf.DUMMYFUNCTION("""COMPUTED_VALUE"""),45528.0)</f>
        <v>45528</v>
      </c>
      <c r="B571" s="1" t="str">
        <f>IFERROR(__xludf.DUMMYFUNCTION("""COMPUTED_VALUE"""),"Safal Partners")</f>
        <v>Safal Partners</v>
      </c>
      <c r="C571" s="1" t="str">
        <f>IFERROR(__xludf.DUMMYFUNCTION("""COMPUTED_VALUE"""),"Senior Data Analyst, Education")</f>
        <v>Senior Data Analyst, Education</v>
      </c>
      <c r="D571" s="1" t="str">
        <f>IFERROR(__xludf.DUMMYFUNCTION("""COMPUTED_VALUE"""),"Remote")</f>
        <v>Remote</v>
      </c>
      <c r="E571" s="3" t="str">
        <f>IFERROR(__xludf.DUMMYFUNCTION("""COMPUTED_VALUE"""),"N/A")</f>
        <v>N/A</v>
      </c>
      <c r="F571" s="1" t="str">
        <f>IFERROR(__xludf.DUMMYFUNCTION("""COMPUTED_VALUE"""),"6 - 9")</f>
        <v>6 - 9</v>
      </c>
      <c r="G571" s="1" t="str">
        <f>IFERROR(__xludf.DUMMYFUNCTION("""COMPUTED_VALUE"""),"USA")</f>
        <v>USA</v>
      </c>
      <c r="H571" s="4" t="str">
        <f>IFERROR(__xludf.DUMMYFUNCTION("""COMPUTED_VALUE"""),"https://www.linkedin.com/posts/drcrystalrentz_educationjobs-remotework-dataanalytics-activity-7232885263411134464-bN-J?utm_source=share&amp;utm_medium=member_desktop")</f>
        <v>https://www.linkedin.com/posts/drcrystalrentz_educationjobs-remotework-dataanalytics-activity-7232885263411134464-bN-J?utm_source=share&amp;utm_medium=member_desktop</v>
      </c>
    </row>
    <row r="572">
      <c r="A572" s="2">
        <f>IFERROR(__xludf.DUMMYFUNCTION("""COMPUTED_VALUE"""),45528.0)</f>
        <v>45528</v>
      </c>
      <c r="B572" s="1" t="str">
        <f>IFERROR(__xludf.DUMMYFUNCTION("""COMPUTED_VALUE"""),"Whop")</f>
        <v>Whop</v>
      </c>
      <c r="C572" s="1" t="str">
        <f>IFERROR(__xludf.DUMMYFUNCTION("""COMPUTED_VALUE"""),"Product Data Scientist")</f>
        <v>Product Data Scientist</v>
      </c>
      <c r="D572" s="1" t="str">
        <f>IFERROR(__xludf.DUMMYFUNCTION("""COMPUTED_VALUE"""),"On-Site")</f>
        <v>On-Site</v>
      </c>
      <c r="E572" s="3" t="str">
        <f>IFERROR(__xludf.DUMMYFUNCTION("""COMPUTED_VALUE"""),"$150k - $200k")</f>
        <v>$150k - $200k</v>
      </c>
      <c r="F572" s="1" t="str">
        <f>IFERROR(__xludf.DUMMYFUNCTION("""COMPUTED_VALUE"""),"6 - 9")</f>
        <v>6 - 9</v>
      </c>
      <c r="G572" s="1" t="str">
        <f>IFERROR(__xludf.DUMMYFUNCTION("""COMPUTED_VALUE"""),"Brooklyn, NY")</f>
        <v>Brooklyn, NY</v>
      </c>
      <c r="H572" s="4" t="str">
        <f>IFERROR(__xludf.DUMMYFUNCTION("""COMPUTED_VALUE"""),"https://www.linkedin.com/posts/korinnepowell_whopcareers-hiring-datascience-activity-7233070819571044355-yvEj?utm_source=share&amp;utm_medium=member_desktop")</f>
        <v>https://www.linkedin.com/posts/korinnepowell_whopcareers-hiring-datascience-activity-7233070819571044355-yvEj?utm_source=share&amp;utm_medium=member_desktop</v>
      </c>
    </row>
    <row r="573">
      <c r="A573" s="2">
        <f>IFERROR(__xludf.DUMMYFUNCTION("""COMPUTED_VALUE"""),45528.0)</f>
        <v>45528</v>
      </c>
      <c r="B573" s="1" t="str">
        <f>IFERROR(__xludf.DUMMYFUNCTION("""COMPUTED_VALUE"""),"Intuit")</f>
        <v>Intuit</v>
      </c>
      <c r="C573" s="1" t="str">
        <f>IFERROR(__xludf.DUMMYFUNCTION("""COMPUTED_VALUE"""),"Staff Business Data Analyst")</f>
        <v>Staff Business Data Analyst</v>
      </c>
      <c r="D573" s="1" t="str">
        <f>IFERROR(__xludf.DUMMYFUNCTION("""COMPUTED_VALUE"""),"Hybrid")</f>
        <v>Hybrid</v>
      </c>
      <c r="E573" s="3" t="str">
        <f>IFERROR(__xludf.DUMMYFUNCTION("""COMPUTED_VALUE"""),"$150k - $206k")</f>
        <v>$150k - $206k</v>
      </c>
      <c r="F573" s="1" t="str">
        <f>IFERROR(__xludf.DUMMYFUNCTION("""COMPUTED_VALUE"""),"6 - 9")</f>
        <v>6 - 9</v>
      </c>
      <c r="G573" s="1" t="str">
        <f>IFERROR(__xludf.DUMMYFUNCTION("""COMPUTED_VALUE"""),"Mountain View, CA/San Diego, CA")</f>
        <v>Mountain View, CA/San Diego, CA</v>
      </c>
      <c r="H573" s="4" t="str">
        <f>IFERROR(__xludf.DUMMYFUNCTION("""COMPUTED_VALUE"""),"https://www.linkedin.com/posts/awkasmer_staff-business-data-analyst-activity-7232886504606351360-U3Zn?utm_source=share&amp;utm_medium=member_desktop")</f>
        <v>https://www.linkedin.com/posts/awkasmer_staff-business-data-analyst-activity-7232886504606351360-U3Zn?utm_source=share&amp;utm_medium=member_desktop</v>
      </c>
    </row>
    <row r="574">
      <c r="A574" s="2">
        <f>IFERROR(__xludf.DUMMYFUNCTION("""COMPUTED_VALUE"""),45528.0)</f>
        <v>45528</v>
      </c>
      <c r="B574" s="1" t="str">
        <f>IFERROR(__xludf.DUMMYFUNCTION("""COMPUTED_VALUE"""),"Duolingo")</f>
        <v>Duolingo</v>
      </c>
      <c r="C574" s="1" t="str">
        <f>IFERROR(__xludf.DUMMYFUNCTION("""COMPUTED_VALUE"""),"Senior Data Scientist")</f>
        <v>Senior Data Scientist</v>
      </c>
      <c r="D574" s="1" t="str">
        <f>IFERROR(__xludf.DUMMYFUNCTION("""COMPUTED_VALUE"""),"On-Site")</f>
        <v>On-Site</v>
      </c>
      <c r="E574" s="3" t="str">
        <f>IFERROR(__xludf.DUMMYFUNCTION("""COMPUTED_VALUE"""),"N/A")</f>
        <v>N/A</v>
      </c>
      <c r="F574" s="1" t="str">
        <f>IFERROR(__xludf.DUMMYFUNCTION("""COMPUTED_VALUE"""),"3 - 5")</f>
        <v>3 - 5</v>
      </c>
      <c r="G574" s="1" t="str">
        <f>IFERROR(__xludf.DUMMYFUNCTION("""COMPUTED_VALUE"""),"New York, NY")</f>
        <v>New York, NY</v>
      </c>
      <c r="H574" s="4" t="str">
        <f>IFERROR(__xludf.DUMMYFUNCTION("""COMPUTED_VALUE"""),"https://www.linkedin.com/posts/elizabeth-hercher-69811452_duolingo-hiring-activity-7232750482706878464-G-Ms?utm_source=share&amp;utm_medium=member_desktop")</f>
        <v>https://www.linkedin.com/posts/elizabeth-hercher-69811452_duolingo-hiring-activity-7232750482706878464-G-Ms?utm_source=share&amp;utm_medium=member_desktop</v>
      </c>
    </row>
    <row r="575">
      <c r="A575" s="2">
        <f>IFERROR(__xludf.DUMMYFUNCTION("""COMPUTED_VALUE"""),45528.0)</f>
        <v>45528</v>
      </c>
      <c r="B575" s="1" t="str">
        <f>IFERROR(__xludf.DUMMYFUNCTION("""COMPUTED_VALUE"""),"National Grid")</f>
        <v>National Grid</v>
      </c>
      <c r="C575" s="1" t="str">
        <f>IFERROR(__xludf.DUMMYFUNCTION("""COMPUTED_VALUE"""),"Analyst, Gas Field Operations")</f>
        <v>Analyst, Gas Field Operations</v>
      </c>
      <c r="D575" s="1" t="str">
        <f>IFERROR(__xludf.DUMMYFUNCTION("""COMPUTED_VALUE"""),"On-Site")</f>
        <v>On-Site</v>
      </c>
      <c r="E575" s="3" t="str">
        <f>IFERROR(__xludf.DUMMYFUNCTION("""COMPUTED_VALUE"""),"$87k - $102k")</f>
        <v>$87k - $102k</v>
      </c>
      <c r="F575" s="1" t="str">
        <f>IFERROR(__xludf.DUMMYFUNCTION("""COMPUTED_VALUE"""),"0 - 2")</f>
        <v>0 - 2</v>
      </c>
      <c r="G575" s="1" t="str">
        <f>IFERROR(__xludf.DUMMYFUNCTION("""COMPUTED_VALUE"""),"New York, NY")</f>
        <v>New York, NY</v>
      </c>
      <c r="H575" s="4" t="str">
        <f>IFERROR(__xludf.DUMMYFUNCTION("""COMPUTED_VALUE"""),"https://www.linkedin.com/posts/tracyliou_analyst-gas-field-operations-activity-7232589403116703746-SkMq?utm_source=share&amp;utm_medium=member_desktop")</f>
        <v>https://www.linkedin.com/posts/tracyliou_analyst-gas-field-operations-activity-7232589403116703746-SkMq?utm_source=share&amp;utm_medium=member_desktop</v>
      </c>
    </row>
    <row r="576">
      <c r="A576" s="2">
        <f>IFERROR(__xludf.DUMMYFUNCTION("""COMPUTED_VALUE"""),45528.0)</f>
        <v>45528</v>
      </c>
      <c r="B576" s="1" t="str">
        <f>IFERROR(__xludf.DUMMYFUNCTION("""COMPUTED_VALUE"""),"~Pourri")</f>
        <v>~Pourri</v>
      </c>
      <c r="C576" s="1" t="str">
        <f>IFERROR(__xludf.DUMMYFUNCTION("""COMPUTED_VALUE"""),"Strategic Sales Analyst")</f>
        <v>Strategic Sales Analyst</v>
      </c>
      <c r="D576" s="1" t="str">
        <f>IFERROR(__xludf.DUMMYFUNCTION("""COMPUTED_VALUE"""),"Hybrid")</f>
        <v>Hybrid</v>
      </c>
      <c r="E576" s="3" t="str">
        <f>IFERROR(__xludf.DUMMYFUNCTION("""COMPUTED_VALUE"""),"N/A")</f>
        <v>N/A</v>
      </c>
      <c r="F576" s="1" t="str">
        <f>IFERROR(__xludf.DUMMYFUNCTION("""COMPUTED_VALUE"""),"3 - 5")</f>
        <v>3 - 5</v>
      </c>
      <c r="G576" s="1" t="str">
        <f>IFERROR(__xludf.DUMMYFUNCTION("""COMPUTED_VALUE"""),"Addison, TX")</f>
        <v>Addison, TX</v>
      </c>
      <c r="H576" s="4" t="str">
        <f>IFERROR(__xludf.DUMMYFUNCTION("""COMPUTED_VALUE"""),"https://www.linkedin.com/posts/janette-holmes-8ab74ba_strategic-sales-analyst-activity-7232878592353820674-G01E?utm_source=share&amp;utm_medium=member_desktop")</f>
        <v>https://www.linkedin.com/posts/janette-holmes-8ab74ba_strategic-sales-analyst-activity-7232878592353820674-G01E?utm_source=share&amp;utm_medium=member_desktop</v>
      </c>
    </row>
    <row r="577">
      <c r="A577" s="2">
        <f>IFERROR(__xludf.DUMMYFUNCTION("""COMPUTED_VALUE"""),45528.0)</f>
        <v>45528</v>
      </c>
      <c r="B577" s="1" t="str">
        <f>IFERROR(__xludf.DUMMYFUNCTION("""COMPUTED_VALUE"""),"Amazon")</f>
        <v>Amazon</v>
      </c>
      <c r="C577" s="1" t="str">
        <f>IFERROR(__xludf.DUMMYFUNCTION("""COMPUTED_VALUE"""),"Senior Data Analyst, Tax")</f>
        <v>Senior Data Analyst, Tax</v>
      </c>
      <c r="D577" s="1" t="str">
        <f>IFERROR(__xludf.DUMMYFUNCTION("""COMPUTED_VALUE"""),"Hybrid")</f>
        <v>Hybrid</v>
      </c>
      <c r="E577" s="3" t="str">
        <f>IFERROR(__xludf.DUMMYFUNCTION("""COMPUTED_VALUE"""),"$106k - $185k")</f>
        <v>$106k - $185k</v>
      </c>
      <c r="F577" s="1" t="str">
        <f>IFERROR(__xludf.DUMMYFUNCTION("""COMPUTED_VALUE"""),"3 - 5")</f>
        <v>3 - 5</v>
      </c>
      <c r="G577" s="1" t="str">
        <f>IFERROR(__xludf.DUMMYFUNCTION("""COMPUTED_VALUE"""),"Seattle, WA/Arlington, TX")</f>
        <v>Seattle, WA/Arlington, TX</v>
      </c>
      <c r="H577" s="4" t="str">
        <f>IFERROR(__xludf.DUMMYFUNCTION("""COMPUTED_VALUE"""),"https://www.linkedin.com/posts/kayanlau_senior-data-analyst-tax-activity-7232811921375121408-uciz?utm_source=share&amp;utm_medium=member_desktop")</f>
        <v>https://www.linkedin.com/posts/kayanlau_senior-data-analyst-tax-activity-7232811921375121408-uciz?utm_source=share&amp;utm_medium=member_desktop</v>
      </c>
    </row>
    <row r="578">
      <c r="A578" s="2">
        <f>IFERROR(__xludf.DUMMYFUNCTION("""COMPUTED_VALUE"""),45528.0)</f>
        <v>45528</v>
      </c>
      <c r="B578" s="1" t="str">
        <f>IFERROR(__xludf.DUMMYFUNCTION("""COMPUTED_VALUE"""),"American Water")</f>
        <v>American Water</v>
      </c>
      <c r="C578" s="1" t="str">
        <f>IFERROR(__xludf.DUMMYFUNCTION("""COMPUTED_VALUE"""),"Supply Chain Business Intelligence Analyst")</f>
        <v>Supply Chain Business Intelligence Analyst</v>
      </c>
      <c r="D578" s="1" t="str">
        <f>IFERROR(__xludf.DUMMYFUNCTION("""COMPUTED_VALUE"""),"Hybrid")</f>
        <v>Hybrid</v>
      </c>
      <c r="E578" s="3" t="str">
        <f>IFERROR(__xludf.DUMMYFUNCTION("""COMPUTED_VALUE"""),"N/A")</f>
        <v>N/A</v>
      </c>
      <c r="F578" s="1" t="str">
        <f>IFERROR(__xludf.DUMMYFUNCTION("""COMPUTED_VALUE"""),"3 - 5")</f>
        <v>3 - 5</v>
      </c>
      <c r="G578" s="1" t="str">
        <f>IFERROR(__xludf.DUMMYFUNCTION("""COMPUTED_VALUE"""),"Camden, NJ")</f>
        <v>Camden, NJ</v>
      </c>
      <c r="H578" s="4" t="str">
        <f>IFERROR(__xludf.DUMMYFUNCTION("""COMPUTED_VALUE"""),"https://www.linkedin.com/posts/lawrence-callahan-51545bb0_check-out-this-job-at-american-water-supply-activity-7232840979408384000-VB01?utm_source=share&amp;utm_medium=member_desktop")</f>
        <v>https://www.linkedin.com/posts/lawrence-callahan-51545bb0_check-out-this-job-at-american-water-supply-activity-7232840979408384000-VB01?utm_source=share&amp;utm_medium=member_desktop</v>
      </c>
    </row>
    <row r="579">
      <c r="A579" s="2">
        <f>IFERROR(__xludf.DUMMYFUNCTION("""COMPUTED_VALUE"""),45528.0)</f>
        <v>45528</v>
      </c>
      <c r="B579" s="1" t="str">
        <f>IFERROR(__xludf.DUMMYFUNCTION("""COMPUTED_VALUE"""),"Square")</f>
        <v>Square</v>
      </c>
      <c r="C579" s="1" t="str">
        <f>IFERROR(__xludf.DUMMYFUNCTION("""COMPUTED_VALUE"""),"Staff Data Analyst, Square Compliance")</f>
        <v>Staff Data Analyst, Square Compliance</v>
      </c>
      <c r="D579" s="1" t="str">
        <f>IFERROR(__xludf.DUMMYFUNCTION("""COMPUTED_VALUE"""),"Remote")</f>
        <v>Remote</v>
      </c>
      <c r="E579" s="3" t="str">
        <f>IFERROR(__xludf.DUMMYFUNCTION("""COMPUTED_VALUE"""),"$136k - $245k")</f>
        <v>$136k - $245k</v>
      </c>
      <c r="F579" s="1" t="str">
        <f>IFERROR(__xludf.DUMMYFUNCTION("""COMPUTED_VALUE"""),"6 - 9")</f>
        <v>6 - 9</v>
      </c>
      <c r="G579" s="1" t="str">
        <f>IFERROR(__xludf.DUMMYFUNCTION("""COMPUTED_VALUE"""),"USA")</f>
        <v>USA</v>
      </c>
      <c r="H579" s="4" t="str">
        <f>IFERROR(__xludf.DUMMYFUNCTION("""COMPUTED_VALUE"""),"https://www.linkedin.com/posts/activity-7231444609896214529-RPKl?utm_source=share&amp;utm_medium=member_desktop")</f>
        <v>https://www.linkedin.com/posts/activity-7231444609896214529-RPKl?utm_source=share&amp;utm_medium=member_desktop</v>
      </c>
    </row>
    <row r="580">
      <c r="A580" s="2">
        <f>IFERROR(__xludf.DUMMYFUNCTION("""COMPUTED_VALUE"""),45528.0)</f>
        <v>45528</v>
      </c>
      <c r="B580" s="1" t="str">
        <f>IFERROR(__xludf.DUMMYFUNCTION("""COMPUTED_VALUE"""),"Equitable")</f>
        <v>Equitable</v>
      </c>
      <c r="C580" s="1" t="str">
        <f>IFERROR(__xludf.DUMMYFUNCTION("""COMPUTED_VALUE"""),"Marketing Analytics Manager, Financial Services")</f>
        <v>Marketing Analytics Manager, Financial Services</v>
      </c>
      <c r="D580" s="1" t="str">
        <f>IFERROR(__xludf.DUMMYFUNCTION("""COMPUTED_VALUE"""),"Remote")</f>
        <v>Remote</v>
      </c>
      <c r="E580" s="3" t="str">
        <f>IFERROR(__xludf.DUMMYFUNCTION("""COMPUTED_VALUE"""),"$103k - $130k")</f>
        <v>$103k - $130k</v>
      </c>
      <c r="F580" s="1" t="str">
        <f>IFERROR(__xludf.DUMMYFUNCTION("""COMPUTED_VALUE"""),"10 +")</f>
        <v>10 +</v>
      </c>
      <c r="G580" s="1" t="str">
        <f>IFERROR(__xludf.DUMMYFUNCTION("""COMPUTED_VALUE"""),"USA")</f>
        <v>USA</v>
      </c>
      <c r="H580" s="4" t="str">
        <f>IFERROR(__xludf.DUMMYFUNCTION("""COMPUTED_VALUE"""),"https://www.linkedin.com/posts/kathleengutierrez_marketing-analytics-manager-financial-services-activity-7232437496997900288-6ktd?utm_source=share&amp;utm_medium=member_desktop")</f>
        <v>https://www.linkedin.com/posts/kathleengutierrez_marketing-analytics-manager-financial-services-activity-7232437496997900288-6ktd?utm_source=share&amp;utm_medium=member_desktop</v>
      </c>
    </row>
    <row r="581">
      <c r="A581" s="2">
        <f>IFERROR(__xludf.DUMMYFUNCTION("""COMPUTED_VALUE"""),45528.0)</f>
        <v>45528</v>
      </c>
      <c r="B581" s="1" t="str">
        <f>IFERROR(__xludf.DUMMYFUNCTION("""COMPUTED_VALUE"""),"Alteryx")</f>
        <v>Alteryx</v>
      </c>
      <c r="C581" s="1" t="str">
        <f>IFERROR(__xludf.DUMMYFUNCTION("""COMPUTED_VALUE"""),"Sr. Analytics Consultant")</f>
        <v>Sr. Analytics Consultant</v>
      </c>
      <c r="D581" s="1" t="str">
        <f>IFERROR(__xludf.DUMMYFUNCTION("""COMPUTED_VALUE"""),"Remote")</f>
        <v>Remote</v>
      </c>
      <c r="E581" s="3" t="str">
        <f>IFERROR(__xludf.DUMMYFUNCTION("""COMPUTED_VALUE"""),"$101k - $132k")</f>
        <v>$101k - $132k</v>
      </c>
      <c r="F581" s="1" t="str">
        <f>IFERROR(__xludf.DUMMYFUNCTION("""COMPUTED_VALUE"""),"3 - 5")</f>
        <v>3 - 5</v>
      </c>
      <c r="G581" s="1" t="str">
        <f>IFERROR(__xludf.DUMMYFUNCTION("""COMPUTED_VALUE"""),"USA")</f>
        <v>USA</v>
      </c>
      <c r="H581" s="4" t="str">
        <f>IFERROR(__xludf.DUMMYFUNCTION("""COMPUTED_VALUE"""),"https://www.linkedin.com/posts/abhayjacob_hiring-activity-7232824388260151297-yF9D?utm_source=share&amp;utm_medium=member_desktop")</f>
        <v>https://www.linkedin.com/posts/abhayjacob_hiring-activity-7232824388260151297-yF9D?utm_source=share&amp;utm_medium=member_desktop</v>
      </c>
    </row>
    <row r="582">
      <c r="A582" s="2">
        <f>IFERROR(__xludf.DUMMYFUNCTION("""COMPUTED_VALUE"""),45528.0)</f>
        <v>45528</v>
      </c>
      <c r="B582" s="1" t="str">
        <f>IFERROR(__xludf.DUMMYFUNCTION("""COMPUTED_VALUE"""),"Aledade, Inc.")</f>
        <v>Aledade, Inc.</v>
      </c>
      <c r="C582" s="1" t="str">
        <f>IFERROR(__xludf.DUMMYFUNCTION("""COMPUTED_VALUE"""),"BI Analyst II")</f>
        <v>BI Analyst II</v>
      </c>
      <c r="D582" s="1" t="str">
        <f>IFERROR(__xludf.DUMMYFUNCTION("""COMPUTED_VALUE"""),"Remote")</f>
        <v>Remote</v>
      </c>
      <c r="E582" s="3" t="str">
        <f>IFERROR(__xludf.DUMMYFUNCTION("""COMPUTED_VALUE"""),"N/A")</f>
        <v>N/A</v>
      </c>
      <c r="F582" s="1" t="str">
        <f>IFERROR(__xludf.DUMMYFUNCTION("""COMPUTED_VALUE"""),"3 - 5")</f>
        <v>3 - 5</v>
      </c>
      <c r="G582" s="1" t="str">
        <f>IFERROR(__xludf.DUMMYFUNCTION("""COMPUTED_VALUE"""),"USA")</f>
        <v>USA</v>
      </c>
      <c r="H582" s="4" t="str">
        <f>IFERROR(__xludf.DUMMYFUNCTION("""COMPUTED_VALUE"""),"https://www.linkedin.com/posts/matttturner_hiring-aledade-healthcareinnovation-ugcPost-7232438235686137856-epVz?utm_source=share&amp;utm_medium=member_desktop")</f>
        <v>https://www.linkedin.com/posts/matttturner_hiring-aledade-healthcareinnovation-ugcPost-7232438235686137856-epVz?utm_source=share&amp;utm_medium=member_desktop</v>
      </c>
    </row>
    <row r="583">
      <c r="A583" s="2">
        <f>IFERROR(__xludf.DUMMYFUNCTION("""COMPUTED_VALUE"""),45528.0)</f>
        <v>45528</v>
      </c>
      <c r="B583" s="1" t="str">
        <f>IFERROR(__xludf.DUMMYFUNCTION("""COMPUTED_VALUE"""),"Aledade, Inc.")</f>
        <v>Aledade, Inc.</v>
      </c>
      <c r="C583" s="1" t="str">
        <f>IFERROR(__xludf.DUMMYFUNCTION("""COMPUTED_VALUE"""),"Senior BI Analyst I")</f>
        <v>Senior BI Analyst I</v>
      </c>
      <c r="D583" s="1" t="str">
        <f>IFERROR(__xludf.DUMMYFUNCTION("""COMPUTED_VALUE"""),"Remote")</f>
        <v>Remote</v>
      </c>
      <c r="E583" s="3" t="str">
        <f>IFERROR(__xludf.DUMMYFUNCTION("""COMPUTED_VALUE"""),"N/A")</f>
        <v>N/A</v>
      </c>
      <c r="F583" s="1" t="str">
        <f>IFERROR(__xludf.DUMMYFUNCTION("""COMPUTED_VALUE"""),"3 - 5")</f>
        <v>3 - 5</v>
      </c>
      <c r="G583" s="1" t="str">
        <f>IFERROR(__xludf.DUMMYFUNCTION("""COMPUTED_VALUE"""),"USA")</f>
        <v>USA</v>
      </c>
      <c r="H583" s="4" t="str">
        <f>IFERROR(__xludf.DUMMYFUNCTION("""COMPUTED_VALUE"""),"https://www.linkedin.com/posts/matttturner_hiring-aledade-healthcareinnovation-ugcPost-7232438235686137856-epVz?utm_source=share&amp;utm_medium=member_desktop")</f>
        <v>https://www.linkedin.com/posts/matttturner_hiring-aledade-healthcareinnovation-ugcPost-7232438235686137856-epVz?utm_source=share&amp;utm_medium=member_desktop</v>
      </c>
    </row>
    <row r="584">
      <c r="A584" s="2">
        <f>IFERROR(__xludf.DUMMYFUNCTION("""COMPUTED_VALUE"""),45528.0)</f>
        <v>45528</v>
      </c>
      <c r="B584" s="1" t="str">
        <f>IFERROR(__xludf.DUMMYFUNCTION("""COMPUTED_VALUE"""),"QuinStreet")</f>
        <v>QuinStreet</v>
      </c>
      <c r="C584" s="1" t="str">
        <f>IFERROR(__xludf.DUMMYFUNCTION("""COMPUTED_VALUE"""),"Director of Analytics")</f>
        <v>Director of Analytics</v>
      </c>
      <c r="D584" s="1" t="str">
        <f>IFERROR(__xludf.DUMMYFUNCTION("""COMPUTED_VALUE"""),"Remote")</f>
        <v>Remote</v>
      </c>
      <c r="E584" s="3" t="str">
        <f>IFERROR(__xludf.DUMMYFUNCTION("""COMPUTED_VALUE"""),"$120k - $170k")</f>
        <v>$120k - $170k</v>
      </c>
      <c r="F584" s="1" t="str">
        <f>IFERROR(__xludf.DUMMYFUNCTION("""COMPUTED_VALUE"""),"6 - 9")</f>
        <v>6 - 9</v>
      </c>
      <c r="G584" s="1" t="str">
        <f>IFERROR(__xludf.DUMMYFUNCTION("""COMPUTED_VALUE"""),"USA")</f>
        <v>USA</v>
      </c>
      <c r="H584" s="4" t="str">
        <f>IFERROR(__xludf.DUMMYFUNCTION("""COMPUTED_VALUE"""),"https://www.linkedin.com/posts/linda-hua_director-of-analytics-activity-7232514376044265473-lFvG?utm_source=share&amp;utm_medium=member_desktop")</f>
        <v>https://www.linkedin.com/posts/linda-hua_director-of-analytics-activity-7232514376044265473-lFvG?utm_source=share&amp;utm_medium=member_desktop</v>
      </c>
    </row>
    <row r="585">
      <c r="A585" s="2">
        <f>IFERROR(__xludf.DUMMYFUNCTION("""COMPUTED_VALUE"""),45528.0)</f>
        <v>45528</v>
      </c>
      <c r="B585" s="1" t="str">
        <f>IFERROR(__xludf.DUMMYFUNCTION("""COMPUTED_VALUE"""),"SOL Mental Health")</f>
        <v>SOL Mental Health</v>
      </c>
      <c r="C585" s="1" t="str">
        <f>IFERROR(__xludf.DUMMYFUNCTION("""COMPUTED_VALUE"""),"Financial Analyst")</f>
        <v>Financial Analyst</v>
      </c>
      <c r="D585" s="1" t="str">
        <f>IFERROR(__xludf.DUMMYFUNCTION("""COMPUTED_VALUE"""),"Remote")</f>
        <v>Remote</v>
      </c>
      <c r="E585" s="3" t="str">
        <f>IFERROR(__xludf.DUMMYFUNCTION("""COMPUTED_VALUE"""),"$85k - $105k")</f>
        <v>$85k - $105k</v>
      </c>
      <c r="F585" s="1" t="str">
        <f>IFERROR(__xludf.DUMMYFUNCTION("""COMPUTED_VALUE"""),"0 - 2")</f>
        <v>0 - 2</v>
      </c>
      <c r="G585" s="1" t="str">
        <f>IFERROR(__xludf.DUMMYFUNCTION("""COMPUTED_VALUE"""),"Certain Locations")</f>
        <v>Certain Locations</v>
      </c>
      <c r="H585" s="4" t="str">
        <f>IFERROR(__xludf.DUMMYFUNCTION("""COMPUTED_VALUE"""),"https://www.linkedin.com/posts/mike-todd-a9176a112_colleagues-and-friends-were-hiring-activity-7232594112363835392-OMHm?utm_source=share&amp;utm_medium=member_desktop")</f>
        <v>https://www.linkedin.com/posts/mike-todd-a9176a112_colleagues-and-friends-were-hiring-activity-7232594112363835392-OMHm?utm_source=share&amp;utm_medium=member_desktop</v>
      </c>
    </row>
    <row r="586">
      <c r="A586" s="2">
        <f>IFERROR(__xludf.DUMMYFUNCTION("""COMPUTED_VALUE"""),45528.0)</f>
        <v>45528</v>
      </c>
      <c r="B586" s="1" t="str">
        <f>IFERROR(__xludf.DUMMYFUNCTION("""COMPUTED_VALUE"""),"Greenway Health")</f>
        <v>Greenway Health</v>
      </c>
      <c r="C586" s="1" t="str">
        <f>IFERROR(__xludf.DUMMYFUNCTION("""COMPUTED_VALUE"""),"Data Engineer")</f>
        <v>Data Engineer</v>
      </c>
      <c r="D586" s="1" t="str">
        <f>IFERROR(__xludf.DUMMYFUNCTION("""COMPUTED_VALUE"""),"Remote")</f>
        <v>Remote</v>
      </c>
      <c r="E586" s="3" t="str">
        <f>IFERROR(__xludf.DUMMYFUNCTION("""COMPUTED_VALUE"""),"N/A")</f>
        <v>N/A</v>
      </c>
      <c r="F586" s="1" t="str">
        <f>IFERROR(__xludf.DUMMYFUNCTION("""COMPUTED_VALUE"""),"3 - 5")</f>
        <v>3 - 5</v>
      </c>
      <c r="G586" s="1" t="str">
        <f>IFERROR(__xludf.DUMMYFUNCTION("""COMPUTED_VALUE"""),"USA")</f>
        <v>USA</v>
      </c>
      <c r="H586" s="4" t="str">
        <f>IFERROR(__xludf.DUMMYFUNCTION("""COMPUTED_VALUE"""),"https://www.linkedin.com/posts/christina-kelly-589a25b0_hiring-remote-activity-7232812035284123649-p86M?utm_source=share&amp;utm_medium=member_desktop")</f>
        <v>https://www.linkedin.com/posts/christina-kelly-589a25b0_hiring-remote-activity-7232812035284123649-p86M?utm_source=share&amp;utm_medium=member_desktop</v>
      </c>
    </row>
    <row r="587">
      <c r="A587" s="2">
        <f>IFERROR(__xludf.DUMMYFUNCTION("""COMPUTED_VALUE"""),45528.0)</f>
        <v>45528</v>
      </c>
      <c r="B587" s="1" t="str">
        <f>IFERROR(__xludf.DUMMYFUNCTION("""COMPUTED_VALUE"""),"Scale Marketing")</f>
        <v>Scale Marketing</v>
      </c>
      <c r="C587" s="1" t="str">
        <f>IFERROR(__xludf.DUMMYFUNCTION("""COMPUTED_VALUE"""),"Data Scientist")</f>
        <v>Data Scientist</v>
      </c>
      <c r="D587" s="1" t="str">
        <f>IFERROR(__xludf.DUMMYFUNCTION("""COMPUTED_VALUE"""),"Remote")</f>
        <v>Remote</v>
      </c>
      <c r="E587" s="3" t="str">
        <f>IFERROR(__xludf.DUMMYFUNCTION("""COMPUTED_VALUE"""),"$150k - $195k")</f>
        <v>$150k - $195k</v>
      </c>
      <c r="F587" s="1" t="str">
        <f>IFERROR(__xludf.DUMMYFUNCTION("""COMPUTED_VALUE"""),"10 +")</f>
        <v>10 +</v>
      </c>
      <c r="G587" s="1" t="str">
        <f>IFERROR(__xludf.DUMMYFUNCTION("""COMPUTED_VALUE"""),"Certain Locations")</f>
        <v>Certain Locations</v>
      </c>
      <c r="H587" s="4" t="str">
        <f>IFERROR(__xludf.DUMMYFUNCTION("""COMPUTED_VALUE"""),"https://www.linkedin.com/posts/laurie-koehler-73055970_datascience-analytics-marketing-activity-7232785082535534592-REVT?utm_source=share&amp;utm_medium=member_desktop")</f>
        <v>https://www.linkedin.com/posts/laurie-koehler-73055970_datascience-analytics-marketing-activity-7232785082535534592-REVT?utm_source=share&amp;utm_medium=member_desktop</v>
      </c>
    </row>
    <row r="588">
      <c r="A588" s="2">
        <f>IFERROR(__xludf.DUMMYFUNCTION("""COMPUTED_VALUE"""),45528.0)</f>
        <v>45528</v>
      </c>
      <c r="B588" s="1" t="str">
        <f>IFERROR(__xludf.DUMMYFUNCTION("""COMPUTED_VALUE"""),"INVISTA")</f>
        <v>INVISTA</v>
      </c>
      <c r="C588" s="1" t="str">
        <f>IFERROR(__xludf.DUMMYFUNCTION("""COMPUTED_VALUE"""),"Marketing Analytics &amp; Operations Manager")</f>
        <v>Marketing Analytics &amp; Operations Manager</v>
      </c>
      <c r="D588" s="1" t="str">
        <f>IFERROR(__xludf.DUMMYFUNCTION("""COMPUTED_VALUE"""),"On-Site")</f>
        <v>On-Site</v>
      </c>
      <c r="E588" s="3" t="str">
        <f>IFERROR(__xludf.DUMMYFUNCTION("""COMPUTED_VALUE"""),"N/A")</f>
        <v>N/A</v>
      </c>
      <c r="F588" s="1" t="str">
        <f>IFERROR(__xludf.DUMMYFUNCTION("""COMPUTED_VALUE"""),"3 - 5")</f>
        <v>3 - 5</v>
      </c>
      <c r="G588" s="1" t="str">
        <f>IFERROR(__xludf.DUMMYFUNCTION("""COMPUTED_VALUE"""),"Kennesaw, GA")</f>
        <v>Kennesaw, GA</v>
      </c>
      <c r="H588" s="4" t="str">
        <f>IFERROR(__xludf.DUMMYFUNCTION("""COMPUTED_VALUE"""),"https://www.linkedin.com/posts/activity-7232765778482065408-ozmP?utm_source=share&amp;utm_medium=member_desktop")</f>
        <v>https://www.linkedin.com/posts/activity-7232765778482065408-ozmP?utm_source=share&amp;utm_medium=member_desktop</v>
      </c>
    </row>
    <row r="589">
      <c r="A589" s="2">
        <f>IFERROR(__xludf.DUMMYFUNCTION("""COMPUTED_VALUE"""),45528.0)</f>
        <v>45528</v>
      </c>
      <c r="B589" s="1" t="str">
        <f>IFERROR(__xludf.DUMMYFUNCTION("""COMPUTED_VALUE"""),"Stan's Donuts and Coffee")</f>
        <v>Stan's Donuts and Coffee</v>
      </c>
      <c r="C589" s="1" t="str">
        <f>IFERROR(__xludf.DUMMYFUNCTION("""COMPUTED_VALUE"""),"Financial Analyst")</f>
        <v>Financial Analyst</v>
      </c>
      <c r="D589" s="1" t="str">
        <f>IFERROR(__xludf.DUMMYFUNCTION("""COMPUTED_VALUE"""),"On-Site")</f>
        <v>On-Site</v>
      </c>
      <c r="E589" s="3" t="str">
        <f>IFERROR(__xludf.DUMMYFUNCTION("""COMPUTED_VALUE"""),"$75k - $85k")</f>
        <v>$75k - $85k</v>
      </c>
      <c r="F589" s="1" t="str">
        <f>IFERROR(__xludf.DUMMYFUNCTION("""COMPUTED_VALUE"""),"3 - 5")</f>
        <v>3 - 5</v>
      </c>
      <c r="G589" s="1" t="str">
        <f>IFERROR(__xludf.DUMMYFUNCTION("""COMPUTED_VALUE"""),"Chicago, IL")</f>
        <v>Chicago, IL</v>
      </c>
      <c r="H589" s="4" t="str">
        <f>IFERROR(__xludf.DUMMYFUNCTION("""COMPUTED_VALUE"""),"https://www.linkedin.com/posts/phillip-wilson-b891649_were-hiring-looking-to-develop-our-finance-activity-7232461526245199872-r17H?utm_source=share&amp;utm_medium=member_desktop")</f>
        <v>https://www.linkedin.com/posts/phillip-wilson-b891649_were-hiring-looking-to-develop-our-finance-activity-7232461526245199872-r17H?utm_source=share&amp;utm_medium=member_desktop</v>
      </c>
    </row>
    <row r="590">
      <c r="A590" s="2">
        <f>IFERROR(__xludf.DUMMYFUNCTION("""COMPUTED_VALUE"""),45528.0)</f>
        <v>45528</v>
      </c>
      <c r="B590" s="1" t="str">
        <f>IFERROR(__xludf.DUMMYFUNCTION("""COMPUTED_VALUE"""),"Google")</f>
        <v>Google</v>
      </c>
      <c r="C590" s="1" t="str">
        <f>IFERROR(__xludf.DUMMYFUNCTION("""COMPUTED_VALUE"""),"Data Scientist III, Research")</f>
        <v>Data Scientist III, Research</v>
      </c>
      <c r="D590" s="1" t="str">
        <f>IFERROR(__xludf.DUMMYFUNCTION("""COMPUTED_VALUE"""),"Hybrid")</f>
        <v>Hybrid</v>
      </c>
      <c r="E590" s="3" t="str">
        <f>IFERROR(__xludf.DUMMYFUNCTION("""COMPUTED_VALUE"""),"$127k - $187k")</f>
        <v>$127k - $187k</v>
      </c>
      <c r="F590" s="1" t="str">
        <f>IFERROR(__xludf.DUMMYFUNCTION("""COMPUTED_VALUE"""),"3 - 5")</f>
        <v>3 - 5</v>
      </c>
      <c r="G590" s="1" t="str">
        <f>IFERROR(__xludf.DUMMYFUNCTION("""COMPUTED_VALUE"""),"Certain Locations")</f>
        <v>Certain Locations</v>
      </c>
      <c r="H590" s="4" t="str">
        <f>IFERROR(__xludf.DUMMYFUNCTION("""COMPUTED_VALUE"""),"https://www.linkedin.com/posts/sarah-worth-94497347_data-scientist-iii-research-activity-7232179842937413633-PG0o?utm_source=share&amp;utm_medium=member_desktop")</f>
        <v>https://www.linkedin.com/posts/sarah-worth-94497347_data-scientist-iii-research-activity-7232179842937413633-PG0o?utm_source=share&amp;utm_medium=member_desktop</v>
      </c>
    </row>
    <row r="591">
      <c r="A591" s="2">
        <f>IFERROR(__xludf.DUMMYFUNCTION("""COMPUTED_VALUE"""),45528.0)</f>
        <v>45528</v>
      </c>
      <c r="B591" s="1" t="str">
        <f>IFERROR(__xludf.DUMMYFUNCTION("""COMPUTED_VALUE"""),"JLR")</f>
        <v>JLR</v>
      </c>
      <c r="C591" s="1" t="str">
        <f>IFERROR(__xludf.DUMMYFUNCTION("""COMPUTED_VALUE"""),"Product Analyst – House of Brands")</f>
        <v>Product Analyst – House of Brands</v>
      </c>
      <c r="D591" s="1" t="str">
        <f>IFERROR(__xludf.DUMMYFUNCTION("""COMPUTED_VALUE"""),"Hybrid")</f>
        <v>Hybrid</v>
      </c>
      <c r="E591" s="3" t="str">
        <f>IFERROR(__xludf.DUMMYFUNCTION("""COMPUTED_VALUE"""),"$71k - $92k")</f>
        <v>$71k - $92k</v>
      </c>
      <c r="F591" s="1" t="str">
        <f>IFERROR(__xludf.DUMMYFUNCTION("""COMPUTED_VALUE"""),"3 - 5")</f>
        <v>3 - 5</v>
      </c>
      <c r="G591" s="1" t="str">
        <f>IFERROR(__xludf.DUMMYFUNCTION("""COMPUTED_VALUE"""),"Mahwah, NJ")</f>
        <v>Mahwah, NJ</v>
      </c>
      <c r="H591" s="4" t="str">
        <f>IFERROR(__xludf.DUMMYFUNCTION("""COMPUTED_VALUE"""),"https://www.linkedin.com/posts/macarenadza_product-analyst-activity-7232785021101580288-ldaa?utm_source=share&amp;utm_medium=member_desktop")</f>
        <v>https://www.linkedin.com/posts/macarenadza_product-analyst-activity-7232785021101580288-ldaa?utm_source=share&amp;utm_medium=member_desktop</v>
      </c>
    </row>
    <row r="592">
      <c r="A592" s="2">
        <f>IFERROR(__xludf.DUMMYFUNCTION("""COMPUTED_VALUE"""),45528.0)</f>
        <v>45528</v>
      </c>
      <c r="B592" s="1" t="str">
        <f>IFERROR(__xludf.DUMMYFUNCTION("""COMPUTED_VALUE"""),"NWSL")</f>
        <v>NWSL</v>
      </c>
      <c r="C592" s="1" t="str">
        <f>IFERROR(__xludf.DUMMYFUNCTION("""COMPUTED_VALUE"""),"Director, Analytics")</f>
        <v>Director, Analytics</v>
      </c>
      <c r="D592" s="1" t="str">
        <f>IFERROR(__xludf.DUMMYFUNCTION("""COMPUTED_VALUE"""),"Hybrid")</f>
        <v>Hybrid</v>
      </c>
      <c r="E592" s="3" t="str">
        <f>IFERROR(__xludf.DUMMYFUNCTION("""COMPUTED_VALUE"""),"$155k - $165k")</f>
        <v>$155k - $165k</v>
      </c>
      <c r="F592" s="1" t="str">
        <f>IFERROR(__xludf.DUMMYFUNCTION("""COMPUTED_VALUE"""),"6 - 9")</f>
        <v>6 - 9</v>
      </c>
      <c r="G592" s="1" t="str">
        <f>IFERROR(__xludf.DUMMYFUNCTION("""COMPUTED_VALUE"""),"New York, NY")</f>
        <v>New York, NY</v>
      </c>
      <c r="H592" s="4" t="str">
        <f>IFERROR(__xludf.DUMMYFUNCTION("""COMPUTED_VALUE"""),"https://www.linkedin.com/posts/sarah-jones-simmer_director-analytics-new-york-ny-activity-7232068283984723968-oEep?utm_source=share&amp;utm_medium=member_desktop")</f>
        <v>https://www.linkedin.com/posts/sarah-jones-simmer_director-analytics-new-york-ny-activity-7232068283984723968-oEep?utm_source=share&amp;utm_medium=member_desktop</v>
      </c>
    </row>
    <row r="593">
      <c r="A593" s="2">
        <f>IFERROR(__xludf.DUMMYFUNCTION("""COMPUTED_VALUE"""),45528.0)</f>
        <v>45528</v>
      </c>
      <c r="B593" s="1" t="str">
        <f>IFERROR(__xludf.DUMMYFUNCTION("""COMPUTED_VALUE"""),"AristaMD")</f>
        <v>AristaMD</v>
      </c>
      <c r="C593" s="1" t="str">
        <f>IFERROR(__xludf.DUMMYFUNCTION("""COMPUTED_VALUE"""),"Business Data Analyst")</f>
        <v>Business Data Analyst</v>
      </c>
      <c r="D593" s="1" t="str">
        <f>IFERROR(__xludf.DUMMYFUNCTION("""COMPUTED_VALUE"""),"Remote")</f>
        <v>Remote</v>
      </c>
      <c r="E593" s="3" t="str">
        <f>IFERROR(__xludf.DUMMYFUNCTION("""COMPUTED_VALUE"""),"$90k - $125k")</f>
        <v>$90k - $125k</v>
      </c>
      <c r="F593" s="1" t="str">
        <f>IFERROR(__xludf.DUMMYFUNCTION("""COMPUTED_VALUE"""),"0 - 2")</f>
        <v>0 - 2</v>
      </c>
      <c r="G593" s="1" t="str">
        <f>IFERROR(__xludf.DUMMYFUNCTION("""COMPUTED_VALUE"""),"Miami, FL")</f>
        <v>Miami, FL</v>
      </c>
      <c r="H593" s="4" t="str">
        <f>IFERROR(__xludf.DUMMYFUNCTION("""COMPUTED_VALUE"""),"https://www.linkedin.com/posts/tifanyguevara_hiring-activity-7232827086955057152-7LqZ?utm_source=share&amp;utm_medium=member_desktop")</f>
        <v>https://www.linkedin.com/posts/tifanyguevara_hiring-activity-7232827086955057152-7LqZ?utm_source=share&amp;utm_medium=member_desktop</v>
      </c>
    </row>
    <row r="594">
      <c r="A594" s="2">
        <f>IFERROR(__xludf.DUMMYFUNCTION("""COMPUTED_VALUE"""),45528.0)</f>
        <v>45528</v>
      </c>
      <c r="B594" s="1" t="str">
        <f>IFERROR(__xludf.DUMMYFUNCTION("""COMPUTED_VALUE"""),"Vervent")</f>
        <v>Vervent</v>
      </c>
      <c r="C594" s="1" t="str">
        <f>IFERROR(__xludf.DUMMYFUNCTION("""COMPUTED_VALUE"""),"Financial Risk Analyst")</f>
        <v>Financial Risk Analyst</v>
      </c>
      <c r="D594" s="1" t="str">
        <f>IFERROR(__xludf.DUMMYFUNCTION("""COMPUTED_VALUE"""),"Remote")</f>
        <v>Remote</v>
      </c>
      <c r="E594" s="3" t="str">
        <f>IFERROR(__xludf.DUMMYFUNCTION("""COMPUTED_VALUE"""),"$55k - $73k")</f>
        <v>$55k - $73k</v>
      </c>
      <c r="F594" s="1" t="str">
        <f>IFERROR(__xludf.DUMMYFUNCTION("""COMPUTED_VALUE"""),"0 - 2")</f>
        <v>0 - 2</v>
      </c>
      <c r="G594" s="1" t="str">
        <f>IFERROR(__xludf.DUMMYFUNCTION("""COMPUTED_VALUE"""),"USA")</f>
        <v>USA</v>
      </c>
      <c r="H594" s="4" t="str">
        <f>IFERROR(__xludf.DUMMYFUNCTION("""COMPUTED_VALUE"""),"https://www.linkedin.com/posts/vickywalton_financialrisk-analystopportunity-joinourteam-activity-7232785051438956544-Vl61?utm_source=share&amp;utm_medium=member_desktop")</f>
        <v>https://www.linkedin.com/posts/vickywalton_financialrisk-analystopportunity-joinourteam-activity-7232785051438956544-Vl61?utm_source=share&amp;utm_medium=member_desktop</v>
      </c>
    </row>
    <row r="595">
      <c r="A595" s="2">
        <f>IFERROR(__xludf.DUMMYFUNCTION("""COMPUTED_VALUE"""),45528.0)</f>
        <v>45528</v>
      </c>
      <c r="B595" s="1" t="str">
        <f>IFERROR(__xludf.DUMMYFUNCTION("""COMPUTED_VALUE"""),"January Digital")</f>
        <v>January Digital</v>
      </c>
      <c r="C595" s="1" t="str">
        <f>IFERROR(__xludf.DUMMYFUNCTION("""COMPUTED_VALUE"""),"Senior Marketing Analyst")</f>
        <v>Senior Marketing Analyst</v>
      </c>
      <c r="D595" s="1" t="str">
        <f>IFERROR(__xludf.DUMMYFUNCTION("""COMPUTED_VALUE"""),"Hybrid")</f>
        <v>Hybrid</v>
      </c>
      <c r="E595" s="3" t="str">
        <f>IFERROR(__xludf.DUMMYFUNCTION("""COMPUTED_VALUE"""),"$100k - $130k")</f>
        <v>$100k - $130k</v>
      </c>
      <c r="F595" s="1" t="str">
        <f>IFERROR(__xludf.DUMMYFUNCTION("""COMPUTED_VALUE"""),"3 - 5")</f>
        <v>3 - 5</v>
      </c>
      <c r="G595" s="1" t="str">
        <f>IFERROR(__xludf.DUMMYFUNCTION("""COMPUTED_VALUE"""),"Dallas, TX")</f>
        <v>Dallas, TX</v>
      </c>
      <c r="H595" s="4" t="str">
        <f>IFERROR(__xludf.DUMMYFUNCTION("""COMPUTED_VALUE"""),"https://www.linkedin.com/posts/rebecca-visconti-aa93567_im-hiring-im-looking-for-a-senior-marketing-activity-7232498746465394689-PcJg?utm_source=share&amp;utm_medium=member_desktop")</f>
        <v>https://www.linkedin.com/posts/rebecca-visconti-aa93567_im-hiring-im-looking-for-a-senior-marketing-activity-7232498746465394689-PcJg?utm_source=share&amp;utm_medium=member_desktop</v>
      </c>
    </row>
    <row r="596">
      <c r="A596" s="2">
        <f>IFERROR(__xludf.DUMMYFUNCTION("""COMPUTED_VALUE"""),45528.0)</f>
        <v>45528</v>
      </c>
      <c r="B596" s="1" t="str">
        <f>IFERROR(__xludf.DUMMYFUNCTION("""COMPUTED_VALUE"""),"MIGA")</f>
        <v>MIGA</v>
      </c>
      <c r="C596" s="1" t="str">
        <f>IFERROR(__xludf.DUMMYFUNCTION("""COMPUTED_VALUE"""),"Financial Analyst")</f>
        <v>Financial Analyst</v>
      </c>
      <c r="D596" s="1" t="str">
        <f>IFERROR(__xludf.DUMMYFUNCTION("""COMPUTED_VALUE"""),"Hybrid")</f>
        <v>Hybrid</v>
      </c>
      <c r="E596" s="3" t="str">
        <f>IFERROR(__xludf.DUMMYFUNCTION("""COMPUTED_VALUE"""),"N/A")</f>
        <v>N/A</v>
      </c>
      <c r="F596" s="1" t="str">
        <f>IFERROR(__xludf.DUMMYFUNCTION("""COMPUTED_VALUE"""),"0 - 2")</f>
        <v>0 - 2</v>
      </c>
      <c r="G596" s="1" t="str">
        <f>IFERROR(__xludf.DUMMYFUNCTION("""COMPUTED_VALUE"""),"Washington, DC")</f>
        <v>Washington, DC</v>
      </c>
      <c r="H596" s="4" t="str">
        <f>IFERROR(__xludf.DUMMYFUNCTION("""COMPUTED_VALUE"""),"https://www.linkedin.com/posts/mathias-weskamp-44908466_privatecapitalforthepublicgood-joinmiga-activity-7232392010190499840-8_AQ?utm_source=share&amp;utm_medium=member_desktop")</f>
        <v>https://www.linkedin.com/posts/mathias-weskamp-44908466_privatecapitalforthepublicgood-joinmiga-activity-7232392010190499840-8_AQ?utm_source=share&amp;utm_medium=member_desktop</v>
      </c>
    </row>
    <row r="597">
      <c r="A597" s="2">
        <f>IFERROR(__xludf.DUMMYFUNCTION("""COMPUTED_VALUE"""),45528.0)</f>
        <v>45528</v>
      </c>
      <c r="B597" s="1" t="str">
        <f>IFERROR(__xludf.DUMMYFUNCTION("""COMPUTED_VALUE"""),"Farm Credit of Central Florida")</f>
        <v>Farm Credit of Central Florida</v>
      </c>
      <c r="C597" s="1" t="str">
        <f>IFERROR(__xludf.DUMMYFUNCTION("""COMPUTED_VALUE"""),"Credit Analyst II")</f>
        <v>Credit Analyst II</v>
      </c>
      <c r="D597" s="1" t="str">
        <f>IFERROR(__xludf.DUMMYFUNCTION("""COMPUTED_VALUE"""),"Hybrid")</f>
        <v>Hybrid</v>
      </c>
      <c r="E597" s="3" t="str">
        <f>IFERROR(__xludf.DUMMYFUNCTION("""COMPUTED_VALUE"""),"N/A")</f>
        <v>N/A</v>
      </c>
      <c r="F597" s="1" t="str">
        <f>IFERROR(__xludf.DUMMYFUNCTION("""COMPUTED_VALUE"""),"0 - 2")</f>
        <v>0 - 2</v>
      </c>
      <c r="G597" s="1" t="str">
        <f>IFERROR(__xludf.DUMMYFUNCTION("""COMPUTED_VALUE"""),"Lakeland, FL")</f>
        <v>Lakeland, FL</v>
      </c>
      <c r="H597" s="4" t="str">
        <f>IFERROR(__xludf.DUMMYFUNCTION("""COMPUTED_VALUE"""),"https://www.linkedin.com/posts/heather-peterson-mba-aa0709121_creditanalyst-finance-agriculture-activity-7232845765050597378-4ekU?utm_source=share&amp;utm_medium=member_desktop")</f>
        <v>https://www.linkedin.com/posts/heather-peterson-mba-aa0709121_creditanalyst-finance-agriculture-activity-7232845765050597378-4ekU?utm_source=share&amp;utm_medium=member_desktop</v>
      </c>
    </row>
    <row r="598">
      <c r="A598" s="2">
        <f>IFERROR(__xludf.DUMMYFUNCTION("""COMPUTED_VALUE"""),45528.0)</f>
        <v>45528</v>
      </c>
      <c r="B598" s="1" t="str">
        <f>IFERROR(__xludf.DUMMYFUNCTION("""COMPUTED_VALUE"""),"ORBCOMM")</f>
        <v>ORBCOMM</v>
      </c>
      <c r="C598" s="1" t="str">
        <f>IFERROR(__xludf.DUMMYFUNCTION("""COMPUTED_VALUE"""),"Senior Financial Analyst")</f>
        <v>Senior Financial Analyst</v>
      </c>
      <c r="D598" s="1" t="str">
        <f>IFERROR(__xludf.DUMMYFUNCTION("""COMPUTED_VALUE"""),"Hybrid")</f>
        <v>Hybrid</v>
      </c>
      <c r="E598" s="3" t="str">
        <f>IFERROR(__xludf.DUMMYFUNCTION("""COMPUTED_VALUE"""),"N/A")</f>
        <v>N/A</v>
      </c>
      <c r="F598" s="1" t="str">
        <f>IFERROR(__xludf.DUMMYFUNCTION("""COMPUTED_VALUE"""),"3 - 5")</f>
        <v>3 - 5</v>
      </c>
      <c r="G598" s="1" t="str">
        <f>IFERROR(__xludf.DUMMYFUNCTION("""COMPUTED_VALUE"""),"Sterling, VA")</f>
        <v>Sterling, VA</v>
      </c>
      <c r="H598" s="4" t="str">
        <f>IFERROR(__xludf.DUMMYFUNCTION("""COMPUTED_VALUE"""),"https://www.linkedin.com/posts/visnjavarga_hiring-financial-professional-activity-7232382745476300800-Kvhk?utm_source=share&amp;utm_medium=member_desktop")</f>
        <v>https://www.linkedin.com/posts/visnjavarga_hiring-financial-professional-activity-7232382745476300800-Kvhk?utm_source=share&amp;utm_medium=member_desktop</v>
      </c>
    </row>
    <row r="599">
      <c r="A599" s="2">
        <f>IFERROR(__xludf.DUMMYFUNCTION("""COMPUTED_VALUE"""),45527.0)</f>
        <v>45527</v>
      </c>
      <c r="B599" s="1" t="str">
        <f>IFERROR(__xludf.DUMMYFUNCTION("""COMPUTED_VALUE"""),"Los Angeles Kings")</f>
        <v>Los Angeles Kings</v>
      </c>
      <c r="C599" s="1" t="str">
        <f>IFERROR(__xludf.DUMMYFUNCTION("""COMPUTED_VALUE"""),"Sr. BI Analyst, Revenue &amp; Strategy")</f>
        <v>Sr. BI Analyst, Revenue &amp; Strategy</v>
      </c>
      <c r="D599" s="1" t="str">
        <f>IFERROR(__xludf.DUMMYFUNCTION("""COMPUTED_VALUE"""),"On-Site")</f>
        <v>On-Site</v>
      </c>
      <c r="E599" s="3" t="str">
        <f>IFERROR(__xludf.DUMMYFUNCTION("""COMPUTED_VALUE"""),"$75k - $90k")</f>
        <v>$75k - $90k</v>
      </c>
      <c r="F599" s="1" t="str">
        <f>IFERROR(__xludf.DUMMYFUNCTION("""COMPUTED_VALUE"""),"3 - 5")</f>
        <v>3 - 5</v>
      </c>
      <c r="G599" s="1" t="str">
        <f>IFERROR(__xludf.DUMMYFUNCTION("""COMPUTED_VALUE"""),"El Segundo, CA")</f>
        <v>El Segundo, CA</v>
      </c>
      <c r="H599" s="4" t="str">
        <f>IFERROR(__xludf.DUMMYFUNCTION("""COMPUTED_VALUE"""),"https://www.linkedin.com/posts/activity-7232849303336009728-B0iw?utm_source=share&amp;utm_medium=member_desktop")</f>
        <v>https://www.linkedin.com/posts/activity-7232849303336009728-B0iw?utm_source=share&amp;utm_medium=member_desktop</v>
      </c>
    </row>
    <row r="600">
      <c r="A600" s="2">
        <f>IFERROR(__xludf.DUMMYFUNCTION("""COMPUTED_VALUE"""),45527.0)</f>
        <v>45527</v>
      </c>
      <c r="B600" s="1" t="str">
        <f>IFERROR(__xludf.DUMMYFUNCTION("""COMPUTED_VALUE"""),"Endpoint")</f>
        <v>Endpoint</v>
      </c>
      <c r="C600" s="1" t="str">
        <f>IFERROR(__xludf.DUMMYFUNCTION("""COMPUTED_VALUE"""),"Senior Data Analyst")</f>
        <v>Senior Data Analyst</v>
      </c>
      <c r="D600" s="1" t="str">
        <f>IFERROR(__xludf.DUMMYFUNCTION("""COMPUTED_VALUE"""),"Remote")</f>
        <v>Remote</v>
      </c>
      <c r="E600" s="3" t="str">
        <f>IFERROR(__xludf.DUMMYFUNCTION("""COMPUTED_VALUE"""),"$125k - $170k")</f>
        <v>$125k - $170k</v>
      </c>
      <c r="F600" s="1" t="str">
        <f>IFERROR(__xludf.DUMMYFUNCTION("""COMPUTED_VALUE"""),"3 - 5")</f>
        <v>3 - 5</v>
      </c>
      <c r="G600" s="1" t="str">
        <f>IFERROR(__xludf.DUMMYFUNCTION("""COMPUTED_VALUE"""),"USA")</f>
        <v>USA</v>
      </c>
      <c r="H600" s="4" t="str">
        <f>IFERROR(__xludf.DUMMYFUNCTION("""COMPUTED_VALUE"""),"https://www.linkedin.com/posts/jon-runkel_endpoint-senior-data-analyst-activity-7232835528310542337-_IYi?utm_source=share&amp;utm_medium=member_desktop")</f>
        <v>https://www.linkedin.com/posts/jon-runkel_endpoint-senior-data-analyst-activity-7232835528310542337-_IYi?utm_source=share&amp;utm_medium=member_desktop</v>
      </c>
    </row>
    <row r="601">
      <c r="A601" s="2">
        <f>IFERROR(__xludf.DUMMYFUNCTION("""COMPUTED_VALUE"""),45527.0)</f>
        <v>45527</v>
      </c>
      <c r="B601" s="1" t="str">
        <f>IFERROR(__xludf.DUMMYFUNCTION("""COMPUTED_VALUE"""),"Visa")</f>
        <v>Visa</v>
      </c>
      <c r="C601" s="1" t="str">
        <f>IFERROR(__xludf.DUMMYFUNCTION("""COMPUTED_VALUE"""),"Business Intelligence &amp; Data Insights Specialist")</f>
        <v>Business Intelligence &amp; Data Insights Specialist</v>
      </c>
      <c r="D601" s="1" t="str">
        <f>IFERROR(__xludf.DUMMYFUNCTION("""COMPUTED_VALUE"""),"Hybrid")</f>
        <v>Hybrid</v>
      </c>
      <c r="E601" s="3" t="str">
        <f>IFERROR(__xludf.DUMMYFUNCTION("""COMPUTED_VALUE"""),"$107k - $155k")</f>
        <v>$107k - $155k</v>
      </c>
      <c r="F601" s="1" t="str">
        <f>IFERROR(__xludf.DUMMYFUNCTION("""COMPUTED_VALUE"""),"6 - 9")</f>
        <v>6 - 9</v>
      </c>
      <c r="G601" s="1" t="str">
        <f>IFERROR(__xludf.DUMMYFUNCTION("""COMPUTED_VALUE"""),"Austin, TX")</f>
        <v>Austin, TX</v>
      </c>
      <c r="H601" s="4" t="str">
        <f>IFERROR(__xludf.DUMMYFUNCTION("""COMPUTED_VALUE"""),"https://www.linkedin.com/posts/huntermcconnell_were-hiring-for-a-business-intelligence-activity-7232804106208174080-3Onv?utm_source=share&amp;utm_medium=member_desktop")</f>
        <v>https://www.linkedin.com/posts/huntermcconnell_were-hiring-for-a-business-intelligence-activity-7232804106208174080-3Onv?utm_source=share&amp;utm_medium=member_desktop</v>
      </c>
    </row>
    <row r="602">
      <c r="A602" s="2">
        <f>IFERROR(__xludf.DUMMYFUNCTION("""COMPUTED_VALUE"""),45527.0)</f>
        <v>45527</v>
      </c>
      <c r="B602" s="1" t="str">
        <f>IFERROR(__xludf.DUMMYFUNCTION("""COMPUTED_VALUE"""),"Babylist")</f>
        <v>Babylist</v>
      </c>
      <c r="C602" s="1" t="str">
        <f>IFERROR(__xludf.DUMMYFUNCTION("""COMPUTED_VALUE"""),"Senior Data Engineer")</f>
        <v>Senior Data Engineer</v>
      </c>
      <c r="D602" s="1" t="str">
        <f>IFERROR(__xludf.DUMMYFUNCTION("""COMPUTED_VALUE"""),"Remote")</f>
        <v>Remote</v>
      </c>
      <c r="E602" s="3" t="str">
        <f>IFERROR(__xludf.DUMMYFUNCTION("""COMPUTED_VALUE"""),"$133k - $199k")</f>
        <v>$133k - $199k</v>
      </c>
      <c r="F602" s="1" t="str">
        <f>IFERROR(__xludf.DUMMYFUNCTION("""COMPUTED_VALUE"""),"6 - 9")</f>
        <v>6 - 9</v>
      </c>
      <c r="G602" s="1" t="str">
        <f>IFERROR(__xludf.DUMMYFUNCTION("""COMPUTED_VALUE"""),"USA")</f>
        <v>USA</v>
      </c>
      <c r="H602" s="4" t="str">
        <f>IFERROR(__xludf.DUMMYFUNCTION("""COMPUTED_VALUE"""),"https://www.linkedin.com/posts/activity-7232828788848357377-FNeU?utm_source=share&amp;utm_medium=member_desktop")</f>
        <v>https://www.linkedin.com/posts/activity-7232828788848357377-FNeU?utm_source=share&amp;utm_medium=member_desktop</v>
      </c>
    </row>
    <row r="603">
      <c r="A603" s="2">
        <f>IFERROR(__xludf.DUMMYFUNCTION("""COMPUTED_VALUE"""),45527.0)</f>
        <v>45527</v>
      </c>
      <c r="B603" s="1" t="str">
        <f>IFERROR(__xludf.DUMMYFUNCTION("""COMPUTED_VALUE"""),"Connect Search, LLC")</f>
        <v>Connect Search, LLC</v>
      </c>
      <c r="C603" s="1" t="str">
        <f>IFERROR(__xludf.DUMMYFUNCTION("""COMPUTED_VALUE"""),"Senior Financial Analyst")</f>
        <v>Senior Financial Analyst</v>
      </c>
      <c r="D603" s="1" t="str">
        <f>IFERROR(__xludf.DUMMYFUNCTION("""COMPUTED_VALUE"""),"Hybrid")</f>
        <v>Hybrid</v>
      </c>
      <c r="E603" s="3" t="str">
        <f>IFERROR(__xludf.DUMMYFUNCTION("""COMPUTED_VALUE"""),"$105k - $115k")</f>
        <v>$105k - $115k</v>
      </c>
      <c r="F603" s="1" t="str">
        <f>IFERROR(__xludf.DUMMYFUNCTION("""COMPUTED_VALUE"""),"3 - 5")</f>
        <v>3 - 5</v>
      </c>
      <c r="G603" s="1" t="str">
        <f>IFERROR(__xludf.DUMMYFUNCTION("""COMPUTED_VALUE"""),"Glenview, IL")</f>
        <v>Glenview, IL</v>
      </c>
      <c r="H603" s="4" t="str">
        <f>IFERROR(__xludf.DUMMYFUNCTION("""COMPUTED_VALUE"""),"https://www.linkedin.com/posts/maxwell-kendall_im-looking-for-a-senior-fpa-analyst-to-activity-7232791807590350848-urM9?utm_source=share&amp;utm_medium=member_desktop")</f>
        <v>https://www.linkedin.com/posts/maxwell-kendall_im-looking-for-a-senior-fpa-analyst-to-activity-7232791807590350848-urM9?utm_source=share&amp;utm_medium=member_desktop</v>
      </c>
    </row>
    <row r="604">
      <c r="A604" s="2">
        <f>IFERROR(__xludf.DUMMYFUNCTION("""COMPUTED_VALUE"""),45527.0)</f>
        <v>45527</v>
      </c>
      <c r="B604" s="1" t="str">
        <f>IFERROR(__xludf.DUMMYFUNCTION("""COMPUTED_VALUE"""),"Haleon")</f>
        <v>Haleon</v>
      </c>
      <c r="C604" s="1" t="str">
        <f>IFERROR(__xludf.DUMMYFUNCTION("""COMPUTED_VALUE"""),"Senior Sales Analyst")</f>
        <v>Senior Sales Analyst</v>
      </c>
      <c r="D604" s="1" t="str">
        <f>IFERROR(__xludf.DUMMYFUNCTION("""COMPUTED_VALUE"""),"Hybrid")</f>
        <v>Hybrid</v>
      </c>
      <c r="E604" s="3" t="str">
        <f>IFERROR(__xludf.DUMMYFUNCTION("""COMPUTED_VALUE"""),"N/A")</f>
        <v>N/A</v>
      </c>
      <c r="F604" s="1" t="str">
        <f>IFERROR(__xludf.DUMMYFUNCTION("""COMPUTED_VALUE"""),"0 - 2")</f>
        <v>0 - 2</v>
      </c>
      <c r="G604" s="1" t="str">
        <f>IFERROR(__xludf.DUMMYFUNCTION("""COMPUTED_VALUE"""),"Rogers, AR")</f>
        <v>Rogers, AR</v>
      </c>
      <c r="H604" s="4" t="str">
        <f>IFERROR(__xludf.DUMMYFUNCTION("""COMPUTED_VALUE"""),"https://www.linkedin.com/posts/kristine-fencore-smagris_senior-sales-analyst-activity-7232789713475031040-rUyV?utm_source=share&amp;utm_medium=member_desktop")</f>
        <v>https://www.linkedin.com/posts/kristine-fencore-smagris_senior-sales-analyst-activity-7232789713475031040-rUyV?utm_source=share&amp;utm_medium=member_desktop</v>
      </c>
    </row>
    <row r="605">
      <c r="A605" s="2">
        <f>IFERROR(__xludf.DUMMYFUNCTION("""COMPUTED_VALUE"""),45527.0)</f>
        <v>45527</v>
      </c>
      <c r="B605" s="1" t="str">
        <f>IFERROR(__xludf.DUMMYFUNCTION("""COMPUTED_VALUE"""),"Qlik")</f>
        <v>Qlik</v>
      </c>
      <c r="C605" s="1" t="str">
        <f>IFERROR(__xludf.DUMMYFUNCTION("""COMPUTED_VALUE"""),"Senior Sales Performance Analyst")</f>
        <v>Senior Sales Performance Analyst</v>
      </c>
      <c r="D605" s="1" t="str">
        <f>IFERROR(__xludf.DUMMYFUNCTION("""COMPUTED_VALUE"""),"Remote")</f>
        <v>Remote</v>
      </c>
      <c r="E605" s="3" t="str">
        <f>IFERROR(__xludf.DUMMYFUNCTION("""COMPUTED_VALUE"""),"$125k - $145k")</f>
        <v>$125k - $145k</v>
      </c>
      <c r="F605" s="1" t="str">
        <f>IFERROR(__xludf.DUMMYFUNCTION("""COMPUTED_VALUE"""),"3 - 5")</f>
        <v>3 - 5</v>
      </c>
      <c r="G605" s="1" t="str">
        <f>IFERROR(__xludf.DUMMYFUNCTION("""COMPUTED_VALUE"""),"Certain Locations")</f>
        <v>Certain Locations</v>
      </c>
      <c r="H605" s="4" t="str">
        <f>IFERROR(__xludf.DUMMYFUNCTION("""COMPUTED_VALUE"""),"https://www.linkedin.com/posts/jasonlovinger_my-team-is-hiring-we-are-in-search-of-a-activity-7232772589624930305-kgH0?utm_source=share&amp;utm_medium=member_desktop")</f>
        <v>https://www.linkedin.com/posts/jasonlovinger_my-team-is-hiring-we-are-in-search-of-a-activity-7232772589624930305-kgH0?utm_source=share&amp;utm_medium=member_desktop</v>
      </c>
    </row>
    <row r="606">
      <c r="A606" s="2">
        <f>IFERROR(__xludf.DUMMYFUNCTION("""COMPUTED_VALUE"""),45527.0)</f>
        <v>45527</v>
      </c>
      <c r="B606" s="1" t="str">
        <f>IFERROR(__xludf.DUMMYFUNCTION("""COMPUTED_VALUE"""),"ServiceTitan")</f>
        <v>ServiceTitan</v>
      </c>
      <c r="C606" s="1" t="str">
        <f>IFERROR(__xludf.DUMMYFUNCTION("""COMPUTED_VALUE"""),"Senior Analyst, Sales Pipeline Operations")</f>
        <v>Senior Analyst, Sales Pipeline Operations</v>
      </c>
      <c r="D606" s="1" t="str">
        <f>IFERROR(__xludf.DUMMYFUNCTION("""COMPUTED_VALUE"""),"Hybrid")</f>
        <v>Hybrid</v>
      </c>
      <c r="E606" s="3" t="str">
        <f>IFERROR(__xludf.DUMMYFUNCTION("""COMPUTED_VALUE"""),"$95k - $137k")</f>
        <v>$95k - $137k</v>
      </c>
      <c r="F606" s="1" t="str">
        <f>IFERROR(__xludf.DUMMYFUNCTION("""COMPUTED_VALUE"""),"3 - 5")</f>
        <v>3 - 5</v>
      </c>
      <c r="G606" s="1" t="str">
        <f>IFERROR(__xludf.DUMMYFUNCTION("""COMPUTED_VALUE"""),"Los Angeles, CA")</f>
        <v>Los Angeles, CA</v>
      </c>
      <c r="H606" s="4" t="str">
        <f>IFERROR(__xludf.DUMMYFUNCTION("""COMPUTED_VALUE"""),"https://www.linkedin.com/posts/charles-song_im-hiring-a-senior-analyst-on-my-team-this-activity-7232787189422514178-ynrz?utm_source=share&amp;utm_medium=member_desktop")</f>
        <v>https://www.linkedin.com/posts/charles-song_im-hiring-a-senior-analyst-on-my-team-this-activity-7232787189422514178-ynrz?utm_source=share&amp;utm_medium=member_desktop</v>
      </c>
    </row>
    <row r="607">
      <c r="A607" s="2">
        <f>IFERROR(__xludf.DUMMYFUNCTION("""COMPUTED_VALUE"""),45527.0)</f>
        <v>45527</v>
      </c>
      <c r="B607" s="1" t="str">
        <f>IFERROR(__xludf.DUMMYFUNCTION("""COMPUTED_VALUE"""),"Patreon")</f>
        <v>Patreon</v>
      </c>
      <c r="C607" s="1" t="str">
        <f>IFERROR(__xludf.DUMMYFUNCTION("""COMPUTED_VALUE"""),"Senior Data Analyst - Trust and Safety")</f>
        <v>Senior Data Analyst - Trust and Safety</v>
      </c>
      <c r="D607" s="1" t="str">
        <f>IFERROR(__xludf.DUMMYFUNCTION("""COMPUTED_VALUE"""),"Remote")</f>
        <v>Remote</v>
      </c>
      <c r="E607" s="3" t="str">
        <f>IFERROR(__xludf.DUMMYFUNCTION("""COMPUTED_VALUE"""),"$138k - $207k")</f>
        <v>$138k - $207k</v>
      </c>
      <c r="F607" s="1" t="str">
        <f>IFERROR(__xludf.DUMMYFUNCTION("""COMPUTED_VALUE"""),"3 - 5")</f>
        <v>3 - 5</v>
      </c>
      <c r="G607" s="1" t="str">
        <f>IFERROR(__xludf.DUMMYFUNCTION("""COMPUTED_VALUE"""),"USA")</f>
        <v>USA</v>
      </c>
      <c r="H607" s="4" t="str">
        <f>IFERROR(__xludf.DUMMYFUNCTION("""COMPUTED_VALUE"""),"https://www.linkedin.com/posts/t-m-hughes_im-hiring-activity-7232846064855195649-9h6h?utm_source=share&amp;utm_medium=member_desktop")</f>
        <v>https://www.linkedin.com/posts/t-m-hughes_im-hiring-activity-7232846064855195649-9h6h?utm_source=share&amp;utm_medium=member_desktop</v>
      </c>
    </row>
    <row r="608">
      <c r="A608" s="2">
        <f>IFERROR(__xludf.DUMMYFUNCTION("""COMPUTED_VALUE"""),45527.0)</f>
        <v>45527</v>
      </c>
      <c r="B608" s="1" t="str">
        <f>IFERROR(__xludf.DUMMYFUNCTION("""COMPUTED_VALUE"""),"Sprout Social, Inc.")</f>
        <v>Sprout Social, Inc.</v>
      </c>
      <c r="C608" s="1" t="str">
        <f>IFERROR(__xludf.DUMMYFUNCTION("""COMPUTED_VALUE"""),"Senior Data Analyst")</f>
        <v>Senior Data Analyst</v>
      </c>
      <c r="D608" s="1" t="str">
        <f>IFERROR(__xludf.DUMMYFUNCTION("""COMPUTED_VALUE"""),"Remote")</f>
        <v>Remote</v>
      </c>
      <c r="E608" s="3" t="str">
        <f>IFERROR(__xludf.DUMMYFUNCTION("""COMPUTED_VALUE"""),"$92k - $138k")</f>
        <v>$92k - $138k</v>
      </c>
      <c r="F608" s="1" t="str">
        <f>IFERROR(__xludf.DUMMYFUNCTION("""COMPUTED_VALUE"""),"3 - 5")</f>
        <v>3 - 5</v>
      </c>
      <c r="G608" s="1" t="str">
        <f>IFERROR(__xludf.DUMMYFUNCTION("""COMPUTED_VALUE"""),"USA")</f>
        <v>USA</v>
      </c>
      <c r="H608" s="4" t="str">
        <f>IFERROR(__xludf.DUMMYFUNCTION("""COMPUTED_VALUE"""),"https://www.linkedin.com/posts/bradleylevy_calling-all-data-wizards-my-business-ugcPost-7232766332566474752-oSzU?utm_source=share&amp;utm_medium=member_ios")</f>
        <v>https://www.linkedin.com/posts/bradleylevy_calling-all-data-wizards-my-business-ugcPost-7232766332566474752-oSzU?utm_source=share&amp;utm_medium=member_ios</v>
      </c>
    </row>
    <row r="609">
      <c r="A609" s="2">
        <f>IFERROR(__xludf.DUMMYFUNCTION("""COMPUTED_VALUE"""),45527.0)</f>
        <v>45527</v>
      </c>
      <c r="B609" s="1" t="str">
        <f>IFERROR(__xludf.DUMMYFUNCTION("""COMPUTED_VALUE"""),"Meta")</f>
        <v>Meta</v>
      </c>
      <c r="C609" s="1" t="str">
        <f>IFERROR(__xludf.DUMMYFUNCTION("""COMPUTED_VALUE"""),"Data Engineer, Product Analytics")</f>
        <v>Data Engineer, Product Analytics</v>
      </c>
      <c r="D609" s="1" t="str">
        <f>IFERROR(__xludf.DUMMYFUNCTION("""COMPUTED_VALUE"""),"Hybrid")</f>
        <v>Hybrid</v>
      </c>
      <c r="E609" s="3" t="str">
        <f>IFERROR(__xludf.DUMMYFUNCTION("""COMPUTED_VALUE"""),"$110k - $171k")</f>
        <v>$110k - $171k</v>
      </c>
      <c r="F609" s="1" t="str">
        <f>IFERROR(__xludf.DUMMYFUNCTION("""COMPUTED_VALUE"""),"3 - 5")</f>
        <v>3 - 5</v>
      </c>
      <c r="G609" s="1" t="str">
        <f>IFERROR(__xludf.DUMMYFUNCTION("""COMPUTED_VALUE"""),"USA")</f>
        <v>USA</v>
      </c>
      <c r="H609" s="4" t="str">
        <f>IFERROR(__xludf.DUMMYFUNCTION("""COMPUTED_VALUE"""),"https://www.linkedin.com/posts/activity-7232476225338818561-udMy?utm_source=share&amp;utm_medium=member_desktop")</f>
        <v>https://www.linkedin.com/posts/activity-7232476225338818561-udMy?utm_source=share&amp;utm_medium=member_desktop</v>
      </c>
    </row>
    <row r="610">
      <c r="A610" s="2">
        <f>IFERROR(__xludf.DUMMYFUNCTION("""COMPUTED_VALUE"""),45527.0)</f>
        <v>45527</v>
      </c>
      <c r="B610" s="1" t="str">
        <f>IFERROR(__xludf.DUMMYFUNCTION("""COMPUTED_VALUE"""),"Electronic Arts")</f>
        <v>Electronic Arts</v>
      </c>
      <c r="C610" s="1" t="str">
        <f>IFERROR(__xludf.DUMMYFUNCTION("""COMPUTED_VALUE"""),"Senior Data Analyst")</f>
        <v>Senior Data Analyst</v>
      </c>
      <c r="D610" s="1" t="str">
        <f>IFERROR(__xludf.DUMMYFUNCTION("""COMPUTED_VALUE"""),"Remote")</f>
        <v>Remote</v>
      </c>
      <c r="E610" s="3" t="str">
        <f>IFERROR(__xludf.DUMMYFUNCTION("""COMPUTED_VALUE"""),"$90k - $175k")</f>
        <v>$90k - $175k</v>
      </c>
      <c r="F610" s="1" t="str">
        <f>IFERROR(__xludf.DUMMYFUNCTION("""COMPUTED_VALUE"""),"3 - 5")</f>
        <v>3 - 5</v>
      </c>
      <c r="G610" s="1" t="str">
        <f>IFERROR(__xludf.DUMMYFUNCTION("""COMPUTED_VALUE"""),"North America")</f>
        <v>North America</v>
      </c>
      <c r="H610" s="4" t="str">
        <f>IFERROR(__xludf.DUMMYFUNCTION("""COMPUTED_VALUE"""),"https://www.linkedin.com/posts/marianna-vallejo-work_senior-data-analyst-at-electronic-arts-activity-7229007141645246464-EYj2?utm_source=share&amp;utm_medium=member_desktop")</f>
        <v>https://www.linkedin.com/posts/marianna-vallejo-work_senior-data-analyst-at-electronic-arts-activity-7229007141645246464-EYj2?utm_source=share&amp;utm_medium=member_desktop</v>
      </c>
    </row>
    <row r="611">
      <c r="A611" s="2">
        <f>IFERROR(__xludf.DUMMYFUNCTION("""COMPUTED_VALUE"""),45527.0)</f>
        <v>45527</v>
      </c>
      <c r="B611" s="1" t="str">
        <f>IFERROR(__xludf.DUMMYFUNCTION("""COMPUTED_VALUE"""),"Meta")</f>
        <v>Meta</v>
      </c>
      <c r="C611" s="1" t="str">
        <f>IFERROR(__xludf.DUMMYFUNCTION("""COMPUTED_VALUE"""),"Data Engineer, Analytics")</f>
        <v>Data Engineer, Analytics</v>
      </c>
      <c r="D611" s="1" t="str">
        <f>IFERROR(__xludf.DUMMYFUNCTION("""COMPUTED_VALUE"""),"Hybrid")</f>
        <v>Hybrid</v>
      </c>
      <c r="E611" s="3" t="str">
        <f>IFERROR(__xludf.DUMMYFUNCTION("""COMPUTED_VALUE"""),"$96k - $134k")</f>
        <v>$96k - $134k</v>
      </c>
      <c r="F611" s="1" t="str">
        <f>IFERROR(__xludf.DUMMYFUNCTION("""COMPUTED_VALUE"""),"0 - 2")</f>
        <v>0 - 2</v>
      </c>
      <c r="G611" s="1" t="str">
        <f>IFERROR(__xludf.DUMMYFUNCTION("""COMPUTED_VALUE"""),"USA")</f>
        <v>USA</v>
      </c>
      <c r="H611" s="4" t="str">
        <f>IFERROR(__xludf.DUMMYFUNCTION("""COMPUTED_VALUE"""),"https://www.linkedin.com/posts/activity-7232476225338818561-udMy?utm_source=share&amp;utm_medium=member_desktop")</f>
        <v>https://www.linkedin.com/posts/activity-7232476225338818561-udMy?utm_source=share&amp;utm_medium=member_desktop</v>
      </c>
    </row>
    <row r="612">
      <c r="A612" s="2">
        <f>IFERROR(__xludf.DUMMYFUNCTION("""COMPUTED_VALUE"""),45527.0)</f>
        <v>45527</v>
      </c>
      <c r="B612" s="1" t="str">
        <f>IFERROR(__xludf.DUMMYFUNCTION("""COMPUTED_VALUE"""),"Firefighters First Credit Union")</f>
        <v>Firefighters First Credit Union</v>
      </c>
      <c r="C612" s="1" t="str">
        <f>IFERROR(__xludf.DUMMYFUNCTION("""COMPUTED_VALUE"""),"Business Intelligence Analyst")</f>
        <v>Business Intelligence Analyst</v>
      </c>
      <c r="D612" s="1" t="str">
        <f>IFERROR(__xludf.DUMMYFUNCTION("""COMPUTED_VALUE"""),"Remote")</f>
        <v>Remote</v>
      </c>
      <c r="E612" s="3" t="str">
        <f>IFERROR(__xludf.DUMMYFUNCTION("""COMPUTED_VALUE"""),"$94k - $104k")</f>
        <v>$94k - $104k</v>
      </c>
      <c r="F612" s="1" t="str">
        <f>IFERROR(__xludf.DUMMYFUNCTION("""COMPUTED_VALUE"""),"3 - 5")</f>
        <v>3 - 5</v>
      </c>
      <c r="G612" s="1" t="str">
        <f>IFERROR(__xludf.DUMMYFUNCTION("""COMPUTED_VALUE"""),"USA")</f>
        <v>USA</v>
      </c>
      <c r="H612" s="4" t="str">
        <f>IFERROR(__xludf.DUMMYFUNCTION("""COMPUTED_VALUE"""),"https://www.linkedin.com/posts/renato-rubalcava-shrm-cp-79426888_recruitment-activity-7232757300531183616-kYgg?utm_source=share&amp;utm_medium=member_desktop")</f>
        <v>https://www.linkedin.com/posts/renato-rubalcava-shrm-cp-79426888_recruitment-activity-7232757300531183616-kYgg?utm_source=share&amp;utm_medium=member_desktop</v>
      </c>
    </row>
    <row r="613">
      <c r="A613" s="2">
        <f>IFERROR(__xludf.DUMMYFUNCTION("""COMPUTED_VALUE"""),45527.0)</f>
        <v>45527</v>
      </c>
      <c r="B613" s="1" t="str">
        <f>IFERROR(__xludf.DUMMYFUNCTION("""COMPUTED_VALUE"""),"Spring Health")</f>
        <v>Spring Health</v>
      </c>
      <c r="C613" s="1" t="str">
        <f>IFERROR(__xludf.DUMMYFUNCTION("""COMPUTED_VALUE"""),"Senior Data Analyst: Provider Operations")</f>
        <v>Senior Data Analyst: Provider Operations</v>
      </c>
      <c r="D613" s="1" t="str">
        <f>IFERROR(__xludf.DUMMYFUNCTION("""COMPUTED_VALUE"""),"Remote")</f>
        <v>Remote</v>
      </c>
      <c r="E613" s="3" t="str">
        <f>IFERROR(__xludf.DUMMYFUNCTION("""COMPUTED_VALUE"""),"$125k - $146k")</f>
        <v>$125k - $146k</v>
      </c>
      <c r="F613" s="1" t="str">
        <f>IFERROR(__xludf.DUMMYFUNCTION("""COMPUTED_VALUE"""),"6 - 9")</f>
        <v>6 - 9</v>
      </c>
      <c r="G613" s="1" t="str">
        <f>IFERROR(__xludf.DUMMYFUNCTION("""COMPUTED_VALUE"""),"USA")</f>
        <v>USA</v>
      </c>
      <c r="H613" s="4" t="str">
        <f>IFERROR(__xludf.DUMMYFUNCTION("""COMPUTED_VALUE"""),"https://www.linkedin.com/posts/a-coates_senior-data-analyst-provider-operations-activity-7232718223513731073-y2YW?utm_source=share&amp;utm_medium=member_desktop")</f>
        <v>https://www.linkedin.com/posts/a-coates_senior-data-analyst-provider-operations-activity-7232718223513731073-y2YW?utm_source=share&amp;utm_medium=member_desktop</v>
      </c>
    </row>
    <row r="614">
      <c r="A614" s="2">
        <f>IFERROR(__xludf.DUMMYFUNCTION("""COMPUTED_VALUE"""),45527.0)</f>
        <v>45527</v>
      </c>
      <c r="B614" s="1" t="str">
        <f>IFERROR(__xludf.DUMMYFUNCTION("""COMPUTED_VALUE"""),"Roadie")</f>
        <v>Roadie</v>
      </c>
      <c r="C614" s="1" t="str">
        <f>IFERROR(__xludf.DUMMYFUNCTION("""COMPUTED_VALUE"""),"Data Analyst")</f>
        <v>Data Analyst</v>
      </c>
      <c r="D614" s="1" t="str">
        <f>IFERROR(__xludf.DUMMYFUNCTION("""COMPUTED_VALUE"""),"Remote")</f>
        <v>Remote</v>
      </c>
      <c r="E614" s="3" t="str">
        <f>IFERROR(__xludf.DUMMYFUNCTION("""COMPUTED_VALUE"""),"N/A")</f>
        <v>N/A</v>
      </c>
      <c r="F614" s="1" t="str">
        <f>IFERROR(__xludf.DUMMYFUNCTION("""COMPUTED_VALUE"""),"3 - 5")</f>
        <v>3 - 5</v>
      </c>
      <c r="G614" s="1" t="str">
        <f>IFERROR(__xludf.DUMMYFUNCTION("""COMPUTED_VALUE"""),"USA")</f>
        <v>USA</v>
      </c>
      <c r="H614" s="4" t="str">
        <f>IFERROR(__xludf.DUMMYFUNCTION("""COMPUTED_VALUE"""),"https://www.linkedin.com/posts/lauren-cornell-215932ba_data-analyst-activity-7232763522567266304-vSPe?utm_source=share&amp;utm_medium=member_desktop")</f>
        <v>https://www.linkedin.com/posts/lauren-cornell-215932ba_data-analyst-activity-7232763522567266304-vSPe?utm_source=share&amp;utm_medium=member_desktop</v>
      </c>
    </row>
    <row r="615">
      <c r="A615" s="2">
        <f>IFERROR(__xludf.DUMMYFUNCTION("""COMPUTED_VALUE"""),45527.0)</f>
        <v>45527</v>
      </c>
      <c r="B615" s="1" t="str">
        <f>IFERROR(__xludf.DUMMYFUNCTION("""COMPUTED_VALUE"""),"Norstella")</f>
        <v>Norstella</v>
      </c>
      <c r="C615" s="1" t="str">
        <f>IFERROR(__xludf.DUMMYFUNCTION("""COMPUTED_VALUE"""),"Data Analyst, RWD")</f>
        <v>Data Analyst, RWD</v>
      </c>
      <c r="D615" s="1" t="str">
        <f>IFERROR(__xludf.DUMMYFUNCTION("""COMPUTED_VALUE"""),"Remote")</f>
        <v>Remote</v>
      </c>
      <c r="E615" s="3" t="str">
        <f>IFERROR(__xludf.DUMMYFUNCTION("""COMPUTED_VALUE"""),"N/A")</f>
        <v>N/A</v>
      </c>
      <c r="F615" s="1" t="str">
        <f>IFERROR(__xludf.DUMMYFUNCTION("""COMPUTED_VALUE"""),"0 - 2")</f>
        <v>0 - 2</v>
      </c>
      <c r="G615" s="1" t="str">
        <f>IFERROR(__xludf.DUMMYFUNCTION("""COMPUTED_VALUE"""),"USA")</f>
        <v>USA</v>
      </c>
      <c r="H615" s="4" t="str">
        <f>IFERROR(__xludf.DUMMYFUNCTION("""COMPUTED_VALUE"""),"https://www.linkedin.com/posts/akdhawan_data-analyst-rwd-in-remote-united-states-activity-7232735694740189185-U2cp?utm_source=share&amp;utm_medium=member_desktop")</f>
        <v>https://www.linkedin.com/posts/akdhawan_data-analyst-rwd-in-remote-united-states-activity-7232735694740189185-U2cp?utm_source=share&amp;utm_medium=member_desktop</v>
      </c>
    </row>
    <row r="616">
      <c r="A616" s="2">
        <f>IFERROR(__xludf.DUMMYFUNCTION("""COMPUTED_VALUE"""),45527.0)</f>
        <v>45527</v>
      </c>
      <c r="B616" s="1" t="str">
        <f>IFERROR(__xludf.DUMMYFUNCTION("""COMPUTED_VALUE"""),"CVS Health")</f>
        <v>CVS Health</v>
      </c>
      <c r="C616" s="1" t="str">
        <f>IFERROR(__xludf.DUMMYFUNCTION("""COMPUTED_VALUE"""),"Senior Analyst, Medical Economics")</f>
        <v>Senior Analyst, Medical Economics</v>
      </c>
      <c r="D616" s="1" t="str">
        <f>IFERROR(__xludf.DUMMYFUNCTION("""COMPUTED_VALUE"""),"Remote")</f>
        <v>Remote</v>
      </c>
      <c r="E616" s="3" t="str">
        <f>IFERROR(__xludf.DUMMYFUNCTION("""COMPUTED_VALUE"""),"$47k - $102k")</f>
        <v>$47k - $102k</v>
      </c>
      <c r="F616" s="1" t="str">
        <f>IFERROR(__xludf.DUMMYFUNCTION("""COMPUTED_VALUE"""),"3 - 5")</f>
        <v>3 - 5</v>
      </c>
      <c r="G616" s="1" t="str">
        <f>IFERROR(__xludf.DUMMYFUNCTION("""COMPUTED_VALUE"""),"Certain Locations")</f>
        <v>Certain Locations</v>
      </c>
      <c r="H616" s="4" t="str">
        <f>IFERROR(__xludf.DUMMYFUNCTION("""COMPUTED_VALUE"""),"https://www.linkedin.com/posts/schmidtkayla_senior-analyst-medical-economics-in-work-activity-7232706580687831040-e3Ws?utm_source=share&amp;utm_medium=member_desktop")</f>
        <v>https://www.linkedin.com/posts/schmidtkayla_senior-analyst-medical-economics-in-work-activity-7232706580687831040-e3Ws?utm_source=share&amp;utm_medium=member_desktop</v>
      </c>
    </row>
    <row r="617">
      <c r="A617" s="2">
        <f>IFERROR(__xludf.DUMMYFUNCTION("""COMPUTED_VALUE"""),45526.0)</f>
        <v>45526</v>
      </c>
      <c r="B617" s="1" t="str">
        <f>IFERROR(__xludf.DUMMYFUNCTION("""COMPUTED_VALUE"""),"S + H Search")</f>
        <v>S + H Search</v>
      </c>
      <c r="C617" s="1" t="str">
        <f>IFERROR(__xludf.DUMMYFUNCTION("""COMPUTED_VALUE"""),"Financial Analyst - FP&amp;A - Healthcare")</f>
        <v>Financial Analyst - FP&amp;A - Healthcare</v>
      </c>
      <c r="D617" s="1" t="str">
        <f>IFERROR(__xludf.DUMMYFUNCTION("""COMPUTED_VALUE"""),"Hybrid")</f>
        <v>Hybrid</v>
      </c>
      <c r="E617" s="3" t="str">
        <f>IFERROR(__xludf.DUMMYFUNCTION("""COMPUTED_VALUE"""),"$95k")</f>
        <v>$95k</v>
      </c>
      <c r="F617" s="1" t="str">
        <f>IFERROR(__xludf.DUMMYFUNCTION("""COMPUTED_VALUE"""),"3 - 5")</f>
        <v>3 - 5</v>
      </c>
      <c r="G617" s="1" t="str">
        <f>IFERROR(__xludf.DUMMYFUNCTION("""COMPUTED_VALUE"""),"Dallas, TX")</f>
        <v>Dallas, TX</v>
      </c>
      <c r="H617" s="4" t="str">
        <f>IFERROR(__xludf.DUMMYFUNCTION("""COMPUTED_VALUE"""),"https://www.linkedin.com/posts/greg972_new-job-opening-for-a-financial-analyst-in-activity-7231666719499464705-_t2i?utm_source=share&amp;utm_medium=member_desktop")</f>
        <v>https://www.linkedin.com/posts/greg972_new-job-opening-for-a-financial-analyst-in-activity-7231666719499464705-_t2i?utm_source=share&amp;utm_medium=member_desktop</v>
      </c>
    </row>
    <row r="618">
      <c r="A618" s="2">
        <f>IFERROR(__xludf.DUMMYFUNCTION("""COMPUTED_VALUE"""),45526.0)</f>
        <v>45526</v>
      </c>
      <c r="B618" s="1" t="str">
        <f>IFERROR(__xludf.DUMMYFUNCTION("""COMPUTED_VALUE"""),"firstPRO 360")</f>
        <v>firstPRO 360</v>
      </c>
      <c r="C618" s="1" t="str">
        <f>IFERROR(__xludf.DUMMYFUNCTION("""COMPUTED_VALUE"""),"Senior Financial Analyst")</f>
        <v>Senior Financial Analyst</v>
      </c>
      <c r="D618" s="1" t="str">
        <f>IFERROR(__xludf.DUMMYFUNCTION("""COMPUTED_VALUE"""),"Hybrid")</f>
        <v>Hybrid</v>
      </c>
      <c r="E618" s="3" t="str">
        <f>IFERROR(__xludf.DUMMYFUNCTION("""COMPUTED_VALUE"""),"$90k - $100k")</f>
        <v>$90k - $100k</v>
      </c>
      <c r="F618" s="1" t="str">
        <f>IFERROR(__xludf.DUMMYFUNCTION("""COMPUTED_VALUE"""),"3 - 5")</f>
        <v>3 - 5</v>
      </c>
      <c r="G618" s="1" t="str">
        <f>IFERROR(__xludf.DUMMYFUNCTION("""COMPUTED_VALUE"""),"Atlanta, GA")</f>
        <v>Atlanta, GA</v>
      </c>
      <c r="H618" s="4" t="str">
        <f>IFERROR(__xludf.DUMMYFUNCTION("""COMPUTED_VALUE"""),"https://www.linkedin.com/posts/molly-mcmanus-8a3a4722_hybrid-senior-financial-analyst-exciting-activity-7231685203725893632-gIZ-?utm_source=share&amp;utm_medium=member_desktop")</f>
        <v>https://www.linkedin.com/posts/molly-mcmanus-8a3a4722_hybrid-senior-financial-analyst-exciting-activity-7231685203725893632-gIZ-?utm_source=share&amp;utm_medium=member_desktop</v>
      </c>
    </row>
    <row r="619">
      <c r="A619" s="2">
        <f>IFERROR(__xludf.DUMMYFUNCTION("""COMPUTED_VALUE"""),45526.0)</f>
        <v>45526</v>
      </c>
      <c r="B619" s="1" t="str">
        <f>IFERROR(__xludf.DUMMYFUNCTION("""COMPUTED_VALUE"""),"Scribd")</f>
        <v>Scribd</v>
      </c>
      <c r="C619" s="1" t="str">
        <f>IFERROR(__xludf.DUMMYFUNCTION("""COMPUTED_VALUE"""),"Senior Product Analyst, Discovery")</f>
        <v>Senior Product Analyst, Discovery</v>
      </c>
      <c r="D619" s="1" t="str">
        <f>IFERROR(__xludf.DUMMYFUNCTION("""COMPUTED_VALUE"""),"Remote")</f>
        <v>Remote</v>
      </c>
      <c r="E619" s="3" t="str">
        <f>IFERROR(__xludf.DUMMYFUNCTION("""COMPUTED_VALUE"""),"$89k - $174k")</f>
        <v>$89k - $174k</v>
      </c>
      <c r="F619" s="1" t="str">
        <f>IFERROR(__xludf.DUMMYFUNCTION("""COMPUTED_VALUE"""),"3 - 5")</f>
        <v>3 - 5</v>
      </c>
      <c r="G619" s="1" t="str">
        <f>IFERROR(__xludf.DUMMYFUNCTION("""COMPUTED_VALUE"""),"North America")</f>
        <v>North America</v>
      </c>
      <c r="H619" s="4" t="str">
        <f>IFERROR(__xludf.DUMMYFUNCTION("""COMPUTED_VALUE"""),"https://www.linkedin.com/posts/brittney-phetchamphone-49a30580_scribd-senior-product-analyst-discovery-activity-7232461643274743808-VXga?utm_source=share&amp;utm_medium=member_desktop")</f>
        <v>https://www.linkedin.com/posts/brittney-phetchamphone-49a30580_scribd-senior-product-analyst-discovery-activity-7232461643274743808-VXga?utm_source=share&amp;utm_medium=member_desktop</v>
      </c>
    </row>
    <row r="620">
      <c r="A620" s="2">
        <f>IFERROR(__xludf.DUMMYFUNCTION("""COMPUTED_VALUE"""),45526.0)</f>
        <v>45526</v>
      </c>
      <c r="B620" s="1" t="str">
        <f>IFERROR(__xludf.DUMMYFUNCTION("""COMPUTED_VALUE"""),"Scribd")</f>
        <v>Scribd</v>
      </c>
      <c r="C620" s="1" t="str">
        <f>IFERROR(__xludf.DUMMYFUNCTION("""COMPUTED_VALUE"""),"Product Analyst II (UGC)")</f>
        <v>Product Analyst II (UGC)</v>
      </c>
      <c r="D620" s="1" t="str">
        <f>IFERROR(__xludf.DUMMYFUNCTION("""COMPUTED_VALUE"""),"Remote")</f>
        <v>Remote</v>
      </c>
      <c r="E620" s="3" t="str">
        <f>IFERROR(__xludf.DUMMYFUNCTION("""COMPUTED_VALUE"""),"$76k - $150k")</f>
        <v>$76k - $150k</v>
      </c>
      <c r="F620" s="1" t="str">
        <f>IFERROR(__xludf.DUMMYFUNCTION("""COMPUTED_VALUE"""),"0 - 2")</f>
        <v>0 - 2</v>
      </c>
      <c r="G620" s="1" t="str">
        <f>IFERROR(__xludf.DUMMYFUNCTION("""COMPUTED_VALUE"""),"North America")</f>
        <v>North America</v>
      </c>
      <c r="H620" s="4" t="str">
        <f>IFERROR(__xludf.DUMMYFUNCTION("""COMPUTED_VALUE"""),"https://www.linkedin.com/posts/brittney-phetchamphone-49a30580_scribd-senior-product-analyst-discovery-activity-7232461643274743808-VXga?utm_source=share&amp;utm_medium=member_desktop")</f>
        <v>https://www.linkedin.com/posts/brittney-phetchamphone-49a30580_scribd-senior-product-analyst-discovery-activity-7232461643274743808-VXga?utm_source=share&amp;utm_medium=member_desktop</v>
      </c>
    </row>
    <row r="621">
      <c r="A621" s="2">
        <f>IFERROR(__xludf.DUMMYFUNCTION("""COMPUTED_VALUE"""),45526.0)</f>
        <v>45526</v>
      </c>
      <c r="B621" s="1" t="str">
        <f>IFERROR(__xludf.DUMMYFUNCTION("""COMPUTED_VALUE"""),"ThoughtSpot")</f>
        <v>ThoughtSpot</v>
      </c>
      <c r="C621" s="1" t="str">
        <f>IFERROR(__xludf.DUMMYFUNCTION("""COMPUTED_VALUE"""),"Customer Success Architect")</f>
        <v>Customer Success Architect</v>
      </c>
      <c r="D621" s="1" t="str">
        <f>IFERROR(__xludf.DUMMYFUNCTION("""COMPUTED_VALUE"""),"Remote")</f>
        <v>Remote</v>
      </c>
      <c r="E621" s="3" t="str">
        <f>IFERROR(__xludf.DUMMYFUNCTION("""COMPUTED_VALUE"""),"N/A")</f>
        <v>N/A</v>
      </c>
      <c r="F621" s="1" t="str">
        <f>IFERROR(__xludf.DUMMYFUNCTION("""COMPUTED_VALUE"""),"3 - 5")</f>
        <v>3 - 5</v>
      </c>
      <c r="G621" s="1" t="str">
        <f>IFERROR(__xludf.DUMMYFUNCTION("""COMPUTED_VALUE"""),"USA")</f>
        <v>USA</v>
      </c>
      <c r="H621" s="4" t="str">
        <f>IFERROR(__xludf.DUMMYFUNCTION("""COMPUTED_VALUE"""),"https://www.linkedin.com/posts/megan-beauchemin-b61a2a49_customer-success-architect-activity-7232433095990284291-i51I?utm_source=share&amp;utm_medium=member_desktop")</f>
        <v>https://www.linkedin.com/posts/megan-beauchemin-b61a2a49_customer-success-architect-activity-7232433095990284291-i51I?utm_source=share&amp;utm_medium=member_desktop</v>
      </c>
    </row>
    <row r="622">
      <c r="A622" s="2">
        <f>IFERROR(__xludf.DUMMYFUNCTION("""COMPUTED_VALUE"""),45526.0)</f>
        <v>45526</v>
      </c>
      <c r="B622" s="1" t="str">
        <f>IFERROR(__xludf.DUMMYFUNCTION("""COMPUTED_VALUE"""),"Sevita")</f>
        <v>Sevita</v>
      </c>
      <c r="C622" s="1" t="str">
        <f>IFERROR(__xludf.DUMMYFUNCTION("""COMPUTED_VALUE"""),"Finance Director, Data Analytics")</f>
        <v>Finance Director, Data Analytics</v>
      </c>
      <c r="D622" s="1" t="str">
        <f>IFERROR(__xludf.DUMMYFUNCTION("""COMPUTED_VALUE"""),"Remote")</f>
        <v>Remote</v>
      </c>
      <c r="E622" s="3" t="str">
        <f>IFERROR(__xludf.DUMMYFUNCTION("""COMPUTED_VALUE"""),"N/A")</f>
        <v>N/A</v>
      </c>
      <c r="F622" s="1" t="str">
        <f>IFERROR(__xludf.DUMMYFUNCTION("""COMPUTED_VALUE"""),"6 - 9")</f>
        <v>6 - 9</v>
      </c>
      <c r="G622" s="1" t="str">
        <f>IFERROR(__xludf.DUMMYFUNCTION("""COMPUTED_VALUE"""),"USA")</f>
        <v>USA</v>
      </c>
      <c r="H622" s="4" t="str">
        <f>IFERROR(__xludf.DUMMYFUNCTION("""COMPUTED_VALUE"""),"https://www.linkedin.com/posts/monoco-jones-458a28108_finance-director-data-analytics-activity-7232543857073082369-WY0g?utm_source=share&amp;utm_medium=member_desktop")</f>
        <v>https://www.linkedin.com/posts/monoco-jones-458a28108_finance-director-data-analytics-activity-7232543857073082369-WY0g?utm_source=share&amp;utm_medium=member_desktop</v>
      </c>
    </row>
    <row r="623">
      <c r="A623" s="2">
        <f>IFERROR(__xludf.DUMMYFUNCTION("""COMPUTED_VALUE"""),45526.0)</f>
        <v>45526</v>
      </c>
      <c r="B623" s="1" t="str">
        <f>IFERROR(__xludf.DUMMYFUNCTION("""COMPUTED_VALUE"""),"Incredible Health")</f>
        <v>Incredible Health</v>
      </c>
      <c r="C623" s="1" t="str">
        <f>IFERROR(__xludf.DUMMYFUNCTION("""COMPUTED_VALUE"""),"Senior Analytics Engineer")</f>
        <v>Senior Analytics Engineer</v>
      </c>
      <c r="D623" s="1" t="str">
        <f>IFERROR(__xludf.DUMMYFUNCTION("""COMPUTED_VALUE"""),"Remote")</f>
        <v>Remote</v>
      </c>
      <c r="E623" s="3" t="str">
        <f>IFERROR(__xludf.DUMMYFUNCTION("""COMPUTED_VALUE"""),"$160k - $190k")</f>
        <v>$160k - $190k</v>
      </c>
      <c r="F623" s="1" t="str">
        <f>IFERROR(__xludf.DUMMYFUNCTION("""COMPUTED_VALUE"""),"3 - 5")</f>
        <v>3 - 5</v>
      </c>
      <c r="G623" s="1" t="str">
        <f>IFERROR(__xludf.DUMMYFUNCTION("""COMPUTED_VALUE"""),"USA")</f>
        <v>USA</v>
      </c>
      <c r="H623" s="4" t="str">
        <f>IFERROR(__xludf.DUMMYFUNCTION("""COMPUTED_VALUE"""),"https://www.linkedin.com/posts/melissachen15_we-are-hiring-a-senior-analytics-engineer-activity-7232139403148541954-bwm3?utm_source=share&amp;utm_medium=member_desktop")</f>
        <v>https://www.linkedin.com/posts/melissachen15_we-are-hiring-a-senior-analytics-engineer-activity-7232139403148541954-bwm3?utm_source=share&amp;utm_medium=member_desktop</v>
      </c>
    </row>
    <row r="624">
      <c r="A624" s="2">
        <f>IFERROR(__xludf.DUMMYFUNCTION("""COMPUTED_VALUE"""),45526.0)</f>
        <v>45526</v>
      </c>
      <c r="B624" s="1" t="str">
        <f>IFERROR(__xludf.DUMMYFUNCTION("""COMPUTED_VALUE"""),"Perficient")</f>
        <v>Perficient</v>
      </c>
      <c r="C624" s="1" t="str">
        <f>IFERROR(__xludf.DUMMYFUNCTION("""COMPUTED_VALUE"""),"Data Strategist - Remote")</f>
        <v>Data Strategist - Remote</v>
      </c>
      <c r="D624" s="1" t="str">
        <f>IFERROR(__xludf.DUMMYFUNCTION("""COMPUTED_VALUE"""),"Remote")</f>
        <v>Remote</v>
      </c>
      <c r="E624" s="3" t="str">
        <f>IFERROR(__xludf.DUMMYFUNCTION("""COMPUTED_VALUE"""),"$92k - $203k")</f>
        <v>$92k - $203k</v>
      </c>
      <c r="F624" s="1" t="str">
        <f>IFERROR(__xludf.DUMMYFUNCTION("""COMPUTED_VALUE"""),"6 - 9")</f>
        <v>6 - 9</v>
      </c>
      <c r="G624" s="1" t="str">
        <f>IFERROR(__xludf.DUMMYFUNCTION("""COMPUTED_VALUE"""),"USA")</f>
        <v>USA</v>
      </c>
      <c r="H624" s="4" t="str">
        <f>IFERROR(__xludf.DUMMYFUNCTION("""COMPUTED_VALUE"""),"https://www.linkedin.com/posts/activity-7232451332375289857-5nw-?utm_source=share&amp;utm_medium=member_desktop")</f>
        <v>https://www.linkedin.com/posts/activity-7232451332375289857-5nw-?utm_source=share&amp;utm_medium=member_desktop</v>
      </c>
    </row>
    <row r="625">
      <c r="A625" s="2">
        <f>IFERROR(__xludf.DUMMYFUNCTION("""COMPUTED_VALUE"""),45526.0)</f>
        <v>45526</v>
      </c>
      <c r="B625" s="1" t="str">
        <f>IFERROR(__xludf.DUMMYFUNCTION("""COMPUTED_VALUE"""),"DataKind")</f>
        <v>DataKind</v>
      </c>
      <c r="C625" s="1" t="str">
        <f>IFERROR(__xludf.DUMMYFUNCTION("""COMPUTED_VALUE"""),"Data Engineer (Remote)")</f>
        <v>Data Engineer (Remote)</v>
      </c>
      <c r="D625" s="1" t="str">
        <f>IFERROR(__xludf.DUMMYFUNCTION("""COMPUTED_VALUE"""),"Remote")</f>
        <v>Remote</v>
      </c>
      <c r="E625" s="3" t="str">
        <f>IFERROR(__xludf.DUMMYFUNCTION("""COMPUTED_VALUE"""),"$106k - $120k")</f>
        <v>$106k - $120k</v>
      </c>
      <c r="F625" s="1" t="str">
        <f>IFERROR(__xludf.DUMMYFUNCTION("""COMPUTED_VALUE"""),"3 - 5")</f>
        <v>3 - 5</v>
      </c>
      <c r="G625" s="1" t="str">
        <f>IFERROR(__xludf.DUMMYFUNCTION("""COMPUTED_VALUE"""),"USA")</f>
        <v>USA</v>
      </c>
      <c r="H625" s="4" t="str">
        <f>IFERROR(__xludf.DUMMYFUNCTION("""COMPUTED_VALUE"""),"https://www.linkedin.com/posts/rachellaurynwells_data-scientist-remote-activity-7232418734903078912-D4jj?utm_source=share&amp;utm_medium=member_desktop")</f>
        <v>https://www.linkedin.com/posts/rachellaurynwells_data-scientist-remote-activity-7232418734903078912-D4jj?utm_source=share&amp;utm_medium=member_desktop</v>
      </c>
    </row>
    <row r="626">
      <c r="A626" s="2">
        <f>IFERROR(__xludf.DUMMYFUNCTION("""COMPUTED_VALUE"""),45526.0)</f>
        <v>45526</v>
      </c>
      <c r="B626" s="1" t="str">
        <f>IFERROR(__xludf.DUMMYFUNCTION("""COMPUTED_VALUE"""),"DataKind")</f>
        <v>DataKind</v>
      </c>
      <c r="C626" s="1" t="str">
        <f>IFERROR(__xludf.DUMMYFUNCTION("""COMPUTED_VALUE"""),"Data Scientist (Remote)")</f>
        <v>Data Scientist (Remote)</v>
      </c>
      <c r="D626" s="1" t="str">
        <f>IFERROR(__xludf.DUMMYFUNCTION("""COMPUTED_VALUE"""),"Remote")</f>
        <v>Remote</v>
      </c>
      <c r="E626" s="3" t="str">
        <f>IFERROR(__xludf.DUMMYFUNCTION("""COMPUTED_VALUE"""),"$106k - $120k")</f>
        <v>$106k - $120k</v>
      </c>
      <c r="F626" s="1" t="str">
        <f>IFERROR(__xludf.DUMMYFUNCTION("""COMPUTED_VALUE"""),"3 - 5")</f>
        <v>3 - 5</v>
      </c>
      <c r="G626" s="1" t="str">
        <f>IFERROR(__xludf.DUMMYFUNCTION("""COMPUTED_VALUE"""),"USA")</f>
        <v>USA</v>
      </c>
      <c r="H626" s="4" t="str">
        <f>IFERROR(__xludf.DUMMYFUNCTION("""COMPUTED_VALUE"""),"https://www.linkedin.com/posts/rachellaurynwells_data-scientist-remote-activity-7232418734903078912-D4jj?utm_source=share&amp;utm_medium=member_desktop")</f>
        <v>https://www.linkedin.com/posts/rachellaurynwells_data-scientist-remote-activity-7232418734903078912-D4jj?utm_source=share&amp;utm_medium=member_desktop</v>
      </c>
    </row>
    <row r="627">
      <c r="A627" s="2">
        <f>IFERROR(__xludf.DUMMYFUNCTION("""COMPUTED_VALUE"""),45526.0)</f>
        <v>45526</v>
      </c>
      <c r="B627" s="1" t="str">
        <f>IFERROR(__xludf.DUMMYFUNCTION("""COMPUTED_VALUE"""),"amarra partners")</f>
        <v>amarra partners</v>
      </c>
      <c r="C627" s="1" t="str">
        <f>IFERROR(__xludf.DUMMYFUNCTION("""COMPUTED_VALUE"""),"AP Analyst")</f>
        <v>AP Analyst</v>
      </c>
      <c r="D627" s="1" t="str">
        <f>IFERROR(__xludf.DUMMYFUNCTION("""COMPUTED_VALUE"""),"Remote")</f>
        <v>Remote</v>
      </c>
      <c r="E627" s="3" t="str">
        <f>IFERROR(__xludf.DUMMYFUNCTION("""COMPUTED_VALUE"""),"N/A")</f>
        <v>N/A</v>
      </c>
      <c r="F627" s="1" t="str">
        <f>IFERROR(__xludf.DUMMYFUNCTION("""COMPUTED_VALUE"""),"3 - 5")</f>
        <v>3 - 5</v>
      </c>
      <c r="G627" s="1" t="str">
        <f>IFERROR(__xludf.DUMMYFUNCTION("""COMPUTED_VALUE"""),"USA")</f>
        <v>USA</v>
      </c>
      <c r="H627" s="4" t="str">
        <f>IFERROR(__xludf.DUMMYFUNCTION("""COMPUTED_VALUE"""),"https://www.linkedin.com/posts/liz-van-burkleo-cpa-inactive-02465b24_100-remote-ap-analyst-job-reports-to-the-activity-7232420935738277888-Ujh9?utm_source=share&amp;utm_medium=member_desktop")</f>
        <v>https://www.linkedin.com/posts/liz-van-burkleo-cpa-inactive-02465b24_100-remote-ap-analyst-job-reports-to-the-activity-7232420935738277888-Ujh9?utm_source=share&amp;utm_medium=member_desktop</v>
      </c>
    </row>
    <row r="628">
      <c r="A628" s="2">
        <f>IFERROR(__xludf.DUMMYFUNCTION("""COMPUTED_VALUE"""),45526.0)</f>
        <v>45526</v>
      </c>
      <c r="B628" s="1" t="str">
        <f>IFERROR(__xludf.DUMMYFUNCTION("""COMPUTED_VALUE"""),"Cordis")</f>
        <v>Cordis</v>
      </c>
      <c r="C628" s="1" t="str">
        <f>IFERROR(__xludf.DUMMYFUNCTION("""COMPUTED_VALUE"""),"Strategic Pricing Sr Analyst (REMOTE)")</f>
        <v>Strategic Pricing Sr Analyst (REMOTE)</v>
      </c>
      <c r="D628" s="1" t="str">
        <f>IFERROR(__xludf.DUMMYFUNCTION("""COMPUTED_VALUE"""),"Remote")</f>
        <v>Remote</v>
      </c>
      <c r="E628" s="3" t="str">
        <f>IFERROR(__xludf.DUMMYFUNCTION("""COMPUTED_VALUE"""),"N/A")</f>
        <v>N/A</v>
      </c>
      <c r="F628" s="1" t="str">
        <f>IFERROR(__xludf.DUMMYFUNCTION("""COMPUTED_VALUE"""),"3 - 5")</f>
        <v>3 - 5</v>
      </c>
      <c r="G628" s="1" t="str">
        <f>IFERROR(__xludf.DUMMYFUNCTION("""COMPUTED_VALUE"""),"USA")</f>
        <v>USA</v>
      </c>
      <c r="H628" s="4" t="str">
        <f>IFERROR(__xludf.DUMMYFUNCTION("""COMPUTED_VALUE"""),"https://www.linkedin.com/posts/eaccook91_strategic-pricing-sr-analyst-remote-in-activity-7231732331693105154-bZLx?utm_source=share&amp;utm_medium=member_desktop")</f>
        <v>https://www.linkedin.com/posts/eaccook91_strategic-pricing-sr-analyst-remote-in-activity-7231732331693105154-bZLx?utm_source=share&amp;utm_medium=member_desktop</v>
      </c>
    </row>
    <row r="629">
      <c r="A629" s="2">
        <f>IFERROR(__xludf.DUMMYFUNCTION("""COMPUTED_VALUE"""),45526.0)</f>
        <v>45526</v>
      </c>
      <c r="B629" s="1" t="str">
        <f>IFERROR(__xludf.DUMMYFUNCTION("""COMPUTED_VALUE"""),"StandardAero")</f>
        <v>StandardAero</v>
      </c>
      <c r="C629" s="1" t="str">
        <f>IFERROR(__xludf.DUMMYFUNCTION("""COMPUTED_VALUE"""),"Senior Financial Analyst, FP&amp;A")</f>
        <v>Senior Financial Analyst, FP&amp;A</v>
      </c>
      <c r="D629" s="1" t="str">
        <f>IFERROR(__xludf.DUMMYFUNCTION("""COMPUTED_VALUE"""),"Hybrid")</f>
        <v>Hybrid</v>
      </c>
      <c r="E629" s="3" t="str">
        <f>IFERROR(__xludf.DUMMYFUNCTION("""COMPUTED_VALUE"""),"N/A")</f>
        <v>N/A</v>
      </c>
      <c r="F629" s="1" t="str">
        <f>IFERROR(__xludf.DUMMYFUNCTION("""COMPUTED_VALUE"""),"3 - 5")</f>
        <v>3 - 5</v>
      </c>
      <c r="G629" s="1" t="str">
        <f>IFERROR(__xludf.DUMMYFUNCTION("""COMPUTED_VALUE"""),"Scottsdale, AZ")</f>
        <v>Scottsdale, AZ</v>
      </c>
      <c r="H629" s="4" t="str">
        <f>IFERROR(__xludf.DUMMYFUNCTION("""COMPUTED_VALUE"""),"https://www.linkedin.com/posts/catelynchambliss_hiring-financejobs-analystjobs-activity-7232438113447415808-uy3H?utm_source=share&amp;utm_medium=member_desktop")</f>
        <v>https://www.linkedin.com/posts/catelynchambliss_hiring-financejobs-analystjobs-activity-7232438113447415808-uy3H?utm_source=share&amp;utm_medium=member_desktop</v>
      </c>
    </row>
    <row r="630">
      <c r="A630" s="2">
        <f>IFERROR(__xludf.DUMMYFUNCTION("""COMPUTED_VALUE"""),45526.0)</f>
        <v>45526</v>
      </c>
      <c r="B630" s="1" t="str">
        <f>IFERROR(__xludf.DUMMYFUNCTION("""COMPUTED_VALUE"""),"NBCUniversal")</f>
        <v>NBCUniversal</v>
      </c>
      <c r="C630" s="1" t="str">
        <f>IFERROR(__xludf.DUMMYFUNCTION("""COMPUTED_VALUE"""),"Analyst, Product &amp; Revenue Analytics")</f>
        <v>Analyst, Product &amp; Revenue Analytics</v>
      </c>
      <c r="D630" s="1" t="str">
        <f>IFERROR(__xludf.DUMMYFUNCTION("""COMPUTED_VALUE"""),"Hybrid")</f>
        <v>Hybrid</v>
      </c>
      <c r="E630" s="3" t="str">
        <f>IFERROR(__xludf.DUMMYFUNCTION("""COMPUTED_VALUE"""),"$65k - $95k")</f>
        <v>$65k - $95k</v>
      </c>
      <c r="F630" s="1" t="str">
        <f>IFERROR(__xludf.DUMMYFUNCTION("""COMPUTED_VALUE"""),"0 - 2")</f>
        <v>0 - 2</v>
      </c>
      <c r="G630" s="1" t="str">
        <f>IFERROR(__xludf.DUMMYFUNCTION("""COMPUTED_VALUE"""),"Los Angeles, CA")</f>
        <v>Los Angeles, CA</v>
      </c>
      <c r="H630" s="4" t="str">
        <f>IFERROR(__xludf.DUMMYFUNCTION("""COMPUTED_VALUE"""),"https://www.linkedin.com/posts/eric-loeb_analyst-product-revenue-analytics-activity-7232457105243295745--TOh?utm_source=share&amp;utm_medium=member_desktop")</f>
        <v>https://www.linkedin.com/posts/eric-loeb_analyst-product-revenue-analytics-activity-7232457105243295745--TOh?utm_source=share&amp;utm_medium=member_desktop</v>
      </c>
    </row>
    <row r="631">
      <c r="A631" s="2">
        <f>IFERROR(__xludf.DUMMYFUNCTION("""COMPUTED_VALUE"""),45526.0)</f>
        <v>45526</v>
      </c>
      <c r="B631" s="1" t="str">
        <f>IFERROR(__xludf.DUMMYFUNCTION("""COMPUTED_VALUE"""),"Nestle")</f>
        <v>Nestle</v>
      </c>
      <c r="C631" s="1" t="str">
        <f>IFERROR(__xludf.DUMMYFUNCTION("""COMPUTED_VALUE"""),"Strategic Revenue Management Analyst")</f>
        <v>Strategic Revenue Management Analyst</v>
      </c>
      <c r="D631" s="1" t="str">
        <f>IFERROR(__xludf.DUMMYFUNCTION("""COMPUTED_VALUE"""),"Hybrid")</f>
        <v>Hybrid</v>
      </c>
      <c r="E631" s="3" t="str">
        <f>IFERROR(__xludf.DUMMYFUNCTION("""COMPUTED_VALUE"""),"$70k - $78k")</f>
        <v>$70k - $78k</v>
      </c>
      <c r="F631" s="1" t="str">
        <f>IFERROR(__xludf.DUMMYFUNCTION("""COMPUTED_VALUE"""),"0 - 2")</f>
        <v>0 - 2</v>
      </c>
      <c r="G631" s="1" t="str">
        <f>IFERROR(__xludf.DUMMYFUNCTION("""COMPUTED_VALUE"""),"Certain Locations")</f>
        <v>Certain Locations</v>
      </c>
      <c r="H631" s="4" t="str">
        <f>IFERROR(__xludf.DUMMYFUNCTION("""COMPUTED_VALUE"""),"https://www.linkedin.com/posts/agnes-zajac-03329350_strategic-revenue-management-analyst-activity-7232494513020100610-SW47?utm_source=share&amp;utm_medium=member_desktop")</f>
        <v>https://www.linkedin.com/posts/agnes-zajac-03329350_strategic-revenue-management-analyst-activity-7232494513020100610-SW47?utm_source=share&amp;utm_medium=member_desktop</v>
      </c>
    </row>
    <row r="632">
      <c r="A632" s="2">
        <f>IFERROR(__xludf.DUMMYFUNCTION("""COMPUTED_VALUE"""),45526.0)</f>
        <v>45526</v>
      </c>
      <c r="B632" s="1" t="str">
        <f>IFERROR(__xludf.DUMMYFUNCTION("""COMPUTED_VALUE"""),"Mattel")</f>
        <v>Mattel</v>
      </c>
      <c r="C632" s="1" t="str">
        <f>IFERROR(__xludf.DUMMYFUNCTION("""COMPUTED_VALUE"""),"Sr Data Analyst (Visualization)")</f>
        <v>Sr Data Analyst (Visualization)</v>
      </c>
      <c r="D632" s="1" t="str">
        <f>IFERROR(__xludf.DUMMYFUNCTION("""COMPUTED_VALUE"""),"Hybrid")</f>
        <v>Hybrid</v>
      </c>
      <c r="E632" s="3" t="str">
        <f>IFERROR(__xludf.DUMMYFUNCTION("""COMPUTED_VALUE"""),"$78k - $98k")</f>
        <v>$78k - $98k</v>
      </c>
      <c r="F632" s="1" t="str">
        <f>IFERROR(__xludf.DUMMYFUNCTION("""COMPUTED_VALUE"""),"3 - 5")</f>
        <v>3 - 5</v>
      </c>
      <c r="G632" s="1" t="str">
        <f>IFERROR(__xludf.DUMMYFUNCTION("""COMPUTED_VALUE"""),"El Segundo, CA")</f>
        <v>El Segundo, CA</v>
      </c>
      <c r="H632" s="4" t="str">
        <f>IFERROR(__xludf.DUMMYFUNCTION("""COMPUTED_VALUE"""),"https://www.linkedin.com/posts/shaunapplegate_sr-data-analyst-visualization-activity-7232183750887944193-syol?utm_source=share&amp;utm_medium=member_ios")</f>
        <v>https://www.linkedin.com/posts/shaunapplegate_sr-data-analyst-visualization-activity-7232183750887944193-syol?utm_source=share&amp;utm_medium=member_ios</v>
      </c>
    </row>
    <row r="633">
      <c r="A633" s="2">
        <f>IFERROR(__xludf.DUMMYFUNCTION("""COMPUTED_VALUE"""),45526.0)</f>
        <v>45526</v>
      </c>
      <c r="B633" s="1" t="str">
        <f>IFERROR(__xludf.DUMMYFUNCTION("""COMPUTED_VALUE"""),"The Home Depot")</f>
        <v>The Home Depot</v>
      </c>
      <c r="C633" s="1" t="str">
        <f>IFERROR(__xludf.DUMMYFUNCTION("""COMPUTED_VALUE"""),"Data Scientist – Customer Experience")</f>
        <v>Data Scientist – Customer Experience</v>
      </c>
      <c r="D633" s="1" t="str">
        <f>IFERROR(__xludf.DUMMYFUNCTION("""COMPUTED_VALUE"""),"Remote")</f>
        <v>Remote</v>
      </c>
      <c r="E633" s="3" t="str">
        <f>IFERROR(__xludf.DUMMYFUNCTION("""COMPUTED_VALUE"""),"$90k - $160k")</f>
        <v>$90k - $160k</v>
      </c>
      <c r="F633" s="1" t="str">
        <f>IFERROR(__xludf.DUMMYFUNCTION("""COMPUTED_VALUE"""),"3 - 5")</f>
        <v>3 - 5</v>
      </c>
      <c r="G633" s="1" t="str">
        <f>IFERROR(__xludf.DUMMYFUNCTION("""COMPUTED_VALUE"""),"USA")</f>
        <v>USA</v>
      </c>
      <c r="H633" s="4" t="str">
        <f>IFERROR(__xludf.DUMMYFUNCTION("""COMPUTED_VALUE"""),"https://www.linkedin.com/posts/corylgarner_hiring-wearethehomedepot-datascience-activity-7232383147491954688-Y_Ar?utm_source=share&amp;utm_medium=member_ios")</f>
        <v>https://www.linkedin.com/posts/corylgarner_hiring-wearethehomedepot-datascience-activity-7232383147491954688-Y_Ar?utm_source=share&amp;utm_medium=member_ios</v>
      </c>
    </row>
    <row r="634">
      <c r="A634" s="2">
        <f>IFERROR(__xludf.DUMMYFUNCTION("""COMPUTED_VALUE"""),45526.0)</f>
        <v>45526</v>
      </c>
      <c r="B634" s="1" t="str">
        <f>IFERROR(__xludf.DUMMYFUNCTION("""COMPUTED_VALUE"""),"PsychoGenics")</f>
        <v>PsychoGenics</v>
      </c>
      <c r="C634" s="1" t="str">
        <f>IFERROR(__xludf.DUMMYFUNCTION("""COMPUTED_VALUE"""),"Sr. Data Scientist")</f>
        <v>Sr. Data Scientist</v>
      </c>
      <c r="D634" s="1" t="str">
        <f>IFERROR(__xludf.DUMMYFUNCTION("""COMPUTED_VALUE"""),"On-Site")</f>
        <v>On-Site</v>
      </c>
      <c r="E634" s="3" t="str">
        <f>IFERROR(__xludf.DUMMYFUNCTION("""COMPUTED_VALUE"""),"N/A")</f>
        <v>N/A</v>
      </c>
      <c r="F634" s="1" t="str">
        <f>IFERROR(__xludf.DUMMYFUNCTION("""COMPUTED_VALUE"""),"10 +")</f>
        <v>10 +</v>
      </c>
      <c r="G634" s="1" t="str">
        <f>IFERROR(__xludf.DUMMYFUNCTION("""COMPUTED_VALUE"""),"Paramus, NJ")</f>
        <v>Paramus, NJ</v>
      </c>
      <c r="H634" s="4" t="str">
        <f>IFERROR(__xludf.DUMMYFUNCTION("""COMPUTED_VALUE"""),"https://www.linkedin.com/posts/activity-7232049512964366336-oSSr?utm_source=share&amp;utm_medium=member_desktop")</f>
        <v>https://www.linkedin.com/posts/activity-7232049512964366336-oSSr?utm_source=share&amp;utm_medium=member_desktop</v>
      </c>
    </row>
    <row r="635">
      <c r="A635" s="2">
        <f>IFERROR(__xludf.DUMMYFUNCTION("""COMPUTED_VALUE"""),45526.0)</f>
        <v>45526</v>
      </c>
      <c r="B635" s="1" t="str">
        <f>IFERROR(__xludf.DUMMYFUNCTION("""COMPUTED_VALUE"""),"Aeroflow Health")</f>
        <v>Aeroflow Health</v>
      </c>
      <c r="C635" s="1" t="str">
        <f>IFERROR(__xludf.DUMMYFUNCTION("""COMPUTED_VALUE"""),"Senior Dashboard Engineer")</f>
        <v>Senior Dashboard Engineer</v>
      </c>
      <c r="D635" s="1" t="str">
        <f>IFERROR(__xludf.DUMMYFUNCTION("""COMPUTED_VALUE"""),"Remote")</f>
        <v>Remote</v>
      </c>
      <c r="E635" s="3" t="str">
        <f>IFERROR(__xludf.DUMMYFUNCTION("""COMPUTED_VALUE"""),"N/A")</f>
        <v>N/A</v>
      </c>
      <c r="F635" s="1" t="str">
        <f>IFERROR(__xludf.DUMMYFUNCTION("""COMPUTED_VALUE"""),"6 - 9")</f>
        <v>6 - 9</v>
      </c>
      <c r="G635" s="1" t="str">
        <f>IFERROR(__xludf.DUMMYFUNCTION("""COMPUTED_VALUE"""),"USA")</f>
        <v>USA</v>
      </c>
      <c r="H635" s="4" t="str">
        <f>IFERROR(__xludf.DUMMYFUNCTION("""COMPUTED_VALUE"""),"https://www.linkedin.com/posts/cabrunton_aeroflow-is-hiring-come-to-the-data-team-activity-7232431235690606592-FRlT?utm_source=share&amp;utm_medium=member_desktop")</f>
        <v>https://www.linkedin.com/posts/cabrunton_aeroflow-is-hiring-come-to-the-data-team-activity-7232431235690606592-FRlT?utm_source=share&amp;utm_medium=member_desktop</v>
      </c>
    </row>
    <row r="636">
      <c r="A636" s="2">
        <f>IFERROR(__xludf.DUMMYFUNCTION("""COMPUTED_VALUE"""),45526.0)</f>
        <v>45526</v>
      </c>
      <c r="B636" s="1" t="str">
        <f>IFERROR(__xludf.DUMMYFUNCTION("""COMPUTED_VALUE"""),"Hazel Health")</f>
        <v>Hazel Health</v>
      </c>
      <c r="C636" s="1" t="str">
        <f>IFERROR(__xludf.DUMMYFUNCTION("""COMPUTED_VALUE"""),"Data Scientist - Ops &amp; Finance")</f>
        <v>Data Scientist - Ops &amp; Finance</v>
      </c>
      <c r="D636" s="1" t="str">
        <f>IFERROR(__xludf.DUMMYFUNCTION("""COMPUTED_VALUE"""),"Remote")</f>
        <v>Remote</v>
      </c>
      <c r="E636" s="3" t="str">
        <f>IFERROR(__xludf.DUMMYFUNCTION("""COMPUTED_VALUE"""),"$125k - $150k")</f>
        <v>$125k - $150k</v>
      </c>
      <c r="F636" s="1" t="str">
        <f>IFERROR(__xludf.DUMMYFUNCTION("""COMPUTED_VALUE"""),"6 - 9")</f>
        <v>6 - 9</v>
      </c>
      <c r="G636" s="1" t="str">
        <f>IFERROR(__xludf.DUMMYFUNCTION("""COMPUTED_VALUE"""),"Certain Locations")</f>
        <v>Certain Locations</v>
      </c>
      <c r="H636" s="4" t="str">
        <f>IFERROR(__xludf.DUMMYFUNCTION("""COMPUTED_VALUE"""),"https://www.linkedin.com/posts/jacky-tse-mphil-cantab-msw-acsw-681a4987_data-scientist-ops-finance-activity-7232536129130917888-ajBO?utm_source=share&amp;utm_medium=member_desktop")</f>
        <v>https://www.linkedin.com/posts/jacky-tse-mphil-cantab-msw-acsw-681a4987_data-scientist-ops-finance-activity-7232536129130917888-ajBO?utm_source=share&amp;utm_medium=member_desktop</v>
      </c>
    </row>
    <row r="637">
      <c r="A637" s="2">
        <f>IFERROR(__xludf.DUMMYFUNCTION("""COMPUTED_VALUE"""),45526.0)</f>
        <v>45526</v>
      </c>
      <c r="B637" s="1" t="str">
        <f>IFERROR(__xludf.DUMMYFUNCTION("""COMPUTED_VALUE"""),"Hazel Health")</f>
        <v>Hazel Health</v>
      </c>
      <c r="C637" s="1" t="str">
        <f>IFERROR(__xludf.DUMMYFUNCTION("""COMPUTED_VALUE"""),"Data Scientist - Impact Research")</f>
        <v>Data Scientist - Impact Research</v>
      </c>
      <c r="D637" s="1" t="str">
        <f>IFERROR(__xludf.DUMMYFUNCTION("""COMPUTED_VALUE"""),"Remote")</f>
        <v>Remote</v>
      </c>
      <c r="E637" s="3" t="str">
        <f>IFERROR(__xludf.DUMMYFUNCTION("""COMPUTED_VALUE"""),"$125k - $150k")</f>
        <v>$125k - $150k</v>
      </c>
      <c r="F637" s="1" t="str">
        <f>IFERROR(__xludf.DUMMYFUNCTION("""COMPUTED_VALUE"""),"6 - 9")</f>
        <v>6 - 9</v>
      </c>
      <c r="G637" s="1" t="str">
        <f>IFERROR(__xludf.DUMMYFUNCTION("""COMPUTED_VALUE"""),"Certain Locations")</f>
        <v>Certain Locations</v>
      </c>
      <c r="H637" s="4" t="str">
        <f>IFERROR(__xludf.DUMMYFUNCTION("""COMPUTED_VALUE"""),"https://www.linkedin.com/posts/jacky-tse-mphil-cantab-msw-acsw-681a4987_data-scientist-ops-finance-activity-7232536129130917888-ajBO?utm_source=share&amp;utm_medium=member_desktop")</f>
        <v>https://www.linkedin.com/posts/jacky-tse-mphil-cantab-msw-acsw-681a4987_data-scientist-ops-finance-activity-7232536129130917888-ajBO?utm_source=share&amp;utm_medium=member_desktop</v>
      </c>
    </row>
    <row r="638">
      <c r="A638" s="2">
        <f>IFERROR(__xludf.DUMMYFUNCTION("""COMPUTED_VALUE"""),45526.0)</f>
        <v>45526</v>
      </c>
      <c r="B638" s="1" t="str">
        <f>IFERROR(__xludf.DUMMYFUNCTION("""COMPUTED_VALUE"""),"American Airlines")</f>
        <v>American Airlines</v>
      </c>
      <c r="C638" s="1" t="str">
        <f>IFERROR(__xludf.DUMMYFUNCTION("""COMPUTED_VALUE"""),"Analyst/Sr Analyst, Digital Experimentation")</f>
        <v>Analyst/Sr Analyst, Digital Experimentation</v>
      </c>
      <c r="D638" s="1" t="str">
        <f>IFERROR(__xludf.DUMMYFUNCTION("""COMPUTED_VALUE"""),"On-Site")</f>
        <v>On-Site</v>
      </c>
      <c r="E638" s="3" t="str">
        <f>IFERROR(__xludf.DUMMYFUNCTION("""COMPUTED_VALUE"""),"N/A")</f>
        <v>N/A</v>
      </c>
      <c r="F638" s="1" t="str">
        <f>IFERROR(__xludf.DUMMYFUNCTION("""COMPUTED_VALUE"""),"3 - 5")</f>
        <v>3 - 5</v>
      </c>
      <c r="G638" s="1" t="str">
        <f>IFERROR(__xludf.DUMMYFUNCTION("""COMPUTED_VALUE"""),"Dallas, TX")</f>
        <v>Dallas, TX</v>
      </c>
      <c r="H638" s="4" t="str">
        <f>IFERROR(__xludf.DUMMYFUNCTION("""COMPUTED_VALUE"""),"https://www.linkedin.com/posts/emilybelote_analystsr-analyst-digital-experimentation-activity-7232438484941107201-CZw6?utm_source=share&amp;utm_medium=member_desktop")</f>
        <v>https://www.linkedin.com/posts/emilybelote_analystsr-analyst-digital-experimentation-activity-7232438484941107201-CZw6?utm_source=share&amp;utm_medium=member_desktop</v>
      </c>
    </row>
    <row r="639">
      <c r="A639" s="2">
        <f>IFERROR(__xludf.DUMMYFUNCTION("""COMPUTED_VALUE"""),45526.0)</f>
        <v>45526</v>
      </c>
      <c r="B639" s="1" t="str">
        <f>IFERROR(__xludf.DUMMYFUNCTION("""COMPUTED_VALUE"""),"Hazel Health")</f>
        <v>Hazel Health</v>
      </c>
      <c r="C639" s="1" t="str">
        <f>IFERROR(__xludf.DUMMYFUNCTION("""COMPUTED_VALUE"""),"Sr Analyst - Operations + Finance")</f>
        <v>Sr Analyst - Operations + Finance</v>
      </c>
      <c r="D639" s="1" t="str">
        <f>IFERROR(__xludf.DUMMYFUNCTION("""COMPUTED_VALUE"""),"Remote")</f>
        <v>Remote</v>
      </c>
      <c r="E639" s="3" t="str">
        <f>IFERROR(__xludf.DUMMYFUNCTION("""COMPUTED_VALUE"""),"$100k - $120k")</f>
        <v>$100k - $120k</v>
      </c>
      <c r="F639" s="1" t="str">
        <f>IFERROR(__xludf.DUMMYFUNCTION("""COMPUTED_VALUE"""),"3 - 5")</f>
        <v>3 - 5</v>
      </c>
      <c r="G639" s="1" t="str">
        <f>IFERROR(__xludf.DUMMYFUNCTION("""COMPUTED_VALUE"""),"Certain Locations")</f>
        <v>Certain Locations</v>
      </c>
      <c r="H639" s="4" t="str">
        <f>IFERROR(__xludf.DUMMYFUNCTION("""COMPUTED_VALUE"""),"https://www.linkedin.com/posts/jacky-tse-mphil-cantab-msw-acsw-681a4987_data-scientist-ops-finance-activity-7232536129130917888-ajBO?utm_source=share&amp;utm_medium=member_desktop")</f>
        <v>https://www.linkedin.com/posts/jacky-tse-mphil-cantab-msw-acsw-681a4987_data-scientist-ops-finance-activity-7232536129130917888-ajBO?utm_source=share&amp;utm_medium=member_desktop</v>
      </c>
    </row>
    <row r="640">
      <c r="A640" s="2">
        <f>IFERROR(__xludf.DUMMYFUNCTION("""COMPUTED_VALUE"""),45526.0)</f>
        <v>45526</v>
      </c>
      <c r="B640" s="1" t="str">
        <f>IFERROR(__xludf.DUMMYFUNCTION("""COMPUTED_VALUE"""),"Worldpay")</f>
        <v>Worldpay</v>
      </c>
      <c r="C640" s="1" t="str">
        <f>IFERROR(__xludf.DUMMYFUNCTION("""COMPUTED_VALUE"""),"Data Analyst - Merchant Services")</f>
        <v>Data Analyst - Merchant Services</v>
      </c>
      <c r="D640" s="1" t="str">
        <f>IFERROR(__xludf.DUMMYFUNCTION("""COMPUTED_VALUE"""),"Hybrid")</f>
        <v>Hybrid</v>
      </c>
      <c r="E640" s="3" t="str">
        <f>IFERROR(__xludf.DUMMYFUNCTION("""COMPUTED_VALUE"""),"N/A")</f>
        <v>N/A</v>
      </c>
      <c r="F640" s="1" t="str">
        <f>IFERROR(__xludf.DUMMYFUNCTION("""COMPUTED_VALUE"""),"3 - 5")</f>
        <v>3 - 5</v>
      </c>
      <c r="G640" s="1" t="str">
        <f>IFERROR(__xludf.DUMMYFUNCTION("""COMPUTED_VALUE"""),"San Francisco, CA/Denver, CO")</f>
        <v>San Francisco, CA/Denver, CO</v>
      </c>
      <c r="H640" s="4" t="str">
        <f>IFERROR(__xludf.DUMMYFUNCTION("""COMPUTED_VALUE"""),"https://www.linkedin.com/posts/brant-peterson-6212056_data-analyst-merchant-services-activity-7232420657777532931-0C9Q?utm_source=share&amp;utm_medium=member_desktop")</f>
        <v>https://www.linkedin.com/posts/brant-peterson-6212056_data-analyst-merchant-services-activity-7232420657777532931-0C9Q?utm_source=share&amp;utm_medium=member_desktop</v>
      </c>
    </row>
    <row r="641">
      <c r="A641" s="2">
        <f>IFERROR(__xludf.DUMMYFUNCTION("""COMPUTED_VALUE"""),45526.0)</f>
        <v>45526</v>
      </c>
      <c r="B641" s="1" t="str">
        <f>IFERROR(__xludf.DUMMYFUNCTION("""COMPUTED_VALUE"""),"Walt Disney World")</f>
        <v>Walt Disney World</v>
      </c>
      <c r="C641" s="1" t="str">
        <f>IFERROR(__xludf.DUMMYFUNCTION("""COMPUTED_VALUE"""),"Senior Customer Experience Analyst")</f>
        <v>Senior Customer Experience Analyst</v>
      </c>
      <c r="D641" s="1" t="str">
        <f>IFERROR(__xludf.DUMMYFUNCTION("""COMPUTED_VALUE"""),"On-Site")</f>
        <v>On-Site</v>
      </c>
      <c r="E641" s="3" t="str">
        <f>IFERROR(__xludf.DUMMYFUNCTION("""COMPUTED_VALUE"""),"N/A")</f>
        <v>N/A</v>
      </c>
      <c r="F641" s="1" t="str">
        <f>IFERROR(__xludf.DUMMYFUNCTION("""COMPUTED_VALUE"""),"0 - 2")</f>
        <v>0 - 2</v>
      </c>
      <c r="G641" s="1" t="str">
        <f>IFERROR(__xludf.DUMMYFUNCTION("""COMPUTED_VALUE"""),"Lake Buena Vista, FL")</f>
        <v>Lake Buena Vista, FL</v>
      </c>
      <c r="H641" s="4" t="str">
        <f>IFERROR(__xludf.DUMMYFUNCTION("""COMPUTED_VALUE"""),"https://www.linkedin.com/posts/activity-7232489758008963072-uqd_?utm_source=share&amp;utm_medium=member_desktop")</f>
        <v>https://www.linkedin.com/posts/activity-7232489758008963072-uqd_?utm_source=share&amp;utm_medium=member_desktop</v>
      </c>
    </row>
    <row r="642">
      <c r="A642" s="2">
        <f>IFERROR(__xludf.DUMMYFUNCTION("""COMPUTED_VALUE"""),45526.0)</f>
        <v>45526</v>
      </c>
      <c r="B642" s="1" t="str">
        <f>IFERROR(__xludf.DUMMYFUNCTION("""COMPUTED_VALUE"""),"Gap Inc.")</f>
        <v>Gap Inc.</v>
      </c>
      <c r="C642" s="1" t="str">
        <f>IFERROR(__xludf.DUMMYFUNCTION("""COMPUTED_VALUE"""),"Senior Data Scientist - Customer Data (San Francisco)")</f>
        <v>Senior Data Scientist - Customer Data (San Francisco)</v>
      </c>
      <c r="D642" s="1" t="str">
        <f>IFERROR(__xludf.DUMMYFUNCTION("""COMPUTED_VALUE"""),"On-Site")</f>
        <v>On-Site</v>
      </c>
      <c r="E642" s="3" t="str">
        <f>IFERROR(__xludf.DUMMYFUNCTION("""COMPUTED_VALUE"""),"$170k - $226k")</f>
        <v>$170k - $226k</v>
      </c>
      <c r="F642" s="1" t="str">
        <f>IFERROR(__xludf.DUMMYFUNCTION("""COMPUTED_VALUE"""),"3 - 5")</f>
        <v>3 - 5</v>
      </c>
      <c r="G642" s="1" t="str">
        <f>IFERROR(__xludf.DUMMYFUNCTION("""COMPUTED_VALUE"""),"San Francisco, CA")</f>
        <v>San Francisco, CA</v>
      </c>
      <c r="H642" s="4" t="str">
        <f>IFERROR(__xludf.DUMMYFUNCTION("""COMPUTED_VALUE"""),"https://www.linkedin.com/posts/heather-hautla-a1504a6_senior-data-scientist-customer-data-san-activity-7232398994449047553-3mnn?utm_source=share&amp;utm_medium=member_ios")</f>
        <v>https://www.linkedin.com/posts/heather-hautla-a1504a6_senior-data-scientist-customer-data-san-activity-7232398994449047553-3mnn?utm_source=share&amp;utm_medium=member_ios</v>
      </c>
    </row>
    <row r="643">
      <c r="A643" s="2">
        <f>IFERROR(__xludf.DUMMYFUNCTION("""COMPUTED_VALUE"""),45526.0)</f>
        <v>45526</v>
      </c>
      <c r="B643" s="1" t="str">
        <f>IFERROR(__xludf.DUMMYFUNCTION("""COMPUTED_VALUE"""),"Mayo Clinic")</f>
        <v>Mayo Clinic</v>
      </c>
      <c r="C643" s="1" t="str">
        <f>IFERROR(__xludf.DUMMYFUNCTION("""COMPUTED_VALUE"""),"Senior Data Quality Analyst - Workforce Exp for Data Inf. - CDH")</f>
        <v>Senior Data Quality Analyst - Workforce Exp for Data Inf. - CDH</v>
      </c>
      <c r="D643" s="1" t="str">
        <f>IFERROR(__xludf.DUMMYFUNCTION("""COMPUTED_VALUE"""),"Remote")</f>
        <v>Remote</v>
      </c>
      <c r="E643" s="3" t="str">
        <f>IFERROR(__xludf.DUMMYFUNCTION("""COMPUTED_VALUE"""),"$98k - $137k")</f>
        <v>$98k - $137k</v>
      </c>
      <c r="F643" s="1" t="str">
        <f>IFERROR(__xludf.DUMMYFUNCTION("""COMPUTED_VALUE"""),"6 - 9")</f>
        <v>6 - 9</v>
      </c>
      <c r="G643" s="1" t="str">
        <f>IFERROR(__xludf.DUMMYFUNCTION("""COMPUTED_VALUE"""),"USA")</f>
        <v>USA</v>
      </c>
      <c r="H643" s="4" t="str">
        <f>IFERROR(__xludf.DUMMYFUNCTION("""COMPUTED_VALUE"""),"https://www.linkedin.com/posts/kellythomp90_senior-data-quality-analyst-workforce-exp-activity-7232488103599296513-jNIy?utm_source=share&amp;utm_medium=member_desktop")</f>
        <v>https://www.linkedin.com/posts/kellythomp90_senior-data-quality-analyst-workforce-exp-activity-7232488103599296513-jNIy?utm_source=share&amp;utm_medium=member_desktop</v>
      </c>
    </row>
    <row r="644">
      <c r="A644" s="2">
        <f>IFERROR(__xludf.DUMMYFUNCTION("""COMPUTED_VALUE"""),45526.0)</f>
        <v>45526</v>
      </c>
      <c r="B644" s="1" t="str">
        <f>IFERROR(__xludf.DUMMYFUNCTION("""COMPUTED_VALUE"""),"Republic Services")</f>
        <v>Republic Services</v>
      </c>
      <c r="C644" s="1" t="str">
        <f>IFERROR(__xludf.DUMMYFUNCTION("""COMPUTED_VALUE"""),"Sr. Procurement Analyst")</f>
        <v>Sr. Procurement Analyst</v>
      </c>
      <c r="D644" s="1" t="str">
        <f>IFERROR(__xludf.DUMMYFUNCTION("""COMPUTED_VALUE"""),"Remote")</f>
        <v>Remote</v>
      </c>
      <c r="E644" s="3" t="str">
        <f>IFERROR(__xludf.DUMMYFUNCTION("""COMPUTED_VALUE"""),"N/A")</f>
        <v>N/A</v>
      </c>
      <c r="F644" s="1" t="str">
        <f>IFERROR(__xludf.DUMMYFUNCTION("""COMPUTED_VALUE"""),"3 - 5")</f>
        <v>3 - 5</v>
      </c>
      <c r="G644" s="1" t="str">
        <f>IFERROR(__xludf.DUMMYFUNCTION("""COMPUTED_VALUE"""),"AZ")</f>
        <v>AZ</v>
      </c>
      <c r="H644" s="4" t="str">
        <f>IFERROR(__xludf.DUMMYFUNCTION("""COMPUTED_VALUE"""),"https://www.linkedin.com/posts/teresa-o-field-21890326_sr-procurement-analyst-activity-7232130779810607104-u2n3?utm_source=share&amp;utm_medium=member_desktop")</f>
        <v>https://www.linkedin.com/posts/teresa-o-field-21890326_sr-procurement-analyst-activity-7232130779810607104-u2n3?utm_source=share&amp;utm_medium=member_desktop</v>
      </c>
    </row>
    <row r="645">
      <c r="A645" s="2">
        <f>IFERROR(__xludf.DUMMYFUNCTION("""COMPUTED_VALUE"""),45526.0)</f>
        <v>45526</v>
      </c>
      <c r="B645" s="1" t="str">
        <f>IFERROR(__xludf.DUMMYFUNCTION("""COMPUTED_VALUE"""),"Intermountain Health")</f>
        <v>Intermountain Health</v>
      </c>
      <c r="C645" s="1" t="str">
        <f>IFERROR(__xludf.DUMMYFUNCTION("""COMPUTED_VALUE"""),"Senior Business Reporting Analyst")</f>
        <v>Senior Business Reporting Analyst</v>
      </c>
      <c r="D645" s="1" t="str">
        <f>IFERROR(__xludf.DUMMYFUNCTION("""COMPUTED_VALUE"""),"Remote")</f>
        <v>Remote</v>
      </c>
      <c r="E645" s="3" t="str">
        <f>IFERROR(__xludf.DUMMYFUNCTION("""COMPUTED_VALUE"""),"$36/hr - $57/hr")</f>
        <v>$36/hr - $57/hr</v>
      </c>
      <c r="F645" s="1" t="str">
        <f>IFERROR(__xludf.DUMMYFUNCTION("""COMPUTED_VALUE"""),"3 - 5")</f>
        <v>3 - 5</v>
      </c>
      <c r="G645" s="1" t="str">
        <f>IFERROR(__xludf.DUMMYFUNCTION("""COMPUTED_VALUE"""),"USA")</f>
        <v>USA</v>
      </c>
      <c r="H645" s="4" t="str">
        <f>IFERROR(__xludf.DUMMYFUNCTION("""COMPUTED_VALUE"""),"https://www.linkedin.com/posts/zachary-reed-11994610_senior-business-reporting-analyst-activity-7232466104005050368-lh6m?utm_source=share&amp;utm_medium=member_desktop")</f>
        <v>https://www.linkedin.com/posts/zachary-reed-11994610_senior-business-reporting-analyst-activity-7232466104005050368-lh6m?utm_source=share&amp;utm_medium=member_desktop</v>
      </c>
    </row>
    <row r="646">
      <c r="A646" s="2">
        <f>IFERROR(__xludf.DUMMYFUNCTION("""COMPUTED_VALUE"""),45526.0)</f>
        <v>45526</v>
      </c>
      <c r="B646" s="1" t="str">
        <f>IFERROR(__xludf.DUMMYFUNCTION("""COMPUTED_VALUE"""),"University of Pennsylvania")</f>
        <v>University of Pennsylvania</v>
      </c>
      <c r="C646" s="1" t="str">
        <f>IFERROR(__xludf.DUMMYFUNCTION("""COMPUTED_VALUE"""),"Research Analyst, Wharton AI &amp; Analytics Initiative")</f>
        <v>Research Analyst, Wharton AI &amp; Analytics Initiative</v>
      </c>
      <c r="D646" s="1" t="str">
        <f>IFERROR(__xludf.DUMMYFUNCTION("""COMPUTED_VALUE"""),"Hybrid")</f>
        <v>Hybrid</v>
      </c>
      <c r="E646" s="3" t="str">
        <f>IFERROR(__xludf.DUMMYFUNCTION("""COMPUTED_VALUE"""),"$74k - $95k")</f>
        <v>$74k - $95k</v>
      </c>
      <c r="F646" s="1" t="str">
        <f>IFERROR(__xludf.DUMMYFUNCTION("""COMPUTED_VALUE"""),"6 - 9")</f>
        <v>6 - 9</v>
      </c>
      <c r="G646" s="1" t="str">
        <f>IFERROR(__xludf.DUMMYFUNCTION("""COMPUTED_VALUE"""),"Philadelphia, PA")</f>
        <v>Philadelphia, PA</v>
      </c>
      <c r="H646" s="4" t="str">
        <f>IFERROR(__xludf.DUMMYFUNCTION("""COMPUTED_VALUE"""),"https://www.linkedin.com/posts/brandonkrakowsky_research-analyst-wharton-ai-analytics-activity-7232471017548324864-8LXO?utm_source=share&amp;utm_medium=member_desktop")</f>
        <v>https://www.linkedin.com/posts/brandonkrakowsky_research-analyst-wharton-ai-analytics-activity-7232471017548324864-8LXO?utm_source=share&amp;utm_medium=member_desktop</v>
      </c>
    </row>
    <row r="647">
      <c r="A647" s="2">
        <f>IFERROR(__xludf.DUMMYFUNCTION("""COMPUTED_VALUE"""),45526.0)</f>
        <v>45526</v>
      </c>
      <c r="B647" s="1" t="str">
        <f>IFERROR(__xludf.DUMMYFUNCTION("""COMPUTED_VALUE"""),"TurboTenant")</f>
        <v>TurboTenant</v>
      </c>
      <c r="C647" s="1" t="str">
        <f>IFERROR(__xludf.DUMMYFUNCTION("""COMPUTED_VALUE"""),"Marketing Data Analyst")</f>
        <v>Marketing Data Analyst</v>
      </c>
      <c r="D647" s="1" t="str">
        <f>IFERROR(__xludf.DUMMYFUNCTION("""COMPUTED_VALUE"""),"Hybrid")</f>
        <v>Hybrid</v>
      </c>
      <c r="E647" s="3" t="str">
        <f>IFERROR(__xludf.DUMMYFUNCTION("""COMPUTED_VALUE"""),"$91k - $99k")</f>
        <v>$91k - $99k</v>
      </c>
      <c r="F647" s="1" t="str">
        <f>IFERROR(__xludf.DUMMYFUNCTION("""COMPUTED_VALUE"""),"3 - 5")</f>
        <v>3 - 5</v>
      </c>
      <c r="G647" s="1" t="str">
        <f>IFERROR(__xludf.DUMMYFUNCTION("""COMPUTED_VALUE"""),"Denver, CO")</f>
        <v>Denver, CO</v>
      </c>
      <c r="H647" s="4" t="str">
        <f>IFERROR(__xludf.DUMMYFUNCTION("""COMPUTED_VALUE"""),"https://www.linkedin.com/posts/tori-kallerud1996_come-join-our-data-analytics-team-at-turbotenant-activity-7232393578772099072-ew2s?utm_source=share&amp;utm_medium=member_desktop")</f>
        <v>https://www.linkedin.com/posts/tori-kallerud1996_come-join-our-data-analytics-team-at-turbotenant-activity-7232393578772099072-ew2s?utm_source=share&amp;utm_medium=member_desktop</v>
      </c>
    </row>
    <row r="648">
      <c r="A648" s="2">
        <f>IFERROR(__xludf.DUMMYFUNCTION("""COMPUTED_VALUE"""),45526.0)</f>
        <v>45526</v>
      </c>
      <c r="B648" s="1" t="str">
        <f>IFERROR(__xludf.DUMMYFUNCTION("""COMPUTED_VALUE"""),"DataKind")</f>
        <v>DataKind</v>
      </c>
      <c r="C648" s="1" t="str">
        <f>IFERROR(__xludf.DUMMYFUNCTION("""COMPUTED_VALUE"""),"Data Analyst")</f>
        <v>Data Analyst</v>
      </c>
      <c r="D648" s="1" t="str">
        <f>IFERROR(__xludf.DUMMYFUNCTION("""COMPUTED_VALUE"""),"Remote")</f>
        <v>Remote</v>
      </c>
      <c r="E648" s="3" t="str">
        <f>IFERROR(__xludf.DUMMYFUNCTION("""COMPUTED_VALUE"""),"$89k - $99k")</f>
        <v>$89k - $99k</v>
      </c>
      <c r="F648" s="1" t="str">
        <f>IFERROR(__xludf.DUMMYFUNCTION("""COMPUTED_VALUE"""),"0 - 2")</f>
        <v>0 - 2</v>
      </c>
      <c r="G648" s="1" t="str">
        <f>IFERROR(__xludf.DUMMYFUNCTION("""COMPUTED_VALUE"""),"USA")</f>
        <v>USA</v>
      </c>
      <c r="H648" s="4" t="str">
        <f>IFERROR(__xludf.DUMMYFUNCTION("""COMPUTED_VALUE"""),"https://www.linkedin.com/posts/rachellaurynwells_data-scientist-remote-activity-7232418734903078912-D4jj?utm_source=share&amp;utm_medium=member_desktop")</f>
        <v>https://www.linkedin.com/posts/rachellaurynwells_data-scientist-remote-activity-7232418734903078912-D4jj?utm_source=share&amp;utm_medium=member_desktop</v>
      </c>
    </row>
    <row r="649">
      <c r="A649" s="2">
        <f>IFERROR(__xludf.DUMMYFUNCTION("""COMPUTED_VALUE"""),45526.0)</f>
        <v>45526</v>
      </c>
      <c r="B649" s="1" t="str">
        <f>IFERROR(__xludf.DUMMYFUNCTION("""COMPUTED_VALUE"""),"CALIBRATE")</f>
        <v>CALIBRATE</v>
      </c>
      <c r="C649" s="1" t="str">
        <f>IFERROR(__xludf.DUMMYFUNCTION("""COMPUTED_VALUE"""),"Analyst")</f>
        <v>Analyst</v>
      </c>
      <c r="D649" s="1" t="str">
        <f>IFERROR(__xludf.DUMMYFUNCTION("""COMPUTED_VALUE"""),"Remote")</f>
        <v>Remote</v>
      </c>
      <c r="E649" s="3" t="str">
        <f>IFERROR(__xludf.DUMMYFUNCTION("""COMPUTED_VALUE"""),"N/A")</f>
        <v>N/A</v>
      </c>
      <c r="F649" s="1" t="str">
        <f>IFERROR(__xludf.DUMMYFUNCTION("""COMPUTED_VALUE"""),"0 - 2")</f>
        <v>0 - 2</v>
      </c>
      <c r="G649" s="1" t="str">
        <f>IFERROR(__xludf.DUMMYFUNCTION("""COMPUTED_VALUE"""),"USA")</f>
        <v>USA</v>
      </c>
      <c r="H649" s="4" t="str">
        <f>IFERROR(__xludf.DUMMYFUNCTION("""COMPUTED_VALUE"""),"https://www.linkedin.com/posts/haley-jaynes-revel_hiring-hiring-jobopportunity-activity-7232378657191735297-vCCi?utm_source=share&amp;utm_medium=member_desktop")</f>
        <v>https://www.linkedin.com/posts/haley-jaynes-revel_hiring-hiring-jobopportunity-activity-7232378657191735297-vCCi?utm_source=share&amp;utm_medium=member_desktop</v>
      </c>
    </row>
    <row r="650">
      <c r="A650" s="2">
        <f>IFERROR(__xludf.DUMMYFUNCTION("""COMPUTED_VALUE"""),45526.0)</f>
        <v>45526</v>
      </c>
      <c r="B650" s="1" t="str">
        <f>IFERROR(__xludf.DUMMYFUNCTION("""COMPUTED_VALUE"""),"LatentView Analytics")</f>
        <v>LatentView Analytics</v>
      </c>
      <c r="C650" s="1" t="str">
        <f>IFERROR(__xludf.DUMMYFUNCTION("""COMPUTED_VALUE"""),"Marketing Data Analyst")</f>
        <v>Marketing Data Analyst</v>
      </c>
      <c r="D650" s="1" t="str">
        <f>IFERROR(__xludf.DUMMYFUNCTION("""COMPUTED_VALUE"""),"On-Site")</f>
        <v>On-Site</v>
      </c>
      <c r="E650" s="3" t="str">
        <f>IFERROR(__xludf.DUMMYFUNCTION("""COMPUTED_VALUE"""),"N/A")</f>
        <v>N/A</v>
      </c>
      <c r="F650" s="1" t="str">
        <f>IFERROR(__xludf.DUMMYFUNCTION("""COMPUTED_VALUE"""),"3 - 5")</f>
        <v>3 - 5</v>
      </c>
      <c r="G650" s="1" t="str">
        <f>IFERROR(__xludf.DUMMYFUNCTION("""COMPUTED_VALUE"""),"Toronto, ON, Canada")</f>
        <v>Toronto, ON, Canada</v>
      </c>
      <c r="H650" s="4" t="str">
        <f>IFERROR(__xludf.DUMMYFUNCTION("""COMPUTED_VALUE"""),"https://www.linkedin.com/posts/ashokbalajir_latentview-analytics-hiring-data-analyst-activity-7232147768297799680-6pAO?utm_source=share&amp;utm_medium=member_desktop")</f>
        <v>https://www.linkedin.com/posts/ashokbalajir_latentview-analytics-hiring-data-analyst-activity-7232147768297799680-6pAO?utm_source=share&amp;utm_medium=member_desktop</v>
      </c>
    </row>
    <row r="651">
      <c r="A651" s="2">
        <f>IFERROR(__xludf.DUMMYFUNCTION("""COMPUTED_VALUE"""),45526.0)</f>
        <v>45526</v>
      </c>
      <c r="B651" s="1" t="str">
        <f>IFERROR(__xludf.DUMMYFUNCTION("""COMPUTED_VALUE"""),"The Atlantic")</f>
        <v>The Atlantic</v>
      </c>
      <c r="C651" s="1" t="str">
        <f>IFERROR(__xludf.DUMMYFUNCTION("""COMPUTED_VALUE"""),"Senior Data Scientist")</f>
        <v>Senior Data Scientist</v>
      </c>
      <c r="D651" s="1" t="str">
        <f>IFERROR(__xludf.DUMMYFUNCTION("""COMPUTED_VALUE"""),"On-Site")</f>
        <v>On-Site</v>
      </c>
      <c r="E651" s="3" t="str">
        <f>IFERROR(__xludf.DUMMYFUNCTION("""COMPUTED_VALUE"""),"$100k - $150k")</f>
        <v>$100k - $150k</v>
      </c>
      <c r="F651" s="1" t="str">
        <f>IFERROR(__xludf.DUMMYFUNCTION("""COMPUTED_VALUE"""),"3 - 5")</f>
        <v>3 - 5</v>
      </c>
      <c r="G651" s="1" t="str">
        <f>IFERROR(__xludf.DUMMYFUNCTION("""COMPUTED_VALUE"""),"New York, NY/Washington D.C.")</f>
        <v>New York, NY/Washington D.C.</v>
      </c>
      <c r="H651" s="4" t="str">
        <f>IFERROR(__xludf.DUMMYFUNCTION("""COMPUTED_VALUE"""),"https://www.linkedin.com/posts/jenna-lemonias-78932865_senior-data-scientist-activity-7229119325830336513-Rpws?utm_source=share&amp;utm_medium=member_desktop")</f>
        <v>https://www.linkedin.com/posts/jenna-lemonias-78932865_senior-data-scientist-activity-7229119325830336513-Rpws?utm_source=share&amp;utm_medium=member_desktop</v>
      </c>
    </row>
    <row r="652">
      <c r="A652" s="2">
        <f>IFERROR(__xludf.DUMMYFUNCTION("""COMPUTED_VALUE"""),45526.0)</f>
        <v>45526</v>
      </c>
      <c r="B652" s="1" t="str">
        <f>IFERROR(__xludf.DUMMYFUNCTION("""COMPUTED_VALUE"""),"Uber")</f>
        <v>Uber</v>
      </c>
      <c r="C652" s="1" t="str">
        <f>IFERROR(__xludf.DUMMYFUNCTION("""COMPUTED_VALUE"""),"Scientist II - Earner")</f>
        <v>Scientist II - Earner</v>
      </c>
      <c r="D652" s="1" t="str">
        <f>IFERROR(__xludf.DUMMYFUNCTION("""COMPUTED_VALUE"""),"Hybrid")</f>
        <v>Hybrid</v>
      </c>
      <c r="E652" s="3" t="str">
        <f>IFERROR(__xludf.DUMMYFUNCTION("""COMPUTED_VALUE"""),"$149k - $165k")</f>
        <v>$149k - $165k</v>
      </c>
      <c r="F652" s="1" t="str">
        <f>IFERROR(__xludf.DUMMYFUNCTION("""COMPUTED_VALUE"""),"3 - 5")</f>
        <v>3 - 5</v>
      </c>
      <c r="G652" s="1" t="str">
        <f>IFERROR(__xludf.DUMMYFUNCTION("""COMPUTED_VALUE"""),"Certain Locations")</f>
        <v>Certain Locations</v>
      </c>
      <c r="H652" s="4" t="str">
        <f>IFERROR(__xludf.DUMMYFUNCTION("""COMPUTED_VALUE"""),"https://www.linkedin.com/posts/fei-feng-1b6aba82_hiring-a-data-scientist-based-in-seattle-activity-7231461702431596544-tytQ?utm_source=share&amp;utm_medium=member_desktop")</f>
        <v>https://www.linkedin.com/posts/fei-feng-1b6aba82_hiring-a-data-scientist-based-in-seattle-activity-7231461702431596544-tytQ?utm_source=share&amp;utm_medium=member_desktop</v>
      </c>
    </row>
    <row r="653">
      <c r="A653" s="2">
        <f>IFERROR(__xludf.DUMMYFUNCTION("""COMPUTED_VALUE"""),45526.0)</f>
        <v>45526</v>
      </c>
      <c r="B653" s="1" t="str">
        <f>IFERROR(__xludf.DUMMYFUNCTION("""COMPUTED_VALUE"""),"CHEP")</f>
        <v>CHEP</v>
      </c>
      <c r="C653" s="1" t="str">
        <f>IFERROR(__xludf.DUMMYFUNCTION("""COMPUTED_VALUE"""),"Insights Data Scientist")</f>
        <v>Insights Data Scientist</v>
      </c>
      <c r="D653" s="1" t="str">
        <f>IFERROR(__xludf.DUMMYFUNCTION("""COMPUTED_VALUE"""),"Hybrid")</f>
        <v>Hybrid</v>
      </c>
      <c r="E653" s="3" t="str">
        <f>IFERROR(__xludf.DUMMYFUNCTION("""COMPUTED_VALUE"""),"$92k")</f>
        <v>$92k</v>
      </c>
      <c r="F653" s="1" t="str">
        <f>IFERROR(__xludf.DUMMYFUNCTION("""COMPUTED_VALUE"""),"3 - 5")</f>
        <v>3 - 5</v>
      </c>
      <c r="G653" s="1" t="str">
        <f>IFERROR(__xludf.DUMMYFUNCTION("""COMPUTED_VALUE"""),"Alpharetta, GA")</f>
        <v>Alpharetta, GA</v>
      </c>
      <c r="H653" s="4" t="str">
        <f>IFERROR(__xludf.DUMMYFUNCTION("""COMPUTED_VALUE"""),"https://www.linkedin.com/posts/elimoore_hiring-activity-7232194460921516032-HBAm?utm_source=share&amp;utm_medium=member_desktop")</f>
        <v>https://www.linkedin.com/posts/elimoore_hiring-activity-7232194460921516032-HBAm?utm_source=share&amp;utm_medium=member_desktop</v>
      </c>
    </row>
    <row r="654">
      <c r="A654" s="2">
        <f>IFERROR(__xludf.DUMMYFUNCTION("""COMPUTED_VALUE"""),45526.0)</f>
        <v>45526</v>
      </c>
      <c r="B654" s="1" t="str">
        <f>IFERROR(__xludf.DUMMYFUNCTION("""COMPUTED_VALUE"""),"Bonfire Analytics")</f>
        <v>Bonfire Analytics</v>
      </c>
      <c r="C654" s="1" t="str">
        <f>IFERROR(__xludf.DUMMYFUNCTION("""COMPUTED_VALUE"""),"Data Scientist")</f>
        <v>Data Scientist</v>
      </c>
      <c r="D654" s="1" t="str">
        <f>IFERROR(__xludf.DUMMYFUNCTION("""COMPUTED_VALUE"""),"Hybrid")</f>
        <v>Hybrid</v>
      </c>
      <c r="E654" s="3" t="str">
        <f>IFERROR(__xludf.DUMMYFUNCTION("""COMPUTED_VALUE"""),"N/A")</f>
        <v>N/A</v>
      </c>
      <c r="F654" s="1" t="str">
        <f>IFERROR(__xludf.DUMMYFUNCTION("""COMPUTED_VALUE"""),"3 - 5")</f>
        <v>3 - 5</v>
      </c>
      <c r="G654" s="1" t="str">
        <f>IFERROR(__xludf.DUMMYFUNCTION("""COMPUTED_VALUE"""),"New York, NY")</f>
        <v>New York, NY</v>
      </c>
      <c r="H654" s="4" t="str">
        <f>IFERROR(__xludf.DUMMYFUNCTION("""COMPUTED_VALUE"""),"https://www.linkedin.com/posts/jaya-pokuri-bb56a370_were-hiring-for-a-healthcare-data-scientist-activity-7232053269102047234-HBMJ?utm_source=share&amp;utm_medium=member_desktop")</f>
        <v>https://www.linkedin.com/posts/jaya-pokuri-bb56a370_were-hiring-for-a-healthcare-data-scientist-activity-7232053269102047234-HBMJ?utm_source=share&amp;utm_medium=member_desktop</v>
      </c>
    </row>
    <row r="655">
      <c r="A655" s="2">
        <f>IFERROR(__xludf.DUMMYFUNCTION("""COMPUTED_VALUE"""),45526.0)</f>
        <v>45526</v>
      </c>
      <c r="B655" s="1" t="str">
        <f>IFERROR(__xludf.DUMMYFUNCTION("""COMPUTED_VALUE"""),"The Movement Cooperative")</f>
        <v>The Movement Cooperative</v>
      </c>
      <c r="C655" s="1" t="str">
        <f>IFERROR(__xludf.DUMMYFUNCTION("""COMPUTED_VALUE"""),"Data Associate")</f>
        <v>Data Associate</v>
      </c>
      <c r="D655" s="1" t="str">
        <f>IFERROR(__xludf.DUMMYFUNCTION("""COMPUTED_VALUE"""),"Remote")</f>
        <v>Remote</v>
      </c>
      <c r="E655" s="3" t="str">
        <f>IFERROR(__xludf.DUMMYFUNCTION("""COMPUTED_VALUE"""),"$70k")</f>
        <v>$70k</v>
      </c>
      <c r="F655" s="1" t="str">
        <f>IFERROR(__xludf.DUMMYFUNCTION("""COMPUTED_VALUE"""),"0 - 2")</f>
        <v>0 - 2</v>
      </c>
      <c r="G655" s="1" t="str">
        <f>IFERROR(__xludf.DUMMYFUNCTION("""COMPUTED_VALUE"""),"USA")</f>
        <v>USA</v>
      </c>
      <c r="H655" s="4" t="str">
        <f>IFERROR(__xludf.DUMMYFUNCTION("""COMPUTED_VALUE"""),"https://www.linkedin.com/posts/mauramb_the-movement-cooperative-is-hiring-a-data-ugcPost-7232059695828492289-IEF0?utm_source=share&amp;utm_medium=member_desktop")</f>
        <v>https://www.linkedin.com/posts/mauramb_the-movement-cooperative-is-hiring-a-data-ugcPost-7232059695828492289-IEF0?utm_source=share&amp;utm_medium=member_desktop</v>
      </c>
    </row>
    <row r="656">
      <c r="A656" s="2">
        <f>IFERROR(__xludf.DUMMYFUNCTION("""COMPUTED_VALUE"""),45526.0)</f>
        <v>45526</v>
      </c>
      <c r="B656" s="1" t="str">
        <f>IFERROR(__xludf.DUMMYFUNCTION("""COMPUTED_VALUE"""),"Universal Technical Institute, Inc.")</f>
        <v>Universal Technical Institute, Inc.</v>
      </c>
      <c r="C656" s="1" t="str">
        <f>IFERROR(__xludf.DUMMYFUNCTION("""COMPUTED_VALUE"""),"HR Business Analyst")</f>
        <v>HR Business Analyst</v>
      </c>
      <c r="D656" s="1" t="str">
        <f>IFERROR(__xludf.DUMMYFUNCTION("""COMPUTED_VALUE"""),"Remote")</f>
        <v>Remote</v>
      </c>
      <c r="E656" s="3" t="str">
        <f>IFERROR(__xludf.DUMMYFUNCTION("""COMPUTED_VALUE"""),"$72k - $98k")</f>
        <v>$72k - $98k</v>
      </c>
      <c r="F656" s="1" t="str">
        <f>IFERROR(__xludf.DUMMYFUNCTION("""COMPUTED_VALUE"""),"6 - 9")</f>
        <v>6 - 9</v>
      </c>
      <c r="G656" s="1" t="str">
        <f>IFERROR(__xludf.DUMMYFUNCTION("""COMPUTED_VALUE"""),"USA")</f>
        <v>USA</v>
      </c>
      <c r="H656" s="4" t="str">
        <f>IFERROR(__xludf.DUMMYFUNCTION("""COMPUTED_VALUE"""),"https://www.linkedin.com/posts/chanisemtaylor_uti-hris-ukg-activity-7232044430910787585-4-G8?utm_source=share&amp;utm_medium=member_desktop")</f>
        <v>https://www.linkedin.com/posts/chanisemtaylor_uti-hris-ukg-activity-7232044430910787585-4-G8?utm_source=share&amp;utm_medium=member_desktop</v>
      </c>
    </row>
    <row r="657">
      <c r="A657" s="2">
        <f>IFERROR(__xludf.DUMMYFUNCTION("""COMPUTED_VALUE"""),45526.0)</f>
        <v>45526</v>
      </c>
      <c r="B657" s="1" t="str">
        <f>IFERROR(__xludf.DUMMYFUNCTION("""COMPUTED_VALUE"""),"IMA Financial Group, Inc.")</f>
        <v>IMA Financial Group, Inc.</v>
      </c>
      <c r="C657" s="1" t="str">
        <f>IFERROR(__xludf.DUMMYFUNCTION("""COMPUTED_VALUE"""),"Power BI Developer")</f>
        <v>Power BI Developer</v>
      </c>
      <c r="D657" s="1" t="str">
        <f>IFERROR(__xludf.DUMMYFUNCTION("""COMPUTED_VALUE"""),"Hybrid")</f>
        <v>Hybrid</v>
      </c>
      <c r="E657" s="3" t="str">
        <f>IFERROR(__xludf.DUMMYFUNCTION("""COMPUTED_VALUE"""),"$80k - $114k")</f>
        <v>$80k - $114k</v>
      </c>
      <c r="F657" s="1" t="str">
        <f>IFERROR(__xludf.DUMMYFUNCTION("""COMPUTED_VALUE"""),"3 - 5")</f>
        <v>3 - 5</v>
      </c>
      <c r="G657" s="1" t="str">
        <f>IFERROR(__xludf.DUMMYFUNCTION("""COMPUTED_VALUE"""),"Denver, CO")</f>
        <v>Denver, CO</v>
      </c>
      <c r="H657" s="4" t="str">
        <f>IFERROR(__xludf.DUMMYFUNCTION("""COMPUTED_VALUE"""),"https://www.linkedin.com/posts/ryanahaggerty_oneima-powerbi-dax-activity-7232080159510605824-RwER?utm_source=share&amp;utm_medium=member_desktop")</f>
        <v>https://www.linkedin.com/posts/ryanahaggerty_oneima-powerbi-dax-activity-7232080159510605824-RwER?utm_source=share&amp;utm_medium=member_desktop</v>
      </c>
    </row>
    <row r="658">
      <c r="A658" s="2">
        <f>IFERROR(__xludf.DUMMYFUNCTION("""COMPUTED_VALUE"""),45526.0)</f>
        <v>45526</v>
      </c>
      <c r="B658" s="1" t="str">
        <f>IFERROR(__xludf.DUMMYFUNCTION("""COMPUTED_VALUE"""),"Christensen Farms")</f>
        <v>Christensen Farms</v>
      </c>
      <c r="C658" s="1" t="str">
        <f>IFERROR(__xludf.DUMMYFUNCTION("""COMPUTED_VALUE"""),"Data Analyst")</f>
        <v>Data Analyst</v>
      </c>
      <c r="D658" s="1" t="str">
        <f>IFERROR(__xludf.DUMMYFUNCTION("""COMPUTED_VALUE"""),"On-Site")</f>
        <v>On-Site</v>
      </c>
      <c r="E658" s="3" t="str">
        <f>IFERROR(__xludf.DUMMYFUNCTION("""COMPUTED_VALUE"""),"N/A")</f>
        <v>N/A</v>
      </c>
      <c r="F658" s="1" t="str">
        <f>IFERROR(__xludf.DUMMYFUNCTION("""COMPUTED_VALUE"""),"3 - 5")</f>
        <v>3 - 5</v>
      </c>
      <c r="G658" s="1" t="str">
        <f>IFERROR(__xludf.DUMMYFUNCTION("""COMPUTED_VALUE"""),"Sleepy Eye, MN")</f>
        <v>Sleepy Eye, MN</v>
      </c>
      <c r="H658" s="4" t="str">
        <f>IFERROR(__xludf.DUMMYFUNCTION("""COMPUTED_VALUE"""),"https://www.linkedin.com/posts/sonika-shrestha_data-analyst-sleepy-eye-mn-activity-7232354539306110976-VeVc?utm_source=share&amp;utm_medium=member_desktop")</f>
        <v>https://www.linkedin.com/posts/sonika-shrestha_data-analyst-sleepy-eye-mn-activity-7232354539306110976-VeVc?utm_source=share&amp;utm_medium=member_desktop</v>
      </c>
    </row>
    <row r="659">
      <c r="A659" s="2">
        <f>IFERROR(__xludf.DUMMYFUNCTION("""COMPUTED_VALUE"""),45526.0)</f>
        <v>45526</v>
      </c>
      <c r="B659" s="1" t="str">
        <f>IFERROR(__xludf.DUMMYFUNCTION("""COMPUTED_VALUE"""),"Amazon")</f>
        <v>Amazon</v>
      </c>
      <c r="C659" s="1" t="str">
        <f>IFERROR(__xludf.DUMMYFUNCTION("""COMPUTED_VALUE"""),"Customer Success Manager")</f>
        <v>Customer Success Manager</v>
      </c>
      <c r="D659" s="1" t="str">
        <f>IFERROR(__xludf.DUMMYFUNCTION("""COMPUTED_VALUE"""),"On-Site")</f>
        <v>On-Site</v>
      </c>
      <c r="E659" s="3" t="str">
        <f>IFERROR(__xludf.DUMMYFUNCTION("""COMPUTED_VALUE"""),"N/A")</f>
        <v>N/A</v>
      </c>
      <c r="F659" s="1" t="str">
        <f>IFERROR(__xludf.DUMMYFUNCTION("""COMPUTED_VALUE"""),"3 - 5")</f>
        <v>3 - 5</v>
      </c>
      <c r="G659" s="1" t="str">
        <f>IFERROR(__xludf.DUMMYFUNCTION("""COMPUTED_VALUE"""),"Arlington, VA")</f>
        <v>Arlington, VA</v>
      </c>
      <c r="H659" s="4" t="str">
        <f>IFERROR(__xludf.DUMMYFUNCTION("""COMPUTED_VALUE"""),"https://www.linkedin.com/posts/serenaguzey_im-excited-to-share-that-my-team-is-currently-activity-7232177070921936897-wuvr?utm_source=share&amp;utm_medium=member_desktop")</f>
        <v>https://www.linkedin.com/posts/serenaguzey_im-excited-to-share-that-my-team-is-currently-activity-7232177070921936897-wuvr?utm_source=share&amp;utm_medium=member_desktop</v>
      </c>
    </row>
    <row r="660">
      <c r="A660" s="2">
        <f>IFERROR(__xludf.DUMMYFUNCTION("""COMPUTED_VALUE"""),45526.0)</f>
        <v>45526</v>
      </c>
      <c r="B660" s="1" t="str">
        <f>IFERROR(__xludf.DUMMYFUNCTION("""COMPUTED_VALUE"""),"The University of Oklahoma Foundation, Inc.")</f>
        <v>The University of Oklahoma Foundation, Inc.</v>
      </c>
      <c r="C660" s="1" t="str">
        <f>IFERROR(__xludf.DUMMYFUNCTION("""COMPUTED_VALUE"""),"Advancement Data Analytics Analyst")</f>
        <v>Advancement Data Analytics Analyst</v>
      </c>
      <c r="D660" s="1" t="str">
        <f>IFERROR(__xludf.DUMMYFUNCTION("""COMPUTED_VALUE"""),"Hybrid")</f>
        <v>Hybrid</v>
      </c>
      <c r="E660" s="3" t="str">
        <f>IFERROR(__xludf.DUMMYFUNCTION("""COMPUTED_VALUE"""),"N/A")</f>
        <v>N/A</v>
      </c>
      <c r="F660" s="1" t="str">
        <f>IFERROR(__xludf.DUMMYFUNCTION("""COMPUTED_VALUE"""),"0 - 2")</f>
        <v>0 - 2</v>
      </c>
      <c r="G660" s="1" t="str">
        <f>IFERROR(__xludf.DUMMYFUNCTION("""COMPUTED_VALUE"""),"Norman, OK")</f>
        <v>Norman, OK</v>
      </c>
      <c r="H660" s="4" t="str">
        <f>IFERROR(__xludf.DUMMYFUNCTION("""COMPUTED_VALUE"""),"https://www.linkedin.com/posts/joshua-groves_data-strategy-analytics-activity-7232177465501097985-l2An?utm_source=share&amp;utm_medium=member_desktop")</f>
        <v>https://www.linkedin.com/posts/joshua-groves_data-strategy-analytics-activity-7232177465501097985-l2An?utm_source=share&amp;utm_medium=member_desktop</v>
      </c>
    </row>
    <row r="661">
      <c r="A661" s="2">
        <f>IFERROR(__xludf.DUMMYFUNCTION("""COMPUTED_VALUE"""),45526.0)</f>
        <v>45526</v>
      </c>
      <c r="B661" s="1" t="str">
        <f>IFERROR(__xludf.DUMMYFUNCTION("""COMPUTED_VALUE"""),"Cencora")</f>
        <v>Cencora</v>
      </c>
      <c r="C661" s="1" t="str">
        <f>IFERROR(__xludf.DUMMYFUNCTION("""COMPUTED_VALUE"""),"Intermediate Analytics Data Engineer")</f>
        <v>Intermediate Analytics Data Engineer</v>
      </c>
      <c r="D661" s="1" t="str">
        <f>IFERROR(__xludf.DUMMYFUNCTION("""COMPUTED_VALUE"""),"Remote")</f>
        <v>Remote</v>
      </c>
      <c r="E661" s="3" t="str">
        <f>IFERROR(__xludf.DUMMYFUNCTION("""COMPUTED_VALUE"""),"$84k - $121k")</f>
        <v>$84k - $121k</v>
      </c>
      <c r="F661" s="1" t="str">
        <f>IFERROR(__xludf.DUMMYFUNCTION("""COMPUTED_VALUE"""),"6 - 9")</f>
        <v>6 - 9</v>
      </c>
      <c r="G661" s="1" t="str">
        <f>IFERROR(__xludf.DUMMYFUNCTION("""COMPUTED_VALUE"""),"USA")</f>
        <v>USA</v>
      </c>
      <c r="H661" s="4" t="str">
        <f>IFERROR(__xludf.DUMMYFUNCTION("""COMPUTED_VALUE"""),"https://www.linkedin.com/posts/andrewward4_intermediate-analytics-data-engineer-remote-activity-7232179860880723968-iWa_?utm_source=share&amp;utm_medium=member_desktop")</f>
        <v>https://www.linkedin.com/posts/andrewward4_intermediate-analytics-data-engineer-remote-activity-7232179860880723968-iWa_?utm_source=share&amp;utm_medium=member_desktop</v>
      </c>
    </row>
    <row r="662">
      <c r="A662" s="2">
        <f>IFERROR(__xludf.DUMMYFUNCTION("""COMPUTED_VALUE"""),45526.0)</f>
        <v>45526</v>
      </c>
      <c r="B662" s="1" t="str">
        <f>IFERROR(__xludf.DUMMYFUNCTION("""COMPUTED_VALUE"""),"The AES Corporation")</f>
        <v>The AES Corporation</v>
      </c>
      <c r="C662" s="1" t="str">
        <f>IFERROR(__xludf.DUMMYFUNCTION("""COMPUTED_VALUE"""),"Senior Tax Analyst, Indirect Tax Reporting")</f>
        <v>Senior Tax Analyst, Indirect Tax Reporting</v>
      </c>
      <c r="D662" s="1" t="str">
        <f>IFERROR(__xludf.DUMMYFUNCTION("""COMPUTED_VALUE"""),"Remote")</f>
        <v>Remote</v>
      </c>
      <c r="E662" s="3" t="str">
        <f>IFERROR(__xludf.DUMMYFUNCTION("""COMPUTED_VALUE"""),"N/A")</f>
        <v>N/A</v>
      </c>
      <c r="F662" s="1" t="str">
        <f>IFERROR(__xludf.DUMMYFUNCTION("""COMPUTED_VALUE"""),"3 - 5")</f>
        <v>3 - 5</v>
      </c>
      <c r="G662" s="1" t="str">
        <f>IFERROR(__xludf.DUMMYFUNCTION("""COMPUTED_VALUE"""),"USA")</f>
        <v>USA</v>
      </c>
      <c r="H662" s="4" t="str">
        <f>IFERROR(__xludf.DUMMYFUNCTION("""COMPUTED_VALUE"""),"https://www.linkedin.com/posts/john-s-jenkins-419b5611_aes-is-hiring-for-an-indirect-tax-senior-activity-7232161664370933760-XhXT?utm_source=share&amp;utm_medium=member_desktop")</f>
        <v>https://www.linkedin.com/posts/john-s-jenkins-419b5611_aes-is-hiring-for-an-indirect-tax-senior-activity-7232161664370933760-XhXT?utm_source=share&amp;utm_medium=member_desktop</v>
      </c>
    </row>
    <row r="663">
      <c r="A663" s="2">
        <f>IFERROR(__xludf.DUMMYFUNCTION("""COMPUTED_VALUE"""),45525.0)</f>
        <v>45525</v>
      </c>
      <c r="B663" s="1" t="str">
        <f>IFERROR(__xludf.DUMMYFUNCTION("""COMPUTED_VALUE"""),"Amazon")</f>
        <v>Amazon</v>
      </c>
      <c r="C663" s="1" t="str">
        <f>IFERROR(__xludf.DUMMYFUNCTION("""COMPUTED_VALUE"""),"Data Engineer III, Amazon Last Mile")</f>
        <v>Data Engineer III, Amazon Last Mile</v>
      </c>
      <c r="D663" s="1" t="str">
        <f>IFERROR(__xludf.DUMMYFUNCTION("""COMPUTED_VALUE"""),"On-Site")</f>
        <v>On-Site</v>
      </c>
      <c r="E663" s="3" t="str">
        <f>IFERROR(__xludf.DUMMYFUNCTION("""COMPUTED_VALUE"""),"$139k - $240k")</f>
        <v>$139k - $240k</v>
      </c>
      <c r="F663" s="1" t="str">
        <f>IFERROR(__xludf.DUMMYFUNCTION("""COMPUTED_VALUE"""),"6 - 9")</f>
        <v>6 - 9</v>
      </c>
      <c r="G663" s="1" t="str">
        <f>IFERROR(__xludf.DUMMYFUNCTION("""COMPUTED_VALUE"""),"Bellevue, WA")</f>
        <v>Bellevue, WA</v>
      </c>
      <c r="H663" s="4" t="str">
        <f>IFERROR(__xludf.DUMMYFUNCTION("""COMPUTED_VALUE"""),"https://www.linkedin.com/posts/aliciaseavly_data-engineer-iii-amazon-last-mile-activity-7232124630621155328-ArCK?utm_source=share&amp;utm_medium=member_desktop")</f>
        <v>https://www.linkedin.com/posts/aliciaseavly_data-engineer-iii-amazon-last-mile-activity-7232124630621155328-ArCK?utm_source=share&amp;utm_medium=member_desktop</v>
      </c>
    </row>
    <row r="664">
      <c r="A664" s="2">
        <f>IFERROR(__xludf.DUMMYFUNCTION("""COMPUTED_VALUE"""),45525.0)</f>
        <v>45525</v>
      </c>
      <c r="B664" s="1" t="str">
        <f>IFERROR(__xludf.DUMMYFUNCTION("""COMPUTED_VALUE"""),"Chicken Salad Chick")</f>
        <v>Chicken Salad Chick</v>
      </c>
      <c r="C664" s="1" t="str">
        <f>IFERROR(__xludf.DUMMYFUNCTION("""COMPUTED_VALUE"""),"Business Intelligence Engineer")</f>
        <v>Business Intelligence Engineer</v>
      </c>
      <c r="D664" s="1" t="str">
        <f>IFERROR(__xludf.DUMMYFUNCTION("""COMPUTED_VALUE"""),"On-Site")</f>
        <v>On-Site</v>
      </c>
      <c r="E664" s="1" t="str">
        <f>IFERROR(__xludf.DUMMYFUNCTION("""COMPUTED_VALUE"""),"N/A")</f>
        <v>N/A</v>
      </c>
      <c r="F664" s="1" t="str">
        <f>IFERROR(__xludf.DUMMYFUNCTION("""COMPUTED_VALUE"""),"3 - 5")</f>
        <v>3 - 5</v>
      </c>
      <c r="G664" s="1" t="str">
        <f>IFERROR(__xludf.DUMMYFUNCTION("""COMPUTED_VALUE"""),"Atlanta, GA")</f>
        <v>Atlanta, GA</v>
      </c>
      <c r="H664" s="4" t="str">
        <f>IFERROR(__xludf.DUMMYFUNCTION("""COMPUTED_VALUE"""),"https://www.linkedin.com/posts/erin-mcvicker-7b215a25_we-just-keep-on-growingour-it-team-is-activity-7232109953291845636-NgM6?utm_source=share&amp;utm_medium=member_desktop")</f>
        <v>https://www.linkedin.com/posts/erin-mcvicker-7b215a25_we-just-keep-on-growingour-it-team-is-activity-7232109953291845636-NgM6?utm_source=share&amp;utm_medium=member_desktop</v>
      </c>
    </row>
    <row r="665">
      <c r="A665" s="2">
        <f>IFERROR(__xludf.DUMMYFUNCTION("""COMPUTED_VALUE"""),45525.0)</f>
        <v>45525</v>
      </c>
      <c r="B665" s="1" t="str">
        <f>IFERROR(__xludf.DUMMYFUNCTION("""COMPUTED_VALUE"""),"T-Mobile")</f>
        <v>T-Mobile</v>
      </c>
      <c r="C665" s="1" t="str">
        <f>IFERROR(__xludf.DUMMYFUNCTION("""COMPUTED_VALUE"""),"Bid &amp; Proposal Pricing Analyst")</f>
        <v>Bid &amp; Proposal Pricing Analyst</v>
      </c>
      <c r="D665" s="1" t="str">
        <f>IFERROR(__xludf.DUMMYFUNCTION("""COMPUTED_VALUE"""),"Hybrid")</f>
        <v>Hybrid</v>
      </c>
      <c r="E665" s="1" t="str">
        <f>IFERROR(__xludf.DUMMYFUNCTION("""COMPUTED_VALUE"""),"$60k - $109k")</f>
        <v>$60k - $109k</v>
      </c>
      <c r="F665" s="1" t="str">
        <f>IFERROR(__xludf.DUMMYFUNCTION("""COMPUTED_VALUE"""),"0 - 2")</f>
        <v>0 - 2</v>
      </c>
      <c r="G665" s="1" t="str">
        <f>IFERROR(__xludf.DUMMYFUNCTION("""COMPUTED_VALUE"""),"Certain Locations")</f>
        <v>Certain Locations</v>
      </c>
      <c r="H665" s="4" t="str">
        <f>IFERROR(__xludf.DUMMYFUNCTION("""COMPUTED_VALUE"""),"https://www.linkedin.com/posts/kristinmcgrath_apply-for-bid-proposal-pricing-analyst-activity-7232108601798971394-N69y?utm_source=share&amp;utm_medium=member_desktop")</f>
        <v>https://www.linkedin.com/posts/kristinmcgrath_apply-for-bid-proposal-pricing-analyst-activity-7232108601798971394-N69y?utm_source=share&amp;utm_medium=member_desktop</v>
      </c>
    </row>
    <row r="666">
      <c r="A666" s="2">
        <f>IFERROR(__xludf.DUMMYFUNCTION("""COMPUTED_VALUE"""),45525.0)</f>
        <v>45525</v>
      </c>
      <c r="B666" s="1" t="str">
        <f>IFERROR(__xludf.DUMMYFUNCTION("""COMPUTED_VALUE"""),"Cohere Health")</f>
        <v>Cohere Health</v>
      </c>
      <c r="C666" s="1" t="str">
        <f>IFERROR(__xludf.DUMMYFUNCTION("""COMPUTED_VALUE"""),"Senior Data Scientist")</f>
        <v>Senior Data Scientist</v>
      </c>
      <c r="D666" s="1" t="str">
        <f>IFERROR(__xludf.DUMMYFUNCTION("""COMPUTED_VALUE"""),"Remote")</f>
        <v>Remote</v>
      </c>
      <c r="E666" s="1" t="str">
        <f>IFERROR(__xludf.DUMMYFUNCTION("""COMPUTED_VALUE"""),"$120k - $145k")</f>
        <v>$120k - $145k</v>
      </c>
      <c r="F666" s="1" t="str">
        <f>IFERROR(__xludf.DUMMYFUNCTION("""COMPUTED_VALUE"""),"3 - 5")</f>
        <v>3 - 5</v>
      </c>
      <c r="G666" s="1" t="str">
        <f>IFERROR(__xludf.DUMMYFUNCTION("""COMPUTED_VALUE"""),"USA")</f>
        <v>USA</v>
      </c>
      <c r="H666" s="4" t="str">
        <f>IFERROR(__xludf.DUMMYFUNCTION("""COMPUTED_VALUE"""),"https://www.linkedin.com/posts/chia-chen-emma-nien-35a7a665_data-scientist-activity-7232183433723027456-hYgf?utm_source=share&amp;utm_medium=member_desktop")</f>
        <v>https://www.linkedin.com/posts/chia-chen-emma-nien-35a7a665_data-scientist-activity-7232183433723027456-hYgf?utm_source=share&amp;utm_medium=member_desktop</v>
      </c>
    </row>
    <row r="667">
      <c r="A667" s="2">
        <f>IFERROR(__xludf.DUMMYFUNCTION("""COMPUTED_VALUE"""),45525.0)</f>
        <v>45525</v>
      </c>
      <c r="B667" s="1" t="str">
        <f>IFERROR(__xludf.DUMMYFUNCTION("""COMPUTED_VALUE"""),"Cohere Health")</f>
        <v>Cohere Health</v>
      </c>
      <c r="C667" s="1" t="str">
        <f>IFERROR(__xludf.DUMMYFUNCTION("""COMPUTED_VALUE"""),"Data Scientist")</f>
        <v>Data Scientist</v>
      </c>
      <c r="D667" s="1" t="str">
        <f>IFERROR(__xludf.DUMMYFUNCTION("""COMPUTED_VALUE"""),"Remote")</f>
        <v>Remote</v>
      </c>
      <c r="E667" s="1" t="str">
        <f>IFERROR(__xludf.DUMMYFUNCTION("""COMPUTED_VALUE"""),"$90k - $110k")</f>
        <v>$90k - $110k</v>
      </c>
      <c r="F667" s="1" t="str">
        <f>IFERROR(__xludf.DUMMYFUNCTION("""COMPUTED_VALUE"""),"0 - 2")</f>
        <v>0 - 2</v>
      </c>
      <c r="G667" s="1" t="str">
        <f>IFERROR(__xludf.DUMMYFUNCTION("""COMPUTED_VALUE"""),"USA")</f>
        <v>USA</v>
      </c>
      <c r="H667" s="4" t="str">
        <f>IFERROR(__xludf.DUMMYFUNCTION("""COMPUTED_VALUE"""),"https://www.linkedin.com/posts/chia-chen-emma-nien-35a7a665_data-scientist-activity-7232183433723027456-hYgf?utm_source=share&amp;utm_medium=member_desktop")</f>
        <v>https://www.linkedin.com/posts/chia-chen-emma-nien-35a7a665_data-scientist-activity-7232183433723027456-hYgf?utm_source=share&amp;utm_medium=member_desktop</v>
      </c>
    </row>
    <row r="668">
      <c r="A668" s="2">
        <f>IFERROR(__xludf.DUMMYFUNCTION("""COMPUTED_VALUE"""),45525.0)</f>
        <v>45525</v>
      </c>
      <c r="B668" s="1" t="str">
        <f>IFERROR(__xludf.DUMMYFUNCTION("""COMPUTED_VALUE"""),"Visa")</f>
        <v>Visa</v>
      </c>
      <c r="C668" s="1" t="str">
        <f>IFERROR(__xludf.DUMMYFUNCTION("""COMPUTED_VALUE"""),"Senior Data Scientist")</f>
        <v>Senior Data Scientist</v>
      </c>
      <c r="D668" s="1" t="str">
        <f>IFERROR(__xludf.DUMMYFUNCTION("""COMPUTED_VALUE"""),"Hybrid")</f>
        <v>Hybrid</v>
      </c>
      <c r="E668" s="1" t="str">
        <f>IFERROR(__xludf.DUMMYFUNCTION("""COMPUTED_VALUE"""),"$123k - $189k")</f>
        <v>$123k - $189k</v>
      </c>
      <c r="F668" s="1" t="str">
        <f>IFERROR(__xludf.DUMMYFUNCTION("""COMPUTED_VALUE"""),"6 - 9")</f>
        <v>6 - 9</v>
      </c>
      <c r="G668" s="1" t="str">
        <f>IFERROR(__xludf.DUMMYFUNCTION("""COMPUTED_VALUE"""),"Washington, DC/Atlanta, GA")</f>
        <v>Washington, DC/Atlanta, GA</v>
      </c>
      <c r="H668" s="4" t="str">
        <f>IFERROR(__xludf.DUMMYFUNCTION("""COMPUTED_VALUE"""),"https://www.linkedin.com/posts/sophie-bishop-410b113b_senior-data-scientist-activity-7232128586806157312-Q7R6?utm_source=share&amp;utm_medium=member_desktop")</f>
        <v>https://www.linkedin.com/posts/sophie-bishop-410b113b_senior-data-scientist-activity-7232128586806157312-Q7R6?utm_source=share&amp;utm_medium=member_desktop</v>
      </c>
    </row>
    <row r="669">
      <c r="A669" s="2">
        <f>IFERROR(__xludf.DUMMYFUNCTION("""COMPUTED_VALUE"""),45525.0)</f>
        <v>45525</v>
      </c>
      <c r="B669" s="1" t="str">
        <f>IFERROR(__xludf.DUMMYFUNCTION("""COMPUTED_VALUE"""),"Veradigm")</f>
        <v>Veradigm</v>
      </c>
      <c r="C669" s="1" t="str">
        <f>IFERROR(__xludf.DUMMYFUNCTION("""COMPUTED_VALUE"""),"Associate Healthcare Data Analyst - Remote")</f>
        <v>Associate Healthcare Data Analyst - Remote</v>
      </c>
      <c r="D669" s="1" t="str">
        <f>IFERROR(__xludf.DUMMYFUNCTION("""COMPUTED_VALUE"""),"Remote")</f>
        <v>Remote</v>
      </c>
      <c r="E669" s="1" t="str">
        <f>IFERROR(__xludf.DUMMYFUNCTION("""COMPUTED_VALUE"""),"N/A")</f>
        <v>N/A</v>
      </c>
      <c r="F669" s="1" t="str">
        <f>IFERROR(__xludf.DUMMYFUNCTION("""COMPUTED_VALUE"""),"0 - 2")</f>
        <v>0 - 2</v>
      </c>
      <c r="G669" s="1" t="str">
        <f>IFERROR(__xludf.DUMMYFUNCTION("""COMPUTED_VALUE"""),"USA")</f>
        <v>USA</v>
      </c>
      <c r="H669" s="4" t="str">
        <f>IFERROR(__xludf.DUMMYFUNCTION("""COMPUTED_VALUE"""),"https://www.linkedin.com/posts/rachel-flaishans-atl_veradigm-is-hiring-check-out-this-job-at-activity-7232196046976610304-Elg5?utm_source=share&amp;utm_medium=member_ios")</f>
        <v>https://www.linkedin.com/posts/rachel-flaishans-atl_veradigm-is-hiring-check-out-this-job-at-activity-7232196046976610304-Elg5?utm_source=share&amp;utm_medium=member_ios</v>
      </c>
    </row>
    <row r="670">
      <c r="A670" s="2">
        <f>IFERROR(__xludf.DUMMYFUNCTION("""COMPUTED_VALUE"""),45525.0)</f>
        <v>45525</v>
      </c>
      <c r="B670" s="1" t="str">
        <f>IFERROR(__xludf.DUMMYFUNCTION("""COMPUTED_VALUE"""),"NovaSource Power Services")</f>
        <v>NovaSource Power Services</v>
      </c>
      <c r="C670" s="1" t="str">
        <f>IFERROR(__xludf.DUMMYFUNCTION("""COMPUTED_VALUE"""),"Senior Sales Operations Analyst - (Chandler, AZ or Houston, TX)")</f>
        <v>Senior Sales Operations Analyst - (Chandler, AZ or Houston, TX)</v>
      </c>
      <c r="D670" s="1" t="str">
        <f>IFERROR(__xludf.DUMMYFUNCTION("""COMPUTED_VALUE"""),"On-Site")</f>
        <v>On-Site</v>
      </c>
      <c r="E670" s="1" t="str">
        <f>IFERROR(__xludf.DUMMYFUNCTION("""COMPUTED_VALUE"""),"N/A")</f>
        <v>N/A</v>
      </c>
      <c r="F670" s="1" t="str">
        <f>IFERROR(__xludf.DUMMYFUNCTION("""COMPUTED_VALUE"""),"0 - 2")</f>
        <v>0 - 2</v>
      </c>
      <c r="G670" s="1" t="str">
        <f>IFERROR(__xludf.DUMMYFUNCTION("""COMPUTED_VALUE"""),"Chandler, AZ/Houston, TX")</f>
        <v>Chandler, AZ/Houston, TX</v>
      </c>
      <c r="H670" s="4" t="str">
        <f>IFERROR(__xludf.DUMMYFUNCTION("""COMPUTED_VALUE"""),"https://www.linkedin.com/posts/patrick-sampson-49a6b26_novasource-is-hiring-were-looking-for-a-activity-7232142587556470784-dvoT?utm_source=share&amp;utm_medium=member_desktop")</f>
        <v>https://www.linkedin.com/posts/patrick-sampson-49a6b26_novasource-is-hiring-were-looking-for-a-activity-7232142587556470784-dvoT?utm_source=share&amp;utm_medium=member_desktop</v>
      </c>
    </row>
    <row r="671">
      <c r="A671" s="2">
        <f>IFERROR(__xludf.DUMMYFUNCTION("""COMPUTED_VALUE"""),45525.0)</f>
        <v>45525</v>
      </c>
      <c r="B671" s="1" t="str">
        <f>IFERROR(__xludf.DUMMYFUNCTION("""COMPUTED_VALUE"""),"Cartograph")</f>
        <v>Cartograph</v>
      </c>
      <c r="C671" s="1" t="str">
        <f>IFERROR(__xludf.DUMMYFUNCTION("""COMPUTED_VALUE"""),"Data Analyst (Amazon)")</f>
        <v>Data Analyst (Amazon)</v>
      </c>
      <c r="D671" s="1" t="str">
        <f>IFERROR(__xludf.DUMMYFUNCTION("""COMPUTED_VALUE"""),"Remote")</f>
        <v>Remote</v>
      </c>
      <c r="E671" s="1" t="str">
        <f>IFERROR(__xludf.DUMMYFUNCTION("""COMPUTED_VALUE"""),"$60k - $65k")</f>
        <v>$60k - $65k</v>
      </c>
      <c r="F671" s="1" t="str">
        <f>IFERROR(__xludf.DUMMYFUNCTION("""COMPUTED_VALUE"""),"0 - 2")</f>
        <v>0 - 2</v>
      </c>
      <c r="G671" s="1" t="str">
        <f>IFERROR(__xludf.DUMMYFUNCTION("""COMPUTED_VALUE"""),"USA")</f>
        <v>USA</v>
      </c>
      <c r="H671" s="4" t="str">
        <f>IFERROR(__xludf.DUMMYFUNCTION("""COMPUTED_VALUE"""),"https://www.linkedin.com/posts/ginny-chochon-95b140114_cartograph-is-hiring-a-data-analyst-this-activity-7232093012086939648-ok4Z?utm_source=share&amp;utm_medium=member_desktop")</f>
        <v>https://www.linkedin.com/posts/ginny-chochon-95b140114_cartograph-is-hiring-a-data-analyst-this-activity-7232093012086939648-ok4Z?utm_source=share&amp;utm_medium=member_desktop</v>
      </c>
    </row>
    <row r="672">
      <c r="A672" s="2">
        <f>IFERROR(__xludf.DUMMYFUNCTION("""COMPUTED_VALUE"""),45525.0)</f>
        <v>45525</v>
      </c>
      <c r="B672" s="1" t="str">
        <f>IFERROR(__xludf.DUMMYFUNCTION("""COMPUTED_VALUE"""),"Digitas")</f>
        <v>Digitas</v>
      </c>
      <c r="C672" s="1" t="str">
        <f>IFERROR(__xludf.DUMMYFUNCTION("""COMPUTED_VALUE"""),"Senior Analyst, Data and Analysis")</f>
        <v>Senior Analyst, Data and Analysis</v>
      </c>
      <c r="D672" s="1" t="str">
        <f>IFERROR(__xludf.DUMMYFUNCTION("""COMPUTED_VALUE"""),"Hybrid")</f>
        <v>Hybrid</v>
      </c>
      <c r="E672" s="1" t="str">
        <f>IFERROR(__xludf.DUMMYFUNCTION("""COMPUTED_VALUE"""),"$70k - $105k")</f>
        <v>$70k - $105k</v>
      </c>
      <c r="F672" s="1" t="str">
        <f>IFERROR(__xludf.DUMMYFUNCTION("""COMPUTED_VALUE"""),"3 - 5")</f>
        <v>3 - 5</v>
      </c>
      <c r="G672" s="1" t="str">
        <f>IFERROR(__xludf.DUMMYFUNCTION("""COMPUTED_VALUE"""),"New York, NY")</f>
        <v>New York, NY</v>
      </c>
      <c r="H672" s="4" t="str">
        <f>IFERROR(__xludf.DUMMYFUNCTION("""COMPUTED_VALUE"""),"https://www.linkedin.com/posts/jonida-sema_senior-analyst-data-and-analysis-activity-7232089996080414720-HeBK?utm_source=share&amp;utm_medium=member_desktop")</f>
        <v>https://www.linkedin.com/posts/jonida-sema_senior-analyst-data-and-analysis-activity-7232089996080414720-HeBK?utm_source=share&amp;utm_medium=member_desktop</v>
      </c>
    </row>
    <row r="673">
      <c r="A673" s="2">
        <f>IFERROR(__xludf.DUMMYFUNCTION("""COMPUTED_VALUE"""),45525.0)</f>
        <v>45525</v>
      </c>
      <c r="B673" s="1" t="str">
        <f>IFERROR(__xludf.DUMMYFUNCTION("""COMPUTED_VALUE"""),"Southwest Airlines")</f>
        <v>Southwest Airlines</v>
      </c>
      <c r="C673" s="1" t="str">
        <f>IFERROR(__xludf.DUMMYFUNCTION("""COMPUTED_VALUE"""),"Sr Big Data Analyst")</f>
        <v>Sr Big Data Analyst</v>
      </c>
      <c r="D673" s="1" t="str">
        <f>IFERROR(__xludf.DUMMYFUNCTION("""COMPUTED_VALUE"""),"Hybrid")</f>
        <v>Hybrid</v>
      </c>
      <c r="E673" s="1" t="str">
        <f>IFERROR(__xludf.DUMMYFUNCTION("""COMPUTED_VALUE"""),"$144k - $160k")</f>
        <v>$144k - $160k</v>
      </c>
      <c r="F673" s="1" t="str">
        <f>IFERROR(__xludf.DUMMYFUNCTION("""COMPUTED_VALUE"""),"6 - 9")</f>
        <v>6 - 9</v>
      </c>
      <c r="G673" s="1" t="str">
        <f>IFERROR(__xludf.DUMMYFUNCTION("""COMPUTED_VALUE"""),"Dallas, TX")</f>
        <v>Dallas, TX</v>
      </c>
      <c r="H673" s="4" t="str">
        <f>IFERROR(__xludf.DUMMYFUNCTION("""COMPUTED_VALUE"""),"https://www.linkedin.com/posts/paige-nelson-swa_sr-big-data-analyst-activity-7232110097638809601-0fKz?utm_source=share&amp;utm_medium=member_desktop")</f>
        <v>https://www.linkedin.com/posts/paige-nelson-swa_sr-big-data-analyst-activity-7232110097638809601-0fKz?utm_source=share&amp;utm_medium=member_desktop</v>
      </c>
    </row>
    <row r="674">
      <c r="A674" s="2">
        <f>IFERROR(__xludf.DUMMYFUNCTION("""COMPUTED_VALUE"""),45525.0)</f>
        <v>45525</v>
      </c>
      <c r="B674" s="1" t="str">
        <f>IFERROR(__xludf.DUMMYFUNCTION("""COMPUTED_VALUE"""),"nimble solutions")</f>
        <v>nimble solutions</v>
      </c>
      <c r="C674" s="1" t="str">
        <f>IFERROR(__xludf.DUMMYFUNCTION("""COMPUTED_VALUE"""),"Healthcare Business Analyst")</f>
        <v>Healthcare Business Analyst</v>
      </c>
      <c r="D674" s="1" t="str">
        <f>IFERROR(__xludf.DUMMYFUNCTION("""COMPUTED_VALUE"""),"On-Site")</f>
        <v>On-Site</v>
      </c>
      <c r="E674" s="1" t="str">
        <f>IFERROR(__xludf.DUMMYFUNCTION("""COMPUTED_VALUE"""),"N/A")</f>
        <v>N/A</v>
      </c>
      <c r="F674" s="1" t="str">
        <f>IFERROR(__xludf.DUMMYFUNCTION("""COMPUTED_VALUE"""),"0 - 2")</f>
        <v>0 - 2</v>
      </c>
      <c r="G674" s="1" t="str">
        <f>IFERROR(__xludf.DUMMYFUNCTION("""COMPUTED_VALUE"""),"Chesterfield, MO")</f>
        <v>Chesterfield, MO</v>
      </c>
      <c r="H674" s="4" t="str">
        <f>IFERROR(__xludf.DUMMYFUNCTION("""COMPUTED_VALUE"""),"https://www.linkedin.com/posts/robertddimarco_hiring-healthcarebusinessanalyst-dataanalytics-activity-7232104668405846019-E8fD?utm_source=share&amp;utm_medium=member_desktop")</f>
        <v>https://www.linkedin.com/posts/robertddimarco_hiring-healthcarebusinessanalyst-dataanalytics-activity-7232104668405846019-E8fD?utm_source=share&amp;utm_medium=member_desktop</v>
      </c>
    </row>
    <row r="675">
      <c r="A675" s="2">
        <f>IFERROR(__xludf.DUMMYFUNCTION("""COMPUTED_VALUE"""),45525.0)</f>
        <v>45525</v>
      </c>
      <c r="B675" s="1" t="str">
        <f>IFERROR(__xludf.DUMMYFUNCTION("""COMPUTED_VALUE"""),"Ranpak")</f>
        <v>Ranpak</v>
      </c>
      <c r="C675" s="1" t="str">
        <f>IFERROR(__xludf.DUMMYFUNCTION("""COMPUTED_VALUE"""),"Senior Financial Analyst - FP&amp;A")</f>
        <v>Senior Financial Analyst - FP&amp;A</v>
      </c>
      <c r="D675" s="1" t="str">
        <f>IFERROR(__xludf.DUMMYFUNCTION("""COMPUTED_VALUE"""),"On-Site")</f>
        <v>On-Site</v>
      </c>
      <c r="E675" s="1" t="str">
        <f>IFERROR(__xludf.DUMMYFUNCTION("""COMPUTED_VALUE"""),"N/A")</f>
        <v>N/A</v>
      </c>
      <c r="F675" s="1" t="str">
        <f>IFERROR(__xludf.DUMMYFUNCTION("""COMPUTED_VALUE"""),"3 - 5")</f>
        <v>3 - 5</v>
      </c>
      <c r="G675" s="1" t="str">
        <f>IFERROR(__xludf.DUMMYFUNCTION("""COMPUTED_VALUE"""),"Concord Township, OH")</f>
        <v>Concord Township, OH</v>
      </c>
      <c r="H675" s="4" t="str">
        <f>IFERROR(__xludf.DUMMYFUNCTION("""COMPUTED_VALUE"""),"https://www.linkedin.com/posts/laura-olesczuk-769835b9_deliverabetterworld-activity-7232108981865889793-fKWr?utm_source=share&amp;utm_medium=member_desktop")</f>
        <v>https://www.linkedin.com/posts/laura-olesczuk-769835b9_deliverabetterworld-activity-7232108981865889793-fKWr?utm_source=share&amp;utm_medium=member_desktop</v>
      </c>
    </row>
    <row r="676">
      <c r="A676" s="2">
        <f>IFERROR(__xludf.DUMMYFUNCTION("""COMPUTED_VALUE"""),45525.0)</f>
        <v>45525</v>
      </c>
      <c r="B676" s="1" t="str">
        <f>IFERROR(__xludf.DUMMYFUNCTION("""COMPUTED_VALUE"""),"The Public Good Projects")</f>
        <v>The Public Good Projects</v>
      </c>
      <c r="C676" s="1" t="str">
        <f>IFERROR(__xludf.DUMMYFUNCTION("""COMPUTED_VALUE"""),"Senior Content Analyst")</f>
        <v>Senior Content Analyst</v>
      </c>
      <c r="D676" s="1" t="str">
        <f>IFERROR(__xludf.DUMMYFUNCTION("""COMPUTED_VALUE"""),"Remote")</f>
        <v>Remote</v>
      </c>
      <c r="E676" s="1" t="str">
        <f>IFERROR(__xludf.DUMMYFUNCTION("""COMPUTED_VALUE"""),"$85k - $100k")</f>
        <v>$85k - $100k</v>
      </c>
      <c r="F676" s="1" t="str">
        <f>IFERROR(__xludf.DUMMYFUNCTION("""COMPUTED_VALUE"""),"3 - 5")</f>
        <v>3 - 5</v>
      </c>
      <c r="G676" s="1" t="str">
        <f>IFERROR(__xludf.DUMMYFUNCTION("""COMPUTED_VALUE"""),"North America")</f>
        <v>North America</v>
      </c>
      <c r="H676" s="4" t="str">
        <f>IFERROR(__xludf.DUMMYFUNCTION("""COMPUTED_VALUE"""),"https://www.linkedin.com/posts/ella-berry-pgp_hiring-activity-7232072127179276288-Wcma?utm_source=share&amp;utm_medium=member_desktop")</f>
        <v>https://www.linkedin.com/posts/ella-berry-pgp_hiring-activity-7232072127179276288-Wcma?utm_source=share&amp;utm_medium=member_desktop</v>
      </c>
    </row>
    <row r="677">
      <c r="A677" s="2">
        <f>IFERROR(__xludf.DUMMYFUNCTION("""COMPUTED_VALUE"""),45525.0)</f>
        <v>45525</v>
      </c>
      <c r="B677" s="1" t="str">
        <f>IFERROR(__xludf.DUMMYFUNCTION("""COMPUTED_VALUE"""),"The Home Depot")</f>
        <v>The Home Depot</v>
      </c>
      <c r="C677" s="1" t="str">
        <f>IFERROR(__xludf.DUMMYFUNCTION("""COMPUTED_VALUE"""),"Financial Analyst - Global FP&amp;A")</f>
        <v>Financial Analyst - Global FP&amp;A</v>
      </c>
      <c r="D677" s="1" t="str">
        <f>IFERROR(__xludf.DUMMYFUNCTION("""COMPUTED_VALUE"""),"On-Site")</f>
        <v>On-Site</v>
      </c>
      <c r="E677" s="1" t="str">
        <f>IFERROR(__xludf.DUMMYFUNCTION("""COMPUTED_VALUE"""),"N/A")</f>
        <v>N/A</v>
      </c>
      <c r="F677" s="1" t="str">
        <f>IFERROR(__xludf.DUMMYFUNCTION("""COMPUTED_VALUE"""),"0 - 2")</f>
        <v>0 - 2</v>
      </c>
      <c r="G677" s="1" t="str">
        <f>IFERROR(__xludf.DUMMYFUNCTION("""COMPUTED_VALUE"""),"Atlanta, GA")</f>
        <v>Atlanta, GA</v>
      </c>
      <c r="H677" s="4" t="str">
        <f>IFERROR(__xludf.DUMMYFUNCTION("""COMPUTED_VALUE"""),"https://www.linkedin.com/posts/michael-ryberg-cpa-a54149108_were-looking-for-a-financial-analyst-to-activity-7232105210360258560-E5uH?utm_source=share&amp;utm_medium=member_desktop")</f>
        <v>https://www.linkedin.com/posts/michael-ryberg-cpa-a54149108_were-looking-for-a-financial-analyst-to-activity-7232105210360258560-E5uH?utm_source=share&amp;utm_medium=member_desktop</v>
      </c>
    </row>
    <row r="678">
      <c r="A678" s="2">
        <f>IFERROR(__xludf.DUMMYFUNCTION("""COMPUTED_VALUE"""),45525.0)</f>
        <v>45525</v>
      </c>
      <c r="B678" s="1" t="str">
        <f>IFERROR(__xludf.DUMMYFUNCTION("""COMPUTED_VALUE"""),"Paysafe")</f>
        <v>Paysafe</v>
      </c>
      <c r="C678" s="1" t="str">
        <f>IFERROR(__xludf.DUMMYFUNCTION("""COMPUTED_VALUE"""),"Senior Analyst Marketing Strategy")</f>
        <v>Senior Analyst Marketing Strategy</v>
      </c>
      <c r="D678" s="1" t="str">
        <f>IFERROR(__xludf.DUMMYFUNCTION("""COMPUTED_VALUE"""),"Hybrid")</f>
        <v>Hybrid</v>
      </c>
      <c r="E678" s="1" t="str">
        <f>IFERROR(__xludf.DUMMYFUNCTION("""COMPUTED_VALUE"""),"N/A")</f>
        <v>N/A</v>
      </c>
      <c r="F678" s="1" t="str">
        <f>IFERROR(__xludf.DUMMYFUNCTION("""COMPUTED_VALUE"""),"6 - 9")</f>
        <v>6 - 9</v>
      </c>
      <c r="G678" s="1" t="str">
        <f>IFERROR(__xludf.DUMMYFUNCTION("""COMPUTED_VALUE"""),"Jacksonville, FL")</f>
        <v>Jacksonville, FL</v>
      </c>
      <c r="H678" s="4" t="str">
        <f>IFERROR(__xludf.DUMMYFUNCTION("""COMPUTED_VALUE"""),"https://www.linkedin.com/posts/gracellenrice_paysafe-is-hiring-senior-analyst-marketing-activity-7232122019218112513-xqkc?utm_source=share&amp;utm_medium=member_desktop")</f>
        <v>https://www.linkedin.com/posts/gracellenrice_paysafe-is-hiring-senior-analyst-marketing-activity-7232122019218112513-xqkc?utm_source=share&amp;utm_medium=member_desktop</v>
      </c>
    </row>
    <row r="679">
      <c r="A679" s="2">
        <f>IFERROR(__xludf.DUMMYFUNCTION("""COMPUTED_VALUE"""),45525.0)</f>
        <v>45525</v>
      </c>
      <c r="B679" s="1" t="str">
        <f>IFERROR(__xludf.DUMMYFUNCTION("""COMPUTED_VALUE"""),"Walmart Data Ventures")</f>
        <v>Walmart Data Ventures</v>
      </c>
      <c r="C679" s="1" t="str">
        <f>IFERROR(__xludf.DUMMYFUNCTION("""COMPUTED_VALUE"""),"Data Analyst II - Walmart Data Ventures")</f>
        <v>Data Analyst II - Walmart Data Ventures</v>
      </c>
      <c r="D679" s="1" t="str">
        <f>IFERROR(__xludf.DUMMYFUNCTION("""COMPUTED_VALUE"""),"On-Site")</f>
        <v>On-Site</v>
      </c>
      <c r="E679" s="1" t="str">
        <f>IFERROR(__xludf.DUMMYFUNCTION("""COMPUTED_VALUE"""),"$70k - $130k ")</f>
        <v>$70k - $130k </v>
      </c>
      <c r="F679" s="1" t="str">
        <f>IFERROR(__xludf.DUMMYFUNCTION("""COMPUTED_VALUE"""),"3 - 5")</f>
        <v>3 - 5</v>
      </c>
      <c r="G679" s="1" t="str">
        <f>IFERROR(__xludf.DUMMYFUNCTION("""COMPUTED_VALUE"""),"Bentonville, AR")</f>
        <v>Bentonville, AR</v>
      </c>
      <c r="H679" s="4" t="str">
        <f>IFERROR(__xludf.DUMMYFUNCTION("""COMPUTED_VALUE"""),"https://www.linkedin.com/posts/yogeshraja-ramasamy-1898b7234_check-out-this-job-at-walmart-data-ventures-activity-7232041711286280194-CtHo?utm_source=share&amp;utm_medium=member_desktop")</f>
        <v>https://www.linkedin.com/posts/yogeshraja-ramasamy-1898b7234_check-out-this-job-at-walmart-data-ventures-activity-7232041711286280194-CtHo?utm_source=share&amp;utm_medium=member_desktop</v>
      </c>
    </row>
    <row r="680">
      <c r="A680" s="2">
        <f>IFERROR(__xludf.DUMMYFUNCTION("""COMPUTED_VALUE"""),45525.0)</f>
        <v>45525</v>
      </c>
      <c r="B680" s="1" t="str">
        <f>IFERROR(__xludf.DUMMYFUNCTION("""COMPUTED_VALUE"""),"Federal Reserve Bank of Richmond")</f>
        <v>Federal Reserve Bank of Richmond</v>
      </c>
      <c r="C680" s="1" t="str">
        <f>IFERROR(__xludf.DUMMYFUNCTION("""COMPUTED_VALUE"""),"Research Analyst (Community College - Workforce)")</f>
        <v>Research Analyst (Community College - Workforce)</v>
      </c>
      <c r="D680" s="1" t="str">
        <f>IFERROR(__xludf.DUMMYFUNCTION("""COMPUTED_VALUE"""),"Hybrid")</f>
        <v>Hybrid</v>
      </c>
      <c r="E680" s="1" t="str">
        <f>IFERROR(__xludf.DUMMYFUNCTION("""COMPUTED_VALUE"""),"$67k - $92k")</f>
        <v>$67k - $92k</v>
      </c>
      <c r="F680" s="1" t="str">
        <f>IFERROR(__xludf.DUMMYFUNCTION("""COMPUTED_VALUE"""),"3 - 5")</f>
        <v>3 - 5</v>
      </c>
      <c r="G680" s="1" t="str">
        <f>IFERROR(__xludf.DUMMYFUNCTION("""COMPUTED_VALUE"""),"Richmond, VA/Charlotte, NC")</f>
        <v>Richmond, VA/Charlotte, NC</v>
      </c>
      <c r="H680" s="4" t="str">
        <f>IFERROR(__xludf.DUMMYFUNCTION("""COMPUTED_VALUE"""),"https://www.linkedin.com/posts/laura-dawson-ullrich_research-analyst-community-college-workforce-activity-7232044435574837248-olrG?utm_source=share&amp;utm_medium=member_desktop")</f>
        <v>https://www.linkedin.com/posts/laura-dawson-ullrich_research-analyst-community-college-workforce-activity-7232044435574837248-olrG?utm_source=share&amp;utm_medium=member_desktop</v>
      </c>
    </row>
    <row r="681">
      <c r="A681" s="2">
        <f>IFERROR(__xludf.DUMMYFUNCTION("""COMPUTED_VALUE"""),45525.0)</f>
        <v>45525</v>
      </c>
      <c r="B681" s="1" t="str">
        <f>IFERROR(__xludf.DUMMYFUNCTION("""COMPUTED_VALUE"""),"Apixio")</f>
        <v>Apixio</v>
      </c>
      <c r="C681" s="1" t="str">
        <f>IFERROR(__xludf.DUMMYFUNCTION("""COMPUTED_VALUE"""),"Operations Analyst")</f>
        <v>Operations Analyst</v>
      </c>
      <c r="D681" s="1" t="str">
        <f>IFERROR(__xludf.DUMMYFUNCTION("""COMPUTED_VALUE"""),"Remote")</f>
        <v>Remote</v>
      </c>
      <c r="E681" s="1" t="str">
        <f>IFERROR(__xludf.DUMMYFUNCTION("""COMPUTED_VALUE"""),"$110k - $155k ")</f>
        <v>$110k - $155k </v>
      </c>
      <c r="F681" s="1" t="str">
        <f>IFERROR(__xludf.DUMMYFUNCTION("""COMPUTED_VALUE"""),"3 - 5")</f>
        <v>3 - 5</v>
      </c>
      <c r="G681" s="1" t="str">
        <f>IFERROR(__xludf.DUMMYFUNCTION("""COMPUTED_VALUE"""),"USA")</f>
        <v>USA</v>
      </c>
      <c r="H681" s="4" t="str">
        <f>IFERROR(__xludf.DUMMYFUNCTION("""COMPUTED_VALUE"""),"https://www.linkedin.com/posts/vincentbillante_operations-analyst-activity-7232053854190624769-bxtZ?utm_source=share&amp;utm_medium=member_desktop")</f>
        <v>https://www.linkedin.com/posts/vincentbillante_operations-analyst-activity-7232053854190624769-bxtZ?utm_source=share&amp;utm_medium=member_desktop</v>
      </c>
    </row>
    <row r="682">
      <c r="A682" s="2">
        <f>IFERROR(__xludf.DUMMYFUNCTION("""COMPUTED_VALUE"""),45525.0)</f>
        <v>45525</v>
      </c>
      <c r="B682" s="1" t="str">
        <f>IFERROR(__xludf.DUMMYFUNCTION("""COMPUTED_VALUE"""),"Independent Living Systems, LLC")</f>
        <v>Independent Living Systems, LLC</v>
      </c>
      <c r="C682" s="1" t="str">
        <f>IFERROR(__xludf.DUMMYFUNCTION("""COMPUTED_VALUE"""),"Senior Analyst, Research &amp; Data Scientist")</f>
        <v>Senior Analyst, Research &amp; Data Scientist</v>
      </c>
      <c r="D682" s="1" t="str">
        <f>IFERROR(__xludf.DUMMYFUNCTION("""COMPUTED_VALUE"""),"On-Site")</f>
        <v>On-Site</v>
      </c>
      <c r="E682" s="1" t="str">
        <f>IFERROR(__xludf.DUMMYFUNCTION("""COMPUTED_VALUE"""),"N/A")</f>
        <v>N/A</v>
      </c>
      <c r="F682" s="1" t="str">
        <f>IFERROR(__xludf.DUMMYFUNCTION("""COMPUTED_VALUE"""),"3 - 5")</f>
        <v>3 - 5</v>
      </c>
      <c r="G682" s="1" t="str">
        <f>IFERROR(__xludf.DUMMYFUNCTION("""COMPUTED_VALUE"""),"Miami, FL")</f>
        <v>Miami, FL</v>
      </c>
      <c r="H682" s="4" t="str">
        <f>IFERROR(__xludf.DUMMYFUNCTION("""COMPUTED_VALUE"""),"https://www.linkedin.com/posts/tatiana-shnaiden_i-am-hiring-great-opportunity-for-an-independent-activity-7232029840432898049-9mwI?utm_source=share&amp;utm_medium=member_desktop")</f>
        <v>https://www.linkedin.com/posts/tatiana-shnaiden_i-am-hiring-great-opportunity-for-an-independent-activity-7232029840432898049-9mwI?utm_source=share&amp;utm_medium=member_desktop</v>
      </c>
    </row>
    <row r="683">
      <c r="A683" s="2">
        <f>IFERROR(__xludf.DUMMYFUNCTION("""COMPUTED_VALUE"""),45525.0)</f>
        <v>45525</v>
      </c>
      <c r="B683" s="1" t="str">
        <f>IFERROR(__xludf.DUMMYFUNCTION("""COMPUTED_VALUE"""),"Miller Transportation Group")</f>
        <v>Miller Transportation Group</v>
      </c>
      <c r="C683" s="1" t="str">
        <f>IFERROR(__xludf.DUMMYFUNCTION("""COMPUTED_VALUE"""),"Senior Financial Analyst")</f>
        <v>Senior Financial Analyst</v>
      </c>
      <c r="D683" s="1" t="str">
        <f>IFERROR(__xludf.DUMMYFUNCTION("""COMPUTED_VALUE"""),"On-Site")</f>
        <v>On-Site</v>
      </c>
      <c r="E683" s="1" t="str">
        <f>IFERROR(__xludf.DUMMYFUNCTION("""COMPUTED_VALUE"""),"N/A")</f>
        <v>N/A</v>
      </c>
      <c r="F683" s="1" t="str">
        <f>IFERROR(__xludf.DUMMYFUNCTION("""COMPUTED_VALUE"""),"3 - 5")</f>
        <v>3 - 5</v>
      </c>
      <c r="G683" s="1" t="str">
        <f>IFERROR(__xludf.DUMMYFUNCTION("""COMPUTED_VALUE"""),"Lumberton, NJ")</f>
        <v>Lumberton, NJ</v>
      </c>
      <c r="H683" s="4" t="str">
        <f>IFERROR(__xludf.DUMMYFUNCTION("""COMPUTED_VALUE"""),"https://www.linkedin.com/posts/activity-7231762009778712576-0t9V?utm_source=share&amp;utm_medium=member_desktop")</f>
        <v>https://www.linkedin.com/posts/activity-7231762009778712576-0t9V?utm_source=share&amp;utm_medium=member_desktop</v>
      </c>
    </row>
    <row r="684">
      <c r="A684" s="2">
        <f>IFERROR(__xludf.DUMMYFUNCTION("""COMPUTED_VALUE"""),45525.0)</f>
        <v>45525</v>
      </c>
      <c r="B684" s="1" t="str">
        <f>IFERROR(__xludf.DUMMYFUNCTION("""COMPUTED_VALUE"""),"Air Force Civilian Service")</f>
        <v>Air Force Civilian Service</v>
      </c>
      <c r="C684" s="1" t="str">
        <f>IFERROR(__xludf.DUMMYFUNCTION("""COMPUTED_VALUE"""),"Operations Research Analyst")</f>
        <v>Operations Research Analyst</v>
      </c>
      <c r="D684" s="1" t="str">
        <f>IFERROR(__xludf.DUMMYFUNCTION("""COMPUTED_VALUE"""),"Hybrid")</f>
        <v>Hybrid</v>
      </c>
      <c r="E684" s="1" t="str">
        <f>IFERROR(__xludf.DUMMYFUNCTION("""COMPUTED_VALUE"""),"$123k - $161k")</f>
        <v>$123k - $161k</v>
      </c>
      <c r="F684" s="1" t="str">
        <f>IFERROR(__xludf.DUMMYFUNCTION("""COMPUTED_VALUE"""),"3 - 5")</f>
        <v>3 - 5</v>
      </c>
      <c r="G684" s="1" t="str">
        <f>IFERROR(__xludf.DUMMYFUNCTION("""COMPUTED_VALUE"""),"San Antonio, TX")</f>
        <v>San Antonio, TX</v>
      </c>
      <c r="H684" s="4" t="str">
        <f>IFERROR(__xludf.DUMMYFUNCTION("""COMPUTED_VALUE"""),"https://www.linkedin.com/posts/sean-nelms_interested-in-leaning-into-ai-with-air-force-activity-7231313499107258368-h46o?utm_source=share&amp;utm_medium=member_desktop")</f>
        <v>https://www.linkedin.com/posts/sean-nelms_interested-in-leaning-into-ai-with-air-force-activity-7231313499107258368-h46o?utm_source=share&amp;utm_medium=member_desktop</v>
      </c>
    </row>
    <row r="685">
      <c r="A685" s="2">
        <f>IFERROR(__xludf.DUMMYFUNCTION("""COMPUTED_VALUE"""),45525.0)</f>
        <v>45525</v>
      </c>
      <c r="B685" s="1" t="str">
        <f>IFERROR(__xludf.DUMMYFUNCTION("""COMPUTED_VALUE"""),"Mosey")</f>
        <v>Mosey</v>
      </c>
      <c r="C685" s="1" t="str">
        <f>IFERROR(__xludf.DUMMYFUNCTION("""COMPUTED_VALUE"""),"Compliance Research Analyst (Contract to Hire)")</f>
        <v>Compliance Research Analyst (Contract to Hire)</v>
      </c>
      <c r="D685" s="1" t="str">
        <f>IFERROR(__xludf.DUMMYFUNCTION("""COMPUTED_VALUE"""),"Remote")</f>
        <v>Remote</v>
      </c>
      <c r="E685" s="1" t="str">
        <f>IFERROR(__xludf.DUMMYFUNCTION("""COMPUTED_VALUE"""),"$25/hr - $40/hr")</f>
        <v>$25/hr - $40/hr</v>
      </c>
      <c r="F685" s="1" t="str">
        <f>IFERROR(__xludf.DUMMYFUNCTION("""COMPUTED_VALUE"""),"0 - 2")</f>
        <v>0 - 2</v>
      </c>
      <c r="G685" s="1" t="str">
        <f>IFERROR(__xludf.DUMMYFUNCTION("""COMPUTED_VALUE"""),"USA")</f>
        <v>USA</v>
      </c>
      <c r="H685" s="4" t="str">
        <f>IFERROR(__xludf.DUMMYFUNCTION("""COMPUTED_VALUE"""),"https://www.linkedin.com/posts/westonschutt_jobopening-complianceanalyst-joinourteam-activity-7231370249583964161-6s_h?utm_source=share&amp;utm_medium=member_desktop")</f>
        <v>https://www.linkedin.com/posts/westonschutt_jobopening-complianceanalyst-joinourteam-activity-7231370249583964161-6s_h?utm_source=share&amp;utm_medium=member_desktop</v>
      </c>
    </row>
    <row r="686">
      <c r="A686" s="2">
        <f>IFERROR(__xludf.DUMMYFUNCTION("""COMPUTED_VALUE"""),45525.0)</f>
        <v>45525</v>
      </c>
      <c r="B686" s="1" t="str">
        <f>IFERROR(__xludf.DUMMYFUNCTION("""COMPUTED_VALUE"""),"HSBC")</f>
        <v>HSBC</v>
      </c>
      <c r="C686" s="1" t="str">
        <f>IFERROR(__xludf.DUMMYFUNCTION("""COMPUTED_VALUE"""),"Analyst, Global Banking Coverage Energy and Chemicals")</f>
        <v>Analyst, Global Banking Coverage Energy and Chemicals</v>
      </c>
      <c r="D686" s="1" t="str">
        <f>IFERROR(__xludf.DUMMYFUNCTION("""COMPUTED_VALUE"""),"On-Site")</f>
        <v>On-Site</v>
      </c>
      <c r="E686" s="1" t="str">
        <f>IFERROR(__xludf.DUMMYFUNCTION("""COMPUTED_VALUE"""),"$100k - $110k")</f>
        <v>$100k - $110k</v>
      </c>
      <c r="F686" s="1" t="str">
        <f>IFERROR(__xludf.DUMMYFUNCTION("""COMPUTED_VALUE"""),"3 - 5")</f>
        <v>3 - 5</v>
      </c>
      <c r="G686" s="1" t="str">
        <f>IFERROR(__xludf.DUMMYFUNCTION("""COMPUTED_VALUE"""),"Houston, TX")</f>
        <v>Houston, TX</v>
      </c>
      <c r="H686" s="4" t="str">
        <f>IFERROR(__xludf.DUMMYFUNCTION("""COMPUTED_VALUE"""),"https://www.linkedin.com/posts/michael-zabrycki_our-team-is-hiring-an-analyst-in-houston-activity-7231828367795175425-rAOl?utm_source=share&amp;utm_medium=member_desktop")</f>
        <v>https://www.linkedin.com/posts/michael-zabrycki_our-team-is-hiring-an-analyst-in-houston-activity-7231828367795175425-rAOl?utm_source=share&amp;utm_medium=member_desktop</v>
      </c>
    </row>
    <row r="687">
      <c r="A687" s="2">
        <f>IFERROR(__xludf.DUMMYFUNCTION("""COMPUTED_VALUE"""),45525.0)</f>
        <v>45525</v>
      </c>
      <c r="B687" s="1" t="str">
        <f>IFERROR(__xludf.DUMMYFUNCTION("""COMPUTED_VALUE"""),"Medical Mutual")</f>
        <v>Medical Mutual</v>
      </c>
      <c r="C687" s="1" t="str">
        <f>IFERROR(__xludf.DUMMYFUNCTION("""COMPUTED_VALUE"""),"Customer Data Analyst")</f>
        <v>Customer Data Analyst</v>
      </c>
      <c r="D687" s="1" t="str">
        <f>IFERROR(__xludf.DUMMYFUNCTION("""COMPUTED_VALUE"""),"Hybrid")</f>
        <v>Hybrid</v>
      </c>
      <c r="E687" s="1" t="str">
        <f>IFERROR(__xludf.DUMMYFUNCTION("""COMPUTED_VALUE"""),"N/A")</f>
        <v>N/A</v>
      </c>
      <c r="F687" s="1" t="str">
        <f>IFERROR(__xludf.DUMMYFUNCTION("""COMPUTED_VALUE"""),"3 - 5")</f>
        <v>3 - 5</v>
      </c>
      <c r="G687" s="1" t="str">
        <f>IFERROR(__xludf.DUMMYFUNCTION("""COMPUTED_VALUE"""),"Brooklyn, OH")</f>
        <v>Brooklyn, OH</v>
      </c>
      <c r="H687" s="4" t="str">
        <f>IFERROR(__xludf.DUMMYFUNCTION("""COMPUTED_VALUE"""),"https://www.linkedin.com/posts/activity-7232008913192189952-E6ky?utm_source=share&amp;utm_medium=member_desktop")</f>
        <v>https://www.linkedin.com/posts/activity-7232008913192189952-E6ky?utm_source=share&amp;utm_medium=member_desktop</v>
      </c>
    </row>
    <row r="688">
      <c r="A688" s="2">
        <f>IFERROR(__xludf.DUMMYFUNCTION("""COMPUTED_VALUE"""),45525.0)</f>
        <v>45525</v>
      </c>
      <c r="B688" s="1" t="str">
        <f>IFERROR(__xludf.DUMMYFUNCTION("""COMPUTED_VALUE"""),"Ledgent Technology")</f>
        <v>Ledgent Technology</v>
      </c>
      <c r="C688" s="1" t="str">
        <f>IFERROR(__xludf.DUMMYFUNCTION("""COMPUTED_VALUE"""),"Business Data Engineer")</f>
        <v>Business Data Engineer</v>
      </c>
      <c r="D688" s="1" t="str">
        <f>IFERROR(__xludf.DUMMYFUNCTION("""COMPUTED_VALUE"""),"Remote")</f>
        <v>Remote</v>
      </c>
      <c r="E688" s="1" t="str">
        <f>IFERROR(__xludf.DUMMYFUNCTION("""COMPUTED_VALUE"""),"$90k - $110k")</f>
        <v>$90k - $110k</v>
      </c>
      <c r="F688" s="1" t="str">
        <f>IFERROR(__xludf.DUMMYFUNCTION("""COMPUTED_VALUE"""),"0 - 2")</f>
        <v>0 - 2</v>
      </c>
      <c r="G688" s="1" t="str">
        <f>IFERROR(__xludf.DUMMYFUNCTION("""COMPUTED_VALUE"""),"Wenatchee, WA")</f>
        <v>Wenatchee, WA</v>
      </c>
      <c r="H688" s="4" t="str">
        <f>IFERROR(__xludf.DUMMYFUNCTION("""COMPUTED_VALUE"""),"https://www.linkedin.com/posts/harli-davidson_business-data-engineer-activity-7232117432885067778-DKC-?utm_source=share&amp;utm_medium=member_desktop")</f>
        <v>https://www.linkedin.com/posts/harli-davidson_business-data-engineer-activity-7232117432885067778-DKC-?utm_source=share&amp;utm_medium=member_desktop</v>
      </c>
    </row>
    <row r="689">
      <c r="A689" s="2">
        <f>IFERROR(__xludf.DUMMYFUNCTION("""COMPUTED_VALUE"""),45525.0)</f>
        <v>45525</v>
      </c>
      <c r="B689" s="1" t="str">
        <f>IFERROR(__xludf.DUMMYFUNCTION("""COMPUTED_VALUE"""),"Meta")</f>
        <v>Meta</v>
      </c>
      <c r="C689" s="1" t="str">
        <f>IFERROR(__xludf.DUMMYFUNCTION("""COMPUTED_VALUE"""),"Data Engineer, Product Analytics")</f>
        <v>Data Engineer, Product Analytics</v>
      </c>
      <c r="D689" s="1" t="str">
        <f>IFERROR(__xludf.DUMMYFUNCTION("""COMPUTED_VALUE"""),"Remote")</f>
        <v>Remote</v>
      </c>
      <c r="E689" s="1" t="str">
        <f>IFERROR(__xludf.DUMMYFUNCTION("""COMPUTED_VALUE"""),"$173k  - $242k")</f>
        <v>$173k  - $242k</v>
      </c>
      <c r="F689" s="1" t="str">
        <f>IFERROR(__xludf.DUMMYFUNCTION("""COMPUTED_VALUE"""),"6 - 9")</f>
        <v>6 - 9</v>
      </c>
      <c r="G689" s="1" t="str">
        <f>IFERROR(__xludf.DUMMYFUNCTION("""COMPUTED_VALUE"""),"USA")</f>
        <v>USA</v>
      </c>
      <c r="H689" s="4" t="str">
        <f>IFERROR(__xludf.DUMMYFUNCTION("""COMPUTED_VALUE"""),"https://www.linkedin.com/posts/activity-7232040392806780928-paFe?utm_source=share&amp;utm_medium=member_desktop")</f>
        <v>https://www.linkedin.com/posts/activity-7232040392806780928-paFe?utm_source=share&amp;utm_medium=member_desktop</v>
      </c>
    </row>
    <row r="690">
      <c r="A690" s="2">
        <f>IFERROR(__xludf.DUMMYFUNCTION("""COMPUTED_VALUE"""),45525.0)</f>
        <v>45525</v>
      </c>
      <c r="B690" s="1" t="str">
        <f>IFERROR(__xludf.DUMMYFUNCTION("""COMPUTED_VALUE"""),"Disney")</f>
        <v>Disney</v>
      </c>
      <c r="C690" s="1" t="str">
        <f>IFERROR(__xludf.DUMMYFUNCTION("""COMPUTED_VALUE"""),"Sr Data Scientist")</f>
        <v>Sr Data Scientist</v>
      </c>
      <c r="D690" s="1" t="str">
        <f>IFERROR(__xludf.DUMMYFUNCTION("""COMPUTED_VALUE"""),"On-Site")</f>
        <v>On-Site</v>
      </c>
      <c r="E690" s="1" t="str">
        <f>IFERROR(__xludf.DUMMYFUNCTION("""COMPUTED_VALUE"""),"N/A")</f>
        <v>N/A</v>
      </c>
      <c r="F690" s="1" t="str">
        <f>IFERROR(__xludf.DUMMYFUNCTION("""COMPUTED_VALUE"""),"0 - 2")</f>
        <v>0 - 2</v>
      </c>
      <c r="G690" s="1" t="str">
        <f>IFERROR(__xludf.DUMMYFUNCTION("""COMPUTED_VALUE"""),"Lake Buena Vista, FL")</f>
        <v>Lake Buena Vista, FL</v>
      </c>
      <c r="H690" s="4" t="str">
        <f>IFERROR(__xludf.DUMMYFUNCTION("""COMPUTED_VALUE"""),"https://www.linkedin.com/posts/jamcin_sr-data-scientist-activity-7232116615981494273-2L_j?utm_source=share&amp;utm_medium=member_desktop")</f>
        <v>https://www.linkedin.com/posts/jamcin_sr-data-scientist-activity-7232116615981494273-2L_j?utm_source=share&amp;utm_medium=member_desktop</v>
      </c>
    </row>
    <row r="691">
      <c r="A691" s="2">
        <f>IFERROR(__xludf.DUMMYFUNCTION("""COMPUTED_VALUE"""),45525.0)</f>
        <v>45525</v>
      </c>
      <c r="B691" s="1" t="str">
        <f>IFERROR(__xludf.DUMMYFUNCTION("""COMPUTED_VALUE"""),"Amazon")</f>
        <v>Amazon</v>
      </c>
      <c r="C691" s="1" t="str">
        <f>IFERROR(__xludf.DUMMYFUNCTION("""COMPUTED_VALUE"""),"Data Scientist, AWS Global Services Capacity Planning")</f>
        <v>Data Scientist, AWS Global Services Capacity Planning</v>
      </c>
      <c r="D691" s="1" t="str">
        <f>IFERROR(__xludf.DUMMYFUNCTION("""COMPUTED_VALUE"""),"Hybrid")</f>
        <v>Hybrid</v>
      </c>
      <c r="E691" s="1" t="str">
        <f>IFERROR(__xludf.DUMMYFUNCTION("""COMPUTED_VALUE"""),"$125k - $212k")</f>
        <v>$125k - $212k</v>
      </c>
      <c r="F691" s="1" t="str">
        <f>IFERROR(__xludf.DUMMYFUNCTION("""COMPUTED_VALUE"""),"3 - 5")</f>
        <v>3 - 5</v>
      </c>
      <c r="G691" s="1" t="str">
        <f>IFERROR(__xludf.DUMMYFUNCTION("""COMPUTED_VALUE"""),"Seattle, WA/ Dallas, TX")</f>
        <v>Seattle, WA/ Dallas, TX</v>
      </c>
      <c r="H691" s="4" t="str">
        <f>IFERROR(__xludf.DUMMYFUNCTION("""COMPUTED_VALUE"""),"https://www.linkedin.com/posts/vijayannagarajan_data-scientist-aws-global-services-capacity-activity-7232096313302036480-2teO?utm_source=share&amp;utm_medium=member_desktop")</f>
        <v>https://www.linkedin.com/posts/vijayannagarajan_data-scientist-aws-global-services-capacity-activity-7232096313302036480-2teO?utm_source=share&amp;utm_medium=member_desktop</v>
      </c>
    </row>
    <row r="692">
      <c r="A692" s="2">
        <f>IFERROR(__xludf.DUMMYFUNCTION("""COMPUTED_VALUE"""),45525.0)</f>
        <v>45525</v>
      </c>
      <c r="B692" s="1" t="str">
        <f>IFERROR(__xludf.DUMMYFUNCTION("""COMPUTED_VALUE"""),"PepsiCo")</f>
        <v>PepsiCo</v>
      </c>
      <c r="C692" s="1" t="str">
        <f>IFERROR(__xludf.DUMMYFUNCTION("""COMPUTED_VALUE"""),"Senior Data Engineer")</f>
        <v>Senior Data Engineer</v>
      </c>
      <c r="D692" s="1" t="str">
        <f>IFERROR(__xludf.DUMMYFUNCTION("""COMPUTED_VALUE"""),"Hybrid")</f>
        <v>Hybrid</v>
      </c>
      <c r="E692" s="1" t="str">
        <f>IFERROR(__xludf.DUMMYFUNCTION("""COMPUTED_VALUE"""),"$115k - $198k")</f>
        <v>$115k - $198k</v>
      </c>
      <c r="F692" s="1" t="str">
        <f>IFERROR(__xludf.DUMMYFUNCTION("""COMPUTED_VALUE"""),"6 - 9")</f>
        <v>6 - 9</v>
      </c>
      <c r="G692" s="1" t="str">
        <f>IFERROR(__xludf.DUMMYFUNCTION("""COMPUTED_VALUE"""),"Plano, TX")</f>
        <v>Plano, TX</v>
      </c>
      <c r="H692" s="4" t="str">
        <f>IFERROR(__xludf.DUMMYFUNCTION("""COMPUTED_VALUE"""),"https://www.linkedin.com/posts/charliebeirne_hiring-activity-7232072695809540096-1N6F?utm_source=share&amp;utm_medium=member_desktop")</f>
        <v>https://www.linkedin.com/posts/charliebeirne_hiring-activity-7232072695809540096-1N6F?utm_source=share&amp;utm_medium=member_desktop</v>
      </c>
    </row>
    <row r="693">
      <c r="A693" s="2">
        <f>IFERROR(__xludf.DUMMYFUNCTION("""COMPUTED_VALUE"""),45525.0)</f>
        <v>45525</v>
      </c>
      <c r="B693" s="1" t="str">
        <f>IFERROR(__xludf.DUMMYFUNCTION("""COMPUTED_VALUE"""),"Electronic Arts (EA)")</f>
        <v>Electronic Arts (EA)</v>
      </c>
      <c r="C693" s="1" t="str">
        <f>IFERROR(__xludf.DUMMYFUNCTION("""COMPUTED_VALUE"""),"Data Architect III")</f>
        <v>Data Architect III</v>
      </c>
      <c r="D693" s="1" t="str">
        <f>IFERROR(__xludf.DUMMYFUNCTION("""COMPUTED_VALUE"""),"On-Site")</f>
        <v>On-Site</v>
      </c>
      <c r="E693" s="1" t="str">
        <f>IFERROR(__xludf.DUMMYFUNCTION("""COMPUTED_VALUE"""),"$108k - $147k")</f>
        <v>$108k - $147k</v>
      </c>
      <c r="F693" s="1" t="str">
        <f>IFERROR(__xludf.DUMMYFUNCTION("""COMPUTED_VALUE"""),"6 - 9")</f>
        <v>6 - 9</v>
      </c>
      <c r="G693" s="1" t="str">
        <f>IFERROR(__xludf.DUMMYFUNCTION("""COMPUTED_VALUE"""),"Toronto, ON, Canada/Vancouver, BC, Canada")</f>
        <v>Toronto, ON, Canada/Vancouver, BC, Canada</v>
      </c>
      <c r="H693" s="4" t="str">
        <f>IFERROR(__xludf.DUMMYFUNCTION("""COMPUTED_VALUE"""),"https://www.linkedin.com/posts/zakielt_dataarchitecture-canada-remote-activity-7232034781188816896-fqUi?utm_source=share&amp;utm_medium=member_desktop")</f>
        <v>https://www.linkedin.com/posts/zakielt_dataarchitecture-canada-remote-activity-7232034781188816896-fqUi?utm_source=share&amp;utm_medium=member_desktop</v>
      </c>
    </row>
    <row r="694">
      <c r="A694" s="2">
        <f>IFERROR(__xludf.DUMMYFUNCTION("""COMPUTED_VALUE"""),45525.0)</f>
        <v>45525</v>
      </c>
      <c r="B694" s="1" t="str">
        <f>IFERROR(__xludf.DUMMYFUNCTION("""COMPUTED_VALUE"""),"AIG")</f>
        <v>AIG</v>
      </c>
      <c r="C694" s="1" t="str">
        <f>IFERROR(__xludf.DUMMYFUNCTION("""COMPUTED_VALUE"""),"People Analytics, Insights &amp; Reporting Talent Lead")</f>
        <v>People Analytics, Insights &amp; Reporting Talent Lead</v>
      </c>
      <c r="D694" s="1" t="str">
        <f>IFERROR(__xludf.DUMMYFUNCTION("""COMPUTED_VALUE"""),"Hybrid")</f>
        <v>Hybrid</v>
      </c>
      <c r="E694" s="1" t="str">
        <f>IFERROR(__xludf.DUMMYFUNCTION("""COMPUTED_VALUE"""),"N/A")</f>
        <v>N/A</v>
      </c>
      <c r="F694" s="1" t="str">
        <f>IFERROR(__xludf.DUMMYFUNCTION("""COMPUTED_VALUE"""),"3 - 5")</f>
        <v>3 - 5</v>
      </c>
      <c r="G694" s="1" t="str">
        <f>IFERROR(__xludf.DUMMYFUNCTION("""COMPUTED_VALUE"""),"Atlanta, GA")</f>
        <v>Atlanta, GA</v>
      </c>
      <c r="H694" s="4" t="str">
        <f>IFERROR(__xludf.DUMMYFUNCTION("""COMPUTED_VALUE"""),"https://www.linkedin.com/posts/kristapalmisano_people-analytics-insights-reporting-talent-activity-7231276655787360259-VS7S?utm_source=share&amp;utm_medium=member_desktop")</f>
        <v>https://www.linkedin.com/posts/kristapalmisano_people-analytics-insights-reporting-talent-activity-7231276655787360259-VS7S?utm_source=share&amp;utm_medium=member_desktop</v>
      </c>
    </row>
    <row r="695">
      <c r="A695" s="2">
        <f>IFERROR(__xludf.DUMMYFUNCTION("""COMPUTED_VALUE"""),45525.0)</f>
        <v>45525</v>
      </c>
      <c r="B695" s="1" t="str">
        <f>IFERROR(__xludf.DUMMYFUNCTION("""COMPUTED_VALUE"""),"Myriad Genetics")</f>
        <v>Myriad Genetics</v>
      </c>
      <c r="C695" s="1" t="str">
        <f>IFERROR(__xludf.DUMMYFUNCTION("""COMPUTED_VALUE"""),"Service Product Operations Analyst")</f>
        <v>Service Product Operations Analyst</v>
      </c>
      <c r="D695" s="1" t="str">
        <f>IFERROR(__xludf.DUMMYFUNCTION("""COMPUTED_VALUE"""),"Remote")</f>
        <v>Remote</v>
      </c>
      <c r="E695" s="1" t="str">
        <f>IFERROR(__xludf.DUMMYFUNCTION("""COMPUTED_VALUE"""),"N/A")</f>
        <v>N/A</v>
      </c>
      <c r="F695" s="1" t="str">
        <f>IFERROR(__xludf.DUMMYFUNCTION("""COMPUTED_VALUE"""),"3 - 5")</f>
        <v>3 - 5</v>
      </c>
      <c r="G695" s="1" t="str">
        <f>IFERROR(__xludf.DUMMYFUNCTION("""COMPUTED_VALUE"""),"USA")</f>
        <v>USA</v>
      </c>
      <c r="H695" s="4" t="str">
        <f>IFERROR(__xludf.DUMMYFUNCTION("""COMPUTED_VALUE"""),"https://www.linkedin.com/posts/maxime-abo-a141b777_im-very-excited-to-share-that-im-hiring-activity-7231676488276733955-zWRE?utm_source=share&amp;utm_medium=member_desktop")</f>
        <v>https://www.linkedin.com/posts/maxime-abo-a141b777_im-very-excited-to-share-that-im-hiring-activity-7231676488276733955-zWRE?utm_source=share&amp;utm_medium=member_desktop</v>
      </c>
    </row>
    <row r="696">
      <c r="A696" s="2">
        <f>IFERROR(__xludf.DUMMYFUNCTION("""COMPUTED_VALUE"""),45525.0)</f>
        <v>45525</v>
      </c>
      <c r="B696" s="1" t="str">
        <f>IFERROR(__xludf.DUMMYFUNCTION("""COMPUTED_VALUE"""),"Johns Hopkins Bloomberg School of Public Healt")</f>
        <v>Johns Hopkins Bloomberg School of Public Healt</v>
      </c>
      <c r="C696" s="1" t="str">
        <f>IFERROR(__xludf.DUMMYFUNCTION("""COMPUTED_VALUE"""),"Research Data Analyst")</f>
        <v>Research Data Analyst</v>
      </c>
      <c r="D696" s="1" t="str">
        <f>IFERROR(__xludf.DUMMYFUNCTION("""COMPUTED_VALUE"""),"Hybrid")</f>
        <v>Hybrid</v>
      </c>
      <c r="E696" s="1" t="str">
        <f>IFERROR(__xludf.DUMMYFUNCTION("""COMPUTED_VALUE"""),"$48k- $84k")</f>
        <v>$48k- $84k</v>
      </c>
      <c r="F696" s="1" t="str">
        <f>IFERROR(__xludf.DUMMYFUNCTION("""COMPUTED_VALUE"""),"3 - 5")</f>
        <v>3 - 5</v>
      </c>
      <c r="G696" s="1" t="str">
        <f>IFERROR(__xludf.DUMMYFUNCTION("""COMPUTED_VALUE"""),"Baltimore, MD")</f>
        <v>Baltimore, MD</v>
      </c>
      <c r="H696" s="4" t="str">
        <f>IFERROR(__xludf.DUMMYFUNCTION("""COMPUTED_VALUE"""),"https://www.linkedin.com/posts/anne-lilly-a7457421_research-data-analyst-activity-7232031983634116608-vQvk?utm_source=share&amp;utm_medium=member_desktop")</f>
        <v>https://www.linkedin.com/posts/anne-lilly-a7457421_research-data-analyst-activity-7232031983634116608-vQvk?utm_source=share&amp;utm_medium=member_desktop</v>
      </c>
    </row>
    <row r="697">
      <c r="A697" s="2">
        <f>IFERROR(__xludf.DUMMYFUNCTION("""COMPUTED_VALUE"""),45525.0)</f>
        <v>45525</v>
      </c>
      <c r="B697" s="1" t="str">
        <f>IFERROR(__xludf.DUMMYFUNCTION("""COMPUTED_VALUE"""),"City of Raleigh")</f>
        <v>City of Raleigh</v>
      </c>
      <c r="C697" s="1" t="str">
        <f>IFERROR(__xludf.DUMMYFUNCTION("""COMPUTED_VALUE"""),"Enterprise Data Manager")</f>
        <v>Enterprise Data Manager</v>
      </c>
      <c r="D697" s="1" t="str">
        <f>IFERROR(__xludf.DUMMYFUNCTION("""COMPUTED_VALUE"""),"On-Site")</f>
        <v>On-Site</v>
      </c>
      <c r="E697" s="1" t="str">
        <f>IFERROR(__xludf.DUMMYFUNCTION("""COMPUTED_VALUE"""),"$68k - $127k")</f>
        <v>$68k - $127k</v>
      </c>
      <c r="F697" s="1" t="str">
        <f>IFERROR(__xludf.DUMMYFUNCTION("""COMPUTED_VALUE"""),"3 - 5")</f>
        <v>3 - 5</v>
      </c>
      <c r="G697" s="1" t="str">
        <f>IFERROR(__xludf.DUMMYFUNCTION("""COMPUTED_VALUE"""),"Raleigh, NC")</f>
        <v>Raleigh, NC</v>
      </c>
      <c r="H697" s="4" t="str">
        <f>IFERROR(__xludf.DUMMYFUNCTION("""COMPUTED_VALUE"""),"https://www.linkedin.com/posts/james-alberque-5491219_enterprise-data-manager-activity-7232031297643200512-YucC?utm_source=share&amp;utm_medium=member_desktop")</f>
        <v>https://www.linkedin.com/posts/james-alberque-5491219_enterprise-data-manager-activity-7232031297643200512-YucC?utm_source=share&amp;utm_medium=member_desktop</v>
      </c>
    </row>
    <row r="698">
      <c r="A698" s="2">
        <f>IFERROR(__xludf.DUMMYFUNCTION("""COMPUTED_VALUE"""),45525.0)</f>
        <v>45525</v>
      </c>
      <c r="B698" s="1" t="str">
        <f>IFERROR(__xludf.DUMMYFUNCTION("""COMPUTED_VALUE"""),"Ball Corporation")</f>
        <v>Ball Corporation</v>
      </c>
      <c r="C698" s="1" t="str">
        <f>IFERROR(__xludf.DUMMYFUNCTION("""COMPUTED_VALUE"""),"Sr Analyst, Financial Planning &amp; Analysis (NCA)")</f>
        <v>Sr Analyst, Financial Planning &amp; Analysis (NCA)</v>
      </c>
      <c r="D698" s="1" t="str">
        <f>IFERROR(__xludf.DUMMYFUNCTION("""COMPUTED_VALUE"""),"Hybrid")</f>
        <v>Hybrid</v>
      </c>
      <c r="E698" s="1" t="str">
        <f>IFERROR(__xludf.DUMMYFUNCTION("""COMPUTED_VALUE"""),"$73k - 109k")</f>
        <v>$73k - 109k</v>
      </c>
      <c r="F698" s="1" t="str">
        <f>IFERROR(__xludf.DUMMYFUNCTION("""COMPUTED_VALUE"""),"3 - 5")</f>
        <v>3 - 5</v>
      </c>
      <c r="G698" s="1" t="str">
        <f>IFERROR(__xludf.DUMMYFUNCTION("""COMPUTED_VALUE"""),"Westminster, CO")</f>
        <v>Westminster, CO</v>
      </c>
      <c r="H698" s="4" t="str">
        <f>IFERROR(__xludf.DUMMYFUNCTION("""COMPUTED_VALUE"""),"https://www.linkedin.com/posts/samantha-laird_financejobs-ballcorp-sustainablepackaging-activity-7232040732998451200-ipE1?utm_source=share&amp;utm_medium=member_desktop")</f>
        <v>https://www.linkedin.com/posts/samantha-laird_financejobs-ballcorp-sustainablepackaging-activity-7232040732998451200-ipE1?utm_source=share&amp;utm_medium=member_desktop</v>
      </c>
    </row>
    <row r="699">
      <c r="A699" s="2">
        <f>IFERROR(__xludf.DUMMYFUNCTION("""COMPUTED_VALUE"""),45525.0)</f>
        <v>45525</v>
      </c>
      <c r="B699" s="1" t="str">
        <f>IFERROR(__xludf.DUMMYFUNCTION("""COMPUTED_VALUE"""),"AECOM")</f>
        <v>AECOM</v>
      </c>
      <c r="C699" s="1" t="str">
        <f>IFERROR(__xludf.DUMMYFUNCTION("""COMPUTED_VALUE"""),"Corporate Financial Analyst, Investor Relations")</f>
        <v>Corporate Financial Analyst, Investor Relations</v>
      </c>
      <c r="D699" s="1" t="str">
        <f>IFERROR(__xludf.DUMMYFUNCTION("""COMPUTED_VALUE"""),"Hybrid")</f>
        <v>Hybrid</v>
      </c>
      <c r="E699" s="1" t="str">
        <f>IFERROR(__xludf.DUMMYFUNCTION("""COMPUTED_VALUE"""),"$75k - $105k")</f>
        <v>$75k - $105k</v>
      </c>
      <c r="F699" s="1" t="str">
        <f>IFERROR(__xludf.DUMMYFUNCTION("""COMPUTED_VALUE"""),"3 - 5")</f>
        <v>3 - 5</v>
      </c>
      <c r="G699" s="1" t="str">
        <f>IFERROR(__xludf.DUMMYFUNCTION("""COMPUTED_VALUE"""),"Dallas, TX/Denver, CO")</f>
        <v>Dallas, TX/Denver, CO</v>
      </c>
      <c r="H699" s="4" t="str">
        <f>IFERROR(__xludf.DUMMYFUNCTION("""COMPUTED_VALUE"""),"https://www.linkedin.com/posts/james-flattum_aecoms-corporate-investor-relations-team-activity-7232037757265584128-zXm7?utm_source=share&amp;utm_medium=member_desktop")</f>
        <v>https://www.linkedin.com/posts/james-flattum_aecoms-corporate-investor-relations-team-activity-7232037757265584128-zXm7?utm_source=share&amp;utm_medium=member_desktop</v>
      </c>
    </row>
    <row r="700">
      <c r="A700" s="2">
        <f>IFERROR(__xludf.DUMMYFUNCTION("""COMPUTED_VALUE"""),45525.0)</f>
        <v>45525</v>
      </c>
      <c r="B700" s="1" t="str">
        <f>IFERROR(__xludf.DUMMYFUNCTION("""COMPUTED_VALUE"""),"The Walt Disney Company")</f>
        <v>The Walt Disney Company</v>
      </c>
      <c r="C700" s="1" t="str">
        <f>IFERROR(__xludf.DUMMYFUNCTION("""COMPUTED_VALUE"""),"Senior Financial Analyst")</f>
        <v>Senior Financial Analyst</v>
      </c>
      <c r="D700" s="1" t="str">
        <f>IFERROR(__xludf.DUMMYFUNCTION("""COMPUTED_VALUE"""),"On-Site")</f>
        <v>On-Site</v>
      </c>
      <c r="E700" s="1" t="str">
        <f>IFERROR(__xludf.DUMMYFUNCTION("""COMPUTED_VALUE"""),"$104k - $130k")</f>
        <v>$104k - $130k</v>
      </c>
      <c r="F700" s="1" t="str">
        <f>IFERROR(__xludf.DUMMYFUNCTION("""COMPUTED_VALUE"""),"3 - 5")</f>
        <v>3 - 5</v>
      </c>
      <c r="G700" s="1" t="str">
        <f>IFERROR(__xludf.DUMMYFUNCTION("""COMPUTED_VALUE"""),"New York, NY")</f>
        <v>New York, NY</v>
      </c>
      <c r="H700" s="4" t="str">
        <f>IFERROR(__xludf.DUMMYFUNCTION("""COMPUTED_VALUE"""),"https://www.linkedin.com/posts/jgdalzell_excited-to-share-that-i-am-hiring-a-senior-activity-7231808821046775808-_KvO?utm_source=share&amp;utm_medium=member_desktop")</f>
        <v>https://www.linkedin.com/posts/jgdalzell_excited-to-share-that-i-am-hiring-a-senior-activity-7231808821046775808-_KvO?utm_source=share&amp;utm_medium=member_desktop</v>
      </c>
    </row>
    <row r="701">
      <c r="A701" s="2">
        <f>IFERROR(__xludf.DUMMYFUNCTION("""COMPUTED_VALUE"""),45525.0)</f>
        <v>45525</v>
      </c>
      <c r="B701" s="1" t="str">
        <f>IFERROR(__xludf.DUMMYFUNCTION("""COMPUTED_VALUE"""),"True Rx Health Strategists")</f>
        <v>True Rx Health Strategists</v>
      </c>
      <c r="C701" s="1" t="str">
        <f>IFERROR(__xludf.DUMMYFUNCTION("""COMPUTED_VALUE"""),"Data Analyst")</f>
        <v>Data Analyst</v>
      </c>
      <c r="D701" s="1" t="str">
        <f>IFERROR(__xludf.DUMMYFUNCTION("""COMPUTED_VALUE"""),"Remote")</f>
        <v>Remote</v>
      </c>
      <c r="E701" s="1" t="str">
        <f>IFERROR(__xludf.DUMMYFUNCTION("""COMPUTED_VALUE"""),"N/A")</f>
        <v>N/A</v>
      </c>
      <c r="F701" s="1" t="str">
        <f>IFERROR(__xludf.DUMMYFUNCTION("""COMPUTED_VALUE"""),"0 - 2")</f>
        <v>0 - 2</v>
      </c>
      <c r="G701" s="1" t="str">
        <f>IFERROR(__xludf.DUMMYFUNCTION("""COMPUTED_VALUE"""),"USA")</f>
        <v>USA</v>
      </c>
      <c r="H701" s="4" t="str">
        <f>IFERROR(__xludf.DUMMYFUNCTION("""COMPUTED_VALUE"""),"https://www.linkedin.com/posts/luke-jerrells-435291138_our-analytics-department-at-true-rx-health-activity-7231681964234178563-zcBg?utm_source=share&amp;utm_medium=member_desktop")</f>
        <v>https://www.linkedin.com/posts/luke-jerrells-435291138_our-analytics-department-at-true-rx-health-activity-7231681964234178563-zcBg?utm_source=share&amp;utm_medium=member_desktop</v>
      </c>
    </row>
    <row r="702">
      <c r="A702" s="2">
        <f>IFERROR(__xludf.DUMMYFUNCTION("""COMPUTED_VALUE"""),45525.0)</f>
        <v>45525</v>
      </c>
      <c r="B702" s="1" t="str">
        <f>IFERROR(__xludf.DUMMYFUNCTION("""COMPUTED_VALUE"""),"Circana")</f>
        <v>Circana</v>
      </c>
      <c r="C702" s="1" t="str">
        <f>IFERROR(__xludf.DUMMYFUNCTION("""COMPUTED_VALUE"""),"Client Insights Analyst/Manager")</f>
        <v>Client Insights Analyst/Manager</v>
      </c>
      <c r="D702" s="1" t="str">
        <f>IFERROR(__xludf.DUMMYFUNCTION("""COMPUTED_VALUE"""),"Hybrid")</f>
        <v>Hybrid</v>
      </c>
      <c r="E702" s="1" t="str">
        <f>IFERROR(__xludf.DUMMYFUNCTION("""COMPUTED_VALUE"""),"N/A")</f>
        <v>N/A</v>
      </c>
      <c r="F702" s="1" t="str">
        <f>IFERROR(__xludf.DUMMYFUNCTION("""COMPUTED_VALUE"""),"0 - 2")</f>
        <v>0 - 2</v>
      </c>
      <c r="G702" s="1" t="str">
        <f>IFERROR(__xludf.DUMMYFUNCTION("""COMPUTED_VALUE"""),"Preston, WA")</f>
        <v>Preston, WA</v>
      </c>
      <c r="H702" s="4" t="str">
        <f>IFERROR(__xludf.DUMMYFUNCTION("""COMPUTED_VALUE"""),"https://www.linkedin.com/posts/activity-7231693735540002816-Orf1?utm_source=share&amp;utm_medium=member_desktop")</f>
        <v>https://www.linkedin.com/posts/activity-7231693735540002816-Orf1?utm_source=share&amp;utm_medium=member_desktop</v>
      </c>
    </row>
    <row r="703">
      <c r="A703" s="2">
        <f>IFERROR(__xludf.DUMMYFUNCTION("""COMPUTED_VALUE"""),45525.0)</f>
        <v>45525</v>
      </c>
      <c r="B703" s="1" t="str">
        <f>IFERROR(__xludf.DUMMYFUNCTION("""COMPUTED_VALUE"""),"Federal Reserve Bank of Minneapolis")</f>
        <v>Federal Reserve Bank of Minneapolis</v>
      </c>
      <c r="C703" s="1" t="str">
        <f>IFERROR(__xludf.DUMMYFUNCTION("""COMPUTED_VALUE"""),"Financial Planning and Operations Analyst")</f>
        <v>Financial Planning and Operations Analyst</v>
      </c>
      <c r="D703" s="1" t="str">
        <f>IFERROR(__xludf.DUMMYFUNCTION("""COMPUTED_VALUE"""),"On-Site")</f>
        <v>On-Site</v>
      </c>
      <c r="E703" s="1" t="str">
        <f>IFERROR(__xludf.DUMMYFUNCTION("""COMPUTED_VALUE"""),"$61k - $113k")</f>
        <v>$61k - $113k</v>
      </c>
      <c r="F703" s="1" t="str">
        <f>IFERROR(__xludf.DUMMYFUNCTION("""COMPUTED_VALUE"""),"0 - 2")</f>
        <v>0 - 2</v>
      </c>
      <c r="G703" s="1" t="str">
        <f>IFERROR(__xludf.DUMMYFUNCTION("""COMPUTED_VALUE"""),"Minneapolis, MN")</f>
        <v>Minneapolis, MN</v>
      </c>
      <c r="H703" s="4" t="str">
        <f>IFERROR(__xludf.DUMMYFUNCTION("""COMPUTED_VALUE"""),"https://www.linkedin.com/posts/christine-gaffney-b43263a_financial-planning-and-operations-analyst-activity-7231753134849540097-hQ3S?utm_source=share&amp;utm_medium=member_ios")</f>
        <v>https://www.linkedin.com/posts/christine-gaffney-b43263a_financial-planning-and-operations-analyst-activity-7231753134849540097-hQ3S?utm_source=share&amp;utm_medium=member_ios</v>
      </c>
    </row>
    <row r="704">
      <c r="A704" s="2">
        <f>IFERROR(__xludf.DUMMYFUNCTION("""COMPUTED_VALUE"""),45525.0)</f>
        <v>45525</v>
      </c>
      <c r="B704" s="1" t="str">
        <f>IFERROR(__xludf.DUMMYFUNCTION("""COMPUTED_VALUE"""),"Wellth")</f>
        <v>Wellth</v>
      </c>
      <c r="C704" s="1" t="str">
        <f>IFERROR(__xludf.DUMMYFUNCTION("""COMPUTED_VALUE"""),"Healthcare Informatics Data Analyst")</f>
        <v>Healthcare Informatics Data Analyst</v>
      </c>
      <c r="D704" s="1" t="str">
        <f>IFERROR(__xludf.DUMMYFUNCTION("""COMPUTED_VALUE"""),"Remote")</f>
        <v>Remote</v>
      </c>
      <c r="E704" s="1" t="str">
        <f>IFERROR(__xludf.DUMMYFUNCTION("""COMPUTED_VALUE"""),"$120k - $140k")</f>
        <v>$120k - $140k</v>
      </c>
      <c r="F704" s="1" t="str">
        <f>IFERROR(__xludf.DUMMYFUNCTION("""COMPUTED_VALUE"""),"3 - 5")</f>
        <v>3 - 5</v>
      </c>
      <c r="G704" s="1" t="str">
        <f>IFERROR(__xludf.DUMMYFUNCTION("""COMPUTED_VALUE"""),"USA")</f>
        <v>USA</v>
      </c>
      <c r="H704" s="4" t="str">
        <f>IFERROR(__xludf.DUMMYFUNCTION("""COMPUTED_VALUE"""),"https://www.linkedin.com/posts/aleczopf_were-hiring-two-new-customer-facing-data-activity-7231821216448180227-TrFu?utm_source=share&amp;utm_medium=member_ios")</f>
        <v>https://www.linkedin.com/posts/aleczopf_were-hiring-two-new-customer-facing-data-activity-7231821216448180227-TrFu?utm_source=share&amp;utm_medium=member_ios</v>
      </c>
    </row>
    <row r="705">
      <c r="A705" s="2">
        <f>IFERROR(__xludf.DUMMYFUNCTION("""COMPUTED_VALUE"""),45525.0)</f>
        <v>45525</v>
      </c>
      <c r="B705" s="1" t="str">
        <f>IFERROR(__xludf.DUMMYFUNCTION("""COMPUTED_VALUE"""),"Banfield Pet Hospital")</f>
        <v>Banfield Pet Hospital</v>
      </c>
      <c r="C705" s="1" t="str">
        <f>IFERROR(__xludf.DUMMYFUNCTION("""COMPUTED_VALUE"""),"Report Solutions Analyst - Mars Veterinary Health")</f>
        <v>Report Solutions Analyst - Mars Veterinary Health</v>
      </c>
      <c r="D705" s="1" t="str">
        <f>IFERROR(__xludf.DUMMYFUNCTION("""COMPUTED_VALUE"""),"Remote")</f>
        <v>Remote</v>
      </c>
      <c r="E705" s="1" t="str">
        <f>IFERROR(__xludf.DUMMYFUNCTION("""COMPUTED_VALUE"""),"$93k - $130k")</f>
        <v>$93k - $130k</v>
      </c>
      <c r="F705" s="1" t="str">
        <f>IFERROR(__xludf.DUMMYFUNCTION("""COMPUTED_VALUE"""),"3 - 5")</f>
        <v>3 - 5</v>
      </c>
      <c r="G705" s="1" t="str">
        <f>IFERROR(__xludf.DUMMYFUNCTION("""COMPUTED_VALUE"""),"USA")</f>
        <v>USA</v>
      </c>
      <c r="H705" s="4" t="str">
        <f>IFERROR(__xludf.DUMMYFUNCTION("""COMPUTED_VALUE"""),"https://www.linkedin.com/posts/kelsey-wiggin-89914759_im-hiring-a-couple-remote-friendly-data-activity-7231766375722090496-bjlT?utm_source=share&amp;utm_medium=member_ios")</f>
        <v>https://www.linkedin.com/posts/kelsey-wiggin-89914759_im-hiring-a-couple-remote-friendly-data-activity-7231766375722090496-bjlT?utm_source=share&amp;utm_medium=member_ios</v>
      </c>
    </row>
    <row r="706">
      <c r="A706" s="2">
        <f>IFERROR(__xludf.DUMMYFUNCTION("""COMPUTED_VALUE"""),45525.0)</f>
        <v>45525</v>
      </c>
      <c r="B706" s="1" t="str">
        <f>IFERROR(__xludf.DUMMYFUNCTION("""COMPUTED_VALUE"""),"LendingClub")</f>
        <v>LendingClub</v>
      </c>
      <c r="C706" s="1" t="str">
        <f>IFERROR(__xludf.DUMMYFUNCTION("""COMPUTED_VALUE"""),"Sr Credit Strategy &amp; Pricing Analyst")</f>
        <v>Sr Credit Strategy &amp; Pricing Analyst</v>
      </c>
      <c r="D706" s="1" t="str">
        <f>IFERROR(__xludf.DUMMYFUNCTION("""COMPUTED_VALUE"""),"Hybrid")</f>
        <v>Hybrid</v>
      </c>
      <c r="E706" s="1" t="str">
        <f>IFERROR(__xludf.DUMMYFUNCTION("""COMPUTED_VALUE"""),"$109k - $125k")</f>
        <v>$109k - $125k</v>
      </c>
      <c r="F706" s="1" t="str">
        <f>IFERROR(__xludf.DUMMYFUNCTION("""COMPUTED_VALUE"""),"0 - 2")</f>
        <v>0 - 2</v>
      </c>
      <c r="G706" s="1" t="str">
        <f>IFERROR(__xludf.DUMMYFUNCTION("""COMPUTED_VALUE"""),"San Francisco, CA")</f>
        <v>San Francisco, CA</v>
      </c>
      <c r="H706" s="4" t="str">
        <f>IFERROR(__xludf.DUMMYFUNCTION("""COMPUTED_VALUE"""),"https://www.linkedin.com/posts/bpcortez_hiring-lendingclub-hiring-activity-7231793265690222593-5d3y?utm_source=share&amp;utm_medium=member_ios")</f>
        <v>https://www.linkedin.com/posts/bpcortez_hiring-lendingclub-hiring-activity-7231793265690222593-5d3y?utm_source=share&amp;utm_medium=member_ios</v>
      </c>
    </row>
    <row r="707">
      <c r="A707" s="2">
        <f>IFERROR(__xludf.DUMMYFUNCTION("""COMPUTED_VALUE"""),45525.0)</f>
        <v>45525</v>
      </c>
      <c r="B707" s="1" t="str">
        <f>IFERROR(__xludf.DUMMYFUNCTION("""COMPUTED_VALUE"""),"Intuit TurboTax")</f>
        <v>Intuit TurboTax</v>
      </c>
      <c r="C707" s="1" t="str">
        <f>IFERROR(__xludf.DUMMYFUNCTION("""COMPUTED_VALUE"""),"Senior CRM Analyst")</f>
        <v>Senior CRM Analyst</v>
      </c>
      <c r="D707" s="1" t="str">
        <f>IFERROR(__xludf.DUMMYFUNCTION("""COMPUTED_VALUE"""),"Hybrid")</f>
        <v>Hybrid</v>
      </c>
      <c r="E707" s="1" t="str">
        <f>IFERROR(__xludf.DUMMYFUNCTION("""COMPUTED_VALUE"""),"$180k - $220k")</f>
        <v>$180k - $220k</v>
      </c>
      <c r="F707" s="1" t="str">
        <f>IFERROR(__xludf.DUMMYFUNCTION("""COMPUTED_VALUE"""),"3 - 5")</f>
        <v>3 - 5</v>
      </c>
      <c r="G707" s="1" t="str">
        <f>IFERROR(__xludf.DUMMYFUNCTION("""COMPUTED_VALUE"""),"Mountain View, CA")</f>
        <v>Mountain View, CA</v>
      </c>
      <c r="H707" s="4" t="str">
        <f>IFERROR(__xludf.DUMMYFUNCTION("""COMPUTED_VALUE"""),"https://www.linkedin.com/posts/joanne-zih-han-wang_were-hiring-a-crm-analyst-amazing-team-activity-7231843280525611008-6r8M?utm_source=share&amp;utm_medium=member_ios")</f>
        <v>https://www.linkedin.com/posts/joanne-zih-han-wang_were-hiring-a-crm-analyst-amazing-team-activity-7231843280525611008-6r8M?utm_source=share&amp;utm_medium=member_ios</v>
      </c>
    </row>
    <row r="708">
      <c r="A708" s="2">
        <f>IFERROR(__xludf.DUMMYFUNCTION("""COMPUTED_VALUE"""),45525.0)</f>
        <v>45525</v>
      </c>
      <c r="B708" s="1" t="str">
        <f>IFERROR(__xludf.DUMMYFUNCTION("""COMPUTED_VALUE"""),"Heffernan Insurance Brokers")</f>
        <v>Heffernan Insurance Brokers</v>
      </c>
      <c r="C708" s="1" t="str">
        <f>IFERROR(__xludf.DUMMYFUNCTION("""COMPUTED_VALUE"""),"Reporting Analyst")</f>
        <v>Reporting Analyst</v>
      </c>
      <c r="D708" s="1" t="str">
        <f>IFERROR(__xludf.DUMMYFUNCTION("""COMPUTED_VALUE"""),"Remote")</f>
        <v>Remote</v>
      </c>
      <c r="E708" s="1" t="str">
        <f>IFERROR(__xludf.DUMMYFUNCTION("""COMPUTED_VALUE"""),"$75k - $95k")</f>
        <v>$75k - $95k</v>
      </c>
      <c r="F708" s="1" t="str">
        <f>IFERROR(__xludf.DUMMYFUNCTION("""COMPUTED_VALUE"""),"0 - 2")</f>
        <v>0 - 2</v>
      </c>
      <c r="G708" s="1" t="str">
        <f>IFERROR(__xludf.DUMMYFUNCTION("""COMPUTED_VALUE"""),"USA")</f>
        <v>USA</v>
      </c>
      <c r="H708" s="4" t="str">
        <f>IFERROR(__xludf.DUMMYFUNCTION("""COMPUTED_VALUE"""),"https://www.linkedin.com/posts/leticia-trevi%C3%B1o_join-our-team-as-a-reporting-analyst-activity-7231727193935032321-L09j?utm_source=share&amp;utm_medium=member_ios")</f>
        <v>https://www.linkedin.com/posts/leticia-trevi%C3%B1o_join-our-team-as-a-reporting-analyst-activity-7231727193935032321-L09j?utm_source=share&amp;utm_medium=member_ios</v>
      </c>
    </row>
    <row r="709">
      <c r="A709" s="2">
        <f>IFERROR(__xludf.DUMMYFUNCTION("""COMPUTED_VALUE"""),45525.0)</f>
        <v>45525</v>
      </c>
      <c r="B709" s="1" t="str">
        <f>IFERROR(__xludf.DUMMYFUNCTION("""COMPUTED_VALUE"""),"ZEISS")</f>
        <v>ZEISS</v>
      </c>
      <c r="C709" s="1" t="str">
        <f>IFERROR(__xludf.DUMMYFUNCTION("""COMPUTED_VALUE"""),"Digital Marketing Associate, Data Analyst")</f>
        <v>Digital Marketing Associate, Data Analyst</v>
      </c>
      <c r="D709" s="1" t="str">
        <f>IFERROR(__xludf.DUMMYFUNCTION("""COMPUTED_VALUE"""),"On-Site")</f>
        <v>On-Site</v>
      </c>
      <c r="E709" s="1" t="str">
        <f>IFERROR(__xludf.DUMMYFUNCTION("""COMPUTED_VALUE"""),"N/A")</f>
        <v>N/A</v>
      </c>
      <c r="F709" s="1" t="str">
        <f>IFERROR(__xludf.DUMMYFUNCTION("""COMPUTED_VALUE"""),"0 - 2")</f>
        <v>0 - 2</v>
      </c>
      <c r="G709" s="1" t="str">
        <f>IFERROR(__xludf.DUMMYFUNCTION("""COMPUTED_VALUE"""),"Hebron, KY")</f>
        <v>Hebron, KY</v>
      </c>
      <c r="H709" s="4" t="str">
        <f>IFERROR(__xludf.DUMMYFUNCTION("""COMPUTED_VALUE"""),"https://www.linkedin.com/posts/pamelaaandrews_hiring-digitalmarketing-dataanalyst-activity-7231732802122043394-zwA8?utm_source=share&amp;utm_medium=member_ios")</f>
        <v>https://www.linkedin.com/posts/pamelaaandrews_hiring-digitalmarketing-dataanalyst-activity-7231732802122043394-zwA8?utm_source=share&amp;utm_medium=member_ios</v>
      </c>
    </row>
    <row r="710">
      <c r="A710" s="2">
        <f>IFERROR(__xludf.DUMMYFUNCTION("""COMPUTED_VALUE"""),45525.0)</f>
        <v>45525</v>
      </c>
      <c r="B710" s="1" t="str">
        <f>IFERROR(__xludf.DUMMYFUNCTION("""COMPUTED_VALUE"""),"Google")</f>
        <v>Google</v>
      </c>
      <c r="C710" s="1" t="str">
        <f>IFERROR(__xludf.DUMMYFUNCTION("""COMPUTED_VALUE"""),"Enterprise Customer Engineer, Data Analytics, Technology")</f>
        <v>Enterprise Customer Engineer, Data Analytics, Technology</v>
      </c>
      <c r="D710" s="1" t="str">
        <f>IFERROR(__xludf.DUMMYFUNCTION("""COMPUTED_VALUE"""),"Hybrid")</f>
        <v>Hybrid</v>
      </c>
      <c r="E710" s="1" t="str">
        <f>IFERROR(__xludf.DUMMYFUNCTION("""COMPUTED_VALUE"""),"$159k - $239k")</f>
        <v>$159k - $239k</v>
      </c>
      <c r="F710" s="1" t="str">
        <f>IFERROR(__xludf.DUMMYFUNCTION("""COMPUTED_VALUE"""),"6 - 9")</f>
        <v>6 - 9</v>
      </c>
      <c r="G710" s="1" t="str">
        <f>IFERROR(__xludf.DUMMYFUNCTION("""COMPUTED_VALUE"""),"Certain Locations")</f>
        <v>Certain Locations</v>
      </c>
      <c r="H710" s="4" t="str">
        <f>IFERROR(__xludf.DUMMYFUNCTION("""COMPUTED_VALUE"""),"https://www.linkedin.com/posts/ajkimble_enterprise-customer-engineer-data-analytics-activity-7231706919252422656-HTDf?utm_source=share&amp;utm_medium=member_desktop")</f>
        <v>https://www.linkedin.com/posts/ajkimble_enterprise-customer-engineer-data-analytics-activity-7231706919252422656-HTDf?utm_source=share&amp;utm_medium=member_desktop</v>
      </c>
    </row>
    <row r="711">
      <c r="A711" s="2">
        <f>IFERROR(__xludf.DUMMYFUNCTION("""COMPUTED_VALUE"""),45525.0)</f>
        <v>45525</v>
      </c>
      <c r="B711" s="1" t="str">
        <f>IFERROR(__xludf.DUMMYFUNCTION("""COMPUTED_VALUE"""),"Grammarly")</f>
        <v>Grammarly</v>
      </c>
      <c r="C711" s="1" t="str">
        <f>IFERROR(__xludf.DUMMYFUNCTION("""COMPUTED_VALUE"""),"FinOps Analyst")</f>
        <v>FinOps Analyst</v>
      </c>
      <c r="D711" s="1" t="str">
        <f>IFERROR(__xludf.DUMMYFUNCTION("""COMPUTED_VALUE"""),"Remote")</f>
        <v>Remote</v>
      </c>
      <c r="E711" s="1" t="str">
        <f>IFERROR(__xludf.DUMMYFUNCTION("""COMPUTED_VALUE"""),"$155k - $220k")</f>
        <v>$155k - $220k</v>
      </c>
      <c r="F711" s="1" t="str">
        <f>IFERROR(__xludf.DUMMYFUNCTION("""COMPUTED_VALUE"""),"3 - 5")</f>
        <v>3 - 5</v>
      </c>
      <c r="G711" s="1" t="str">
        <f>IFERROR(__xludf.DUMMYFUNCTION("""COMPUTED_VALUE"""),"Eastern Time Zone, USA")</f>
        <v>Eastern Time Zone, USA</v>
      </c>
      <c r="H711" s="4" t="str">
        <f>IFERROR(__xludf.DUMMYFUNCTION("""COMPUTED_VALUE"""),"https://www.linkedin.com/posts/michaeldaniello_finops-analyst-grammarly-jobs-activity-7231783889684344832-c2e9?utm_source=share&amp;utm_medium=member_ios")</f>
        <v>https://www.linkedin.com/posts/michaeldaniello_finops-analyst-grammarly-jobs-activity-7231783889684344832-c2e9?utm_source=share&amp;utm_medium=member_ios</v>
      </c>
    </row>
    <row r="712">
      <c r="A712" s="2">
        <f>IFERROR(__xludf.DUMMYFUNCTION("""COMPUTED_VALUE"""),45525.0)</f>
        <v>45525</v>
      </c>
      <c r="B712" s="1" t="str">
        <f>IFERROR(__xludf.DUMMYFUNCTION("""COMPUTED_VALUE"""),"Merck ")</f>
        <v>Merck </v>
      </c>
      <c r="C712" s="1" t="str">
        <f>IFERROR(__xludf.DUMMYFUNCTION("""COMPUTED_VALUE"""),"Laboratory Workflow and Data Scientist - Pharmacokinetics")</f>
        <v>Laboratory Workflow and Data Scientist - Pharmacokinetics</v>
      </c>
      <c r="D712" s="1" t="str">
        <f>IFERROR(__xludf.DUMMYFUNCTION("""COMPUTED_VALUE"""),"Hybrid")</f>
        <v>Hybrid</v>
      </c>
      <c r="E712" s="1" t="str">
        <f>IFERROR(__xludf.DUMMYFUNCTION("""COMPUTED_VALUE"""),"N/A")</f>
        <v>N/A</v>
      </c>
      <c r="F712" s="1" t="str">
        <f>IFERROR(__xludf.DUMMYFUNCTION("""COMPUTED_VALUE"""),"0 - 2")</f>
        <v>0 - 2</v>
      </c>
      <c r="G712" s="1" t="str">
        <f>IFERROR(__xludf.DUMMYFUNCTION("""COMPUTED_VALUE"""),"West Point, PA")</f>
        <v>West Point, PA</v>
      </c>
      <c r="H712" s="4" t="str">
        <f>IFERROR(__xludf.DUMMYFUNCTION("""COMPUTED_VALUE"""),"https://www.linkedin.com/posts/activity-7231707978473635841-COH4?utm_source=share&amp;utm_medium=member_desktop")</f>
        <v>https://www.linkedin.com/posts/activity-7231707978473635841-COH4?utm_source=share&amp;utm_medium=member_desktop</v>
      </c>
    </row>
    <row r="713">
      <c r="A713" s="2">
        <f>IFERROR(__xludf.DUMMYFUNCTION("""COMPUTED_VALUE"""),45525.0)</f>
        <v>45525</v>
      </c>
      <c r="B713" s="1" t="str">
        <f>IFERROR(__xludf.DUMMYFUNCTION("""COMPUTED_VALUE"""),"eVisit")</f>
        <v>eVisit</v>
      </c>
      <c r="C713" s="1" t="str">
        <f>IFERROR(__xludf.DUMMYFUNCTION("""COMPUTED_VALUE"""),"Business Analyst (EHR Integrations)")</f>
        <v>Business Analyst (EHR Integrations)</v>
      </c>
      <c r="D713" s="1" t="str">
        <f>IFERROR(__xludf.DUMMYFUNCTION("""COMPUTED_VALUE"""),"Remote")</f>
        <v>Remote</v>
      </c>
      <c r="E713" s="1" t="str">
        <f>IFERROR(__xludf.DUMMYFUNCTION("""COMPUTED_VALUE"""),"N/A")</f>
        <v>N/A</v>
      </c>
      <c r="F713" s="1" t="str">
        <f>IFERROR(__xludf.DUMMYFUNCTION("""COMPUTED_VALUE"""),"0 - 2")</f>
        <v>0 - 2</v>
      </c>
      <c r="G713" s="1" t="str">
        <f>IFERROR(__xludf.DUMMYFUNCTION("""COMPUTED_VALUE"""),"USA")</f>
        <v>USA</v>
      </c>
      <c r="H713" s="4" t="str">
        <f>IFERROR(__xludf.DUMMYFUNCTION("""COMPUTED_VALUE"""),"https://www.linkedin.com/posts/jason-weinrich-3289ab3_business-analyst-ehr-integrations-evisit-activity-7231728010318471169-69p-?utm_source=share&amp;utm_medium=member_ios")</f>
        <v>https://www.linkedin.com/posts/jason-weinrich-3289ab3_business-analyst-ehr-integrations-evisit-activity-7231728010318471169-69p-?utm_source=share&amp;utm_medium=member_ios</v>
      </c>
    </row>
    <row r="714">
      <c r="A714" s="2">
        <f>IFERROR(__xludf.DUMMYFUNCTION("""COMPUTED_VALUE"""),45525.0)</f>
        <v>45525</v>
      </c>
      <c r="B714" s="1" t="str">
        <f>IFERROR(__xludf.DUMMYFUNCTION("""COMPUTED_VALUE"""),"Recidiviz")</f>
        <v>Recidiviz</v>
      </c>
      <c r="C714" s="1" t="str">
        <f>IFERROR(__xludf.DUMMYFUNCTION("""COMPUTED_VALUE"""),"Senior Data Analyst")</f>
        <v>Senior Data Analyst</v>
      </c>
      <c r="D714" s="1" t="str">
        <f>IFERROR(__xludf.DUMMYFUNCTION("""COMPUTED_VALUE"""),"Remote")</f>
        <v>Remote</v>
      </c>
      <c r="E714" s="1" t="str">
        <f>IFERROR(__xludf.DUMMYFUNCTION("""COMPUTED_VALUE"""),"$120k")</f>
        <v>$120k</v>
      </c>
      <c r="F714" s="1" t="str">
        <f>IFERROR(__xludf.DUMMYFUNCTION("""COMPUTED_VALUE"""),"3 - 5")</f>
        <v>3 - 5</v>
      </c>
      <c r="G714" s="1" t="str">
        <f>IFERROR(__xludf.DUMMYFUNCTION("""COMPUTED_VALUE"""),"USA")</f>
        <v>USA</v>
      </c>
      <c r="H714" s="4" t="str">
        <f>IFERROR(__xludf.DUMMYFUNCTION("""COMPUTED_VALUE"""),"https://www.linkedin.com/posts/colincadams_we-are-hiring-for-a-senior-data-analyst-to-ugcPost-7231820098800336897-rp6y?utm_source=share&amp;utm_medium=member_ios")</f>
        <v>https://www.linkedin.com/posts/colincadams_we-are-hiring-for-a-senior-data-analyst-to-ugcPost-7231820098800336897-rp6y?utm_source=share&amp;utm_medium=member_ios</v>
      </c>
    </row>
    <row r="715">
      <c r="A715" s="2">
        <f>IFERROR(__xludf.DUMMYFUNCTION("""COMPUTED_VALUE"""),45525.0)</f>
        <v>45525</v>
      </c>
      <c r="B715" s="1" t="str">
        <f>IFERROR(__xludf.DUMMYFUNCTION("""COMPUTED_VALUE"""),"The Hillman Group Inc.")</f>
        <v>The Hillman Group Inc.</v>
      </c>
      <c r="C715" s="1" t="str">
        <f>IFERROR(__xludf.DUMMYFUNCTION("""COMPUTED_VALUE"""),"Compliance and Data Analyst")</f>
        <v>Compliance and Data Analyst</v>
      </c>
      <c r="D715" s="1" t="str">
        <f>IFERROR(__xludf.DUMMYFUNCTION("""COMPUTED_VALUE"""),"Hybrid")</f>
        <v>Hybrid</v>
      </c>
      <c r="E715" s="1" t="str">
        <f>IFERROR(__xludf.DUMMYFUNCTION("""COMPUTED_VALUE"""),"N/A")</f>
        <v>N/A</v>
      </c>
      <c r="F715" s="1" t="str">
        <f>IFERROR(__xludf.DUMMYFUNCTION("""COMPUTED_VALUE"""),"3 - 5")</f>
        <v>3 - 5</v>
      </c>
      <c r="G715" s="1" t="str">
        <f>IFERROR(__xludf.DUMMYFUNCTION("""COMPUTED_VALUE"""),"Cincinnati, OH")</f>
        <v>Cincinnati, OH</v>
      </c>
      <c r="H715" s="4" t="str">
        <f>IFERROR(__xludf.DUMMYFUNCTION("""COMPUTED_VALUE"""),"https://www.linkedin.com/posts/amanda-kitzberger-bb872720_job-opportunity-at-the-hillman-group-inc-activity-7231686773670658048-0TNF?utm_source=share&amp;utm_medium=member_desktop")</f>
        <v>https://www.linkedin.com/posts/amanda-kitzberger-bb872720_job-opportunity-at-the-hillman-group-inc-activity-7231686773670658048-0TNF?utm_source=share&amp;utm_medium=member_desktop</v>
      </c>
    </row>
    <row r="716">
      <c r="A716" s="2">
        <f>IFERROR(__xludf.DUMMYFUNCTION("""COMPUTED_VALUE"""),45525.0)</f>
        <v>45525</v>
      </c>
      <c r="B716" s="1" t="str">
        <f>IFERROR(__xludf.DUMMYFUNCTION("""COMPUTED_VALUE"""),"JPMorganChase")</f>
        <v>JPMorganChase</v>
      </c>
      <c r="C716" s="1" t="str">
        <f>IFERROR(__xludf.DUMMYFUNCTION("""COMPUTED_VALUE"""),"HR Data &amp; Analytics - Insights &amp; Product Delivery - Vice President")</f>
        <v>HR Data &amp; Analytics - Insights &amp; Product Delivery - Vice President</v>
      </c>
      <c r="D716" s="1" t="str">
        <f>IFERROR(__xludf.DUMMYFUNCTION("""COMPUTED_VALUE"""),"On-Site")</f>
        <v>On-Site</v>
      </c>
      <c r="E716" s="1" t="str">
        <f>IFERROR(__xludf.DUMMYFUNCTION("""COMPUTED_VALUE"""),"$128k - $205k")</f>
        <v>$128k - $205k</v>
      </c>
      <c r="F716" s="1" t="str">
        <f>IFERROR(__xludf.DUMMYFUNCTION("""COMPUTED_VALUE"""),"6 - 9")</f>
        <v>6 - 9</v>
      </c>
      <c r="G716" s="1" t="str">
        <f>IFERROR(__xludf.DUMMYFUNCTION("""COMPUTED_VALUE"""),"Plano, TX/Jersey City, NJ")</f>
        <v>Plano, TX/Jersey City, NJ</v>
      </c>
      <c r="H716" s="4" t="str">
        <f>IFERROR(__xludf.DUMMYFUNCTION("""COMPUTED_VALUE"""),"https://www.linkedin.com/posts/unikochen_hr-data-analytics-insights-product-activity-7231795107388121090-lwmd?utm_source=share&amp;utm_medium=member_desktop")</f>
        <v>https://www.linkedin.com/posts/unikochen_hr-data-analytics-insights-product-activity-7231795107388121090-lwmd?utm_source=share&amp;utm_medium=member_desktop</v>
      </c>
    </row>
    <row r="717">
      <c r="A717" s="5">
        <f>IFERROR(__xludf.DUMMYFUNCTION("""COMPUTED_VALUE"""),45525.0)</f>
        <v>45525</v>
      </c>
      <c r="B717" s="1" t="str">
        <f>IFERROR(__xludf.DUMMYFUNCTION("""COMPUTED_VALUE"""),"CAVA")</f>
        <v>CAVA</v>
      </c>
      <c r="C717" s="1" t="str">
        <f>IFERROR(__xludf.DUMMYFUNCTION("""COMPUTED_VALUE"""),"Senior Data Engineering Manager")</f>
        <v>Senior Data Engineering Manager</v>
      </c>
      <c r="D717" s="1" t="str">
        <f>IFERROR(__xludf.DUMMYFUNCTION("""COMPUTED_VALUE"""),"Remote")</f>
        <v>Remote</v>
      </c>
      <c r="E717" s="1" t="str">
        <f>IFERROR(__xludf.DUMMYFUNCTION("""COMPUTED_VALUE"""),"$175k - $210k")</f>
        <v>$175k - $210k</v>
      </c>
      <c r="F717" s="1" t="str">
        <f>IFERROR(__xludf.DUMMYFUNCTION("""COMPUTED_VALUE"""),"6 - 9")</f>
        <v>6 - 9</v>
      </c>
      <c r="G717" s="1" t="str">
        <f>IFERROR(__xludf.DUMMYFUNCTION("""COMPUTED_VALUE"""),"USA")</f>
        <v>USA</v>
      </c>
      <c r="H717" s="4" t="str">
        <f>IFERROR(__xludf.DUMMYFUNCTION("""COMPUTED_VALUE"""),"https://www.linkedin.com/posts/activity-7231790128711540737-t3Sa?utm_source=share&amp;utm_medium=member_desktop")</f>
        <v>https://www.linkedin.com/posts/activity-7231790128711540737-t3Sa?utm_source=share&amp;utm_medium=member_desktop</v>
      </c>
    </row>
    <row r="718">
      <c r="A718" s="2">
        <f>IFERROR(__xludf.DUMMYFUNCTION("""COMPUTED_VALUE"""),45525.0)</f>
        <v>45525</v>
      </c>
      <c r="B718" s="1" t="str">
        <f>IFERROR(__xludf.DUMMYFUNCTION("""COMPUTED_VALUE"""),"Illinois Department of Innovation and Technology")</f>
        <v>Illinois Department of Innovation and Technology</v>
      </c>
      <c r="C718" s="1" t="str">
        <f>IFERROR(__xludf.DUMMYFUNCTION("""COMPUTED_VALUE"""),"Chief Data Officer")</f>
        <v>Chief Data Officer</v>
      </c>
      <c r="D718" s="1" t="str">
        <f>IFERROR(__xludf.DUMMYFUNCTION("""COMPUTED_VALUE"""),"Hybrid")</f>
        <v>Hybrid</v>
      </c>
      <c r="E718" s="1" t="str">
        <f>IFERROR(__xludf.DUMMYFUNCTION("""COMPUTED_VALUE"""),"$170k- $180k ")</f>
        <v>$170k- $180k </v>
      </c>
      <c r="F718" s="1" t="str">
        <f>IFERROR(__xludf.DUMMYFUNCTION("""COMPUTED_VALUE"""),"3 - 5")</f>
        <v>3 - 5</v>
      </c>
      <c r="G718" s="1" t="str">
        <f>IFERROR(__xludf.DUMMYFUNCTION("""COMPUTED_VALUE"""),"Chicago, IL")</f>
        <v>Chicago, IL</v>
      </c>
      <c r="H718" s="4" t="str">
        <f>IFERROR(__xludf.DUMMYFUNCTION("""COMPUTED_VALUE"""),"https://www.linkedin.com/posts/dessagypalo_dataanalytics-cdo-govtech-activity-7231696979825704960-qDba?utm_source=share&amp;utm_medium=member_desktop")</f>
        <v>https://www.linkedin.com/posts/dessagypalo_dataanalytics-cdo-govtech-activity-7231696979825704960-qDba?utm_source=share&amp;utm_medium=member_desktop</v>
      </c>
    </row>
    <row r="719">
      <c r="A719" s="2">
        <f>IFERROR(__xludf.DUMMYFUNCTION("""COMPUTED_VALUE"""),45525.0)</f>
        <v>45525</v>
      </c>
      <c r="B719" s="1" t="str">
        <f>IFERROR(__xludf.DUMMYFUNCTION("""COMPUTED_VALUE"""),"Attentive")</f>
        <v>Attentive</v>
      </c>
      <c r="C719" s="1" t="str">
        <f>IFERROR(__xludf.DUMMYFUNCTION("""COMPUTED_VALUE"""),"Engineering Manager, Data Platform
")</f>
        <v>Engineering Manager, Data Platform
</v>
      </c>
      <c r="D719" s="1" t="str">
        <f>IFERROR(__xludf.DUMMYFUNCTION("""COMPUTED_VALUE"""),"Remote")</f>
        <v>Remote</v>
      </c>
      <c r="E719" s="1" t="str">
        <f>IFERROR(__xludf.DUMMYFUNCTION("""COMPUTED_VALUE"""),"$163k - $260k")</f>
        <v>$163k - $260k</v>
      </c>
      <c r="F719" s="1" t="str">
        <f>IFERROR(__xludf.DUMMYFUNCTION("""COMPUTED_VALUE"""),"3 - 5")</f>
        <v>3 - 5</v>
      </c>
      <c r="G719" s="1" t="str">
        <f>IFERROR(__xludf.DUMMYFUNCTION("""COMPUTED_VALUE"""),"USA")</f>
        <v>USA</v>
      </c>
      <c r="H719" s="4" t="str">
        <f>IFERROR(__xludf.DUMMYFUNCTION("""COMPUTED_VALUE"""),"https://www.linkedin.com/posts/activity-7231773483934887936-j6fQ?utm_source=share&amp;utm_medium=member_desktop")</f>
        <v>https://www.linkedin.com/posts/activity-7231773483934887936-j6fQ?utm_source=share&amp;utm_medium=member_desktop</v>
      </c>
    </row>
    <row r="720">
      <c r="A720" s="2">
        <f>IFERROR(__xludf.DUMMYFUNCTION("""COMPUTED_VALUE"""),45525.0)</f>
        <v>45525</v>
      </c>
      <c r="B720" s="1" t="str">
        <f>IFERROR(__xludf.DUMMYFUNCTION("""COMPUTED_VALUE"""),"Lakewood")</f>
        <v>Lakewood</v>
      </c>
      <c r="C720" s="1" t="str">
        <f>IFERROR(__xludf.DUMMYFUNCTION("""COMPUTED_VALUE"""),"HRIS &amp; Data Analyst")</f>
        <v>HRIS &amp; Data Analyst</v>
      </c>
      <c r="D720" s="1" t="str">
        <f>IFERROR(__xludf.DUMMYFUNCTION("""COMPUTED_VALUE"""),"Hybrid")</f>
        <v>Hybrid</v>
      </c>
      <c r="E720" s="1" t="str">
        <f>IFERROR(__xludf.DUMMYFUNCTION("""COMPUTED_VALUE"""),"$85k - $111k")</f>
        <v>$85k - $111k</v>
      </c>
      <c r="F720" s="1" t="str">
        <f>IFERROR(__xludf.DUMMYFUNCTION("""COMPUTED_VALUE"""),"0 - 2")</f>
        <v>0 - 2</v>
      </c>
      <c r="G720" s="1" t="str">
        <f>IFERROR(__xludf.DUMMYFUNCTION("""COMPUTED_VALUE"""),"Lakewood, CO")</f>
        <v>Lakewood, CO</v>
      </c>
      <c r="H720" s="4" t="str">
        <f>IFERROR(__xludf.DUMMYFUNCTION("""COMPUTED_VALUE"""),"https://www.linkedin.com/posts/activity-7231755097582489600-AvNR?utm_source=share&amp;utm_medium=member_desktop")</f>
        <v>https://www.linkedin.com/posts/activity-7231755097582489600-AvNR?utm_source=share&amp;utm_medium=member_desktop</v>
      </c>
    </row>
    <row r="721">
      <c r="A721" s="2">
        <f>IFERROR(__xludf.DUMMYFUNCTION("""COMPUTED_VALUE"""),45524.0)</f>
        <v>45524</v>
      </c>
      <c r="B721" s="1" t="str">
        <f>IFERROR(__xludf.DUMMYFUNCTION("""COMPUTED_VALUE"""),"Epsilon")</f>
        <v>Epsilon</v>
      </c>
      <c r="C721" s="1" t="str">
        <f>IFERROR(__xludf.DUMMYFUNCTION("""COMPUTED_VALUE"""),"Manager, Sales Compensation – Analytics")</f>
        <v>Manager, Sales Compensation – Analytics</v>
      </c>
      <c r="D721" s="1" t="str">
        <f>IFERROR(__xludf.DUMMYFUNCTION("""COMPUTED_VALUE"""),"Hybrid")</f>
        <v>Hybrid</v>
      </c>
      <c r="E721" s="1" t="str">
        <f>IFERROR(__xludf.DUMMYFUNCTION("""COMPUTED_VALUE"""),"N/A")</f>
        <v>N/A</v>
      </c>
      <c r="F721" s="1" t="str">
        <f>IFERROR(__xludf.DUMMYFUNCTION("""COMPUTED_VALUE"""),"6 - 9")</f>
        <v>6 - 9</v>
      </c>
      <c r="G721" s="1" t="str">
        <f>IFERROR(__xludf.DUMMYFUNCTION("""COMPUTED_VALUE"""),"Chicago, IL")</f>
        <v>Chicago, IL</v>
      </c>
      <c r="H721" s="4" t="str">
        <f>IFERROR(__xludf.DUMMYFUNCTION("""COMPUTED_VALUE"""),"https://www.linkedin.com/posts/saraguerriero_sales-director-mid-market-activity-7231729050648522752--rAn?utm_source=share&amp;utm_medium=member_desktop")</f>
        <v>https://www.linkedin.com/posts/saraguerriero_sales-director-mid-market-activity-7231729050648522752--rAn?utm_source=share&amp;utm_medium=member_desktop</v>
      </c>
    </row>
    <row r="722">
      <c r="A722" s="2">
        <f>IFERROR(__xludf.DUMMYFUNCTION("""COMPUTED_VALUE"""),45524.0)</f>
        <v>45524</v>
      </c>
      <c r="B722" s="1" t="str">
        <f>IFERROR(__xludf.DUMMYFUNCTION("""COMPUTED_VALUE"""),"The Knot Worldwide")</f>
        <v>The Knot Worldwide</v>
      </c>
      <c r="C722" s="1" t="str">
        <f>IFERROR(__xludf.DUMMYFUNCTION("""COMPUTED_VALUE"""),"Marketing Operations Senior Analyst")</f>
        <v>Marketing Operations Senior Analyst</v>
      </c>
      <c r="D722" s="1" t="str">
        <f>IFERROR(__xludf.DUMMYFUNCTION("""COMPUTED_VALUE"""),"Remote")</f>
        <v>Remote</v>
      </c>
      <c r="E722" s="1" t="str">
        <f>IFERROR(__xludf.DUMMYFUNCTION("""COMPUTED_VALUE"""),"N/A")</f>
        <v>N/A</v>
      </c>
      <c r="F722" s="1" t="str">
        <f>IFERROR(__xludf.DUMMYFUNCTION("""COMPUTED_VALUE"""),"3 - 5")</f>
        <v>3 - 5</v>
      </c>
      <c r="G722" s="1" t="str">
        <f>IFERROR(__xludf.DUMMYFUNCTION("""COMPUTED_VALUE"""),"USA")</f>
        <v>USA</v>
      </c>
      <c r="H722" s="4" t="str">
        <f>IFERROR(__xludf.DUMMYFUNCTION("""COMPUTED_VALUE"""),"https://www.linkedin.com/posts/maggiecdavis_exciting-newsour-marketing-operations-team-activity-7231779243033010176-cejl?utm_source=share&amp;utm_medium=member_desktop")</f>
        <v>https://www.linkedin.com/posts/maggiecdavis_exciting-newsour-marketing-operations-team-activity-7231779243033010176-cejl?utm_source=share&amp;utm_medium=member_desktop</v>
      </c>
    </row>
    <row r="723">
      <c r="A723" s="2">
        <f>IFERROR(__xludf.DUMMYFUNCTION("""COMPUTED_VALUE"""),45524.0)</f>
        <v>45524</v>
      </c>
      <c r="B723" s="1" t="str">
        <f>IFERROR(__xludf.DUMMYFUNCTION("""COMPUTED_VALUE"""),"Thrivent")</f>
        <v>Thrivent</v>
      </c>
      <c r="C723" s="1" t="str">
        <f>IFERROR(__xludf.DUMMYFUNCTION("""COMPUTED_VALUE"""),"Senior Business Intelligence Analyst (Remote)")</f>
        <v>Senior Business Intelligence Analyst (Remote)</v>
      </c>
      <c r="D723" s="1" t="str">
        <f>IFERROR(__xludf.DUMMYFUNCTION("""COMPUTED_VALUE"""),"Remote")</f>
        <v>Remote</v>
      </c>
      <c r="E723" s="1" t="str">
        <f>IFERROR(__xludf.DUMMYFUNCTION("""COMPUTED_VALUE"""),"$90k - $122k")</f>
        <v>$90k - $122k</v>
      </c>
      <c r="F723" s="1" t="str">
        <f>IFERROR(__xludf.DUMMYFUNCTION("""COMPUTED_VALUE"""),"3 - 5")</f>
        <v>3 - 5</v>
      </c>
      <c r="G723" s="1" t="str">
        <f>IFERROR(__xludf.DUMMYFUNCTION("""COMPUTED_VALUE"""),"USA")</f>
        <v>USA</v>
      </c>
      <c r="H723" s="4" t="str">
        <f>IFERROR(__xludf.DUMMYFUNCTION("""COMPUTED_VALUE"""),"https://www.linkedin.com/posts/leslieaolson_senior-business-intelligence-analyst-remote-activity-7231704504700694529-6fm1?utm_source=share&amp;utm_medium=member_desktop")</f>
        <v>https://www.linkedin.com/posts/leslieaolson_senior-business-intelligence-analyst-remote-activity-7231704504700694529-6fm1?utm_source=share&amp;utm_medium=member_desktop</v>
      </c>
    </row>
    <row r="724">
      <c r="A724" s="2">
        <f>IFERROR(__xludf.DUMMYFUNCTION("""COMPUTED_VALUE"""),45524.0)</f>
        <v>45524</v>
      </c>
      <c r="B724" s="1" t="str">
        <f>IFERROR(__xludf.DUMMYFUNCTION("""COMPUTED_VALUE"""),"Turo")</f>
        <v>Turo</v>
      </c>
      <c r="C724" s="1" t="str">
        <f>IFERROR(__xludf.DUMMYFUNCTION("""COMPUTED_VALUE"""),"Senior Data Engineer, Revenue Accounting")</f>
        <v>Senior Data Engineer, Revenue Accounting</v>
      </c>
      <c r="D724" s="1" t="str">
        <f>IFERROR(__xludf.DUMMYFUNCTION("""COMPUTED_VALUE"""),"Hybrid")</f>
        <v>Hybrid</v>
      </c>
      <c r="E724" s="1" t="str">
        <f>IFERROR(__xludf.DUMMYFUNCTION("""COMPUTED_VALUE"""),"$149k - $167k")</f>
        <v>$149k - $167k</v>
      </c>
      <c r="F724" s="1" t="str">
        <f>IFERROR(__xludf.DUMMYFUNCTION("""COMPUTED_VALUE"""),"3 - 5")</f>
        <v>3 - 5</v>
      </c>
      <c r="G724" s="1" t="str">
        <f>IFERROR(__xludf.DUMMYFUNCTION("""COMPUTED_VALUE"""),"San Francisco, CA")</f>
        <v>San Francisco, CA</v>
      </c>
      <c r="H724" s="4" t="str">
        <f>IFERROR(__xludf.DUMMYFUNCTION("""COMPUTED_VALUE"""),"https://www.linkedin.com/posts/activity-7231776477501923329-lINz?utm_source=share&amp;utm_medium=member_desktop")</f>
        <v>https://www.linkedin.com/posts/activity-7231776477501923329-lINz?utm_source=share&amp;utm_medium=member_desktop</v>
      </c>
    </row>
    <row r="725">
      <c r="A725" s="2">
        <f>IFERROR(__xludf.DUMMYFUNCTION("""COMPUTED_VALUE"""),45524.0)</f>
        <v>45524</v>
      </c>
      <c r="B725" s="1" t="str">
        <f>IFERROR(__xludf.DUMMYFUNCTION("""COMPUTED_VALUE"""),"Dropbox")</f>
        <v>Dropbox</v>
      </c>
      <c r="C725" s="1" t="str">
        <f>IFERROR(__xludf.DUMMYFUNCTION("""COMPUTED_VALUE"""),"Data Scientist")</f>
        <v>Data Scientist</v>
      </c>
      <c r="D725" s="1" t="str">
        <f>IFERROR(__xludf.DUMMYFUNCTION("""COMPUTED_VALUE"""),"Remote")</f>
        <v>Remote</v>
      </c>
      <c r="E725" s="1" t="str">
        <f>IFERROR(__xludf.DUMMYFUNCTION("""COMPUTED_VALUE"""),"$124k - $188k")</f>
        <v>$124k - $188k</v>
      </c>
      <c r="F725" s="1" t="str">
        <f>IFERROR(__xludf.DUMMYFUNCTION("""COMPUTED_VALUE"""),"3 - 5")</f>
        <v>3 - 5</v>
      </c>
      <c r="G725" s="1" t="str">
        <f>IFERROR(__xludf.DUMMYFUNCTION("""COMPUTED_VALUE"""),"USA")</f>
        <v>USA</v>
      </c>
      <c r="H725" s="4" t="str">
        <f>IFERROR(__xludf.DUMMYFUNCTION("""COMPUTED_VALUE"""),"https://www.linkedin.com/posts/gagangothaniya_we-are-looking-to-hire-another-data-scientist-activity-7231724514387095552-cvor?utm_source=share&amp;utm_medium=member_desktop")</f>
        <v>https://www.linkedin.com/posts/gagangothaniya_we-are-looking-to-hire-another-data-scientist-activity-7231724514387095552-cvor?utm_source=share&amp;utm_medium=member_desktop</v>
      </c>
    </row>
    <row r="726">
      <c r="A726" s="2">
        <f>IFERROR(__xludf.DUMMYFUNCTION("""COMPUTED_VALUE"""),45524.0)</f>
        <v>45524</v>
      </c>
      <c r="B726" s="1" t="str">
        <f>IFERROR(__xludf.DUMMYFUNCTION("""COMPUTED_VALUE"""),"dataplor")</f>
        <v>dataplor</v>
      </c>
      <c r="C726" s="1" t="str">
        <f>IFERROR(__xludf.DUMMYFUNCTION("""COMPUTED_VALUE"""),"Data Quality Manager")</f>
        <v>Data Quality Manager</v>
      </c>
      <c r="D726" s="1" t="str">
        <f>IFERROR(__xludf.DUMMYFUNCTION("""COMPUTED_VALUE"""),"Remote")</f>
        <v>Remote</v>
      </c>
      <c r="E726" s="1" t="str">
        <f>IFERROR(__xludf.DUMMYFUNCTION("""COMPUTED_VALUE"""),"N/A")</f>
        <v>N/A</v>
      </c>
      <c r="F726" s="1" t="str">
        <f>IFERROR(__xludf.DUMMYFUNCTION("""COMPUTED_VALUE"""),"6 - 9")</f>
        <v>6 - 9</v>
      </c>
      <c r="G726" s="1" t="str">
        <f>IFERROR(__xludf.DUMMYFUNCTION("""COMPUTED_VALUE"""),"USA")</f>
        <v>USA</v>
      </c>
      <c r="H726" s="4" t="str">
        <f>IFERROR(__xludf.DUMMYFUNCTION("""COMPUTED_VALUE"""),"https://www.linkedin.com/posts/gmichener_dataplor-hiring-data-quality-manager-in-united-activity-7231724268638650368-i_5b?utm_source=share&amp;utm_medium=member_desktop")</f>
        <v>https://www.linkedin.com/posts/gmichener_dataplor-hiring-data-quality-manager-in-united-activity-7231724268638650368-i_5b?utm_source=share&amp;utm_medium=member_desktop</v>
      </c>
    </row>
    <row r="727">
      <c r="A727" s="2">
        <f>IFERROR(__xludf.DUMMYFUNCTION("""COMPUTED_VALUE"""),45524.0)</f>
        <v>45524</v>
      </c>
      <c r="B727" s="1" t="str">
        <f>IFERROR(__xludf.DUMMYFUNCTION("""COMPUTED_VALUE"""),"Nextech")</f>
        <v>Nextech</v>
      </c>
      <c r="C727" s="1" t="str">
        <f>IFERROR(__xludf.DUMMYFUNCTION("""COMPUTED_VALUE"""),"Sr. Financial Analyst - Reporting (Remote)")</f>
        <v>Sr. Financial Analyst - Reporting (Remote)</v>
      </c>
      <c r="D727" s="1" t="str">
        <f>IFERROR(__xludf.DUMMYFUNCTION("""COMPUTED_VALUE"""),"Remote")</f>
        <v>Remote</v>
      </c>
      <c r="E727" s="1" t="str">
        <f>IFERROR(__xludf.DUMMYFUNCTION("""COMPUTED_VALUE"""),"N/A")</f>
        <v>N/A</v>
      </c>
      <c r="F727" s="1" t="str">
        <f>IFERROR(__xludf.DUMMYFUNCTION("""COMPUTED_VALUE"""),"3 - 5")</f>
        <v>3 - 5</v>
      </c>
      <c r="G727" s="1" t="str">
        <f>IFERROR(__xludf.DUMMYFUNCTION("""COMPUTED_VALUE"""),"USA")</f>
        <v>USA</v>
      </c>
      <c r="H727" s="4" t="str">
        <f>IFERROR(__xludf.DUMMYFUNCTION("""COMPUTED_VALUE"""),"https://www.linkedin.com/posts/pamela-castellana-sphr_nextech-sr-financial-analyst-reporting-activity-7230256390970224640-DjBF?utm_source=share&amp;utm_medium=member_desktop")</f>
        <v>https://www.linkedin.com/posts/pamela-castellana-sphr_nextech-sr-financial-analyst-reporting-activity-7230256390970224640-DjBF?utm_source=share&amp;utm_medium=member_desktop</v>
      </c>
    </row>
    <row r="728">
      <c r="A728" s="2">
        <f>IFERROR(__xludf.DUMMYFUNCTION("""COMPUTED_VALUE"""),45524.0)</f>
        <v>45524</v>
      </c>
      <c r="B728" s="1" t="str">
        <f>IFERROR(__xludf.DUMMYFUNCTION("""COMPUTED_VALUE"""),"Staples")</f>
        <v>Staples</v>
      </c>
      <c r="C728" s="1" t="str">
        <f>IFERROR(__xludf.DUMMYFUNCTION("""COMPUTED_VALUE"""),"Senior Financial Analyst II (Remote)")</f>
        <v>Senior Financial Analyst II (Remote)</v>
      </c>
      <c r="D728" s="1" t="str">
        <f>IFERROR(__xludf.DUMMYFUNCTION("""COMPUTED_VALUE"""),"Remote")</f>
        <v>Remote</v>
      </c>
      <c r="E728" s="1" t="str">
        <f>IFERROR(__xludf.DUMMYFUNCTION("""COMPUTED_VALUE"""),"$79k - $95k")</f>
        <v>$79k - $95k</v>
      </c>
      <c r="F728" s="1" t="str">
        <f>IFERROR(__xludf.DUMMYFUNCTION("""COMPUTED_VALUE"""),"6 - 9")</f>
        <v>6 - 9</v>
      </c>
      <c r="G728" s="1" t="str">
        <f>IFERROR(__xludf.DUMMYFUNCTION("""COMPUTED_VALUE"""),"USA")</f>
        <v>USA</v>
      </c>
      <c r="H728" s="4" t="str">
        <f>IFERROR(__xludf.DUMMYFUNCTION("""COMPUTED_VALUE"""),"https://www.linkedin.com/posts/talktotiffney_senior-financial-analyst-ii-remote-in-framingham-activity-7231703407693107202-LVSJ?utm_source=share&amp;utm_medium=member_desktop")</f>
        <v>https://www.linkedin.com/posts/talktotiffney_senior-financial-analyst-ii-remote-in-framingham-activity-7231703407693107202-LVSJ?utm_source=share&amp;utm_medium=member_desktop</v>
      </c>
    </row>
    <row r="729">
      <c r="A729" s="2">
        <f>IFERROR(__xludf.DUMMYFUNCTION("""COMPUTED_VALUE"""),45524.0)</f>
        <v>45524</v>
      </c>
      <c r="B729" s="1" t="str">
        <f>IFERROR(__xludf.DUMMYFUNCTION("""COMPUTED_VALUE"""),"DriveTime")</f>
        <v>DriveTime</v>
      </c>
      <c r="C729" s="1" t="str">
        <f>IFERROR(__xludf.DUMMYFUNCTION("""COMPUTED_VALUE"""),"IT Business Analyst - Remote")</f>
        <v>IT Business Analyst - Remote</v>
      </c>
      <c r="D729" s="1" t="str">
        <f>IFERROR(__xludf.DUMMYFUNCTION("""COMPUTED_VALUE"""),"Remote")</f>
        <v>Remote</v>
      </c>
      <c r="E729" s="1" t="str">
        <f>IFERROR(__xludf.DUMMYFUNCTION("""COMPUTED_VALUE"""),"N/A")</f>
        <v>N/A</v>
      </c>
      <c r="F729" s="1" t="str">
        <f>IFERROR(__xludf.DUMMYFUNCTION("""COMPUTED_VALUE"""),"3 - 5")</f>
        <v>3 - 5</v>
      </c>
      <c r="G729" s="1" t="str">
        <f>IFERROR(__xludf.DUMMYFUNCTION("""COMPUTED_VALUE"""),"USA")</f>
        <v>USA</v>
      </c>
      <c r="H729" s="4" t="str">
        <f>IFERROR(__xludf.DUMMYFUNCTION("""COMPUTED_VALUE"""),"https://www.linkedin.com/posts/waltonjoel_it-business-analyst-remote-in-us-activity-7231769459256913920--HQJ?utm_source=share&amp;utm_medium=member_desktop")</f>
        <v>https://www.linkedin.com/posts/waltonjoel_it-business-analyst-remote-in-us-activity-7231769459256913920--HQJ?utm_source=share&amp;utm_medium=member_desktop</v>
      </c>
    </row>
    <row r="730">
      <c r="A730" s="2">
        <f>IFERROR(__xludf.DUMMYFUNCTION("""COMPUTED_VALUE"""),45524.0)</f>
        <v>45524</v>
      </c>
      <c r="B730" s="1" t="str">
        <f>IFERROR(__xludf.DUMMYFUNCTION("""COMPUTED_VALUE"""),"Moody's Corporation")</f>
        <v>Moody's Corporation</v>
      </c>
      <c r="C730" s="1" t="str">
        <f>IFERROR(__xludf.DUMMYFUNCTION("""COMPUTED_VALUE"""),"Analyst")</f>
        <v>Analyst</v>
      </c>
      <c r="D730" s="1" t="str">
        <f>IFERROR(__xludf.DUMMYFUNCTION("""COMPUTED_VALUE"""),"On-Site")</f>
        <v>On-Site</v>
      </c>
      <c r="E730" s="1" t="str">
        <f>IFERROR(__xludf.DUMMYFUNCTION("""COMPUTED_VALUE"""),"$133k - $193k")</f>
        <v>$133k - $193k</v>
      </c>
      <c r="F730" s="1" t="str">
        <f>IFERROR(__xludf.DUMMYFUNCTION("""COMPUTED_VALUE"""),"3 - 5")</f>
        <v>3 - 5</v>
      </c>
      <c r="G730" s="1" t="str">
        <f>IFERROR(__xludf.DUMMYFUNCTION("""COMPUTED_VALUE"""),"Dallas, TX/New York, NY")</f>
        <v>Dallas, TX/New York, NY</v>
      </c>
      <c r="H730" s="4" t="str">
        <f>IFERROR(__xludf.DUMMYFUNCTION("""COMPUTED_VALUE"""),"https://www.linkedin.com/posts/karla-fonseca-salas-a80b4223b_teammoodys-activity-7231763025093894145-pM4L?utm_source=share&amp;utm_medium=member_desktop")</f>
        <v>https://www.linkedin.com/posts/karla-fonseca-salas-a80b4223b_teammoodys-activity-7231763025093894145-pM4L?utm_source=share&amp;utm_medium=member_desktop</v>
      </c>
    </row>
    <row r="731">
      <c r="A731" s="2">
        <f>IFERROR(__xludf.DUMMYFUNCTION("""COMPUTED_VALUE"""),45524.0)</f>
        <v>45524</v>
      </c>
      <c r="B731" s="1" t="str">
        <f>IFERROR(__xludf.DUMMYFUNCTION("""COMPUTED_VALUE"""),"Bitwerx")</f>
        <v>Bitwerx</v>
      </c>
      <c r="C731" s="1" t="str">
        <f>IFERROR(__xludf.DUMMYFUNCTION("""COMPUTED_VALUE"""),"Data Quality Analyst")</f>
        <v>Data Quality Analyst</v>
      </c>
      <c r="D731" s="1" t="str">
        <f>IFERROR(__xludf.DUMMYFUNCTION("""COMPUTED_VALUE"""),"Remote")</f>
        <v>Remote</v>
      </c>
      <c r="E731" s="1" t="str">
        <f>IFERROR(__xludf.DUMMYFUNCTION("""COMPUTED_VALUE"""),"N/A")</f>
        <v>N/A</v>
      </c>
      <c r="F731" s="1" t="str">
        <f>IFERROR(__xludf.DUMMYFUNCTION("""COMPUTED_VALUE"""),"0 - 2")</f>
        <v>0 - 2</v>
      </c>
      <c r="G731" s="1" t="str">
        <f>IFERROR(__xludf.DUMMYFUNCTION("""COMPUTED_VALUE"""),"USA")</f>
        <v>USA</v>
      </c>
      <c r="H731" s="4" t="str">
        <f>IFERROR(__xludf.DUMMYFUNCTION("""COMPUTED_VALUE"""),"https://www.linkedin.com/posts/samantha-talbert-msba-01407365_data-quality-analyst-activity-7231732391730462720-YZl_?utm_source=share&amp;utm_medium=member_ios")</f>
        <v>https://www.linkedin.com/posts/samantha-talbert-msba-01407365_data-quality-analyst-activity-7231732391730462720-YZl_?utm_source=share&amp;utm_medium=member_ios</v>
      </c>
    </row>
    <row r="732">
      <c r="A732" s="2">
        <f>IFERROR(__xludf.DUMMYFUNCTION("""COMPUTED_VALUE"""),45524.0)</f>
        <v>45524</v>
      </c>
      <c r="B732" s="1" t="str">
        <f>IFERROR(__xludf.DUMMYFUNCTION("""COMPUTED_VALUE"""),"Vertiv")</f>
        <v>Vertiv</v>
      </c>
      <c r="C732" s="1" t="str">
        <f>IFERROR(__xludf.DUMMYFUNCTION("""COMPUTED_VALUE"""),"Sales Analyst, Strategy")</f>
        <v>Sales Analyst, Strategy</v>
      </c>
      <c r="D732" s="1" t="str">
        <f>IFERROR(__xludf.DUMMYFUNCTION("""COMPUTED_VALUE"""),"On-Site")</f>
        <v>On-Site</v>
      </c>
      <c r="E732" s="1" t="str">
        <f>IFERROR(__xludf.DUMMYFUNCTION("""COMPUTED_VALUE"""),"N/A")</f>
        <v>N/A</v>
      </c>
      <c r="F732" s="1" t="str">
        <f>IFERROR(__xludf.DUMMYFUNCTION("""COMPUTED_VALUE"""),"3 - 5")</f>
        <v>3 - 5</v>
      </c>
      <c r="G732" s="1" t="str">
        <f>IFERROR(__xludf.DUMMYFUNCTION("""COMPUTED_VALUE"""),"Westerville, OH")</f>
        <v>Westerville, OH</v>
      </c>
      <c r="H732" s="4" t="str">
        <f>IFERROR(__xludf.DUMMYFUNCTION("""COMPUTED_VALUE"""),"https://www.linkedin.com/posts/chrisnewman2_sales-analyst-strategy-activity-7231484680393437185-xpxU?utm_source=share&amp;utm_medium=member_ios")</f>
        <v>https://www.linkedin.com/posts/chrisnewman2_sales-analyst-strategy-activity-7231484680393437185-xpxU?utm_source=share&amp;utm_medium=member_ios</v>
      </c>
    </row>
    <row r="733">
      <c r="A733" s="2">
        <f>IFERROR(__xludf.DUMMYFUNCTION("""COMPUTED_VALUE"""),45524.0)</f>
        <v>45524</v>
      </c>
      <c r="B733" s="1" t="str">
        <f>IFERROR(__xludf.DUMMYFUNCTION("""COMPUTED_VALUE"""),"CMI Media Group")</f>
        <v>CMI Media Group</v>
      </c>
      <c r="C733" s="1" t="str">
        <f>IFERROR(__xludf.DUMMYFUNCTION("""COMPUTED_VALUE"""),"Senior Analyst, Market Research")</f>
        <v>Senior Analyst, Market Research</v>
      </c>
      <c r="D733" s="1" t="str">
        <f>IFERROR(__xludf.DUMMYFUNCTION("""COMPUTED_VALUE"""),"Hybrid")</f>
        <v>Hybrid</v>
      </c>
      <c r="E733" s="1" t="str">
        <f>IFERROR(__xludf.DUMMYFUNCTION("""COMPUTED_VALUE"""),"N/A")</f>
        <v>N/A</v>
      </c>
      <c r="F733" s="1" t="str">
        <f>IFERROR(__xludf.DUMMYFUNCTION("""COMPUTED_VALUE"""),"3 - 5")</f>
        <v>3 - 5</v>
      </c>
      <c r="G733" s="1" t="str">
        <f>IFERROR(__xludf.DUMMYFUNCTION("""COMPUTED_VALUE"""),"Certain Locations")</f>
        <v>Certain Locations</v>
      </c>
      <c r="H733" s="4" t="str">
        <f>IFERROR(__xludf.DUMMYFUNCTION("""COMPUTED_VALUE"""),"https://www.linkedin.com/posts/gabrielacardamone_senior-analyst-market-research-activity-7231694104223453184-Bfpj?utm_source=share&amp;utm_medium=member_ios")</f>
        <v>https://www.linkedin.com/posts/gabrielacardamone_senior-analyst-market-research-activity-7231694104223453184-Bfpj?utm_source=share&amp;utm_medium=member_ios</v>
      </c>
    </row>
    <row r="734">
      <c r="A734" s="2">
        <f>IFERROR(__xludf.DUMMYFUNCTION("""COMPUTED_VALUE"""),45524.0)</f>
        <v>45524</v>
      </c>
      <c r="B734" s="1" t="str">
        <f>IFERROR(__xludf.DUMMYFUNCTION("""COMPUTED_VALUE"""),"Torch Dental")</f>
        <v>Torch Dental</v>
      </c>
      <c r="C734" s="1" t="str">
        <f>IFERROR(__xludf.DUMMYFUNCTION("""COMPUTED_VALUE"""),"Business Strategy &amp; Operations Analyst")</f>
        <v>Business Strategy &amp; Operations Analyst</v>
      </c>
      <c r="D734" s="1" t="str">
        <f>IFERROR(__xludf.DUMMYFUNCTION("""COMPUTED_VALUE"""),"Hybrid")</f>
        <v>Hybrid</v>
      </c>
      <c r="E734" s="1" t="str">
        <f>IFERROR(__xludf.DUMMYFUNCTION("""COMPUTED_VALUE"""),"$70k - $80k")</f>
        <v>$70k - $80k</v>
      </c>
      <c r="F734" s="1" t="str">
        <f>IFERROR(__xludf.DUMMYFUNCTION("""COMPUTED_VALUE"""),"0 - 2")</f>
        <v>0 - 2</v>
      </c>
      <c r="G734" s="1" t="str">
        <f>IFERROR(__xludf.DUMMYFUNCTION("""COMPUTED_VALUE"""),"New York, NY")</f>
        <v>New York, NY</v>
      </c>
      <c r="H734" s="4" t="str">
        <f>IFERROR(__xludf.DUMMYFUNCTION("""COMPUTED_VALUE"""),"https://www.linkedin.com/posts/aevans18_our-business-operations-team-is-growing-activity-7231661821164765186-j5mH?utm_source=share&amp;utm_medium=member_ios")</f>
        <v>https://www.linkedin.com/posts/aevans18_our-business-operations-team-is-growing-activity-7231661821164765186-j5mH?utm_source=share&amp;utm_medium=member_ios</v>
      </c>
    </row>
    <row r="735">
      <c r="A735" s="2">
        <f>IFERROR(__xludf.DUMMYFUNCTION("""COMPUTED_VALUE"""),45524.0)</f>
        <v>45524</v>
      </c>
      <c r="B735" s="1" t="str">
        <f>IFERROR(__xludf.DUMMYFUNCTION("""COMPUTED_VALUE"""),"Premier Inc.")</f>
        <v>Premier Inc.</v>
      </c>
      <c r="C735" s="1" t="str">
        <f>IFERROR(__xludf.DUMMYFUNCTION("""COMPUTED_VALUE"""),"Senior Specialist Contract Operations &amp; Analytics")</f>
        <v>Senior Specialist Contract Operations &amp; Analytics</v>
      </c>
      <c r="D735" s="1" t="str">
        <f>IFERROR(__xludf.DUMMYFUNCTION("""COMPUTED_VALUE"""),"Hybrid")</f>
        <v>Hybrid</v>
      </c>
      <c r="E735" s="1" t="str">
        <f>IFERROR(__xludf.DUMMYFUNCTION("""COMPUTED_VALUE"""),"$64k - $118k")</f>
        <v>$64k - $118k</v>
      </c>
      <c r="F735" s="1" t="str">
        <f>IFERROR(__xludf.DUMMYFUNCTION("""COMPUTED_VALUE"""),"3 - 5")</f>
        <v>3 - 5</v>
      </c>
      <c r="G735" s="1" t="str">
        <f>IFERROR(__xludf.DUMMYFUNCTION("""COMPUTED_VALUE"""),"Charlotte, NC")</f>
        <v>Charlotte, NC</v>
      </c>
      <c r="H735" s="4" t="str">
        <f>IFERROR(__xludf.DUMMYFUNCTION("""COMPUTED_VALUE"""),"https://www.linkedin.com/posts/activity-7231685138873528321-85Hz?utm_source=share&amp;utm_medium=member_ios")</f>
        <v>https://www.linkedin.com/posts/activity-7231685138873528321-85Hz?utm_source=share&amp;utm_medium=member_ios</v>
      </c>
    </row>
    <row r="736">
      <c r="A736" s="2">
        <f>IFERROR(__xludf.DUMMYFUNCTION("""COMPUTED_VALUE"""),45524.0)</f>
        <v>45524</v>
      </c>
      <c r="B736" s="1" t="str">
        <f>IFERROR(__xludf.DUMMYFUNCTION("""COMPUTED_VALUE"""),"Driven Brands Inc.")</f>
        <v>Driven Brands Inc.</v>
      </c>
      <c r="C736" s="1" t="str">
        <f>IFERROR(__xludf.DUMMYFUNCTION("""COMPUTED_VALUE"""),"Financial Analyst")</f>
        <v>Financial Analyst</v>
      </c>
      <c r="D736" s="1" t="str">
        <f>IFERROR(__xludf.DUMMYFUNCTION("""COMPUTED_VALUE"""),"On-Site")</f>
        <v>On-Site</v>
      </c>
      <c r="E736" s="1" t="str">
        <f>IFERROR(__xludf.DUMMYFUNCTION("""COMPUTED_VALUE"""),"N/A")</f>
        <v>N/A</v>
      </c>
      <c r="F736" s="1" t="str">
        <f>IFERROR(__xludf.DUMMYFUNCTION("""COMPUTED_VALUE"""),"0 - 2")</f>
        <v>0 - 2</v>
      </c>
      <c r="G736" s="1" t="str">
        <f>IFERROR(__xludf.DUMMYFUNCTION("""COMPUTED_VALUE"""),"Charlotte, NC")</f>
        <v>Charlotte, NC</v>
      </c>
      <c r="H736" s="4" t="str">
        <f>IFERROR(__xludf.DUMMYFUNCTION("""COMPUTED_VALUE"""),"https://www.linkedin.com/posts/dave-alderson-1630987_join-our-team-im-excited-to-hire-an-fp-activity-7231710751818665987-5uRP?utm_source=share&amp;utm_medium=member_ios")</f>
        <v>https://www.linkedin.com/posts/dave-alderson-1630987_join-our-team-im-excited-to-hire-an-fp-activity-7231710751818665987-5uRP?utm_source=share&amp;utm_medium=member_ios</v>
      </c>
    </row>
    <row r="737">
      <c r="A737" s="2">
        <f>IFERROR(__xludf.DUMMYFUNCTION("""COMPUTED_VALUE"""),45524.0)</f>
        <v>45524</v>
      </c>
      <c r="B737" s="1" t="str">
        <f>IFERROR(__xludf.DUMMYFUNCTION("""COMPUTED_VALUE"""),"Sprouts Farmers Market")</f>
        <v>Sprouts Farmers Market</v>
      </c>
      <c r="C737" s="1" t="str">
        <f>IFERROR(__xludf.DUMMYFUNCTION("""COMPUTED_VALUE"""),"Sr. Financial Analyst")</f>
        <v>Sr. Financial Analyst</v>
      </c>
      <c r="D737" s="1" t="str">
        <f>IFERROR(__xludf.DUMMYFUNCTION("""COMPUTED_VALUE"""),"Hybrid")</f>
        <v>Hybrid</v>
      </c>
      <c r="E737" s="1" t="str">
        <f>IFERROR(__xludf.DUMMYFUNCTION("""COMPUTED_VALUE"""),"N/A")</f>
        <v>N/A</v>
      </c>
      <c r="F737" s="1" t="str">
        <f>IFERROR(__xludf.DUMMYFUNCTION("""COMPUTED_VALUE"""),"3 - 5")</f>
        <v>3 - 5</v>
      </c>
      <c r="G737" s="1" t="str">
        <f>IFERROR(__xludf.DUMMYFUNCTION("""COMPUTED_VALUE"""),"Phoenix, AZ")</f>
        <v>Phoenix, AZ</v>
      </c>
      <c r="H737" s="4" t="str">
        <f>IFERROR(__xludf.DUMMYFUNCTION("""COMPUTED_VALUE"""),"https://www.linkedin.com/posts/maryrosescarbrough_financialanalyst-financejobs-careeropportunity-activity-7231691960284004353-8Vr6?utm_source=share&amp;utm_medium=member_ios")</f>
        <v>https://www.linkedin.com/posts/maryrosescarbrough_financialanalyst-financejobs-careeropportunity-activity-7231691960284004353-8Vr6?utm_source=share&amp;utm_medium=member_ios</v>
      </c>
    </row>
    <row r="738">
      <c r="A738" s="2">
        <f>IFERROR(__xludf.DUMMYFUNCTION("""COMPUTED_VALUE"""),45524.0)</f>
        <v>45524</v>
      </c>
      <c r="B738" s="1" t="str">
        <f>IFERROR(__xludf.DUMMYFUNCTION("""COMPUTED_VALUE"""),"DriveTime")</f>
        <v>DriveTime</v>
      </c>
      <c r="C738" s="1" t="str">
        <f>IFERROR(__xludf.DUMMYFUNCTION("""COMPUTED_VALUE"""),"Analyst, Supply Chain Analytics")</f>
        <v>Analyst, Supply Chain Analytics</v>
      </c>
      <c r="D738" s="1" t="str">
        <f>IFERROR(__xludf.DUMMYFUNCTION("""COMPUTED_VALUE"""),"Hybrid")</f>
        <v>Hybrid</v>
      </c>
      <c r="E738" s="1" t="str">
        <f>IFERROR(__xludf.DUMMYFUNCTION("""COMPUTED_VALUE"""),"N/A")</f>
        <v>N/A</v>
      </c>
      <c r="F738" s="1" t="str">
        <f>IFERROR(__xludf.DUMMYFUNCTION("""COMPUTED_VALUE"""),"0 - 2")</f>
        <v>0 - 2</v>
      </c>
      <c r="G738" s="1" t="str">
        <f>IFERROR(__xludf.DUMMYFUNCTION("""COMPUTED_VALUE"""),"Tempe, AZ")</f>
        <v>Tempe, AZ</v>
      </c>
      <c r="H738" s="4" t="str">
        <f>IFERROR(__xludf.DUMMYFUNCTION("""COMPUTED_VALUE"""),"https://www.linkedin.com/posts/kayla-argyros_analyst-supply-chain-analytics-in-tempe-activity-7231680776067547137--uQ0?utm_source=share&amp;utm_medium=member_ios")</f>
        <v>https://www.linkedin.com/posts/kayla-argyros_analyst-supply-chain-analytics-in-tempe-activity-7231680776067547137--uQ0?utm_source=share&amp;utm_medium=member_ios</v>
      </c>
    </row>
    <row r="739">
      <c r="A739" s="2">
        <f>IFERROR(__xludf.DUMMYFUNCTION("""COMPUTED_VALUE"""),45524.0)</f>
        <v>45524</v>
      </c>
      <c r="B739" s="1" t="str">
        <f>IFERROR(__xludf.DUMMYFUNCTION("""COMPUTED_VALUE"""),"Wells Fargo")</f>
        <v>Wells Fargo</v>
      </c>
      <c r="C739" s="1" t="str">
        <f>IFERROR(__xludf.DUMMYFUNCTION("""COMPUTED_VALUE"""),"Lead Analytics Consultant")</f>
        <v>Lead Analytics Consultant</v>
      </c>
      <c r="D739" s="1" t="str">
        <f>IFERROR(__xludf.DUMMYFUNCTION("""COMPUTED_VALUE"""),"Hybrid")</f>
        <v>Hybrid</v>
      </c>
      <c r="E739" s="1" t="str">
        <f>IFERROR(__xludf.DUMMYFUNCTION("""COMPUTED_VALUE"""),"N/A")</f>
        <v>N/A</v>
      </c>
      <c r="F739" s="1" t="str">
        <f>IFERROR(__xludf.DUMMYFUNCTION("""COMPUTED_VALUE"""),"3 - 5")</f>
        <v>3 - 5</v>
      </c>
      <c r="G739" s="1" t="str">
        <f>IFERROR(__xludf.DUMMYFUNCTION("""COMPUTED_VALUE"""),"West Des Moines, IA/Irving, TX")</f>
        <v>West Des Moines, IA/Irving, TX</v>
      </c>
      <c r="H739" s="4" t="str">
        <f>IFERROR(__xludf.DUMMYFUNCTION("""COMPUTED_VALUE"""),"https://www.linkedin.com/posts/donna-p-rodriguez-76512124_lead-analytics-consultant-activity-7231735143684521985-mkzu?utm_source=share&amp;utm_medium=member_ios")</f>
        <v>https://www.linkedin.com/posts/donna-p-rodriguez-76512124_lead-analytics-consultant-activity-7231735143684521985-mkzu?utm_source=share&amp;utm_medium=member_ios</v>
      </c>
    </row>
    <row r="740">
      <c r="A740" s="2">
        <f>IFERROR(__xludf.DUMMYFUNCTION("""COMPUTED_VALUE"""),45524.0)</f>
        <v>45524</v>
      </c>
      <c r="B740" s="1" t="str">
        <f>IFERROR(__xludf.DUMMYFUNCTION("""COMPUTED_VALUE"""),"Palm Medical Centers")</f>
        <v>Palm Medical Centers</v>
      </c>
      <c r="C740" s="1" t="str">
        <f>IFERROR(__xludf.DUMMYFUNCTION("""COMPUTED_VALUE"""),"Data Analyst")</f>
        <v>Data Analyst</v>
      </c>
      <c r="D740" s="1" t="str">
        <f>IFERROR(__xludf.DUMMYFUNCTION("""COMPUTED_VALUE"""),"Hybrid")</f>
        <v>Hybrid</v>
      </c>
      <c r="E740" s="1" t="str">
        <f>IFERROR(__xludf.DUMMYFUNCTION("""COMPUTED_VALUE"""),"$50k")</f>
        <v>$50k</v>
      </c>
      <c r="F740" s="1" t="str">
        <f>IFERROR(__xludf.DUMMYFUNCTION("""COMPUTED_VALUE"""),"0 - 2")</f>
        <v>0 - 2</v>
      </c>
      <c r="G740" s="1" t="str">
        <f>IFERROR(__xludf.DUMMYFUNCTION("""COMPUTED_VALUE"""),"Coral Gables, FL")</f>
        <v>Coral Gables, FL</v>
      </c>
      <c r="H740" s="4" t="str">
        <f>IFERROR(__xludf.DUMMYFUNCTION("""COMPUTED_VALUE"""),"https://www.linkedin.com/posts/ccabrera2_dataanalyst-hiring-palmmedicalcenters-activity-7231616873409228801-S-Yb?utm_source=share&amp;utm_medium=member_ios")</f>
        <v>https://www.linkedin.com/posts/ccabrera2_dataanalyst-hiring-palmmedicalcenters-activity-7231616873409228801-S-Yb?utm_source=share&amp;utm_medium=member_ios</v>
      </c>
    </row>
    <row r="741">
      <c r="A741" s="2">
        <f>IFERROR(__xludf.DUMMYFUNCTION("""COMPUTED_VALUE"""),45524.0)</f>
        <v>45524</v>
      </c>
      <c r="B741" s="1" t="str">
        <f>IFERROR(__xludf.DUMMYFUNCTION("""COMPUTED_VALUE"""),"General Motors")</f>
        <v>General Motors</v>
      </c>
      <c r="C741" s="1" t="str">
        <f>IFERROR(__xludf.DUMMYFUNCTION("""COMPUTED_VALUE"""),"Data Scientist")</f>
        <v>Data Scientist</v>
      </c>
      <c r="D741" s="1" t="str">
        <f>IFERROR(__xludf.DUMMYFUNCTION("""COMPUTED_VALUE"""),"Remote")</f>
        <v>Remote</v>
      </c>
      <c r="E741" s="1" t="str">
        <f>IFERROR(__xludf.DUMMYFUNCTION("""COMPUTED_VALUE"""),"N/A")</f>
        <v>N/A</v>
      </c>
      <c r="F741" s="1" t="str">
        <f>IFERROR(__xludf.DUMMYFUNCTION("""COMPUTED_VALUE"""),"3 - 5")</f>
        <v>3 - 5</v>
      </c>
      <c r="G741" s="1" t="str">
        <f>IFERROR(__xludf.DUMMYFUNCTION("""COMPUTED_VALUE"""),"USA")</f>
        <v>USA</v>
      </c>
      <c r="H741" s="4" t="str">
        <f>IFERROR(__xludf.DUMMYFUNCTION("""COMPUTED_VALUE"""),"https://www.linkedin.com/posts/blair-barker-thompson-540a2045_hiring-ugcPost-7231364502724759552-zWiG?utm_source=share&amp;utm_medium=member_ios")</f>
        <v>https://www.linkedin.com/posts/blair-barker-thompson-540a2045_hiring-ugcPost-7231364502724759552-zWiG?utm_source=share&amp;utm_medium=member_ios</v>
      </c>
    </row>
    <row r="742">
      <c r="A742" s="2">
        <f>IFERROR(__xludf.DUMMYFUNCTION("""COMPUTED_VALUE"""),45524.0)</f>
        <v>45524</v>
      </c>
      <c r="B742" s="1" t="str">
        <f>IFERROR(__xludf.DUMMYFUNCTION("""COMPUTED_VALUE"""),"McKesson")</f>
        <v>McKesson</v>
      </c>
      <c r="C742" s="1" t="str">
        <f>IFERROR(__xludf.DUMMYFUNCTION("""COMPUTED_VALUE"""),"Data Engineer")</f>
        <v>Data Engineer</v>
      </c>
      <c r="D742" s="1" t="str">
        <f>IFERROR(__xludf.DUMMYFUNCTION("""COMPUTED_VALUE"""),"Hybrid")</f>
        <v>Hybrid</v>
      </c>
      <c r="E742" s="1" t="str">
        <f>IFERROR(__xludf.DUMMYFUNCTION("""COMPUTED_VALUE"""),"$112k - $187k")</f>
        <v>$112k - $187k</v>
      </c>
      <c r="F742" s="1" t="str">
        <f>IFERROR(__xludf.DUMMYFUNCTION("""COMPUTED_VALUE"""),"3 - 5")</f>
        <v>3 - 5</v>
      </c>
      <c r="G742" s="1" t="str">
        <f>IFERROR(__xludf.DUMMYFUNCTION("""COMPUTED_VALUE"""),"Alpharetta, GA/Irving, TX")</f>
        <v>Alpharetta, GA/Irving, TX</v>
      </c>
      <c r="H742" s="4" t="str">
        <f>IFERROR(__xludf.DUMMYFUNCTION("""COMPUTED_VALUE"""),"https://www.linkedin.com/posts/venitbhanawat_data-engineer-activity-7231466074112737280-E_40?utm_source=share&amp;utm_medium=member_desktop")</f>
        <v>https://www.linkedin.com/posts/venitbhanawat_data-engineer-activity-7231466074112737280-E_40?utm_source=share&amp;utm_medium=member_desktop</v>
      </c>
    </row>
    <row r="743">
      <c r="A743" s="2">
        <f>IFERROR(__xludf.DUMMYFUNCTION("""COMPUTED_VALUE"""),45524.0)</f>
        <v>45524</v>
      </c>
      <c r="B743" s="1" t="str">
        <f>IFERROR(__xludf.DUMMYFUNCTION("""COMPUTED_VALUE"""),"Venteon")</f>
        <v>Venteon</v>
      </c>
      <c r="C743" s="1" t="str">
        <f>IFERROR(__xludf.DUMMYFUNCTION("""COMPUTED_VALUE"""),"Financial Reporting Analyst")</f>
        <v>Financial Reporting Analyst</v>
      </c>
      <c r="D743" s="1" t="str">
        <f>IFERROR(__xludf.DUMMYFUNCTION("""COMPUTED_VALUE"""),"Hybrid")</f>
        <v>Hybrid</v>
      </c>
      <c r="E743" s="1" t="str">
        <f>IFERROR(__xludf.DUMMYFUNCTION("""COMPUTED_VALUE"""),"$75k - $90k")</f>
        <v>$75k - $90k</v>
      </c>
      <c r="F743" s="1" t="str">
        <f>IFERROR(__xludf.DUMMYFUNCTION("""COMPUTED_VALUE"""),"3 - 5")</f>
        <v>3 - 5</v>
      </c>
      <c r="G743" s="1" t="str">
        <f>IFERROR(__xludf.DUMMYFUNCTION("""COMPUTED_VALUE"""),"Detroit, MI")</f>
        <v>Detroit, MI</v>
      </c>
      <c r="H743" s="4" t="str">
        <f>IFERROR(__xludf.DUMMYFUNCTION("""COMPUTED_VALUE"""),"https://www.linkedin.com/posts/karl-roehrig-0249a73a_venteonfinance-jobs-jobsearch-activity-7231684611452354560-bcSW?utm_source=share&amp;utm_medium=member_desktop")</f>
        <v>https://www.linkedin.com/posts/karl-roehrig-0249a73a_venteonfinance-jobs-jobsearch-activity-7231684611452354560-bcSW?utm_source=share&amp;utm_medium=member_desktop</v>
      </c>
    </row>
    <row r="744">
      <c r="A744" s="2">
        <f>IFERROR(__xludf.DUMMYFUNCTION("""COMPUTED_VALUE"""),45524.0)</f>
        <v>45524</v>
      </c>
      <c r="B744" s="1" t="str">
        <f>IFERROR(__xludf.DUMMYFUNCTION("""COMPUTED_VALUE"""),"Venteon")</f>
        <v>Venteon</v>
      </c>
      <c r="C744" s="1" t="str">
        <f>IFERROR(__xludf.DUMMYFUNCTION("""COMPUTED_VALUE"""),"Lead Financial Analyst")</f>
        <v>Lead Financial Analyst</v>
      </c>
      <c r="D744" s="1" t="str">
        <f>IFERROR(__xludf.DUMMYFUNCTION("""COMPUTED_VALUE"""),"Hybrid")</f>
        <v>Hybrid</v>
      </c>
      <c r="E744" s="1" t="str">
        <f>IFERROR(__xludf.DUMMYFUNCTION("""COMPUTED_VALUE"""),"$95k - $110k")</f>
        <v>$95k - $110k</v>
      </c>
      <c r="F744" s="1" t="str">
        <f>IFERROR(__xludf.DUMMYFUNCTION("""COMPUTED_VALUE"""),"6 - 9")</f>
        <v>6 - 9</v>
      </c>
      <c r="G744" s="1" t="str">
        <f>IFERROR(__xludf.DUMMYFUNCTION("""COMPUTED_VALUE"""),"Detroit, MI")</f>
        <v>Detroit, MI</v>
      </c>
      <c r="H744" s="4" t="str">
        <f>IFERROR(__xludf.DUMMYFUNCTION("""COMPUTED_VALUE"""),"https://www.linkedin.com/posts/karl-roehrig-0249a73a_venteonfinance-jobs-jobsearch-activity-7231684975358574592-F127?utm_source=share&amp;utm_medium=member_desktop")</f>
        <v>https://www.linkedin.com/posts/karl-roehrig-0249a73a_venteonfinance-jobs-jobsearch-activity-7231684975358574592-F127?utm_source=share&amp;utm_medium=member_desktop</v>
      </c>
    </row>
    <row r="745">
      <c r="A745" s="2">
        <f>IFERROR(__xludf.DUMMYFUNCTION("""COMPUTED_VALUE"""),45524.0)</f>
        <v>45524</v>
      </c>
      <c r="B745" s="1" t="str">
        <f>IFERROR(__xludf.DUMMYFUNCTION("""COMPUTED_VALUE"""),"Fullstory")</f>
        <v>Fullstory</v>
      </c>
      <c r="C745" s="1" t="str">
        <f>IFERROR(__xludf.DUMMYFUNCTION("""COMPUTED_VALUE"""),"Senior Marketing Operations Analyst")</f>
        <v>Senior Marketing Operations Analyst</v>
      </c>
      <c r="D745" s="1" t="str">
        <f>IFERROR(__xludf.DUMMYFUNCTION("""COMPUTED_VALUE"""),"Remote")</f>
        <v>Remote</v>
      </c>
      <c r="E745" s="1" t="str">
        <f>IFERROR(__xludf.DUMMYFUNCTION("""COMPUTED_VALUE"""),"N/A")</f>
        <v>N/A</v>
      </c>
      <c r="F745" s="1" t="str">
        <f>IFERROR(__xludf.DUMMYFUNCTION("""COMPUTED_VALUE"""),"3 - 5")</f>
        <v>3 - 5</v>
      </c>
      <c r="G745" s="1" t="str">
        <f>IFERROR(__xludf.DUMMYFUNCTION("""COMPUTED_VALUE"""),"USA")</f>
        <v>USA</v>
      </c>
      <c r="H745" s="4" t="str">
        <f>IFERROR(__xludf.DUMMYFUNCTION("""COMPUTED_VALUE"""),"https://www.linkedin.com/posts/rebekkahssappington_im-hiring-dm-if-you-have-any-referrals-activity-7231648739432538113-df2C?utm_source=share&amp;utm_medium=member_desktop")</f>
        <v>https://www.linkedin.com/posts/rebekkahssappington_im-hiring-dm-if-you-have-any-referrals-activity-7231648739432538113-df2C?utm_source=share&amp;utm_medium=member_desktop</v>
      </c>
    </row>
    <row r="746">
      <c r="A746" s="2">
        <f>IFERROR(__xludf.DUMMYFUNCTION("""COMPUTED_VALUE"""),45524.0)</f>
        <v>45524</v>
      </c>
      <c r="B746" s="1" t="str">
        <f>IFERROR(__xludf.DUMMYFUNCTION("""COMPUTED_VALUE"""),"Jenner &amp; Block")</f>
        <v>Jenner &amp; Block</v>
      </c>
      <c r="C746" s="1" t="str">
        <f>IFERROR(__xludf.DUMMYFUNCTION("""COMPUTED_VALUE"""),"Client Arrangements Analyst")</f>
        <v>Client Arrangements Analyst</v>
      </c>
      <c r="D746" s="1" t="str">
        <f>IFERROR(__xludf.DUMMYFUNCTION("""COMPUTED_VALUE"""),"Hybrid")</f>
        <v>Hybrid</v>
      </c>
      <c r="E746" s="1" t="str">
        <f>IFERROR(__xludf.DUMMYFUNCTION("""COMPUTED_VALUE"""),"N/A")</f>
        <v>N/A</v>
      </c>
      <c r="F746" s="1" t="str">
        <f>IFERROR(__xludf.DUMMYFUNCTION("""COMPUTED_VALUE"""),"3 - 5")</f>
        <v>3 - 5</v>
      </c>
      <c r="G746" s="1" t="str">
        <f>IFERROR(__xludf.DUMMYFUNCTION("""COMPUTED_VALUE"""),"Chicago, IL")</f>
        <v>Chicago, IL</v>
      </c>
      <c r="H746" s="4" t="str">
        <f>IFERROR(__xludf.DUMMYFUNCTION("""COMPUTED_VALUE"""),"https://www.linkedin.com/posts/savery_hiring-arrangements-activity-7231423044160827393-jWCQ?utm_source=share&amp;utm_medium=member_desktop")</f>
        <v>https://www.linkedin.com/posts/savery_hiring-arrangements-activity-7231423044160827393-jWCQ?utm_source=share&amp;utm_medium=member_desktop</v>
      </c>
    </row>
    <row r="747">
      <c r="A747" s="2">
        <f>IFERROR(__xludf.DUMMYFUNCTION("""COMPUTED_VALUE"""),45524.0)</f>
        <v>45524</v>
      </c>
      <c r="B747" s="1" t="str">
        <f>IFERROR(__xludf.DUMMYFUNCTION("""COMPUTED_VALUE"""),"Calpine")</f>
        <v>Calpine</v>
      </c>
      <c r="C747" s="1" t="str">
        <f>IFERROR(__xludf.DUMMYFUNCTION("""COMPUTED_VALUE"""),"HR Data Analyst")</f>
        <v>HR Data Analyst</v>
      </c>
      <c r="D747" s="1" t="str">
        <f>IFERROR(__xludf.DUMMYFUNCTION("""COMPUTED_VALUE"""),"On-Site")</f>
        <v>On-Site</v>
      </c>
      <c r="E747" s="1" t="str">
        <f>IFERROR(__xludf.DUMMYFUNCTION("""COMPUTED_VALUE"""),"N/A")</f>
        <v>N/A</v>
      </c>
      <c r="F747" s="1" t="str">
        <f>IFERROR(__xludf.DUMMYFUNCTION("""COMPUTED_VALUE"""),"3 - 5")</f>
        <v>3 - 5</v>
      </c>
      <c r="G747" s="1" t="str">
        <f>IFERROR(__xludf.DUMMYFUNCTION("""COMPUTED_VALUE"""),"Houston, TX")</f>
        <v>Houston, TX</v>
      </c>
      <c r="H747" s="4" t="str">
        <f>IFERROR(__xludf.DUMMYFUNCTION("""COMPUTED_VALUE"""),"https://www.linkedin.com/posts/jackelyn-lazaro-recruiter_hrdataanalyst-jobopportunity-houstontx-activity-7231631178275909633-3pxN?utm_source=share&amp;utm_medium=member_desktop")</f>
        <v>https://www.linkedin.com/posts/jackelyn-lazaro-recruiter_hrdataanalyst-jobopportunity-houstontx-activity-7231631178275909633-3pxN?utm_source=share&amp;utm_medium=member_desktop</v>
      </c>
    </row>
    <row r="748">
      <c r="A748" s="2">
        <f>IFERROR(__xludf.DUMMYFUNCTION("""COMPUTED_VALUE"""),45524.0)</f>
        <v>45524</v>
      </c>
      <c r="B748" s="1" t="str">
        <f>IFERROR(__xludf.DUMMYFUNCTION("""COMPUTED_VALUE"""),"Jackson + Coker")</f>
        <v>Jackson + Coker</v>
      </c>
      <c r="C748" s="1" t="str">
        <f>IFERROR(__xludf.DUMMYFUNCTION("""COMPUTED_VALUE"""),"Marketing Data Analyst")</f>
        <v>Marketing Data Analyst</v>
      </c>
      <c r="D748" s="1" t="str">
        <f>IFERROR(__xludf.DUMMYFUNCTION("""COMPUTED_VALUE"""),"On-Site")</f>
        <v>On-Site</v>
      </c>
      <c r="E748" s="1" t="str">
        <f>IFERROR(__xludf.DUMMYFUNCTION("""COMPUTED_VALUE"""),"N/A")</f>
        <v>N/A</v>
      </c>
      <c r="F748" s="1" t="str">
        <f>IFERROR(__xludf.DUMMYFUNCTION("""COMPUTED_VALUE"""),"3 - 5")</f>
        <v>3 - 5</v>
      </c>
      <c r="G748" s="1" t="str">
        <f>IFERROR(__xludf.DUMMYFUNCTION("""COMPUTED_VALUE"""),"Alpharetta, GA")</f>
        <v>Alpharetta, GA</v>
      </c>
      <c r="H748" s="4" t="str">
        <f>IFERROR(__xludf.DUMMYFUNCTION("""COMPUTED_VALUE"""),"https://www.linkedin.com/posts/artoleszczuk_hiring-marketing-jobs-activity-7231605017613344768-rG-1?utm_source=share&amp;utm_medium=member_desktop")</f>
        <v>https://www.linkedin.com/posts/artoleszczuk_hiring-marketing-jobs-activity-7231605017613344768-rG-1?utm_source=share&amp;utm_medium=member_desktop</v>
      </c>
    </row>
    <row r="749">
      <c r="A749" s="2">
        <f>IFERROR(__xludf.DUMMYFUNCTION("""COMPUTED_VALUE"""),45524.0)</f>
        <v>45524</v>
      </c>
      <c r="B749" s="1" t="str">
        <f>IFERROR(__xludf.DUMMYFUNCTION("""COMPUTED_VALUE"""),"Globe Life ")</f>
        <v>Globe Life </v>
      </c>
      <c r="C749" s="1" t="str">
        <f>IFERROR(__xludf.DUMMYFUNCTION("""COMPUTED_VALUE"""),"Sr. Dir, Reporting, AI, and Analytics")</f>
        <v>Sr. Dir, Reporting, AI, and Analytics</v>
      </c>
      <c r="D749" s="1" t="str">
        <f>IFERROR(__xludf.DUMMYFUNCTION("""COMPUTED_VALUE"""),"Hybrid")</f>
        <v>Hybrid</v>
      </c>
      <c r="E749" s="1" t="str">
        <f>IFERROR(__xludf.DUMMYFUNCTION("""COMPUTED_VALUE"""),"N/A")</f>
        <v>N/A</v>
      </c>
      <c r="F749" s="1" t="str">
        <f>IFERROR(__xludf.DUMMYFUNCTION("""COMPUTED_VALUE"""),"10 +")</f>
        <v>10 +</v>
      </c>
      <c r="G749" s="1" t="str">
        <f>IFERROR(__xludf.DUMMYFUNCTION("""COMPUTED_VALUE"""),"McKinney, TX")</f>
        <v>McKinney, TX</v>
      </c>
      <c r="H749" s="4" t="str">
        <f>IFERROR(__xludf.DUMMYFUNCTION("""COMPUTED_VALUE"""),"https://www.linkedin.com/feed/update/urn:li:activity:7231480391918837760/")</f>
        <v>https://www.linkedin.com/feed/update/urn:li:activity:7231480391918837760/</v>
      </c>
    </row>
    <row r="750">
      <c r="A750" s="2">
        <f>IFERROR(__xludf.DUMMYFUNCTION("""COMPUTED_VALUE"""),45524.0)</f>
        <v>45524</v>
      </c>
      <c r="B750" s="1" t="str">
        <f>IFERROR(__xludf.DUMMYFUNCTION("""COMPUTED_VALUE"""),"CVS Health")</f>
        <v>CVS Health</v>
      </c>
      <c r="C750" s="1" t="str">
        <f>IFERROR(__xludf.DUMMYFUNCTION("""COMPUTED_VALUE"""),"Data Engineer - Retail Data &amp; Products (SQL &amp; PL/SQL)")</f>
        <v>Data Engineer - Retail Data &amp; Products (SQL &amp; PL/SQL)</v>
      </c>
      <c r="D750" s="1" t="str">
        <f>IFERROR(__xludf.DUMMYFUNCTION("""COMPUTED_VALUE"""),"Hybrid")</f>
        <v>Hybrid</v>
      </c>
      <c r="E750" s="1" t="str">
        <f>IFERROR(__xludf.DUMMYFUNCTION("""COMPUTED_VALUE"""),"$79k - $159k")</f>
        <v>$79k - $159k</v>
      </c>
      <c r="F750" s="1" t="str">
        <f>IFERROR(__xludf.DUMMYFUNCTION("""COMPUTED_VALUE"""),"0 - 2")</f>
        <v>0 - 2</v>
      </c>
      <c r="G750" s="1" t="str">
        <f>IFERROR(__xludf.DUMMYFUNCTION("""COMPUTED_VALUE"""),"Woonsocket, RI")</f>
        <v>Woonsocket, RI</v>
      </c>
      <c r="H750" s="4" t="str">
        <f>IFERROR(__xludf.DUMMYFUNCTION("""COMPUTED_VALUE"""),"https://www.linkedin.com/posts/melyndageraghtydevelopmentrecruiter_data-engineer-retail-data-products-sql-activity-7231652517430919169-yO-J?utm_source=share&amp;utm_medium=member_desktop")</f>
        <v>https://www.linkedin.com/posts/melyndageraghtydevelopmentrecruiter_data-engineer-retail-data-products-sql-activity-7231652517430919169-yO-J?utm_source=share&amp;utm_medium=member_desktop</v>
      </c>
    </row>
    <row r="751">
      <c r="A751" s="2">
        <f>IFERROR(__xludf.DUMMYFUNCTION("""COMPUTED_VALUE"""),45523.0)</f>
        <v>45523</v>
      </c>
      <c r="B751" s="1" t="str">
        <f>IFERROR(__xludf.DUMMYFUNCTION("""COMPUTED_VALUE"""),"GainShare")</f>
        <v>GainShare</v>
      </c>
      <c r="C751" s="1" t="str">
        <f>IFERROR(__xludf.DUMMYFUNCTION("""COMPUTED_VALUE"""),"Associate Director, Performance Analytics")</f>
        <v>Associate Director, Performance Analytics</v>
      </c>
      <c r="D751" s="1" t="str">
        <f>IFERROR(__xludf.DUMMYFUNCTION("""COMPUTED_VALUE"""),"On-Site")</f>
        <v>On-Site</v>
      </c>
      <c r="E751" s="1" t="str">
        <f>IFERROR(__xludf.DUMMYFUNCTION("""COMPUTED_VALUE"""),"N/A")</f>
        <v>N/A</v>
      </c>
      <c r="F751" s="1" t="str">
        <f>IFERROR(__xludf.DUMMYFUNCTION("""COMPUTED_VALUE"""),"6 - 9")</f>
        <v>6 - 9</v>
      </c>
      <c r="G751" s="1" t="str">
        <f>IFERROR(__xludf.DUMMYFUNCTION("""COMPUTED_VALUE"""),"Chicago, IL")</f>
        <v>Chicago, IL</v>
      </c>
      <c r="H751" s="4" t="str">
        <f>IFERROR(__xludf.DUMMYFUNCTION("""COMPUTED_VALUE"""),"https://www.linkedin.com/posts/matt-kelley-aa6194_associate-director-performance-analytics-activity-7231358443721244675-76kO?utm_source=share&amp;utm_medium=member_desktop")</f>
        <v>https://www.linkedin.com/posts/matt-kelley-aa6194_associate-director-performance-analytics-activity-7231358443721244675-76kO?utm_source=share&amp;utm_medium=member_desktop</v>
      </c>
    </row>
    <row r="752">
      <c r="A752" s="2">
        <f>IFERROR(__xludf.DUMMYFUNCTION("""COMPUTED_VALUE"""),45523.0)</f>
        <v>45523</v>
      </c>
      <c r="B752" s="1" t="str">
        <f>IFERROR(__xludf.DUMMYFUNCTION("""COMPUTED_VALUE"""),"Association Analytics")</f>
        <v>Association Analytics</v>
      </c>
      <c r="C752" s="1" t="str">
        <f>IFERROR(__xludf.DUMMYFUNCTION("""COMPUTED_VALUE"""),"Analytics Engineer")</f>
        <v>Analytics Engineer</v>
      </c>
      <c r="D752" s="1" t="str">
        <f>IFERROR(__xludf.DUMMYFUNCTION("""COMPUTED_VALUE"""),"Hybrid")</f>
        <v>Hybrid</v>
      </c>
      <c r="E752" s="1" t="str">
        <f>IFERROR(__xludf.DUMMYFUNCTION("""COMPUTED_VALUE"""),"N/A")</f>
        <v>N/A</v>
      </c>
      <c r="F752" s="1" t="str">
        <f>IFERROR(__xludf.DUMMYFUNCTION("""COMPUTED_VALUE"""),"0 - 2")</f>
        <v>0 - 2</v>
      </c>
      <c r="G752" s="1" t="str">
        <f>IFERROR(__xludf.DUMMYFUNCTION("""COMPUTED_VALUE"""),"Arlington, VA")</f>
        <v>Arlington, VA</v>
      </c>
      <c r="H752" s="4" t="str">
        <f>IFERROR(__xludf.DUMMYFUNCTION("""COMPUTED_VALUE"""),"https://www.linkedin.com/posts/tamsen-haught-7a33b79_association-analytics-analytics-engineer-activity-7231360639766536192-vVTB?utm_source=share&amp;utm_medium=member_desktop")</f>
        <v>https://www.linkedin.com/posts/tamsen-haught-7a33b79_association-analytics-analytics-engineer-activity-7231360639766536192-vVTB?utm_source=share&amp;utm_medium=member_desktop</v>
      </c>
    </row>
    <row r="753">
      <c r="A753" s="2">
        <f>IFERROR(__xludf.DUMMYFUNCTION("""COMPUTED_VALUE"""),45523.0)</f>
        <v>45523</v>
      </c>
      <c r="B753" s="1" t="str">
        <f>IFERROR(__xludf.DUMMYFUNCTION("""COMPUTED_VALUE"""),"Pinterest")</f>
        <v>Pinterest</v>
      </c>
      <c r="C753" s="1" t="str">
        <f>IFERROR(__xludf.DUMMYFUNCTION("""COMPUTED_VALUE"""),"Staff Data Scientist, Signals")</f>
        <v>Staff Data Scientist, Signals</v>
      </c>
      <c r="D753" s="1" t="str">
        <f>IFERROR(__xludf.DUMMYFUNCTION("""COMPUTED_VALUE"""),"Remote")</f>
        <v>Remote</v>
      </c>
      <c r="E753" s="1" t="str">
        <f>IFERROR(__xludf.DUMMYFUNCTION("""COMPUTED_VALUE"""),"$148k - $304k")</f>
        <v>$148k - $304k</v>
      </c>
      <c r="F753" s="1" t="str">
        <f>IFERROR(__xludf.DUMMYFUNCTION("""COMPUTED_VALUE"""),"10 +")</f>
        <v>10 +</v>
      </c>
      <c r="G753" s="1" t="str">
        <f>IFERROR(__xludf.DUMMYFUNCTION("""COMPUTED_VALUE"""),"USA")</f>
        <v>USA</v>
      </c>
      <c r="H753" s="4" t="str">
        <f>IFERROR(__xludf.DUMMYFUNCTION("""COMPUTED_VALUE"""),"https://www.linkedin.com/posts/tonypaek_our-team-at-pinterest-is-on-the-lookout-for-activity-7231329704102752256-JVKE?utm_source=share&amp;utm_medium=member_desktop")</f>
        <v>https://www.linkedin.com/posts/tonypaek_our-team-at-pinterest-is-on-the-lookout-for-activity-7231329704102752256-JVKE?utm_source=share&amp;utm_medium=member_desktop</v>
      </c>
    </row>
    <row r="754">
      <c r="A754" s="2">
        <f>IFERROR(__xludf.DUMMYFUNCTION("""COMPUTED_VALUE"""),45523.0)</f>
        <v>45523</v>
      </c>
      <c r="B754" s="1" t="str">
        <f>IFERROR(__xludf.DUMMYFUNCTION("""COMPUTED_VALUE"""),"Decker Brands")</f>
        <v>Decker Brands</v>
      </c>
      <c r="C754" s="1" t="str">
        <f>IFERROR(__xludf.DUMMYFUNCTION("""COMPUTED_VALUE"""),"Sr. Analyst - Continuous Improvement")</f>
        <v>Sr. Analyst - Continuous Improvement</v>
      </c>
      <c r="D754" s="1" t="str">
        <f>IFERROR(__xludf.DUMMYFUNCTION("""COMPUTED_VALUE"""),"Remote")</f>
        <v>Remote</v>
      </c>
      <c r="E754" s="1" t="str">
        <f>IFERROR(__xludf.DUMMYFUNCTION("""COMPUTED_VALUE"""),"$102k - $112k")</f>
        <v>$102k - $112k</v>
      </c>
      <c r="F754" s="1" t="str">
        <f>IFERROR(__xludf.DUMMYFUNCTION("""COMPUTED_VALUE"""),"3 - 5")</f>
        <v>3 - 5</v>
      </c>
      <c r="G754" s="1" t="str">
        <f>IFERROR(__xludf.DUMMYFUNCTION("""COMPUTED_VALUE"""),"Certain Locations")</f>
        <v>Certain Locations</v>
      </c>
      <c r="H754" s="4" t="str">
        <f>IFERROR(__xludf.DUMMYFUNCTION("""COMPUTED_VALUE"""),"https://www.linkedin.com/posts/mvinikow_im-excited-to-share-an-opportunity-to-join-activity-7230261249689669632-SvU5?utm_source=share&amp;utm_medium=member_desktop")</f>
        <v>https://www.linkedin.com/posts/mvinikow_im-excited-to-share-an-opportunity-to-join-activity-7230261249689669632-SvU5?utm_source=share&amp;utm_medium=member_desktop</v>
      </c>
    </row>
    <row r="755">
      <c r="A755" s="2">
        <f>IFERROR(__xludf.DUMMYFUNCTION("""COMPUTED_VALUE"""),45523.0)</f>
        <v>45523</v>
      </c>
      <c r="B755" s="1" t="str">
        <f>IFERROR(__xludf.DUMMYFUNCTION("""COMPUTED_VALUE"""),"Walmart")</f>
        <v>Walmart</v>
      </c>
      <c r="C755" s="1" t="str">
        <f>IFERROR(__xludf.DUMMYFUNCTION("""COMPUTED_VALUE"""),"Senior Analyst, Operations")</f>
        <v>Senior Analyst, Operations</v>
      </c>
      <c r="D755" s="1" t="str">
        <f>IFERROR(__xludf.DUMMYFUNCTION("""COMPUTED_VALUE"""),"Hybrid")</f>
        <v>Hybrid</v>
      </c>
      <c r="E755" s="1" t="str">
        <f>IFERROR(__xludf.DUMMYFUNCTION("""COMPUTED_VALUE"""),"$60k - $110k")</f>
        <v>$60k - $110k</v>
      </c>
      <c r="F755" s="1" t="str">
        <f>IFERROR(__xludf.DUMMYFUNCTION("""COMPUTED_VALUE"""),"0 - 2")</f>
        <v>0 - 2</v>
      </c>
      <c r="G755" s="1" t="str">
        <f>IFERROR(__xludf.DUMMYFUNCTION("""COMPUTED_VALUE"""),"Bentonville, AR")</f>
        <v>Bentonville, AR</v>
      </c>
      <c r="H755" s="4" t="str">
        <f>IFERROR(__xludf.DUMMYFUNCTION("""COMPUTED_VALUE"""),"https://www.linkedin.com/posts/raeka-delong-0a1044171_linkedin-activity-7231309075664285698-4NhA?utm_source=share&amp;utm_medium=member_desktop")</f>
        <v>https://www.linkedin.com/posts/raeka-delong-0a1044171_linkedin-activity-7231309075664285698-4NhA?utm_source=share&amp;utm_medium=member_desktop</v>
      </c>
    </row>
    <row r="756">
      <c r="A756" s="2">
        <f>IFERROR(__xludf.DUMMYFUNCTION("""COMPUTED_VALUE"""),45523.0)</f>
        <v>45523</v>
      </c>
      <c r="B756" s="1" t="str">
        <f>IFERROR(__xludf.DUMMYFUNCTION("""COMPUTED_VALUE"""),"Walmart")</f>
        <v>Walmart</v>
      </c>
      <c r="C756" s="1" t="str">
        <f>IFERROR(__xludf.DUMMYFUNCTION("""COMPUTED_VALUE"""),"Manager, Operations, Research")</f>
        <v>Manager, Operations, Research</v>
      </c>
      <c r="D756" s="1" t="str">
        <f>IFERROR(__xludf.DUMMYFUNCTION("""COMPUTED_VALUE"""),"Hybrid")</f>
        <v>Hybrid</v>
      </c>
      <c r="E756" s="1" t="str">
        <f>IFERROR(__xludf.DUMMYFUNCTION("""COMPUTED_VALUE"""),"$70k - $130k")</f>
        <v>$70k - $130k</v>
      </c>
      <c r="F756" s="1" t="str">
        <f>IFERROR(__xludf.DUMMYFUNCTION("""COMPUTED_VALUE"""),"3 - 5")</f>
        <v>3 - 5</v>
      </c>
      <c r="G756" s="1" t="str">
        <f>IFERROR(__xludf.DUMMYFUNCTION("""COMPUTED_VALUE"""),"Bentonville, AR")</f>
        <v>Bentonville, AR</v>
      </c>
      <c r="H756" s="4" t="str">
        <f>IFERROR(__xludf.DUMMYFUNCTION("""COMPUTED_VALUE"""),"https://www.linkedin.com/posts/raeka-delong-0a1044171_linkedin-activity-7231309075664285698-4NhA?utm_source=share&amp;utm_medium=member_desktop")</f>
        <v>https://www.linkedin.com/posts/raeka-delong-0a1044171_linkedin-activity-7231309075664285698-4NhA?utm_source=share&amp;utm_medium=member_desktop</v>
      </c>
    </row>
    <row r="757">
      <c r="A757" s="2">
        <f>IFERROR(__xludf.DUMMYFUNCTION("""COMPUTED_VALUE"""),45523.0)</f>
        <v>45523</v>
      </c>
      <c r="B757" s="1" t="str">
        <f>IFERROR(__xludf.DUMMYFUNCTION("""COMPUTED_VALUE"""),"Movable Ink")</f>
        <v>Movable Ink</v>
      </c>
      <c r="C757" s="1" t="str">
        <f>IFERROR(__xludf.DUMMYFUNCTION("""COMPUTED_VALUE"""),"Senior Strategic Financial Analyst")</f>
        <v>Senior Strategic Financial Analyst</v>
      </c>
      <c r="D757" s="1" t="str">
        <f>IFERROR(__xludf.DUMMYFUNCTION("""COMPUTED_VALUE"""),"Remote")</f>
        <v>Remote</v>
      </c>
      <c r="E757" s="1" t="str">
        <f>IFERROR(__xludf.DUMMYFUNCTION("""COMPUTED_VALUE"""),"$115k - $130k")</f>
        <v>$115k - $130k</v>
      </c>
      <c r="F757" s="1" t="str">
        <f>IFERROR(__xludf.DUMMYFUNCTION("""COMPUTED_VALUE"""),"3 - 5")</f>
        <v>3 - 5</v>
      </c>
      <c r="G757" s="1" t="str">
        <f>IFERROR(__xludf.DUMMYFUNCTION("""COMPUTED_VALUE"""),"USA")</f>
        <v>USA</v>
      </c>
      <c r="H757" s="4" t="str">
        <f>IFERROR(__xludf.DUMMYFUNCTION("""COMPUTED_VALUE"""),"https://www.linkedin.com/posts/bradleycine_senior-strategic-financial-analyst-activity-7231276225971785729-wbrY?utm_source=share&amp;utm_medium=member_desktop")</f>
        <v>https://www.linkedin.com/posts/bradleycine_senior-strategic-financial-analyst-activity-7231276225971785729-wbrY?utm_source=share&amp;utm_medium=member_desktop</v>
      </c>
    </row>
    <row r="758">
      <c r="A758" s="2">
        <f>IFERROR(__xludf.DUMMYFUNCTION("""COMPUTED_VALUE"""),45523.0)</f>
        <v>45523</v>
      </c>
      <c r="B758" s="1" t="str">
        <f>IFERROR(__xludf.DUMMYFUNCTION("""COMPUTED_VALUE"""),"Toyo Tires")</f>
        <v>Toyo Tires</v>
      </c>
      <c r="C758" s="1" t="str">
        <f>IFERROR(__xludf.DUMMYFUNCTION("""COMPUTED_VALUE"""),"Sr. Financial Planning Analyst")</f>
        <v>Sr. Financial Planning Analyst</v>
      </c>
      <c r="D758" s="1" t="str">
        <f>IFERROR(__xludf.DUMMYFUNCTION("""COMPUTED_VALUE"""),"Hybrid")</f>
        <v>Hybrid</v>
      </c>
      <c r="E758" s="1" t="str">
        <f>IFERROR(__xludf.DUMMYFUNCTION("""COMPUTED_VALUE"""),"$94k - $140k")</f>
        <v>$94k - $140k</v>
      </c>
      <c r="F758" s="1" t="str">
        <f>IFERROR(__xludf.DUMMYFUNCTION("""COMPUTED_VALUE"""),"3 - 5")</f>
        <v>3 - 5</v>
      </c>
      <c r="G758" s="1" t="str">
        <f>IFERROR(__xludf.DUMMYFUNCTION("""COMPUTED_VALUE"""),"Costa Mesa, CA")</f>
        <v>Costa Mesa, CA</v>
      </c>
      <c r="H758" s="4" t="str">
        <f>IFERROR(__xludf.DUMMYFUNCTION("""COMPUTED_VALUE"""),"https://www.linkedin.com/posts/valeriekimura_toyotires-toyotirescareers-toyotiresjob-activity-7230264031704444928-vHcB?utm_source=share&amp;utm_medium=member_desktop")</f>
        <v>https://www.linkedin.com/posts/valeriekimura_toyotires-toyotirescareers-toyotiresjob-activity-7230264031704444928-vHcB?utm_source=share&amp;utm_medium=member_desktop</v>
      </c>
    </row>
    <row r="759">
      <c r="A759" s="2">
        <f>IFERROR(__xludf.DUMMYFUNCTION("""COMPUTED_VALUE"""),45523.0)</f>
        <v>45523</v>
      </c>
      <c r="B759" s="1" t="str">
        <f>IFERROR(__xludf.DUMMYFUNCTION("""COMPUTED_VALUE"""),"SiriusXM")</f>
        <v>SiriusXM</v>
      </c>
      <c r="C759" s="1" t="str">
        <f>IFERROR(__xludf.DUMMYFUNCTION("""COMPUTED_VALUE"""),"Manager, Consumer Insights")</f>
        <v>Manager, Consumer Insights</v>
      </c>
      <c r="D759" s="1" t="str">
        <f>IFERROR(__xludf.DUMMYFUNCTION("""COMPUTED_VALUE"""),"Hybrid")</f>
        <v>Hybrid</v>
      </c>
      <c r="E759" s="1" t="str">
        <f>IFERROR(__xludf.DUMMYFUNCTION("""COMPUTED_VALUE"""),"N/A")</f>
        <v>N/A</v>
      </c>
      <c r="F759" s="1" t="str">
        <f>IFERROR(__xludf.DUMMYFUNCTION("""COMPUTED_VALUE"""),"3 - 5")</f>
        <v>3 - 5</v>
      </c>
      <c r="G759" s="1" t="str">
        <f>IFERROR(__xludf.DUMMYFUNCTION("""COMPUTED_VALUE"""),"Atlanta, GA")</f>
        <v>Atlanta, GA</v>
      </c>
      <c r="H759" s="4" t="str">
        <f>IFERROR(__xludf.DUMMYFUNCTION("""COMPUTED_VALUE"""),"https://www.linkedin.com/posts/bonny-matles-540289235_hiring-consumerinsights-marketresearch-activity-7231407828412895232-3sxs?utm_source=share&amp;utm_medium=member_desktop")</f>
        <v>https://www.linkedin.com/posts/bonny-matles-540289235_hiring-consumerinsights-marketresearch-activity-7231407828412895232-3sxs?utm_source=share&amp;utm_medium=member_desktop</v>
      </c>
    </row>
    <row r="760">
      <c r="A760" s="2">
        <f>IFERROR(__xludf.DUMMYFUNCTION("""COMPUTED_VALUE"""),45523.0)</f>
        <v>45523</v>
      </c>
      <c r="B760" s="1" t="str">
        <f>IFERROR(__xludf.DUMMYFUNCTION("""COMPUTED_VALUE"""),"TalentNeuron")</f>
        <v>TalentNeuron</v>
      </c>
      <c r="C760" s="1" t="str">
        <f>IFERROR(__xludf.DUMMYFUNCTION("""COMPUTED_VALUE"""),"Senior People Analytics Consultant")</f>
        <v>Senior People Analytics Consultant</v>
      </c>
      <c r="D760" s="1" t="str">
        <f>IFERROR(__xludf.DUMMYFUNCTION("""COMPUTED_VALUE"""),"Remote")</f>
        <v>Remote</v>
      </c>
      <c r="E760" s="1" t="str">
        <f>IFERROR(__xludf.DUMMYFUNCTION("""COMPUTED_VALUE"""),"N/A")</f>
        <v>N/A</v>
      </c>
      <c r="F760" s="1" t="str">
        <f>IFERROR(__xludf.DUMMYFUNCTION("""COMPUTED_VALUE"""),"3 - 5")</f>
        <v>3 - 5</v>
      </c>
      <c r="G760" s="1" t="str">
        <f>IFERROR(__xludf.DUMMYFUNCTION("""COMPUTED_VALUE"""),"USA")</f>
        <v>USA</v>
      </c>
      <c r="H760" s="4" t="str">
        <f>IFERROR(__xludf.DUMMYFUNCTION("""COMPUTED_VALUE"""),"https://www.linkedin.com/posts/marcwilliamson_talentneuron-senior-people-analytics-consultant-activity-7231378121504006145-GKpO?utm_source=share&amp;utm_medium=member_desktop")</f>
        <v>https://www.linkedin.com/posts/marcwilliamson_talentneuron-senior-people-analytics-consultant-activity-7231378121504006145-GKpO?utm_source=share&amp;utm_medium=member_desktop</v>
      </c>
    </row>
    <row r="761">
      <c r="A761" s="2">
        <f>IFERROR(__xludf.DUMMYFUNCTION("""COMPUTED_VALUE"""),45523.0)</f>
        <v>45523</v>
      </c>
      <c r="B761" s="1" t="str">
        <f>IFERROR(__xludf.DUMMYFUNCTION("""COMPUTED_VALUE"""),"Walmart")</f>
        <v>Walmart</v>
      </c>
      <c r="C761" s="1" t="str">
        <f>IFERROR(__xludf.DUMMYFUNCTION("""COMPUTED_VALUE"""),"Senior Manager, Business Analysis and Insights")</f>
        <v>Senior Manager, Business Analysis and Insights</v>
      </c>
      <c r="D761" s="1" t="str">
        <f>IFERROR(__xludf.DUMMYFUNCTION("""COMPUTED_VALUE"""),"Hybrid")</f>
        <v>Hybrid</v>
      </c>
      <c r="E761" s="1" t="str">
        <f>IFERROR(__xludf.DUMMYFUNCTION("""COMPUTED_VALUE"""),"$80k - $155k")</f>
        <v>$80k - $155k</v>
      </c>
      <c r="F761" s="1" t="str">
        <f>IFERROR(__xludf.DUMMYFUNCTION("""COMPUTED_VALUE"""),"3 - 5")</f>
        <v>3 - 5</v>
      </c>
      <c r="G761" s="1" t="str">
        <f>IFERROR(__xludf.DUMMYFUNCTION("""COMPUTED_VALUE"""),"Bentonville, AR")</f>
        <v>Bentonville, AR</v>
      </c>
      <c r="H761" s="4" t="str">
        <f>IFERROR(__xludf.DUMMYFUNCTION("""COMPUTED_VALUE"""),"https://www.linkedin.com/posts/larissa-rodriguez-73954a142_usa-senior-manager-business-analysis-and-activity-7231300413583454209-LPCX?utm_source=share&amp;utm_medium=member_desktop")</f>
        <v>https://www.linkedin.com/posts/larissa-rodriguez-73954a142_usa-senior-manager-business-analysis-and-activity-7231300413583454209-LPCX?utm_source=share&amp;utm_medium=member_desktop</v>
      </c>
    </row>
    <row r="762">
      <c r="A762" s="2">
        <f>IFERROR(__xludf.DUMMYFUNCTION("""COMPUTED_VALUE"""),45523.0)</f>
        <v>45523</v>
      </c>
      <c r="B762" s="1" t="str">
        <f>IFERROR(__xludf.DUMMYFUNCTION("""COMPUTED_VALUE"""),"CVS Health")</f>
        <v>CVS Health</v>
      </c>
      <c r="C762" s="1" t="str">
        <f>IFERROR(__xludf.DUMMYFUNCTION("""COMPUTED_VALUE"""),"Lead Data Scientist (Google Cloud)")</f>
        <v>Lead Data Scientist (Google Cloud)</v>
      </c>
      <c r="D762" s="1" t="str">
        <f>IFERROR(__xludf.DUMMYFUNCTION("""COMPUTED_VALUE"""),"Hybrid")</f>
        <v>Hybrid</v>
      </c>
      <c r="E762" s="1" t="str">
        <f>IFERROR(__xludf.DUMMYFUNCTION("""COMPUTED_VALUE"""),"$130k - $261k")</f>
        <v>$130k - $261k</v>
      </c>
      <c r="F762" s="1" t="str">
        <f>IFERROR(__xludf.DUMMYFUNCTION("""COMPUTED_VALUE"""),"3 - 5")</f>
        <v>3 - 5</v>
      </c>
      <c r="G762" s="1" t="str">
        <f>IFERROR(__xludf.DUMMYFUNCTION("""COMPUTED_VALUE"""),"Hartford, CT")</f>
        <v>Hartford, CT</v>
      </c>
      <c r="H762" s="4" t="str">
        <f>IFERROR(__xludf.DUMMYFUNCTION("""COMPUTED_VALUE"""),"https://www.linkedin.com/posts/benjamin-russell-8580811a_job-details-activity-7231281064936194050-sVds?utm_source=share&amp;utm_medium=member_desktop")</f>
        <v>https://www.linkedin.com/posts/benjamin-russell-8580811a_job-details-activity-7231281064936194050-sVds?utm_source=share&amp;utm_medium=member_desktop</v>
      </c>
    </row>
    <row r="763">
      <c r="A763" s="2">
        <f>IFERROR(__xludf.DUMMYFUNCTION("""COMPUTED_VALUE"""),45523.0)</f>
        <v>45523</v>
      </c>
      <c r="B763" s="1" t="str">
        <f>IFERROR(__xludf.DUMMYFUNCTION("""COMPUTED_VALUE"""),"Mercury Insurance")</f>
        <v>Mercury Insurance</v>
      </c>
      <c r="C763" s="1" t="str">
        <f>IFERROR(__xludf.DUMMYFUNCTION("""COMPUTED_VALUE"""),"Technical Product Analytics Lead")</f>
        <v>Technical Product Analytics Lead</v>
      </c>
      <c r="D763" s="1" t="str">
        <f>IFERROR(__xludf.DUMMYFUNCTION("""COMPUTED_VALUE"""),"Remote")</f>
        <v>Remote</v>
      </c>
      <c r="E763" s="1" t="str">
        <f>IFERROR(__xludf.DUMMYFUNCTION("""COMPUTED_VALUE"""),"$95k - $220k")</f>
        <v>$95k - $220k</v>
      </c>
      <c r="F763" s="1" t="str">
        <f>IFERROR(__xludf.DUMMYFUNCTION("""COMPUTED_VALUE"""),"3 - 5")</f>
        <v>3 - 5</v>
      </c>
      <c r="G763" s="1" t="str">
        <f>IFERROR(__xludf.DUMMYFUNCTION("""COMPUTED_VALUE"""),"USA")</f>
        <v>USA</v>
      </c>
      <c r="H763" s="4" t="str">
        <f>IFERROR(__xludf.DUMMYFUNCTION("""COMPUTED_VALUE"""),"https://www.linkedin.com/posts/rameil-sarkis-3096a329_exciting-times-at-mercury-insurance-as-activity-7231375617290616834-yPG5?utm_source=share&amp;utm_medium=member_desktop")</f>
        <v>https://www.linkedin.com/posts/rameil-sarkis-3096a329_exciting-times-at-mercury-insurance-as-activity-7231375617290616834-yPG5?utm_source=share&amp;utm_medium=member_desktop</v>
      </c>
    </row>
    <row r="764">
      <c r="A764" s="2">
        <f>IFERROR(__xludf.DUMMYFUNCTION("""COMPUTED_VALUE"""),45523.0)</f>
        <v>45523</v>
      </c>
      <c r="B764" s="1" t="str">
        <f>IFERROR(__xludf.DUMMYFUNCTION("""COMPUTED_VALUE"""),"Disney")</f>
        <v>Disney</v>
      </c>
      <c r="C764" s="1" t="str">
        <f>IFERROR(__xludf.DUMMYFUNCTION("""COMPUTED_VALUE"""),"Senior Analyst, Marketing Analytics")</f>
        <v>Senior Analyst, Marketing Analytics</v>
      </c>
      <c r="D764" s="1" t="str">
        <f>IFERROR(__xludf.DUMMYFUNCTION("""COMPUTED_VALUE"""),"Hybrid")</f>
        <v>Hybrid</v>
      </c>
      <c r="E764" s="1" t="str">
        <f>IFERROR(__xludf.DUMMYFUNCTION("""COMPUTED_VALUE"""),"$103k - $138k")</f>
        <v>$103k - $138k</v>
      </c>
      <c r="F764" s="1" t="str">
        <f>IFERROR(__xludf.DUMMYFUNCTION("""COMPUTED_VALUE"""),"3 - 5")</f>
        <v>3 - 5</v>
      </c>
      <c r="G764" s="1" t="str">
        <f>IFERROR(__xludf.DUMMYFUNCTION("""COMPUTED_VALUE"""),"Burbank, CA")</f>
        <v>Burbank, CA</v>
      </c>
      <c r="H764" s="4" t="str">
        <f>IFERROR(__xludf.DUMMYFUNCTION("""COMPUTED_VALUE"""),"https://www.linkedin.com/posts/brian-barragan_senior-analyst-marketing-analytics-at-disney-activity-7231386791721713664-OPx4?utm_source=share&amp;utm_medium=member_desktop")</f>
        <v>https://www.linkedin.com/posts/brian-barragan_senior-analyst-marketing-analytics-at-disney-activity-7231386791721713664-OPx4?utm_source=share&amp;utm_medium=member_desktop</v>
      </c>
    </row>
    <row r="765">
      <c r="A765" s="2">
        <f>IFERROR(__xludf.DUMMYFUNCTION("""COMPUTED_VALUE"""),45523.0)</f>
        <v>45523</v>
      </c>
      <c r="B765" s="1" t="str">
        <f>IFERROR(__xludf.DUMMYFUNCTION("""COMPUTED_VALUE"""),"Cie")</f>
        <v>Cie</v>
      </c>
      <c r="C765" s="1" t="str">
        <f>IFERROR(__xludf.DUMMYFUNCTION("""COMPUTED_VALUE"""),"Business Analyst")</f>
        <v>Business Analyst</v>
      </c>
      <c r="D765" s="1" t="str">
        <f>IFERROR(__xludf.DUMMYFUNCTION("""COMPUTED_VALUE"""),"Remote")</f>
        <v>Remote</v>
      </c>
      <c r="E765" s="1" t="str">
        <f>IFERROR(__xludf.DUMMYFUNCTION("""COMPUTED_VALUE"""),"$80k - $120k")</f>
        <v>$80k - $120k</v>
      </c>
      <c r="F765" s="1" t="str">
        <f>IFERROR(__xludf.DUMMYFUNCTION("""COMPUTED_VALUE"""),"0 - 2")</f>
        <v>0 - 2</v>
      </c>
      <c r="G765" s="1" t="str">
        <f>IFERROR(__xludf.DUMMYFUNCTION("""COMPUTED_VALUE"""),"USA")</f>
        <v>USA</v>
      </c>
      <c r="H765" s="4" t="str">
        <f>IFERROR(__xludf.DUMMYFUNCTION("""COMPUTED_VALUE"""),"https://www.linkedin.com/posts/camden-iliff_businessanalyst-dataoperations-opportunity-activity-7231451900137652224-f0Tb?utm_source=share&amp;utm_medium=member_desktop")</f>
        <v>https://www.linkedin.com/posts/camden-iliff_businessanalyst-dataoperations-opportunity-activity-7231451900137652224-f0Tb?utm_source=share&amp;utm_medium=member_desktop</v>
      </c>
    </row>
    <row r="766">
      <c r="A766" s="2">
        <f>IFERROR(__xludf.DUMMYFUNCTION("""COMPUTED_VALUE"""),45523.0)</f>
        <v>45523</v>
      </c>
      <c r="B766" s="1" t="str">
        <f>IFERROR(__xludf.DUMMYFUNCTION("""COMPUTED_VALUE"""),"American Fidelity")</f>
        <v>American Fidelity</v>
      </c>
      <c r="C766" s="1" t="str">
        <f>IFERROR(__xludf.DUMMYFUNCTION("""COMPUTED_VALUE"""),"Sr Data Engineer")</f>
        <v>Sr Data Engineer</v>
      </c>
      <c r="D766" s="1" t="str">
        <f>IFERROR(__xludf.DUMMYFUNCTION("""COMPUTED_VALUE"""),"Hybrid")</f>
        <v>Hybrid</v>
      </c>
      <c r="E766" s="1" t="str">
        <f>IFERROR(__xludf.DUMMYFUNCTION("""COMPUTED_VALUE"""),"$89k - $140k")</f>
        <v>$89k - $140k</v>
      </c>
      <c r="F766" s="1" t="str">
        <f>IFERROR(__xludf.DUMMYFUNCTION("""COMPUTED_VALUE"""),"3 - 5")</f>
        <v>3 - 5</v>
      </c>
      <c r="G766" s="1" t="str">
        <f>IFERROR(__xludf.DUMMYFUNCTION("""COMPUTED_VALUE"""),"Oklahoma City, OK")</f>
        <v>Oklahoma City, OK</v>
      </c>
      <c r="H766" s="4" t="str">
        <f>IFERROR(__xludf.DUMMYFUNCTION("""COMPUTED_VALUE"""),"https://www.linkedin.com/posts/nicholas-bray-mba-1a04b81a_were-looking-for-a-senior-data-engineer-activity-7231471426338271232-cST2?utm_source=share&amp;utm_medium=member_desktop")</f>
        <v>https://www.linkedin.com/posts/nicholas-bray-mba-1a04b81a_were-looking-for-a-senior-data-engineer-activity-7231471426338271232-cST2?utm_source=share&amp;utm_medium=member_desktop</v>
      </c>
    </row>
    <row r="767">
      <c r="A767" s="2">
        <f>IFERROR(__xludf.DUMMYFUNCTION("""COMPUTED_VALUE"""),45523.0)</f>
        <v>45523</v>
      </c>
      <c r="B767" s="1" t="str">
        <f>IFERROR(__xludf.DUMMYFUNCTION("""COMPUTED_VALUE"""),"The Cigna Group")</f>
        <v>The Cigna Group</v>
      </c>
      <c r="C767" s="1" t="str">
        <f>IFERROR(__xludf.DUMMYFUNCTION("""COMPUTED_VALUE"""),"Marketing Analytics Advisor, Medicare - Remote - Cigna Healthcare")</f>
        <v>Marketing Analytics Advisor, Medicare - Remote - Cigna Healthcare</v>
      </c>
      <c r="D767" s="1" t="str">
        <f>IFERROR(__xludf.DUMMYFUNCTION("""COMPUTED_VALUE"""),"Remote")</f>
        <v>Remote</v>
      </c>
      <c r="E767" s="1" t="str">
        <f>IFERROR(__xludf.DUMMYFUNCTION("""COMPUTED_VALUE"""),"$95k - $159k")</f>
        <v>$95k - $159k</v>
      </c>
      <c r="F767" s="1" t="str">
        <f>IFERROR(__xludf.DUMMYFUNCTION("""COMPUTED_VALUE"""),"3 - 5")</f>
        <v>3 - 5</v>
      </c>
      <c r="G767" s="1" t="str">
        <f>IFERROR(__xludf.DUMMYFUNCTION("""COMPUTED_VALUE"""),"USA")</f>
        <v>USA</v>
      </c>
      <c r="H767" s="4" t="str">
        <f>IFERROR(__xludf.DUMMYFUNCTION("""COMPUTED_VALUE"""),"https://www.linkedin.com/posts/jim-peshek_marketing-analytics-advisor-medicare-remote-activity-7231435913195630593-1fsg?utm_source=share&amp;utm_medium=member_desktop")</f>
        <v>https://www.linkedin.com/posts/jim-peshek_marketing-analytics-advisor-medicare-remote-activity-7231435913195630593-1fsg?utm_source=share&amp;utm_medium=member_desktop</v>
      </c>
    </row>
    <row r="768">
      <c r="A768" s="2">
        <f>IFERROR(__xludf.DUMMYFUNCTION("""COMPUTED_VALUE"""),45523.0)</f>
        <v>45523</v>
      </c>
      <c r="B768" s="1" t="str">
        <f>IFERROR(__xludf.DUMMYFUNCTION("""COMPUTED_VALUE"""),"BetterComp")</f>
        <v>BetterComp</v>
      </c>
      <c r="C768" s="1" t="str">
        <f>IFERROR(__xludf.DUMMYFUNCTION("""COMPUTED_VALUE"""),"Data Analyst")</f>
        <v>Data Analyst</v>
      </c>
      <c r="D768" s="1" t="str">
        <f>IFERROR(__xludf.DUMMYFUNCTION("""COMPUTED_VALUE"""),"Remote")</f>
        <v>Remote</v>
      </c>
      <c r="E768" s="1" t="str">
        <f>IFERROR(__xludf.DUMMYFUNCTION("""COMPUTED_VALUE"""),"$55k - $85k")</f>
        <v>$55k - $85k</v>
      </c>
      <c r="F768" s="1" t="str">
        <f>IFERROR(__xludf.DUMMYFUNCTION("""COMPUTED_VALUE"""),"3 - 5")</f>
        <v>3 - 5</v>
      </c>
      <c r="G768" s="1" t="str">
        <f>IFERROR(__xludf.DUMMYFUNCTION("""COMPUTED_VALUE"""),"USA")</f>
        <v>USA</v>
      </c>
      <c r="H768" s="4" t="str">
        <f>IFERROR(__xludf.DUMMYFUNCTION("""COMPUTED_VALUE"""),"https://www.linkedin.com/posts/alanmiegel_data-analyst-all-open-positions-activity-7231377455142293504-U3BC?utm_source=share&amp;utm_medium=member_desktop")</f>
        <v>https://www.linkedin.com/posts/alanmiegel_data-analyst-all-open-positions-activity-7231377455142293504-U3BC?utm_source=share&amp;utm_medium=member_desktop</v>
      </c>
    </row>
    <row r="769">
      <c r="A769" s="2">
        <f>IFERROR(__xludf.DUMMYFUNCTION("""COMPUTED_VALUE"""),45523.0)</f>
        <v>45523</v>
      </c>
      <c r="B769" s="1" t="str">
        <f>IFERROR(__xludf.DUMMYFUNCTION("""COMPUTED_VALUE"""),"MedStar Health")</f>
        <v>MedStar Health</v>
      </c>
      <c r="C769" s="1" t="str">
        <f>IFERROR(__xludf.DUMMYFUNCTION("""COMPUTED_VALUE"""),"IS Business Intelligence Data Architect")</f>
        <v>IS Business Intelligence Data Architect</v>
      </c>
      <c r="D769" s="1" t="str">
        <f>IFERROR(__xludf.DUMMYFUNCTION("""COMPUTED_VALUE"""),"Remote")</f>
        <v>Remote</v>
      </c>
      <c r="E769" s="1" t="str">
        <f>IFERROR(__xludf.DUMMYFUNCTION("""COMPUTED_VALUE"""),"$111k - $201k")</f>
        <v>$111k - $201k</v>
      </c>
      <c r="F769" s="1" t="str">
        <f>IFERROR(__xludf.DUMMYFUNCTION("""COMPUTED_VALUE"""),"3 - 5")</f>
        <v>3 - 5</v>
      </c>
      <c r="G769" s="1" t="str">
        <f>IFERROR(__xludf.DUMMYFUNCTION("""COMPUTED_VALUE"""),"USA")</f>
        <v>USA</v>
      </c>
      <c r="H769" s="4" t="str">
        <f>IFERROR(__xludf.DUMMYFUNCTION("""COMPUTED_VALUE"""),"https://www.linkedin.com/posts/jimporterarvada_is-business-intelligence-data-architect-activity-7231357932477562882-XUR5?utm_source=share&amp;utm_medium=member_desktop")</f>
        <v>https://www.linkedin.com/posts/jimporterarvada_is-business-intelligence-data-architect-activity-7231357932477562882-XUR5?utm_source=share&amp;utm_medium=member_desktop</v>
      </c>
    </row>
    <row r="770">
      <c r="A770" s="2">
        <f>IFERROR(__xludf.DUMMYFUNCTION("""COMPUTED_VALUE"""),45523.0)</f>
        <v>45523</v>
      </c>
      <c r="B770" s="1" t="str">
        <f>IFERROR(__xludf.DUMMYFUNCTION("""COMPUTED_VALUE"""),"Antech Diagnostics")</f>
        <v>Antech Diagnostics</v>
      </c>
      <c r="C770" s="1" t="str">
        <f>IFERROR(__xludf.DUMMYFUNCTION("""COMPUTED_VALUE"""),"HR Data Analyst")</f>
        <v>HR Data Analyst</v>
      </c>
      <c r="D770" s="1" t="str">
        <f>IFERROR(__xludf.DUMMYFUNCTION("""COMPUTED_VALUE"""),"Hybrid")</f>
        <v>Hybrid</v>
      </c>
      <c r="E770" s="1" t="str">
        <f>IFERROR(__xludf.DUMMYFUNCTION("""COMPUTED_VALUE"""),"$85k - $110k")</f>
        <v>$85k - $110k</v>
      </c>
      <c r="F770" s="1" t="str">
        <f>IFERROR(__xludf.DUMMYFUNCTION("""COMPUTED_VALUE"""),"3 - 5")</f>
        <v>3 - 5</v>
      </c>
      <c r="G770" s="1" t="str">
        <f>IFERROR(__xludf.DUMMYFUNCTION("""COMPUTED_VALUE"""),"Certain Locations")</f>
        <v>Certain Locations</v>
      </c>
      <c r="H770" s="4" t="str">
        <f>IFERROR(__xludf.DUMMYFUNCTION("""COMPUTED_VALUE"""),"https://www.linkedin.com/posts/tracey-dacosta_hr-data-analyst-in-fountain-valley-california-activity-7231392041723707393-GP67?utm_source=share&amp;utm_medium=member_desktop")</f>
        <v>https://www.linkedin.com/posts/tracey-dacosta_hr-data-analyst-in-fountain-valley-california-activity-7231392041723707393-GP67?utm_source=share&amp;utm_medium=member_desktop</v>
      </c>
    </row>
    <row r="771">
      <c r="A771" s="2">
        <f>IFERROR(__xludf.DUMMYFUNCTION("""COMPUTED_VALUE"""),45523.0)</f>
        <v>45523</v>
      </c>
      <c r="B771" s="1" t="str">
        <f>IFERROR(__xludf.DUMMYFUNCTION("""COMPUTED_VALUE"""),"Pinterest")</f>
        <v>Pinterest</v>
      </c>
      <c r="C771" s="1" t="str">
        <f>IFERROR(__xludf.DUMMYFUNCTION("""COMPUTED_VALUE"""),"Financial Analyst II")</f>
        <v>Financial Analyst II</v>
      </c>
      <c r="D771" s="1" t="str">
        <f>IFERROR(__xludf.DUMMYFUNCTION("""COMPUTED_VALUE"""),"Remote")</f>
        <v>Remote</v>
      </c>
      <c r="E771" s="1" t="str">
        <f>IFERROR(__xludf.DUMMYFUNCTION("""COMPUTED_VALUE"""),"$79k - $163k")</f>
        <v>$79k - $163k</v>
      </c>
      <c r="F771" s="1" t="str">
        <f>IFERROR(__xludf.DUMMYFUNCTION("""COMPUTED_VALUE"""),"3 - 5")</f>
        <v>3 - 5</v>
      </c>
      <c r="G771" s="1" t="str">
        <f>IFERROR(__xludf.DUMMYFUNCTION("""COMPUTED_VALUE"""),"USA")</f>
        <v>USA</v>
      </c>
      <c r="H771" s="4" t="str">
        <f>IFERROR(__xludf.DUMMYFUNCTION("""COMPUTED_VALUE"""),"https://www.linkedin.com/posts/activity-7231380227199803393-wTm8?utm_source=share&amp;utm_medium=member_desktop")</f>
        <v>https://www.linkedin.com/posts/activity-7231380227199803393-wTm8?utm_source=share&amp;utm_medium=member_desktop</v>
      </c>
    </row>
    <row r="772">
      <c r="A772" s="2">
        <f>IFERROR(__xludf.DUMMYFUNCTION("""COMPUTED_VALUE"""),45523.0)</f>
        <v>45523</v>
      </c>
      <c r="B772" s="1" t="str">
        <f>IFERROR(__xludf.DUMMYFUNCTION("""COMPUTED_VALUE"""),"Alcon")</f>
        <v>Alcon</v>
      </c>
      <c r="C772" s="1" t="str">
        <f>IFERROR(__xludf.DUMMYFUNCTION("""COMPUTED_VALUE"""),"Senior Business Planning and Analysis Manager")</f>
        <v>Senior Business Planning and Analysis Manager</v>
      </c>
      <c r="D772" s="1" t="str">
        <f>IFERROR(__xludf.DUMMYFUNCTION("""COMPUTED_VALUE"""),"On-Site")</f>
        <v>On-Site</v>
      </c>
      <c r="E772" s="1" t="str">
        <f>IFERROR(__xludf.DUMMYFUNCTION("""COMPUTED_VALUE"""),"N/A")</f>
        <v>N/A</v>
      </c>
      <c r="F772" s="1" t="str">
        <f>IFERROR(__xludf.DUMMYFUNCTION("""COMPUTED_VALUE"""),"6 - 9")</f>
        <v>6 - 9</v>
      </c>
      <c r="G772" s="1" t="str">
        <f>IFERROR(__xludf.DUMMYFUNCTION("""COMPUTED_VALUE"""),"Johns Creek, GA")</f>
        <v>Johns Creek, GA</v>
      </c>
      <c r="H772" s="4" t="str">
        <f>IFERROR(__xludf.DUMMYFUNCTION("""COMPUTED_VALUE"""),"https://www.linkedin.com/posts/activity-7231387126695608320-T3_p?utm_source=share&amp;utm_medium=member_desktop")</f>
        <v>https://www.linkedin.com/posts/activity-7231387126695608320-T3_p?utm_source=share&amp;utm_medium=member_desktop</v>
      </c>
    </row>
    <row r="773">
      <c r="A773" s="2">
        <f>IFERROR(__xludf.DUMMYFUNCTION("""COMPUTED_VALUE"""),45523.0)</f>
        <v>45523</v>
      </c>
      <c r="B773" s="1" t="str">
        <f>IFERROR(__xludf.DUMMYFUNCTION("""COMPUTED_VALUE"""),"Enova International")</f>
        <v>Enova International</v>
      </c>
      <c r="C773" s="1" t="str">
        <f>IFERROR(__xludf.DUMMYFUNCTION("""COMPUTED_VALUE"""),"Data Scientist")</f>
        <v>Data Scientist</v>
      </c>
      <c r="D773" s="1" t="str">
        <f>IFERROR(__xludf.DUMMYFUNCTION("""COMPUTED_VALUE"""),"Hybrid")</f>
        <v>Hybrid</v>
      </c>
      <c r="E773" s="1" t="str">
        <f>IFERROR(__xludf.DUMMYFUNCTION("""COMPUTED_VALUE"""),"N/A")</f>
        <v>N/A</v>
      </c>
      <c r="F773" s="1" t="str">
        <f>IFERROR(__xludf.DUMMYFUNCTION("""COMPUTED_VALUE"""),"3 - 5")</f>
        <v>3 - 5</v>
      </c>
      <c r="G773" s="1" t="str">
        <f>IFERROR(__xludf.DUMMYFUNCTION("""COMPUTED_VALUE"""),"Chicago, IL")</f>
        <v>Chicago, IL</v>
      </c>
      <c r="H773" s="4" t="str">
        <f>IFERROR(__xludf.DUMMYFUNCTION("""COMPUTED_VALUE"""),"https://www.linkedin.com/posts/sijia-du98_data-scientist-hybrid-activity-7231397994879729664-yT7d?utm_source=share&amp;utm_medium=member_desktop")</f>
        <v>https://www.linkedin.com/posts/sijia-du98_data-scientist-hybrid-activity-7231397994879729664-yT7d?utm_source=share&amp;utm_medium=member_desktop</v>
      </c>
    </row>
    <row r="774">
      <c r="A774" s="2">
        <f>IFERROR(__xludf.DUMMYFUNCTION("""COMPUTED_VALUE"""),45523.0)</f>
        <v>45523</v>
      </c>
      <c r="B774" s="1" t="str">
        <f>IFERROR(__xludf.DUMMYFUNCTION("""COMPUTED_VALUE"""),"Commerce Bank")</f>
        <v>Commerce Bank</v>
      </c>
      <c r="C774" s="1" t="str">
        <f>IFERROR(__xludf.DUMMYFUNCTION("""COMPUTED_VALUE"""),"FP&amp;A Analyst")</f>
        <v>FP&amp;A Analyst</v>
      </c>
      <c r="D774" s="1" t="str">
        <f>IFERROR(__xludf.DUMMYFUNCTION("""COMPUTED_VALUE"""),"Hybrid")</f>
        <v>Hybrid</v>
      </c>
      <c r="E774" s="1" t="str">
        <f>IFERROR(__xludf.DUMMYFUNCTION("""COMPUTED_VALUE"""),"$70k - $82k")</f>
        <v>$70k - $82k</v>
      </c>
      <c r="F774" s="1" t="str">
        <f>IFERROR(__xludf.DUMMYFUNCTION("""COMPUTED_VALUE"""),"3 - 5")</f>
        <v>3 - 5</v>
      </c>
      <c r="G774" s="1" t="str">
        <f>IFERROR(__xludf.DUMMYFUNCTION("""COMPUTED_VALUE"""),"Clayton, MO")</f>
        <v>Clayton, MO</v>
      </c>
      <c r="H774" s="4" t="str">
        <f>IFERROR(__xludf.DUMMYFUNCTION("""COMPUTED_VALUE"""),"https://www.linkedin.com/posts/bryanwelge_hiring-activity-7231433542423994368-RsH6?utm_source=share&amp;utm_medium=member_desktop")</f>
        <v>https://www.linkedin.com/posts/bryanwelge_hiring-activity-7231433542423994368-RsH6?utm_source=share&amp;utm_medium=member_desktop</v>
      </c>
    </row>
    <row r="775">
      <c r="A775" s="2">
        <f>IFERROR(__xludf.DUMMYFUNCTION("""COMPUTED_VALUE"""),45523.0)</f>
        <v>45523</v>
      </c>
      <c r="B775" s="1" t="str">
        <f>IFERROR(__xludf.DUMMYFUNCTION("""COMPUTED_VALUE"""),"BizzyCar")</f>
        <v>BizzyCar</v>
      </c>
      <c r="C775" s="1" t="str">
        <f>IFERROR(__xludf.DUMMYFUNCTION("""COMPUTED_VALUE"""),"Rev Ops Analyst (Customer Success) - Boston")</f>
        <v>Rev Ops Analyst (Customer Success) - Boston</v>
      </c>
      <c r="D775" s="1" t="str">
        <f>IFERROR(__xludf.DUMMYFUNCTION("""COMPUTED_VALUE"""),"Hybrid")</f>
        <v>Hybrid</v>
      </c>
      <c r="E775" s="1" t="str">
        <f>IFERROR(__xludf.DUMMYFUNCTION("""COMPUTED_VALUE"""),"N/A")</f>
        <v>N/A</v>
      </c>
      <c r="F775" s="1" t="str">
        <f>IFERROR(__xludf.DUMMYFUNCTION("""COMPUTED_VALUE"""),"0 - 2")</f>
        <v>0 - 2</v>
      </c>
      <c r="G775" s="1" t="str">
        <f>IFERROR(__xludf.DUMMYFUNCTION("""COMPUTED_VALUE"""),"Boston, MA")</f>
        <v>Boston, MA</v>
      </c>
      <c r="H775" s="4" t="str">
        <f>IFERROR(__xludf.DUMMYFUNCTION("""COMPUTED_VALUE"""),"https://www.linkedin.com/posts/seanpoconnor98_looking-for-a-new-rev-ops-analyst-to-join-ugcPost-7231293370021605376-g51y?utm_source=share&amp;utm_medium=member_desktop")</f>
        <v>https://www.linkedin.com/posts/seanpoconnor98_looking-for-a-new-rev-ops-analyst-to-join-ugcPost-7231293370021605376-g51y?utm_source=share&amp;utm_medium=member_desktop</v>
      </c>
    </row>
    <row r="776">
      <c r="A776" s="2">
        <f>IFERROR(__xludf.DUMMYFUNCTION("""COMPUTED_VALUE"""),45523.0)</f>
        <v>45523</v>
      </c>
      <c r="B776" s="1" t="str">
        <f>IFERROR(__xludf.DUMMYFUNCTION("""COMPUTED_VALUE"""),"Grand Circle Corporation")</f>
        <v>Grand Circle Corporation</v>
      </c>
      <c r="C776" s="1" t="str">
        <f>IFERROR(__xludf.DUMMYFUNCTION("""COMPUTED_VALUE"""),"Senior Data Analyst")</f>
        <v>Senior Data Analyst</v>
      </c>
      <c r="D776" s="1" t="str">
        <f>IFERROR(__xludf.DUMMYFUNCTION("""COMPUTED_VALUE"""),"Hybrid")</f>
        <v>Hybrid</v>
      </c>
      <c r="E776" s="1" t="str">
        <f>IFERROR(__xludf.DUMMYFUNCTION("""COMPUTED_VALUE"""),"N/A")</f>
        <v>N/A</v>
      </c>
      <c r="F776" s="1" t="str">
        <f>IFERROR(__xludf.DUMMYFUNCTION("""COMPUTED_VALUE"""),"3 - 5")</f>
        <v>3 - 5</v>
      </c>
      <c r="G776" s="1" t="str">
        <f>IFERROR(__xludf.DUMMYFUNCTION("""COMPUTED_VALUE"""),"Boston, MA")</f>
        <v>Boston, MA</v>
      </c>
      <c r="H776" s="4" t="str">
        <f>IFERROR(__xludf.DUMMYFUNCTION("""COMPUTED_VALUE"""),"https://www.linkedin.com/posts/kyle-kilduff-9519618a_were-hiring-a-senior-data-analyst-to-join-activity-7231429244419993600-UK7n?utm_source=share&amp;utm_medium=member_desktop")</f>
        <v>https://www.linkedin.com/posts/kyle-kilduff-9519618a_were-hiring-a-senior-data-analyst-to-join-activity-7231429244419993600-UK7n?utm_source=share&amp;utm_medium=member_desktop</v>
      </c>
    </row>
    <row r="777">
      <c r="A777" s="2">
        <f>IFERROR(__xludf.DUMMYFUNCTION("""COMPUTED_VALUE"""),45523.0)</f>
        <v>45523</v>
      </c>
      <c r="B777" s="1" t="str">
        <f>IFERROR(__xludf.DUMMYFUNCTION("""COMPUTED_VALUE"""),"Helen of Troy")</f>
        <v>Helen of Troy</v>
      </c>
      <c r="C777" s="1" t="str">
        <f>IFERROR(__xludf.DUMMYFUNCTION("""COMPUTED_VALUE"""),"Senior Financial Analyst, Corporate FP&amp;A")</f>
        <v>Senior Financial Analyst, Corporate FP&amp;A</v>
      </c>
      <c r="D777" s="1" t="str">
        <f>IFERROR(__xludf.DUMMYFUNCTION("""COMPUTED_VALUE"""),"Hybrid")</f>
        <v>Hybrid</v>
      </c>
      <c r="E777" s="1" t="str">
        <f>IFERROR(__xludf.DUMMYFUNCTION("""COMPUTED_VALUE"""),"N/A")</f>
        <v>N/A</v>
      </c>
      <c r="F777" s="1" t="str">
        <f>IFERROR(__xludf.DUMMYFUNCTION("""COMPUTED_VALUE"""),"3 - 5")</f>
        <v>3 - 5</v>
      </c>
      <c r="G777" s="1" t="str">
        <f>IFERROR(__xludf.DUMMYFUNCTION("""COMPUTED_VALUE"""),"El Paso, TX/Dallas, TX")</f>
        <v>El Paso, TX/Dallas, TX</v>
      </c>
      <c r="H777" s="4" t="str">
        <f>IFERROR(__xludf.DUMMYFUNCTION("""COMPUTED_VALUE"""),"https://www.linkedin.com/posts/spencermorse_corporatefinance-financialplanningandanalysis-activity-7229150924504522752-h14Y?utm_source=share&amp;utm_medium=member_ios")</f>
        <v>https://www.linkedin.com/posts/spencermorse_corporatefinance-financialplanningandanalysis-activity-7229150924504522752-h14Y?utm_source=share&amp;utm_medium=member_ios</v>
      </c>
    </row>
    <row r="778">
      <c r="A778" s="2">
        <f>IFERROR(__xludf.DUMMYFUNCTION("""COMPUTED_VALUE"""),45523.0)</f>
        <v>45523</v>
      </c>
      <c r="B778" s="1" t="str">
        <f>IFERROR(__xludf.DUMMYFUNCTION("""COMPUTED_VALUE"""),"Corpay")</f>
        <v>Corpay</v>
      </c>
      <c r="C778" s="1" t="str">
        <f>IFERROR(__xludf.DUMMYFUNCTION("""COMPUTED_VALUE"""),"Marketing Research Analyst")</f>
        <v>Marketing Research Analyst</v>
      </c>
      <c r="D778" s="1" t="str">
        <f>IFERROR(__xludf.DUMMYFUNCTION("""COMPUTED_VALUE"""),"Hybrid")</f>
        <v>Hybrid</v>
      </c>
      <c r="E778" s="1" t="str">
        <f>IFERROR(__xludf.DUMMYFUNCTION("""COMPUTED_VALUE"""),"N/A")</f>
        <v>N/A</v>
      </c>
      <c r="F778" s="1" t="str">
        <f>IFERROR(__xludf.DUMMYFUNCTION("""COMPUTED_VALUE"""),"3 - 5")</f>
        <v>3 - 5</v>
      </c>
      <c r="G778" s="1" t="str">
        <f>IFERROR(__xludf.DUMMYFUNCTION("""COMPUTED_VALUE"""),"Atlanta, GA")</f>
        <v>Atlanta, GA</v>
      </c>
      <c r="H778" s="4" t="str">
        <f>IFERROR(__xludf.DUMMYFUNCTION("""COMPUTED_VALUE"""),"https://www.linkedin.com/posts/binduchellappan_researchanalyst-hiring-corpay-activity-7231378778520743936-3oyz?utm_source=share&amp;utm_medium=member_ios")</f>
        <v>https://www.linkedin.com/posts/binduchellappan_researchanalyst-hiring-corpay-activity-7231378778520743936-3oyz?utm_source=share&amp;utm_medium=member_ios</v>
      </c>
    </row>
    <row r="779">
      <c r="A779" s="2">
        <f>IFERROR(__xludf.DUMMYFUNCTION("""COMPUTED_VALUE"""),45523.0)</f>
        <v>45523</v>
      </c>
      <c r="B779" s="1" t="str">
        <f>IFERROR(__xludf.DUMMYFUNCTION("""COMPUTED_VALUE"""),"InflowCX")</f>
        <v>InflowCX</v>
      </c>
      <c r="C779" s="1" t="str">
        <f>IFERROR(__xludf.DUMMYFUNCTION("""COMPUTED_VALUE"""),"Sales Operations Analyst")</f>
        <v>Sales Operations Analyst</v>
      </c>
      <c r="D779" s="1" t="str">
        <f>IFERROR(__xludf.DUMMYFUNCTION("""COMPUTED_VALUE"""),"Remote")</f>
        <v>Remote</v>
      </c>
      <c r="E779" s="1" t="str">
        <f>IFERROR(__xludf.DUMMYFUNCTION("""COMPUTED_VALUE"""),"N/A")</f>
        <v>N/A</v>
      </c>
      <c r="F779" s="1" t="str">
        <f>IFERROR(__xludf.DUMMYFUNCTION("""COMPUTED_VALUE"""),"0 - 2")</f>
        <v>0 - 2</v>
      </c>
      <c r="G779" s="1" t="str">
        <f>IFERROR(__xludf.DUMMYFUNCTION("""COMPUTED_VALUE"""),"USA")</f>
        <v>USA</v>
      </c>
      <c r="H779" s="4" t="str">
        <f>IFERROR(__xludf.DUMMYFUNCTION("""COMPUTED_VALUE"""),"https://www.linkedin.com/posts/john-watkinson-742375a_hiring-data-analytics-activity-7231327001075179520-5fbV?utm_source=share&amp;utm_medium=member_ios")</f>
        <v>https://www.linkedin.com/posts/john-watkinson-742375a_hiring-data-analytics-activity-7231327001075179520-5fbV?utm_source=share&amp;utm_medium=member_ios</v>
      </c>
    </row>
    <row r="780">
      <c r="A780" s="2">
        <f>IFERROR(__xludf.DUMMYFUNCTION("""COMPUTED_VALUE"""),45523.0)</f>
        <v>45523</v>
      </c>
      <c r="B780" s="1" t="str">
        <f>IFERROR(__xludf.DUMMYFUNCTION("""COMPUTED_VALUE"""),"Mastercard")</f>
        <v>Mastercard</v>
      </c>
      <c r="C780" s="1" t="str">
        <f>IFERROR(__xludf.DUMMYFUNCTION("""COMPUTED_VALUE"""),"Senior Data Scientist")</f>
        <v>Senior Data Scientist</v>
      </c>
      <c r="D780" s="1" t="str">
        <f>IFERROR(__xludf.DUMMYFUNCTION("""COMPUTED_VALUE"""),"Hybrid")</f>
        <v>Hybrid</v>
      </c>
      <c r="E780" s="1" t="str">
        <f>IFERROR(__xludf.DUMMYFUNCTION("""COMPUTED_VALUE"""),"$115k-$184k")</f>
        <v>$115k-$184k</v>
      </c>
      <c r="F780" s="1" t="str">
        <f>IFERROR(__xludf.DUMMYFUNCTION("""COMPUTED_VALUE"""),"6 - 9")</f>
        <v>6 - 9</v>
      </c>
      <c r="G780" s="1" t="str">
        <f>IFERROR(__xludf.DUMMYFUNCTION("""COMPUTED_VALUE"""),"O'Fallon, MO")</f>
        <v>O'Fallon, MO</v>
      </c>
      <c r="H780" s="4" t="str">
        <f>IFERROR(__xludf.DUMMYFUNCTION("""COMPUTED_VALUE"""),"https://www.linkedin.com/posts/joni-bartlett-0245a5_senior-data-scientist-in-ofallon-mo-activity-7231351482053185537-Y8sc/?utm_source=share&amp;utm_medium=member_desktop")</f>
        <v>https://www.linkedin.com/posts/joni-bartlett-0245a5_senior-data-scientist-in-ofallon-mo-activity-7231351482053185537-Y8sc/?utm_source=share&amp;utm_medium=member_desktop</v>
      </c>
    </row>
    <row r="781">
      <c r="A781" s="2">
        <f>IFERROR(__xludf.DUMMYFUNCTION("""COMPUTED_VALUE"""),45523.0)</f>
        <v>45523</v>
      </c>
      <c r="B781" s="1" t="str">
        <f>IFERROR(__xludf.DUMMYFUNCTION("""COMPUTED_VALUE"""),"EXL")</f>
        <v>EXL</v>
      </c>
      <c r="C781" s="1" t="str">
        <f>IFERROR(__xludf.DUMMYFUNCTION("""COMPUTED_VALUE"""),"Senior SAS ETL Engineer")</f>
        <v>Senior SAS ETL Engineer</v>
      </c>
      <c r="D781" s="1" t="str">
        <f>IFERROR(__xludf.DUMMYFUNCTION("""COMPUTED_VALUE"""),"Hybrid")</f>
        <v>Hybrid</v>
      </c>
      <c r="E781" s="1" t="str">
        <f>IFERROR(__xludf.DUMMYFUNCTION("""COMPUTED_VALUE"""),"N/A")</f>
        <v>N/A</v>
      </c>
      <c r="F781" s="1" t="str">
        <f>IFERROR(__xludf.DUMMYFUNCTION("""COMPUTED_VALUE"""),"6 - 9")</f>
        <v>6 - 9</v>
      </c>
      <c r="G781" s="1" t="str">
        <f>IFERROR(__xludf.DUMMYFUNCTION("""COMPUTED_VALUE"""),"Hartford, CT")</f>
        <v>Hartford, CT</v>
      </c>
      <c r="H781" s="4" t="str">
        <f>IFERROR(__xludf.DUMMYFUNCTION("""COMPUTED_VALUE"""),"https://www.linkedin.com/posts/manish-sharma-16a936b_hiring-sas-etl-activity-7231358457927397376-4oPo?utm_source=share&amp;utm_medium=member_desktop")</f>
        <v>https://www.linkedin.com/posts/manish-sharma-16a936b_hiring-sas-etl-activity-7231358457927397376-4oPo?utm_source=share&amp;utm_medium=member_desktop</v>
      </c>
    </row>
    <row r="782">
      <c r="A782" s="2">
        <f>IFERROR(__xludf.DUMMYFUNCTION("""COMPUTED_VALUE"""),45523.0)</f>
        <v>45523</v>
      </c>
      <c r="B782" s="1" t="str">
        <f>IFERROR(__xludf.DUMMYFUNCTION("""COMPUTED_VALUE"""),"Axonius")</f>
        <v>Axonius</v>
      </c>
      <c r="C782" s="1" t="str">
        <f>IFERROR(__xludf.DUMMYFUNCTION("""COMPUTED_VALUE"""),"FP&amp;A Sr. Analyst, GTM")</f>
        <v>FP&amp;A Sr. Analyst, GTM</v>
      </c>
      <c r="D782" s="1" t="str">
        <f>IFERROR(__xludf.DUMMYFUNCTION("""COMPUTED_VALUE"""),"Remote")</f>
        <v>Remote</v>
      </c>
      <c r="E782" s="1" t="str">
        <f>IFERROR(__xludf.DUMMYFUNCTION("""COMPUTED_VALUE"""),"N/A")</f>
        <v>N/A</v>
      </c>
      <c r="F782" s="1" t="str">
        <f>IFERROR(__xludf.DUMMYFUNCTION("""COMPUTED_VALUE"""),"3 - 5")</f>
        <v>3 - 5</v>
      </c>
      <c r="G782" s="1" t="str">
        <f>IFERROR(__xludf.DUMMYFUNCTION("""COMPUTED_VALUE"""),"USA")</f>
        <v>USA</v>
      </c>
      <c r="H782" s="4" t="str">
        <f>IFERROR(__xludf.DUMMYFUNCTION("""COMPUTED_VALUE"""),"https://www.linkedin.com/posts/pahoran-da-silva-b9766659_were-expanding-our-fpa-team-and-seeking-activity-7231305108179816450-N7EZ?utm_source=share&amp;utm_medium=member_desktop")</f>
        <v>https://www.linkedin.com/posts/pahoran-da-silva-b9766659_were-expanding-our-fpa-team-and-seeking-activity-7231305108179816450-N7EZ?utm_source=share&amp;utm_medium=member_desktop</v>
      </c>
    </row>
    <row r="783">
      <c r="A783" s="2">
        <f>IFERROR(__xludf.DUMMYFUNCTION("""COMPUTED_VALUE"""),45523.0)</f>
        <v>45523</v>
      </c>
      <c r="B783" s="1" t="str">
        <f>IFERROR(__xludf.DUMMYFUNCTION("""COMPUTED_VALUE"""),"itel")</f>
        <v>itel</v>
      </c>
      <c r="C783" s="1" t="str">
        <f>IFERROR(__xludf.DUMMYFUNCTION("""COMPUTED_VALUE"""),"Data Engineer")</f>
        <v>Data Engineer</v>
      </c>
      <c r="D783" s="1" t="str">
        <f>IFERROR(__xludf.DUMMYFUNCTION("""COMPUTED_VALUE"""),"Remote")</f>
        <v>Remote</v>
      </c>
      <c r="E783" s="1" t="str">
        <f>IFERROR(__xludf.DUMMYFUNCTION("""COMPUTED_VALUE"""),"N/A")</f>
        <v>N/A</v>
      </c>
      <c r="F783" s="1" t="str">
        <f>IFERROR(__xludf.DUMMYFUNCTION("""COMPUTED_VALUE"""),"3 - 5")</f>
        <v>3 - 5</v>
      </c>
      <c r="G783" s="1" t="str">
        <f>IFERROR(__xludf.DUMMYFUNCTION("""COMPUTED_VALUE"""),"USA")</f>
        <v>USA</v>
      </c>
      <c r="H783" s="4" t="str">
        <f>IFERROR(__xludf.DUMMYFUNCTION("""COMPUTED_VALUE"""),"https://www.linkedin.com/posts/benrcook_note-this-role-requires-a-us-citizenship-activity-7231357516469669888-TYY6?utm_source=share&amp;utm_medium=member_desktop")</f>
        <v>https://www.linkedin.com/posts/benrcook_note-this-role-requires-a-us-citizenship-activity-7231357516469669888-TYY6?utm_source=share&amp;utm_medium=member_desktop</v>
      </c>
    </row>
    <row r="784">
      <c r="A784" s="2">
        <f>IFERROR(__xludf.DUMMYFUNCTION("""COMPUTED_VALUE"""),45523.0)</f>
        <v>45523</v>
      </c>
      <c r="B784" s="1" t="str">
        <f>IFERROR(__xludf.DUMMYFUNCTION("""COMPUTED_VALUE"""),"Gillespie Group")</f>
        <v>Gillespie Group</v>
      </c>
      <c r="C784" s="1" t="str">
        <f>IFERROR(__xludf.DUMMYFUNCTION("""COMPUTED_VALUE"""),"Senior Financial Analyst")</f>
        <v>Senior Financial Analyst</v>
      </c>
      <c r="D784" s="1" t="str">
        <f>IFERROR(__xludf.DUMMYFUNCTION("""COMPUTED_VALUE"""),"On-Site")</f>
        <v>On-Site</v>
      </c>
      <c r="E784" s="1" t="str">
        <f>IFERROR(__xludf.DUMMYFUNCTION("""COMPUTED_VALUE"""),"N/A")</f>
        <v>N/A</v>
      </c>
      <c r="F784" s="1" t="str">
        <f>IFERROR(__xludf.DUMMYFUNCTION("""COMPUTED_VALUE"""),"3 - 5")</f>
        <v>3 - 5</v>
      </c>
      <c r="G784" s="1" t="str">
        <f>IFERROR(__xludf.DUMMYFUNCTION("""COMPUTED_VALUE"""),"Lansing, MI")</f>
        <v>Lansing, MI</v>
      </c>
      <c r="H784" s="4" t="str">
        <f>IFERROR(__xludf.DUMMYFUNCTION("""COMPUTED_VALUE"""),"https://www.linkedin.com/posts/activity-7231337283910606848-ZVN4/?utm_source=share&amp;utm_medium=member_desktop")</f>
        <v>https://www.linkedin.com/posts/activity-7231337283910606848-ZVN4/?utm_source=share&amp;utm_medium=member_desktop</v>
      </c>
    </row>
    <row r="785">
      <c r="A785" s="2">
        <f>IFERROR(__xludf.DUMMYFUNCTION("""COMPUTED_VALUE"""),45523.0)</f>
        <v>45523</v>
      </c>
      <c r="B785" s="1" t="str">
        <f>IFERROR(__xludf.DUMMYFUNCTION("""COMPUTED_VALUE"""),"Stryker Sage")</f>
        <v>Stryker Sage</v>
      </c>
      <c r="C785" s="1" t="str">
        <f>IFERROR(__xludf.DUMMYFUNCTION("""COMPUTED_VALUE"""),"Lead Analyst, Health Economics &amp; Value")</f>
        <v>Lead Analyst, Health Economics &amp; Value</v>
      </c>
      <c r="D785" s="1" t="str">
        <f>IFERROR(__xludf.DUMMYFUNCTION("""COMPUTED_VALUE"""),"Remote")</f>
        <v>Remote</v>
      </c>
      <c r="E785" s="1" t="str">
        <f>IFERROR(__xludf.DUMMYFUNCTION("""COMPUTED_VALUE"""),"$85k - $182k")</f>
        <v>$85k - $182k</v>
      </c>
      <c r="F785" s="1" t="str">
        <f>IFERROR(__xludf.DUMMYFUNCTION("""COMPUTED_VALUE"""),"3 - 5")</f>
        <v>3 - 5</v>
      </c>
      <c r="G785" s="1" t="str">
        <f>IFERROR(__xludf.DUMMYFUNCTION("""COMPUTED_VALUE"""),"Certain Locations")</f>
        <v>Certain Locations</v>
      </c>
      <c r="H785" s="4" t="str">
        <f>IFERROR(__xludf.DUMMYFUNCTION("""COMPUTED_VALUE"""),"https://www.linkedin.com/posts/julie-j-schullian-cphq-96770869_lead-analyst-health-economics-value-remote-activity-7231343324601696258-FEkG?utm_source=share&amp;utm_medium=member_desktop")</f>
        <v>https://www.linkedin.com/posts/julie-j-schullian-cphq-96770869_lead-analyst-health-economics-value-remote-activity-7231343324601696258-FEkG?utm_source=share&amp;utm_medium=member_desktop</v>
      </c>
    </row>
    <row r="786">
      <c r="A786" s="2">
        <f>IFERROR(__xludf.DUMMYFUNCTION("""COMPUTED_VALUE"""),45523.0)</f>
        <v>45523</v>
      </c>
      <c r="B786" s="1" t="str">
        <f>IFERROR(__xludf.DUMMYFUNCTION("""COMPUTED_VALUE"""),"Qualtrics")</f>
        <v>Qualtrics</v>
      </c>
      <c r="C786" s="1" t="str">
        <f>IFERROR(__xludf.DUMMYFUNCTION("""COMPUTED_VALUE"""),"Senior Analyst, Corporate Strategy")</f>
        <v>Senior Analyst, Corporate Strategy</v>
      </c>
      <c r="D786" s="1" t="str">
        <f>IFERROR(__xludf.DUMMYFUNCTION("""COMPUTED_VALUE"""),"Hybrid")</f>
        <v>Hybrid</v>
      </c>
      <c r="E786" s="1" t="str">
        <f>IFERROR(__xludf.DUMMYFUNCTION("""COMPUTED_VALUE"""),"$106k-$196k")</f>
        <v>$106k-$196k</v>
      </c>
      <c r="F786" s="1" t="str">
        <f>IFERROR(__xludf.DUMMYFUNCTION("""COMPUTED_VALUE"""),"3 - 5")</f>
        <v>3 - 5</v>
      </c>
      <c r="G786" s="1" t="str">
        <f>IFERROR(__xludf.DUMMYFUNCTION("""COMPUTED_VALUE"""),"Seattle, WA")</f>
        <v>Seattle, WA</v>
      </c>
      <c r="H786" s="4" t="str">
        <f>IFERROR(__xludf.DUMMYFUNCTION("""COMPUTED_VALUE"""),"https://www.linkedin.com/posts/kevin-faulkner-b6936456_senior-analyst-corporate-strategy-in-seattle-activity-7231325469168537602-FJtf/?utm_source=share&amp;utm_medium=member_desktop")</f>
        <v>https://www.linkedin.com/posts/kevin-faulkner-b6936456_senior-analyst-corporate-strategy-in-seattle-activity-7231325469168537602-FJtf/?utm_source=share&amp;utm_medium=member_desktop</v>
      </c>
    </row>
    <row r="787">
      <c r="A787" s="2">
        <f>IFERROR(__xludf.DUMMYFUNCTION("""COMPUTED_VALUE"""),45523.0)</f>
        <v>45523</v>
      </c>
      <c r="B787" s="1" t="str">
        <f>IFERROR(__xludf.DUMMYFUNCTION("""COMPUTED_VALUE"""),"Vizient")</f>
        <v>Vizient</v>
      </c>
      <c r="C787" s="1" t="str">
        <f>IFERROR(__xludf.DUMMYFUNCTION("""COMPUTED_VALUE"""),"Research and Intelligence Senior Analyst")</f>
        <v>Research and Intelligence Senior Analyst</v>
      </c>
      <c r="D787" s="1" t="str">
        <f>IFERROR(__xludf.DUMMYFUNCTION("""COMPUTED_VALUE"""),"Hybrid")</f>
        <v>Hybrid</v>
      </c>
      <c r="E787" s="1" t="str">
        <f>IFERROR(__xludf.DUMMYFUNCTION("""COMPUTED_VALUE"""),"$68k-$109k")</f>
        <v>$68k-$109k</v>
      </c>
      <c r="F787" s="1" t="str">
        <f>IFERROR(__xludf.DUMMYFUNCTION("""COMPUTED_VALUE"""),"3 - 5")</f>
        <v>3 - 5</v>
      </c>
      <c r="G787" s="1" t="str">
        <f>IFERROR(__xludf.DUMMYFUNCTION("""COMPUTED_VALUE"""),"Irving, TX")</f>
        <v>Irving, TX</v>
      </c>
      <c r="H787" s="4" t="str">
        <f>IFERROR(__xludf.DUMMYFUNCTION("""COMPUTED_VALUE"""),"https://www.linkedin.com/posts/kaylareinhart_research-and-intelligence-senior-analyst-activity-7231321272033427456-pq80?utm_source=share&amp;utm_medium=member_desktop")</f>
        <v>https://www.linkedin.com/posts/kaylareinhart_research-and-intelligence-senior-analyst-activity-7231321272033427456-pq80?utm_source=share&amp;utm_medium=member_desktop</v>
      </c>
    </row>
    <row r="788">
      <c r="A788" s="2">
        <f>IFERROR(__xludf.DUMMYFUNCTION("""COMPUTED_VALUE"""),45523.0)</f>
        <v>45523</v>
      </c>
      <c r="B788" s="1" t="str">
        <f>IFERROR(__xludf.DUMMYFUNCTION("""COMPUTED_VALUE"""),"KBR,Inc")</f>
        <v>KBR,Inc</v>
      </c>
      <c r="C788" s="1" t="str">
        <f>IFERROR(__xludf.DUMMYFUNCTION("""COMPUTED_VALUE"""),"Operations Analyst")</f>
        <v>Operations Analyst</v>
      </c>
      <c r="D788" s="1" t="str">
        <f>IFERROR(__xludf.DUMMYFUNCTION("""COMPUTED_VALUE"""),"On-Site")</f>
        <v>On-Site</v>
      </c>
      <c r="E788" s="1" t="str">
        <f>IFERROR(__xludf.DUMMYFUNCTION("""COMPUTED_VALUE"""),"N/A")</f>
        <v>N/A</v>
      </c>
      <c r="F788" s="1" t="str">
        <f>IFERROR(__xludf.DUMMYFUNCTION("""COMPUTED_VALUE"""),"10 +")</f>
        <v>10 +</v>
      </c>
      <c r="G788" s="1" t="str">
        <f>IFERROR(__xludf.DUMMYFUNCTION("""COMPUTED_VALUE"""),"Huntsville, AL")</f>
        <v>Huntsville, AL</v>
      </c>
      <c r="H788" s="4" t="str">
        <f>IFERROR(__xludf.DUMMYFUNCTION("""COMPUTED_VALUE"""),"https://www.linkedin.com/posts/meredith-lee-1463b3220_operations-analyst-activity-7231320803848437760-PCw1?utm_source=share&amp;utm_medium=member_desktop")</f>
        <v>https://www.linkedin.com/posts/meredith-lee-1463b3220_operations-analyst-activity-7231320803848437760-PCw1?utm_source=share&amp;utm_medium=member_desktop</v>
      </c>
    </row>
    <row r="789">
      <c r="A789" s="2">
        <f>IFERROR(__xludf.DUMMYFUNCTION("""COMPUTED_VALUE"""),45523.0)</f>
        <v>45523</v>
      </c>
      <c r="B789" s="1" t="str">
        <f>IFERROR(__xludf.DUMMYFUNCTION("""COMPUTED_VALUE"""),"HubSpot")</f>
        <v>HubSpot</v>
      </c>
      <c r="C789" s="1" t="str">
        <f>IFERROR(__xludf.DUMMYFUNCTION("""COMPUTED_VALUE"""),"Senior Success Strategy &amp; Operations Analyst")</f>
        <v>Senior Success Strategy &amp; Operations Analyst</v>
      </c>
      <c r="D789" s="1" t="str">
        <f>IFERROR(__xludf.DUMMYFUNCTION("""COMPUTED_VALUE"""),"Remote")</f>
        <v>Remote</v>
      </c>
      <c r="E789" s="1" t="str">
        <f>IFERROR(__xludf.DUMMYFUNCTION("""COMPUTED_VALUE"""),"$118k - $190k")</f>
        <v>$118k - $190k</v>
      </c>
      <c r="F789" s="1" t="str">
        <f>IFERROR(__xludf.DUMMYFUNCTION("""COMPUTED_VALUE"""),"3 - 5")</f>
        <v>3 - 5</v>
      </c>
      <c r="G789" s="1" t="str">
        <f>IFERROR(__xludf.DUMMYFUNCTION("""COMPUTED_VALUE"""),"USA")</f>
        <v>USA</v>
      </c>
      <c r="H789" s="4" t="str">
        <f>IFERROR(__xludf.DUMMYFUNCTION("""COMPUTED_VALUE"""),"https://www.linkedin.com/posts/miguel-rodriguez_hubspot-careers-all-openings-activity-7231331300245192704-2Dnp?utm_source=share&amp;utm_medium=member_desktop")</f>
        <v>https://www.linkedin.com/posts/miguel-rodriguez_hubspot-careers-all-openings-activity-7231331300245192704-2Dnp?utm_source=share&amp;utm_medium=member_desktop</v>
      </c>
    </row>
    <row r="790">
      <c r="A790" s="2">
        <f>IFERROR(__xludf.DUMMYFUNCTION("""COMPUTED_VALUE"""),45523.0)</f>
        <v>45523</v>
      </c>
      <c r="B790" s="1" t="str">
        <f>IFERROR(__xludf.DUMMYFUNCTION("""COMPUTED_VALUE"""),"City of Lethbridge")</f>
        <v>City of Lethbridge</v>
      </c>
      <c r="C790" s="1" t="str">
        <f>IFERROR(__xludf.DUMMYFUNCTION("""COMPUTED_VALUE"""),"Business Analyst")</f>
        <v>Business Analyst</v>
      </c>
      <c r="D790" s="1" t="str">
        <f>IFERROR(__xludf.DUMMYFUNCTION("""COMPUTED_VALUE"""),"On-Site")</f>
        <v>On-Site</v>
      </c>
      <c r="E790" s="1" t="str">
        <f>IFERROR(__xludf.DUMMYFUNCTION("""COMPUTED_VALUE"""),"$43.96/hr")</f>
        <v>$43.96/hr</v>
      </c>
      <c r="F790" s="1" t="str">
        <f>IFERROR(__xludf.DUMMYFUNCTION("""COMPUTED_VALUE"""),"3 - 5")</f>
        <v>3 - 5</v>
      </c>
      <c r="G790" s="1" t="str">
        <f>IFERROR(__xludf.DUMMYFUNCTION("""COMPUTED_VALUE"""),"Lethbridge, Alberta, CA")</f>
        <v>Lethbridge, Alberta, CA</v>
      </c>
      <c r="H790" s="4" t="str">
        <f>IFERROR(__xludf.DUMMYFUNCTION("""COMPUTED_VALUE"""),"https://www.linkedin.com/posts/activity-7231305712235114496-WWYw?utm_source=share&amp;utm_medium=member_desktop")</f>
        <v>https://www.linkedin.com/posts/activity-7231305712235114496-WWYw?utm_source=share&amp;utm_medium=member_desktop</v>
      </c>
    </row>
    <row r="791">
      <c r="A791" s="2">
        <f>IFERROR(__xludf.DUMMYFUNCTION("""COMPUTED_VALUE"""),45523.0)</f>
        <v>45523</v>
      </c>
      <c r="B791" s="1" t="str">
        <f>IFERROR(__xludf.DUMMYFUNCTION("""COMPUTED_VALUE"""),"Youth Villages")</f>
        <v>Youth Villages</v>
      </c>
      <c r="C791" s="1" t="str">
        <f>IFERROR(__xludf.DUMMYFUNCTION("""COMPUTED_VALUE"""),"Salesforce Business Analyst")</f>
        <v>Salesforce Business Analyst</v>
      </c>
      <c r="D791" s="1" t="str">
        <f>IFERROR(__xludf.DUMMYFUNCTION("""COMPUTED_VALUE"""),"Remote")</f>
        <v>Remote</v>
      </c>
      <c r="E791" s="1" t="str">
        <f>IFERROR(__xludf.DUMMYFUNCTION("""COMPUTED_VALUE"""),"N/A")</f>
        <v>N/A</v>
      </c>
      <c r="F791" s="1" t="str">
        <f>IFERROR(__xludf.DUMMYFUNCTION("""COMPUTED_VALUE"""),"3 - 5")</f>
        <v>3 - 5</v>
      </c>
      <c r="G791" s="1" t="str">
        <f>IFERROR(__xludf.DUMMYFUNCTION("""COMPUTED_VALUE"""),"USA")</f>
        <v>USA</v>
      </c>
      <c r="H791" s="4" t="str">
        <f>IFERROR(__xludf.DUMMYFUNCTION("""COMPUTED_VALUE"""),"https://www.linkedin.com/posts/hillaryburkett_hiring-remote-remotejob-activity-7231107536215490561-J4Da?utm_source=share&amp;utm_medium=member_desktop")</f>
        <v>https://www.linkedin.com/posts/hillaryburkett_hiring-remote-remotejob-activity-7231107536215490561-J4Da?utm_source=share&amp;utm_medium=member_desktop</v>
      </c>
    </row>
    <row r="792">
      <c r="A792" s="2">
        <f>IFERROR(__xludf.DUMMYFUNCTION("""COMPUTED_VALUE"""),45523.0)</f>
        <v>45523</v>
      </c>
      <c r="B792" s="1" t="str">
        <f>IFERROR(__xludf.DUMMYFUNCTION("""COMPUTED_VALUE"""),"Precisely")</f>
        <v>Precisely</v>
      </c>
      <c r="C792" s="1" t="str">
        <f>IFERROR(__xludf.DUMMYFUNCTION("""COMPUTED_VALUE"""),"Senior Financial Analyst")</f>
        <v>Senior Financial Analyst</v>
      </c>
      <c r="D792" s="1" t="str">
        <f>IFERROR(__xludf.DUMMYFUNCTION("""COMPUTED_VALUE"""),"Remote")</f>
        <v>Remote</v>
      </c>
      <c r="E792" s="1" t="str">
        <f>IFERROR(__xludf.DUMMYFUNCTION("""COMPUTED_VALUE"""),"N/A")</f>
        <v>N/A</v>
      </c>
      <c r="F792" s="1" t="str">
        <f>IFERROR(__xludf.DUMMYFUNCTION("""COMPUTED_VALUE"""),"3 - 5")</f>
        <v>3 - 5</v>
      </c>
      <c r="G792" s="1" t="str">
        <f>IFERROR(__xludf.DUMMYFUNCTION("""COMPUTED_VALUE"""),"USA")</f>
        <v>USA</v>
      </c>
      <c r="H792" s="4" t="str">
        <f>IFERROR(__xludf.DUMMYFUNCTION("""COMPUTED_VALUE"""),"https://www.linkedin.com/posts/mis03_precisely-is-hiring-senior-financial-activity-7231180354554920960-FEhF?utm_source=share&amp;utm_medium=member_desktop")</f>
        <v>https://www.linkedin.com/posts/mis03_precisely-is-hiring-senior-financial-activity-7231180354554920960-FEhF?utm_source=share&amp;utm_medium=member_desktop</v>
      </c>
    </row>
    <row r="793">
      <c r="A793" s="2">
        <f>IFERROR(__xludf.DUMMYFUNCTION("""COMPUTED_VALUE"""),45523.0)</f>
        <v>45523</v>
      </c>
      <c r="B793" s="1" t="str">
        <f>IFERROR(__xludf.DUMMYFUNCTION("""COMPUTED_VALUE"""),"Vendelux ")</f>
        <v>Vendelux </v>
      </c>
      <c r="C793" s="1" t="str">
        <f>IFERROR(__xludf.DUMMYFUNCTION("""COMPUTED_VALUE"""),"Senior Data Analyst")</f>
        <v>Senior Data Analyst</v>
      </c>
      <c r="D793" s="1" t="str">
        <f>IFERROR(__xludf.DUMMYFUNCTION("""COMPUTED_VALUE"""),"Hybrid")</f>
        <v>Hybrid</v>
      </c>
      <c r="E793" s="1" t="str">
        <f>IFERROR(__xludf.DUMMYFUNCTION("""COMPUTED_VALUE"""),"$130k – $150k")</f>
        <v>$130k – $150k</v>
      </c>
      <c r="F793" s="1" t="str">
        <f>IFERROR(__xludf.DUMMYFUNCTION("""COMPUTED_VALUE"""),"3 - 5")</f>
        <v>3 - 5</v>
      </c>
      <c r="G793" s="1" t="str">
        <f>IFERROR(__xludf.DUMMYFUNCTION("""COMPUTED_VALUE"""),"New York, NY")</f>
        <v>New York, NY</v>
      </c>
      <c r="H793" s="4" t="str">
        <f>IFERROR(__xludf.DUMMYFUNCTION("""COMPUTED_VALUE"""),"https://www.linkedin.com/posts/charliebentivenga_senior-data-analyst-activity-7231343586875764736-wOIH?utm_source=share&amp;utm_medium=member_desktop")</f>
        <v>https://www.linkedin.com/posts/charliebentivenga_senior-data-analyst-activity-7231343586875764736-wOIH?utm_source=share&amp;utm_medium=member_desktop</v>
      </c>
    </row>
    <row r="794">
      <c r="A794" s="2">
        <f>IFERROR(__xludf.DUMMYFUNCTION("""COMPUTED_VALUE"""),45523.0)</f>
        <v>45523</v>
      </c>
      <c r="B794" s="1" t="str">
        <f>IFERROR(__xludf.DUMMYFUNCTION("""COMPUTED_VALUE"""),"BetMGM")</f>
        <v>BetMGM</v>
      </c>
      <c r="C794" s="1" t="str">
        <f>IFERROR(__xludf.DUMMYFUNCTION("""COMPUTED_VALUE"""),"Senior Data Analyst - Risk &amp; Fraud")</f>
        <v>Senior Data Analyst - Risk &amp; Fraud</v>
      </c>
      <c r="D794" s="1" t="str">
        <f>IFERROR(__xludf.DUMMYFUNCTION("""COMPUTED_VALUE"""),"Hybrid")</f>
        <v>Hybrid</v>
      </c>
      <c r="E794" s="1" t="str">
        <f>IFERROR(__xludf.DUMMYFUNCTION("""COMPUTED_VALUE"""),"$95k - $126k")</f>
        <v>$95k - $126k</v>
      </c>
      <c r="F794" s="1" t="str">
        <f>IFERROR(__xludf.DUMMYFUNCTION("""COMPUTED_VALUE"""),"3 - 5")</f>
        <v>3 - 5</v>
      </c>
      <c r="G794" s="1" t="str">
        <f>IFERROR(__xludf.DUMMYFUNCTION("""COMPUTED_VALUE"""),"NJ")</f>
        <v>NJ</v>
      </c>
      <c r="H794" s="4" t="str">
        <f>IFERROR(__xludf.DUMMYFUNCTION("""COMPUTED_VALUE"""),"https://www.linkedin.com/posts/activity-7231371792794185729-64hb?utm_source=share&amp;utm_medium=member_desktop")</f>
        <v>https://www.linkedin.com/posts/activity-7231371792794185729-64hb?utm_source=share&amp;utm_medium=member_desktop</v>
      </c>
    </row>
    <row r="795">
      <c r="A795" s="2">
        <f>IFERROR(__xludf.DUMMYFUNCTION("""COMPUTED_VALUE"""),45523.0)</f>
        <v>45523</v>
      </c>
      <c r="B795" s="1" t="str">
        <f>IFERROR(__xludf.DUMMYFUNCTION("""COMPUTED_VALUE"""),"BizzyCar")</f>
        <v>BizzyCar</v>
      </c>
      <c r="C795" s="1" t="str">
        <f>IFERROR(__xludf.DUMMYFUNCTION("""COMPUTED_VALUE"""),"Rev Ops Analyst (Customer Success)")</f>
        <v>Rev Ops Analyst (Customer Success)</v>
      </c>
      <c r="D795" s="1" t="str">
        <f>IFERROR(__xludf.DUMMYFUNCTION("""COMPUTED_VALUE"""),"Hybrid")</f>
        <v>Hybrid</v>
      </c>
      <c r="E795" s="1" t="str">
        <f>IFERROR(__xludf.DUMMYFUNCTION("""COMPUTED_VALUE"""),"N/A")</f>
        <v>N/A</v>
      </c>
      <c r="F795" s="1" t="str">
        <f>IFERROR(__xludf.DUMMYFUNCTION("""COMPUTED_VALUE"""),"3 - 5")</f>
        <v>3 - 5</v>
      </c>
      <c r="G795" s="1" t="str">
        <f>IFERROR(__xludf.DUMMYFUNCTION("""COMPUTED_VALUE"""),"Boston, MA")</f>
        <v>Boston, MA</v>
      </c>
      <c r="H795" s="4" t="str">
        <f>IFERROR(__xludf.DUMMYFUNCTION("""COMPUTED_VALUE"""),"https://www.linkedin.com/posts/seanpoconnor98_looking-for-a-new-rev-ops-analyst-to-join-ugcPost-7231293370021605376-g51y?utm_source=share&amp;utm_medium=member_desktop")</f>
        <v>https://www.linkedin.com/posts/seanpoconnor98_looking-for-a-new-rev-ops-analyst-to-join-ugcPost-7231293370021605376-g51y?utm_source=share&amp;utm_medium=member_desktop</v>
      </c>
    </row>
    <row r="796">
      <c r="A796" s="2">
        <f>IFERROR(__xludf.DUMMYFUNCTION("""COMPUTED_VALUE"""),45523.0)</f>
        <v>45523</v>
      </c>
      <c r="B796" s="1" t="str">
        <f>IFERROR(__xludf.DUMMYFUNCTION("""COMPUTED_VALUE"""),"Magellan Health")</f>
        <v>Magellan Health</v>
      </c>
      <c r="C796" s="1" t="str">
        <f>IFERROR(__xludf.DUMMYFUNCTION("""COMPUTED_VALUE"""),"Financial Analyst 1")</f>
        <v>Financial Analyst 1</v>
      </c>
      <c r="D796" s="1" t="str">
        <f>IFERROR(__xludf.DUMMYFUNCTION("""COMPUTED_VALUE"""),"Remote")</f>
        <v>Remote</v>
      </c>
      <c r="E796" s="1" t="str">
        <f>IFERROR(__xludf.DUMMYFUNCTION("""COMPUTED_VALUE"""),"$53k - $85k")</f>
        <v>$53k - $85k</v>
      </c>
      <c r="F796" s="1" t="str">
        <f>IFERROR(__xludf.DUMMYFUNCTION("""COMPUTED_VALUE"""),"3 - 5")</f>
        <v>3 - 5</v>
      </c>
      <c r="G796" s="1" t="str">
        <f>IFERROR(__xludf.DUMMYFUNCTION("""COMPUTED_VALUE"""),"USA")</f>
        <v>USA</v>
      </c>
      <c r="H796" s="4" t="str">
        <f>IFERROR(__xludf.DUMMYFUNCTION("""COMPUTED_VALUE"""),"https://www.linkedin.com/posts/chrislyons3_financial-analyst-1-in-us-activity-7231332663066857473-emdO?utm_source=share&amp;utm_medium=member_desktop")</f>
        <v>https://www.linkedin.com/posts/chrislyons3_financial-analyst-1-in-us-activity-7231332663066857473-emdO?utm_source=share&amp;utm_medium=member_desktop</v>
      </c>
    </row>
    <row r="797">
      <c r="A797" s="2">
        <f>IFERROR(__xludf.DUMMYFUNCTION("""COMPUTED_VALUE"""),45523.0)</f>
        <v>45523</v>
      </c>
      <c r="B797" s="1" t="str">
        <f>IFERROR(__xludf.DUMMYFUNCTION("""COMPUTED_VALUE"""),"Clinician Nexus")</f>
        <v>Clinician Nexus</v>
      </c>
      <c r="C797" s="1" t="str">
        <f>IFERROR(__xludf.DUMMYFUNCTION("""COMPUTED_VALUE"""),"Business Systems Analyst - Customer Success")</f>
        <v>Business Systems Analyst - Customer Success</v>
      </c>
      <c r="D797" s="1" t="str">
        <f>IFERROR(__xludf.DUMMYFUNCTION("""COMPUTED_VALUE"""),"Remote")</f>
        <v>Remote</v>
      </c>
      <c r="E797" s="1" t="str">
        <f>IFERROR(__xludf.DUMMYFUNCTION("""COMPUTED_VALUE"""),"$67k - $112k")</f>
        <v>$67k - $112k</v>
      </c>
      <c r="F797" s="1" t="str">
        <f>IFERROR(__xludf.DUMMYFUNCTION("""COMPUTED_VALUE"""),"3 - 5")</f>
        <v>3 - 5</v>
      </c>
      <c r="G797" s="1" t="str">
        <f>IFERROR(__xludf.DUMMYFUNCTION("""COMPUTED_VALUE"""),"Certain Locations")</f>
        <v>Certain Locations</v>
      </c>
      <c r="H797" s="4" t="str">
        <f>IFERROR(__xludf.DUMMYFUNCTION("""COMPUTED_VALUE"""),"https://www.linkedin.com/posts/activity-7231328661067419648-1b9P?utm_source=share&amp;utm_medium=member_desktop")</f>
        <v>https://www.linkedin.com/posts/activity-7231328661067419648-1b9P?utm_source=share&amp;utm_medium=member_desktop</v>
      </c>
    </row>
    <row r="798">
      <c r="A798" s="2">
        <f>IFERROR(__xludf.DUMMYFUNCTION("""COMPUTED_VALUE"""),45523.0)</f>
        <v>45523</v>
      </c>
      <c r="B798" s="1" t="str">
        <f>IFERROR(__xludf.DUMMYFUNCTION("""COMPUTED_VALUE"""),"Interest Media, Inc")</f>
        <v>Interest Media, Inc</v>
      </c>
      <c r="C798" s="1" t="str">
        <f>IFERROR(__xludf.DUMMYFUNCTION("""COMPUTED_VALUE"""),"Product Analyst")</f>
        <v>Product Analyst</v>
      </c>
      <c r="D798" s="1" t="str">
        <f>IFERROR(__xludf.DUMMYFUNCTION("""COMPUTED_VALUE"""),"Remote")</f>
        <v>Remote</v>
      </c>
      <c r="E798" s="1" t="str">
        <f>IFERROR(__xludf.DUMMYFUNCTION("""COMPUTED_VALUE"""),"N/A")</f>
        <v>N/A</v>
      </c>
      <c r="F798" s="1" t="str">
        <f>IFERROR(__xludf.DUMMYFUNCTION("""COMPUTED_VALUE"""),"3 - 5")</f>
        <v>3 - 5</v>
      </c>
      <c r="G798" s="1" t="str">
        <f>IFERROR(__xludf.DUMMYFUNCTION("""COMPUTED_VALUE"""),"USA")</f>
        <v>USA</v>
      </c>
      <c r="H798" s="4" t="str">
        <f>IFERROR(__xludf.DUMMYFUNCTION("""COMPUTED_VALUE"""),"https://www.linkedin.com/posts/dusanicmichael_my-team-and-i-are-looking-for-a-product-analyst-activity-7231337832349351936-9rG5?utm_source=share&amp;utm_medium=member_desktop")</f>
        <v>https://www.linkedin.com/posts/dusanicmichael_my-team-and-i-are-looking-for-a-product-analyst-activity-7231337832349351936-9rG5?utm_source=share&amp;utm_medium=member_desktop</v>
      </c>
    </row>
    <row r="799">
      <c r="A799" s="2">
        <f>IFERROR(__xludf.DUMMYFUNCTION("""COMPUTED_VALUE"""),45523.0)</f>
        <v>45523</v>
      </c>
      <c r="B799" s="1" t="str">
        <f>IFERROR(__xludf.DUMMYFUNCTION("""COMPUTED_VALUE"""),"Inspire Brands")</f>
        <v>Inspire Brands</v>
      </c>
      <c r="C799" s="1" t="str">
        <f>IFERROR(__xludf.DUMMYFUNCTION("""COMPUTED_VALUE"""),"Sr. Financial Analyst")</f>
        <v>Sr. Financial Analyst</v>
      </c>
      <c r="D799" s="1" t="str">
        <f>IFERROR(__xludf.DUMMYFUNCTION("""COMPUTED_VALUE"""),"On-Site")</f>
        <v>On-Site</v>
      </c>
      <c r="E799" s="1" t="str">
        <f>IFERROR(__xludf.DUMMYFUNCTION("""COMPUTED_VALUE"""),"N/A")</f>
        <v>N/A</v>
      </c>
      <c r="F799" s="1" t="str">
        <f>IFERROR(__xludf.DUMMYFUNCTION("""COMPUTED_VALUE"""),"3 - 5")</f>
        <v>3 - 5</v>
      </c>
      <c r="G799" s="1" t="str">
        <f>IFERROR(__xludf.DUMMYFUNCTION("""COMPUTED_VALUE"""),"Atlanta, GA")</f>
        <v>Atlanta, GA</v>
      </c>
      <c r="H799" s="4" t="str">
        <f>IFERROR(__xludf.DUMMYFUNCTION("""COMPUTED_VALUE"""),"https://www.linkedin.com/posts/kennedy-reid-b7a829162_sr-financial-analyst-in-atlanta-ga-activity-7231287783598833664-xmHM?utm_source=share&amp;utm_medium=member_desktop")</f>
        <v>https://www.linkedin.com/posts/kennedy-reid-b7a829162_sr-financial-analyst-in-atlanta-ga-activity-7231287783598833664-xmHM?utm_source=share&amp;utm_medium=member_desktop</v>
      </c>
    </row>
    <row r="800">
      <c r="A800" s="2">
        <f>IFERROR(__xludf.DUMMYFUNCTION("""COMPUTED_VALUE"""),45523.0)</f>
        <v>45523</v>
      </c>
      <c r="B800" s="1" t="str">
        <f>IFERROR(__xludf.DUMMYFUNCTION("""COMPUTED_VALUE"""),"Sloan")</f>
        <v>Sloan</v>
      </c>
      <c r="C800" s="1" t="str">
        <f>IFERROR(__xludf.DUMMYFUNCTION("""COMPUTED_VALUE"""),"Senior Compensation Analyst")</f>
        <v>Senior Compensation Analyst</v>
      </c>
      <c r="D800" s="1" t="str">
        <f>IFERROR(__xludf.DUMMYFUNCTION("""COMPUTED_VALUE"""),"Hybrid")</f>
        <v>Hybrid</v>
      </c>
      <c r="E800" s="1" t="str">
        <f>IFERROR(__xludf.DUMMYFUNCTION("""COMPUTED_VALUE"""),"N/A")</f>
        <v>N/A</v>
      </c>
      <c r="F800" s="1" t="str">
        <f>IFERROR(__xludf.DUMMYFUNCTION("""COMPUTED_VALUE"""),"6 - 9")</f>
        <v>6 - 9</v>
      </c>
      <c r="G800" s="1" t="str">
        <f>IFERROR(__xludf.DUMMYFUNCTION("""COMPUTED_VALUE"""),"Chicago, IL")</f>
        <v>Chicago, IL</v>
      </c>
      <c r="H800" s="4" t="str">
        <f>IFERROR(__xludf.DUMMYFUNCTION("""COMPUTED_VALUE"""),"https://www.linkedin.com/posts/dillerika_seniorcompensationanalyst-totalrewards-chicagojobs-activity-7231351118503567360-j6au?utm_source=share&amp;utm_medium=member_desktop")</f>
        <v>https://www.linkedin.com/posts/dillerika_seniorcompensationanalyst-totalrewards-chicagojobs-activity-7231351118503567360-j6au?utm_source=share&amp;utm_medium=member_desktop</v>
      </c>
    </row>
    <row r="801">
      <c r="A801" s="2">
        <f>IFERROR(__xludf.DUMMYFUNCTION("""COMPUTED_VALUE"""),45523.0)</f>
        <v>45523</v>
      </c>
      <c r="B801" s="1" t="str">
        <f>IFERROR(__xludf.DUMMYFUNCTION("""COMPUTED_VALUE"""),"Greif")</f>
        <v>Greif</v>
      </c>
      <c r="C801" s="1" t="str">
        <f>IFERROR(__xludf.DUMMYFUNCTION("""COMPUTED_VALUE"""),"Sustainability Data Analyst")</f>
        <v>Sustainability Data Analyst</v>
      </c>
      <c r="D801" s="1" t="str">
        <f>IFERROR(__xludf.DUMMYFUNCTION("""COMPUTED_VALUE"""),"On-Site")</f>
        <v>On-Site</v>
      </c>
      <c r="E801" s="1" t="str">
        <f>IFERROR(__xludf.DUMMYFUNCTION("""COMPUTED_VALUE"""),"N/A")</f>
        <v>N/A</v>
      </c>
      <c r="F801" s="1" t="str">
        <f>IFERROR(__xludf.DUMMYFUNCTION("""COMPUTED_VALUE"""),"3 - 5")</f>
        <v>3 - 5</v>
      </c>
      <c r="G801" s="1" t="str">
        <f>IFERROR(__xludf.DUMMYFUNCTION("""COMPUTED_VALUE"""),"Delaware, OH")</f>
        <v>Delaware, OH</v>
      </c>
      <c r="H801" s="4" t="str">
        <f>IFERROR(__xludf.DUMMYFUNCTION("""COMPUTED_VALUE"""),"https://www.linkedin.com/posts/doughtybradleyj_we-are-hiring-we-are-looking-to-add-a-passionate-activity-7229140372482895875-uON0?utm_source=share&amp;utm_medium=member_desktop")</f>
        <v>https://www.linkedin.com/posts/doughtybradleyj_we-are-hiring-we-are-looking-to-add-a-passionate-activity-7229140372482895875-uON0?utm_source=share&amp;utm_medium=member_desktop</v>
      </c>
    </row>
    <row r="802">
      <c r="A802" s="2">
        <f>IFERROR(__xludf.DUMMYFUNCTION("""COMPUTED_VALUE"""),45523.0)</f>
        <v>45523</v>
      </c>
      <c r="B802" s="1" t="str">
        <f>IFERROR(__xludf.DUMMYFUNCTION("""COMPUTED_VALUE"""),"The J.M. Smucker Co.")</f>
        <v>The J.M. Smucker Co.</v>
      </c>
      <c r="C802" s="1" t="str">
        <f>IFERROR(__xludf.DUMMYFUNCTION("""COMPUTED_VALUE"""),"Analyst, Revenue Growth Management")</f>
        <v>Analyst, Revenue Growth Management</v>
      </c>
      <c r="D802" s="1" t="str">
        <f>IFERROR(__xludf.DUMMYFUNCTION("""COMPUTED_VALUE"""),"Hybrid")</f>
        <v>Hybrid</v>
      </c>
      <c r="E802" s="1" t="str">
        <f>IFERROR(__xludf.DUMMYFUNCTION("""COMPUTED_VALUE"""),"N/A")</f>
        <v>N/A</v>
      </c>
      <c r="F802" s="1" t="str">
        <f>IFERROR(__xludf.DUMMYFUNCTION("""COMPUTED_VALUE"""),"0 - 2")</f>
        <v>0 - 2</v>
      </c>
      <c r="G802" s="1" t="str">
        <f>IFERROR(__xludf.DUMMYFUNCTION("""COMPUTED_VALUE"""),"Certain Locations")</f>
        <v>Certain Locations</v>
      </c>
      <c r="H802" s="4" t="str">
        <f>IFERROR(__xludf.DUMMYFUNCTION("""COMPUTED_VALUE"""),"https://www.linkedin.com/posts/lyla-welday-cmp-22642632_analyst-revenue-growth-management-activity-7231255752101765120-xXy7?utm_source=share&amp;utm_medium=member_desktop")</f>
        <v>https://www.linkedin.com/posts/lyla-welday-cmp-22642632_analyst-revenue-growth-management-activity-7231255752101765120-xXy7?utm_source=share&amp;utm_medium=member_desktop</v>
      </c>
    </row>
    <row r="803">
      <c r="A803" s="2">
        <f>IFERROR(__xludf.DUMMYFUNCTION("""COMPUTED_VALUE"""),45523.0)</f>
        <v>45523</v>
      </c>
      <c r="B803" s="1" t="str">
        <f>IFERROR(__xludf.DUMMYFUNCTION("""COMPUTED_VALUE"""),"Olympus Corporation of the Americas")</f>
        <v>Olympus Corporation of the Americas</v>
      </c>
      <c r="C803" s="1" t="str">
        <f>IFERROR(__xludf.DUMMYFUNCTION("""COMPUTED_VALUE"""),"Analytics Business Partner")</f>
        <v>Analytics Business Partner</v>
      </c>
      <c r="D803" s="1" t="str">
        <f>IFERROR(__xludf.DUMMYFUNCTION("""COMPUTED_VALUE"""),"Hybrid")</f>
        <v>Hybrid</v>
      </c>
      <c r="E803" s="1" t="str">
        <f>IFERROR(__xludf.DUMMYFUNCTION("""COMPUTED_VALUE"""),"N/A")</f>
        <v>N/A</v>
      </c>
      <c r="F803" s="1" t="str">
        <f>IFERROR(__xludf.DUMMYFUNCTION("""COMPUTED_VALUE"""),"3 - 5")</f>
        <v>3 - 5</v>
      </c>
      <c r="G803" s="1" t="str">
        <f>IFERROR(__xludf.DUMMYFUNCTION("""COMPUTED_VALUE"""),"Center Valley, PA/Westborough, MA")</f>
        <v>Center Valley, PA/Westborough, MA</v>
      </c>
      <c r="H803" s="4" t="str">
        <f>IFERROR(__xludf.DUMMYFUNCTION("""COMPUTED_VALUE"""),"https://www.linkedin.com/posts/dannielle-turner-26aa491b_were-hiring-analytics-business-partner-activity-7231309533615194112-347e?utm_source=share&amp;utm_medium=member_desktop")</f>
        <v>https://www.linkedin.com/posts/dannielle-turner-26aa491b_were-hiring-analytics-business-partner-activity-7231309533615194112-347e?utm_source=share&amp;utm_medium=member_desktop</v>
      </c>
    </row>
    <row r="804">
      <c r="A804" s="2">
        <f>IFERROR(__xludf.DUMMYFUNCTION("""COMPUTED_VALUE"""),45523.0)</f>
        <v>45523</v>
      </c>
      <c r="B804" s="1" t="str">
        <f>IFERROR(__xludf.DUMMYFUNCTION("""COMPUTED_VALUE"""),"Palomar Health")</f>
        <v>Palomar Health</v>
      </c>
      <c r="C804" s="1" t="str">
        <f>IFERROR(__xludf.DUMMYFUNCTION("""COMPUTED_VALUE"""),"HRIS Analyst II")</f>
        <v>HRIS Analyst II</v>
      </c>
      <c r="D804" s="1" t="str">
        <f>IFERROR(__xludf.DUMMYFUNCTION("""COMPUTED_VALUE"""),"On-Site")</f>
        <v>On-Site</v>
      </c>
      <c r="E804" s="1" t="str">
        <f>IFERROR(__xludf.DUMMYFUNCTION("""COMPUTED_VALUE"""),"$35/hr - $53/hr")</f>
        <v>$35/hr - $53/hr</v>
      </c>
      <c r="F804" s="1" t="str">
        <f>IFERROR(__xludf.DUMMYFUNCTION("""COMPUTED_VALUE"""),"3 - 5")</f>
        <v>3 - 5</v>
      </c>
      <c r="G804" s="1" t="str">
        <f>IFERROR(__xludf.DUMMYFUNCTION("""COMPUTED_VALUE"""),"Escondido, CA")</f>
        <v>Escondido, CA</v>
      </c>
      <c r="H804" s="4" t="str">
        <f>IFERROR(__xludf.DUMMYFUNCTION("""COMPUTED_VALUE"""),"https://www.linkedin.com/posts/activity-7230780093881532417-MatY?utm_source=share&amp;utm_medium=member_desktop")</f>
        <v>https://www.linkedin.com/posts/activity-7230780093881532417-MatY?utm_source=share&amp;utm_medium=member_desktop</v>
      </c>
    </row>
    <row r="805">
      <c r="A805" s="2">
        <f>IFERROR(__xludf.DUMMYFUNCTION("""COMPUTED_VALUE"""),45523.0)</f>
        <v>45523</v>
      </c>
      <c r="B805" s="1" t="str">
        <f>IFERROR(__xludf.DUMMYFUNCTION("""COMPUTED_VALUE"""),"Octopus Energy")</f>
        <v>Octopus Energy</v>
      </c>
      <c r="C805" s="1" t="str">
        <f>IFERROR(__xludf.DUMMYFUNCTION("""COMPUTED_VALUE"""),"Quantitative Risk Analyst")</f>
        <v>Quantitative Risk Analyst</v>
      </c>
      <c r="D805" s="1" t="str">
        <f>IFERROR(__xludf.DUMMYFUNCTION("""COMPUTED_VALUE"""),"Hybrid")</f>
        <v>Hybrid</v>
      </c>
      <c r="E805" s="1" t="str">
        <f>IFERROR(__xludf.DUMMYFUNCTION("""COMPUTED_VALUE"""),"N/A")</f>
        <v>N/A</v>
      </c>
      <c r="F805" s="1" t="str">
        <f>IFERROR(__xludf.DUMMYFUNCTION("""COMPUTED_VALUE"""),"3 - 5")</f>
        <v>3 - 5</v>
      </c>
      <c r="G805" s="1" t="str">
        <f>IFERROR(__xludf.DUMMYFUNCTION("""COMPUTED_VALUE"""),"Houston, TX")</f>
        <v>Houston, TX</v>
      </c>
      <c r="H805" s="4" t="str">
        <f>IFERROR(__xludf.DUMMYFUNCTION("""COMPUTED_VALUE"""),"https://www.linkedin.com/posts/ashleyschmitz_hiring-activity-7231119663294771200-OuJB?utm_source=share&amp;utm_medium=member_desktop")</f>
        <v>https://www.linkedin.com/posts/ashleyschmitz_hiring-activity-7231119663294771200-OuJB?utm_source=share&amp;utm_medium=member_desktop</v>
      </c>
    </row>
    <row r="806">
      <c r="A806" s="2">
        <f>IFERROR(__xludf.DUMMYFUNCTION("""COMPUTED_VALUE"""),45523.0)</f>
        <v>45523</v>
      </c>
      <c r="B806" s="1" t="str">
        <f>IFERROR(__xludf.DUMMYFUNCTION("""COMPUTED_VALUE"""),"Mayo Clinic")</f>
        <v>Mayo Clinic</v>
      </c>
      <c r="C806" s="1" t="str">
        <f>IFERROR(__xludf.DUMMYFUNCTION("""COMPUTED_VALUE"""),"Financial Analyst II")</f>
        <v>Financial Analyst II</v>
      </c>
      <c r="D806" s="1" t="str">
        <f>IFERROR(__xludf.DUMMYFUNCTION("""COMPUTED_VALUE"""),"Remote")</f>
        <v>Remote</v>
      </c>
      <c r="E806" s="1" t="str">
        <f>IFERROR(__xludf.DUMMYFUNCTION("""COMPUTED_VALUE"""),"$70k - $97k")</f>
        <v>$70k - $97k</v>
      </c>
      <c r="F806" s="1" t="str">
        <f>IFERROR(__xludf.DUMMYFUNCTION("""COMPUTED_VALUE"""),"3 - 5")</f>
        <v>3 - 5</v>
      </c>
      <c r="G806" s="1" t="str">
        <f>IFERROR(__xludf.DUMMYFUNCTION("""COMPUTED_VALUE"""),"Certain Locations")</f>
        <v>Certain Locations</v>
      </c>
      <c r="H806" s="4" t="str">
        <f>IFERROR(__xludf.DUMMYFUNCTION("""COMPUTED_VALUE"""),"https://www.linkedin.com/posts/dianne-malabanan-cpa-mba-cemc-cpc-1967263a_hiring-activity-7231279497730224128-ZLzS?utm_source=share&amp;utm_medium=member_desktop")</f>
        <v>https://www.linkedin.com/posts/dianne-malabanan-cpa-mba-cemc-cpc-1967263a_hiring-activity-7231279497730224128-ZLzS?utm_source=share&amp;utm_medium=member_desktop</v>
      </c>
    </row>
    <row r="807">
      <c r="A807" s="2">
        <f>IFERROR(__xludf.DUMMYFUNCTION("""COMPUTED_VALUE"""),45523.0)</f>
        <v>45523</v>
      </c>
      <c r="B807" s="1" t="str">
        <f>IFERROR(__xludf.DUMMYFUNCTION("""COMPUTED_VALUE"""),"Consolidated Analytics")</f>
        <v>Consolidated Analytics</v>
      </c>
      <c r="C807" s="1" t="str">
        <f>IFERROR(__xludf.DUMMYFUNCTION("""COMPUTED_VALUE"""),"SBO Analyst")</f>
        <v>SBO Analyst</v>
      </c>
      <c r="D807" s="1" t="str">
        <f>IFERROR(__xludf.DUMMYFUNCTION("""COMPUTED_VALUE"""),"Remote")</f>
        <v>Remote</v>
      </c>
      <c r="E807" s="1" t="str">
        <f>IFERROR(__xludf.DUMMYFUNCTION("""COMPUTED_VALUE"""),"$45/hr - $71/hr")</f>
        <v>$45/hr - $71/hr</v>
      </c>
      <c r="F807" s="1" t="str">
        <f>IFERROR(__xludf.DUMMYFUNCTION("""COMPUTED_VALUE"""),"3 - 5")</f>
        <v>3 - 5</v>
      </c>
      <c r="G807" s="1" t="str">
        <f>IFERROR(__xludf.DUMMYFUNCTION("""COMPUTED_VALUE"""),"USA")</f>
        <v>USA</v>
      </c>
      <c r="H807" s="4" t="str">
        <f>IFERROR(__xludf.DUMMYFUNCTION("""COMPUTED_VALUE"""),"https://www.linkedin.com/posts/john-rieger_hiring-activity-7231113299138859009-9F0J?utm_source=share&amp;utm_medium=member_desktop")</f>
        <v>https://www.linkedin.com/posts/john-rieger_hiring-activity-7231113299138859009-9F0J?utm_source=share&amp;utm_medium=member_desktop</v>
      </c>
    </row>
    <row r="808">
      <c r="A808" s="2">
        <f>IFERROR(__xludf.DUMMYFUNCTION("""COMPUTED_VALUE"""),45523.0)</f>
        <v>45523</v>
      </c>
      <c r="B808" s="1" t="str">
        <f>IFERROR(__xludf.DUMMYFUNCTION("""COMPUTED_VALUE"""),"Maxiumus")</f>
        <v>Maxiumus</v>
      </c>
      <c r="C808" s="1" t="str">
        <f>IFERROR(__xludf.DUMMYFUNCTION("""COMPUTED_VALUE"""),"Analyst - Compliance")</f>
        <v>Analyst - Compliance</v>
      </c>
      <c r="D808" s="1" t="str">
        <f>IFERROR(__xludf.DUMMYFUNCTION("""COMPUTED_VALUE"""),"Remote")</f>
        <v>Remote</v>
      </c>
      <c r="E808" s="1" t="str">
        <f>IFERROR(__xludf.DUMMYFUNCTION("""COMPUTED_VALUE"""),"$55k - $70k")</f>
        <v>$55k - $70k</v>
      </c>
      <c r="F808" s="1" t="str">
        <f>IFERROR(__xludf.DUMMYFUNCTION("""COMPUTED_VALUE"""),"3 - 5")</f>
        <v>3 - 5</v>
      </c>
      <c r="G808" s="1" t="str">
        <f>IFERROR(__xludf.DUMMYFUNCTION("""COMPUTED_VALUE"""),"USA")</f>
        <v>USA</v>
      </c>
      <c r="H808" s="4" t="str">
        <f>IFERROR(__xludf.DUMMYFUNCTION("""COMPUTED_VALUE"""),"https://www.linkedin.com/posts/tacara-smith_analyst-remote-remotework-activity-7231292677080715264-Y3XL?utm_source=share&amp;utm_medium=member_desktop")</f>
        <v>https://www.linkedin.com/posts/tacara-smith_analyst-remote-remotework-activity-7231292677080715264-Y3XL?utm_source=share&amp;utm_medium=member_desktop</v>
      </c>
    </row>
    <row r="809">
      <c r="A809" s="2">
        <f>IFERROR(__xludf.DUMMYFUNCTION("""COMPUTED_VALUE"""),45523.0)</f>
        <v>45523</v>
      </c>
      <c r="B809" s="1" t="str">
        <f>IFERROR(__xludf.DUMMYFUNCTION("""COMPUTED_VALUE"""),"Commerce Trust")</f>
        <v>Commerce Trust</v>
      </c>
      <c r="C809" s="1" t="str">
        <f>IFERROR(__xludf.DUMMYFUNCTION("""COMPUTED_VALUE"""),"Financial Planning Analyst - CTC")</f>
        <v>Financial Planning Analyst - CTC</v>
      </c>
      <c r="D809" s="1" t="str">
        <f>IFERROR(__xludf.DUMMYFUNCTION("""COMPUTED_VALUE"""),"On-Site")</f>
        <v>On-Site</v>
      </c>
      <c r="E809" s="1" t="str">
        <f>IFERROR(__xludf.DUMMYFUNCTION("""COMPUTED_VALUE"""),"$26/hr - $30/hr")</f>
        <v>$26/hr - $30/hr</v>
      </c>
      <c r="F809" s="1" t="str">
        <f>IFERROR(__xludf.DUMMYFUNCTION("""COMPUTED_VALUE"""),"0 - 2")</f>
        <v>0 - 2</v>
      </c>
      <c r="G809" s="1" t="str">
        <f>IFERROR(__xludf.DUMMYFUNCTION("""COMPUTED_VALUE"""),"Kansas City, MO")</f>
        <v>Kansas City, MO</v>
      </c>
      <c r="H809" s="4" t="str">
        <f>IFERROR(__xludf.DUMMYFUNCTION("""COMPUTED_VALUE"""),"https://www.linkedin.com/posts/activity-7231284250413580289-Yyqy?utm_source=share&amp;utm_medium=member_desktop")</f>
        <v>https://www.linkedin.com/posts/activity-7231284250413580289-Yyqy?utm_source=share&amp;utm_medium=member_desktop</v>
      </c>
    </row>
    <row r="810">
      <c r="A810" s="2">
        <f>IFERROR(__xludf.DUMMYFUNCTION("""COMPUTED_VALUE"""),45523.0)</f>
        <v>45523</v>
      </c>
      <c r="B810" s="1" t="str">
        <f>IFERROR(__xludf.DUMMYFUNCTION("""COMPUTED_VALUE"""),"Kata Solution LLC")</f>
        <v>Kata Solution LLC</v>
      </c>
      <c r="C810" s="1" t="str">
        <f>IFERROR(__xludf.DUMMYFUNCTION("""COMPUTED_VALUE"""),"Financial Analyst")</f>
        <v>Financial Analyst</v>
      </c>
      <c r="D810" s="1" t="str">
        <f>IFERROR(__xludf.DUMMYFUNCTION("""COMPUTED_VALUE"""),"On-Site")</f>
        <v>On-Site</v>
      </c>
      <c r="E810" s="1" t="str">
        <f>IFERROR(__xludf.DUMMYFUNCTION("""COMPUTED_VALUE"""),"$75k - $80k")</f>
        <v>$75k - $80k</v>
      </c>
      <c r="F810" s="1" t="str">
        <f>IFERROR(__xludf.DUMMYFUNCTION("""COMPUTED_VALUE"""),"6 - 9")</f>
        <v>6 - 9</v>
      </c>
      <c r="G810" s="1" t="str">
        <f>IFERROR(__xludf.DUMMYFUNCTION("""COMPUTED_VALUE"""),"Carey, OH")</f>
        <v>Carey, OH</v>
      </c>
      <c r="H810" s="4" t="str">
        <f>IFERROR(__xludf.DUMMYFUNCTION("""COMPUTED_VALUE"""),"https://www.linkedin.com/posts/bryanplittle_hiringhiringhiring-financial-activity-7231265196885889024-W3aj?utm_source=share&amp;utm_medium=member_desktop")</f>
        <v>https://www.linkedin.com/posts/bryanplittle_hiringhiringhiring-financial-activity-7231265196885889024-W3aj?utm_source=share&amp;utm_medium=member_desktop</v>
      </c>
    </row>
    <row r="811">
      <c r="A811" s="2">
        <f>IFERROR(__xludf.DUMMYFUNCTION("""COMPUTED_VALUE"""),45523.0)</f>
        <v>45523</v>
      </c>
      <c r="B811" s="1" t="str">
        <f>IFERROR(__xludf.DUMMYFUNCTION("""COMPUTED_VALUE"""),"Cambay Consulting LLC")</f>
        <v>Cambay Consulting LLC</v>
      </c>
      <c r="C811" s="1" t="str">
        <f>IFERROR(__xludf.DUMMYFUNCTION("""COMPUTED_VALUE"""),"Development Analyst")</f>
        <v>Development Analyst</v>
      </c>
      <c r="D811" s="1" t="str">
        <f>IFERROR(__xludf.DUMMYFUNCTION("""COMPUTED_VALUE"""),"On-Site")</f>
        <v>On-Site</v>
      </c>
      <c r="E811" s="1" t="str">
        <f>IFERROR(__xludf.DUMMYFUNCTION("""COMPUTED_VALUE"""),"N/A")</f>
        <v>N/A</v>
      </c>
      <c r="F811" s="1" t="str">
        <f>IFERROR(__xludf.DUMMYFUNCTION("""COMPUTED_VALUE"""),"0 - 2")</f>
        <v>0 - 2</v>
      </c>
      <c r="G811" s="1" t="str">
        <f>IFERROR(__xludf.DUMMYFUNCTION("""COMPUTED_VALUE"""),"Portland, OR")</f>
        <v>Portland, OR</v>
      </c>
      <c r="H811" s="4" t="str">
        <f>IFERROR(__xludf.DUMMYFUNCTION("""COMPUTED_VALUE"""),"https://www.linkedin.com/posts/taukir-khan_hiring-developmentanalyst-senioranalyst-activity-7231303941467103232-G957?utm_source=share&amp;utm_medium=member_desktop")</f>
        <v>https://www.linkedin.com/posts/taukir-khan_hiring-developmentanalyst-senioranalyst-activity-7231303941467103232-G957?utm_source=share&amp;utm_medium=member_desktop</v>
      </c>
    </row>
    <row r="812">
      <c r="A812" s="2">
        <f>IFERROR(__xludf.DUMMYFUNCTION("""COMPUTED_VALUE"""),45523.0)</f>
        <v>45523</v>
      </c>
      <c r="B812" s="1" t="str">
        <f>IFERROR(__xludf.DUMMYFUNCTION("""COMPUTED_VALUE"""),"BlueCross BlueShield of Tennessee")</f>
        <v>BlueCross BlueShield of Tennessee</v>
      </c>
      <c r="C812" s="1" t="str">
        <f>IFERROR(__xludf.DUMMYFUNCTION("""COMPUTED_VALUE"""),"Sr. Compensation Analyst")</f>
        <v>Sr. Compensation Analyst</v>
      </c>
      <c r="D812" s="1" t="str">
        <f>IFERROR(__xludf.DUMMYFUNCTION("""COMPUTED_VALUE"""),"Remote")</f>
        <v>Remote</v>
      </c>
      <c r="E812" s="1" t="str">
        <f>IFERROR(__xludf.DUMMYFUNCTION("""COMPUTED_VALUE"""),"N/A")</f>
        <v>N/A</v>
      </c>
      <c r="F812" s="1" t="str">
        <f>IFERROR(__xludf.DUMMYFUNCTION("""COMPUTED_VALUE"""),"3 - 5")</f>
        <v>3 - 5</v>
      </c>
      <c r="G812" s="1" t="str">
        <f>IFERROR(__xludf.DUMMYFUNCTION("""COMPUTED_VALUE"""),"Certain Locations")</f>
        <v>Certain Locations</v>
      </c>
      <c r="H812" s="4" t="str">
        <f>IFERROR(__xludf.DUMMYFUNCTION("""COMPUTED_VALUE"""),"https://www.linkedin.com/posts/ashleydoyal_sr-compensation-analyst-activity-7231299977493303298-DCfB?utm_source=share&amp;utm_medium=member_desktop")</f>
        <v>https://www.linkedin.com/posts/ashleydoyal_sr-compensation-analyst-activity-7231299977493303298-DCfB?utm_source=share&amp;utm_medium=member_desktop</v>
      </c>
    </row>
    <row r="813">
      <c r="A813" s="2">
        <f>IFERROR(__xludf.DUMMYFUNCTION("""COMPUTED_VALUE"""),45522.0)</f>
        <v>45522</v>
      </c>
      <c r="B813" s="1" t="str">
        <f>IFERROR(__xludf.DUMMYFUNCTION("""COMPUTED_VALUE"""),"Brightwheel")</f>
        <v>Brightwheel</v>
      </c>
      <c r="C813" s="1" t="str">
        <f>IFERROR(__xludf.DUMMYFUNCTION("""COMPUTED_VALUE"""),"Manager, Data Strategy + Operations")</f>
        <v>Manager, Data Strategy + Operations</v>
      </c>
      <c r="D813" s="1" t="str">
        <f>IFERROR(__xludf.DUMMYFUNCTION("""COMPUTED_VALUE"""),"Remote")</f>
        <v>Remote</v>
      </c>
      <c r="E813" s="1" t="str">
        <f>IFERROR(__xludf.DUMMYFUNCTION("""COMPUTED_VALUE"""),"$90k - $149k")</f>
        <v>$90k - $149k</v>
      </c>
      <c r="F813" s="1" t="str">
        <f>IFERROR(__xludf.DUMMYFUNCTION("""COMPUTED_VALUE"""),"3 - 5")</f>
        <v>3 - 5</v>
      </c>
      <c r="G813" s="1" t="str">
        <f>IFERROR(__xludf.DUMMYFUNCTION("""COMPUTED_VALUE"""),"USA")</f>
        <v>USA</v>
      </c>
      <c r="H813" s="4" t="str">
        <f>IFERROR(__xludf.DUMMYFUNCTION("""COMPUTED_VALUE"""),"https://www.linkedin.com/posts/ariana-meinz-5b841864_brightwheel-manager-data-strategy-operations-activity-7229939918456705024-TPaH?utm_source=share&amp;utm_medium=member_desktop")</f>
        <v>https://www.linkedin.com/posts/ariana-meinz-5b841864_brightwheel-manager-data-strategy-operations-activity-7229939918456705024-TPaH?utm_source=share&amp;utm_medium=member_desktop</v>
      </c>
    </row>
    <row r="814">
      <c r="A814" s="2">
        <f>IFERROR(__xludf.DUMMYFUNCTION("""COMPUTED_VALUE"""),45522.0)</f>
        <v>45522</v>
      </c>
      <c r="B814" s="1" t="str">
        <f>IFERROR(__xludf.DUMMYFUNCTION("""COMPUTED_VALUE"""),"Affirm")</f>
        <v>Affirm</v>
      </c>
      <c r="C814" s="1" t="str">
        <f>IFERROR(__xludf.DUMMYFUNCTION("""COMPUTED_VALUE"""),"Analytics Manager, Strategic Insights")</f>
        <v>Analytics Manager, Strategic Insights</v>
      </c>
      <c r="D814" s="1" t="str">
        <f>IFERROR(__xludf.DUMMYFUNCTION("""COMPUTED_VALUE"""),"Remote")</f>
        <v>Remote</v>
      </c>
      <c r="E814" s="1" t="str">
        <f>IFERROR(__xludf.DUMMYFUNCTION("""COMPUTED_VALUE"""),"$160k - $230k")</f>
        <v>$160k - $230k</v>
      </c>
      <c r="F814" s="1" t="str">
        <f>IFERROR(__xludf.DUMMYFUNCTION("""COMPUTED_VALUE"""),"6 - 9")</f>
        <v>6 - 9</v>
      </c>
      <c r="G814" s="1" t="str">
        <f>IFERROR(__xludf.DUMMYFUNCTION("""COMPUTED_VALUE"""),"USA")</f>
        <v>USA</v>
      </c>
      <c r="H814" s="4" t="str">
        <f>IFERROR(__xludf.DUMMYFUNCTION("""COMPUTED_VALUE"""),"https://www.linkedin.com/posts/suandrew10_analytics-manager-strategic-insights-activity-7229663003653156865-7mEI?utm_source=share&amp;utm_medium=member_desktop")</f>
        <v>https://www.linkedin.com/posts/suandrew10_analytics-manager-strategic-insights-activity-7229663003653156865-7mEI?utm_source=share&amp;utm_medium=member_desktop</v>
      </c>
    </row>
    <row r="815">
      <c r="A815" s="2">
        <f>IFERROR(__xludf.DUMMYFUNCTION("""COMPUTED_VALUE"""),45522.0)</f>
        <v>45522</v>
      </c>
      <c r="B815" s="1" t="str">
        <f>IFERROR(__xludf.DUMMYFUNCTION("""COMPUTED_VALUE"""),"Quince")</f>
        <v>Quince</v>
      </c>
      <c r="C815" s="1" t="str">
        <f>IFERROR(__xludf.DUMMYFUNCTION("""COMPUTED_VALUE"""),"Data Analyst")</f>
        <v>Data Analyst</v>
      </c>
      <c r="D815" s="1" t="str">
        <f>IFERROR(__xludf.DUMMYFUNCTION("""COMPUTED_VALUE"""),"Remote")</f>
        <v>Remote</v>
      </c>
      <c r="E815" s="1" t="str">
        <f>IFERROR(__xludf.DUMMYFUNCTION("""COMPUTED_VALUE"""),"N/A")</f>
        <v>N/A</v>
      </c>
      <c r="F815" s="1" t="str">
        <f>IFERROR(__xludf.DUMMYFUNCTION("""COMPUTED_VALUE"""),"3 - 5")</f>
        <v>3 - 5</v>
      </c>
      <c r="G815" s="1" t="str">
        <f>IFERROR(__xludf.DUMMYFUNCTION("""COMPUTED_VALUE"""),"USA")</f>
        <v>USA</v>
      </c>
      <c r="H815" s="4" t="str">
        <f>IFERROR(__xludf.DUMMYFUNCTION("""COMPUTED_VALUE"""),"https://www.linkedin.com/posts/olivialopezbalboa_quince-data-analyst-activity-7229648870132137984-3NQm?utm_source=share&amp;utm_medium=member_desktop")</f>
        <v>https://www.linkedin.com/posts/olivialopezbalboa_quince-data-analyst-activity-7229648870132137984-3NQm?utm_source=share&amp;utm_medium=member_desktop</v>
      </c>
    </row>
    <row r="816">
      <c r="A816" s="2">
        <f>IFERROR(__xludf.DUMMYFUNCTION("""COMPUTED_VALUE"""),45522.0)</f>
        <v>45522</v>
      </c>
      <c r="B816" s="1" t="str">
        <f>IFERROR(__xludf.DUMMYFUNCTION("""COMPUTED_VALUE"""),"Current")</f>
        <v>Current</v>
      </c>
      <c r="C816" s="1" t="str">
        <f>IFERROR(__xludf.DUMMYFUNCTION("""COMPUTED_VALUE"""),"Senior Analytics Engineer")</f>
        <v>Senior Analytics Engineer</v>
      </c>
      <c r="D816" s="1" t="str">
        <f>IFERROR(__xludf.DUMMYFUNCTION("""COMPUTED_VALUE"""),"Hybrid")</f>
        <v>Hybrid</v>
      </c>
      <c r="E816" s="1" t="str">
        <f>IFERROR(__xludf.DUMMYFUNCTION("""COMPUTED_VALUE"""),"$170k - $220k")</f>
        <v>$170k - $220k</v>
      </c>
      <c r="F816" s="1" t="str">
        <f>IFERROR(__xludf.DUMMYFUNCTION("""COMPUTED_VALUE"""),"3 - 5")</f>
        <v>3 - 5</v>
      </c>
      <c r="G816" s="1" t="str">
        <f>IFERROR(__xludf.DUMMYFUNCTION("""COMPUTED_VALUE"""),"New York, NY")</f>
        <v>New York, NY</v>
      </c>
      <c r="H816" s="4" t="str">
        <f>IFERROR(__xludf.DUMMYFUNCTION("""COMPUTED_VALUE"""),"https://www.linkedin.com/posts/pankajpatil12_are-you-passionate-about-data-and-ready-to-activity-7229546044521373696-zqVy?utm_source=share&amp;utm_medium=member_desktop")</f>
        <v>https://www.linkedin.com/posts/pankajpatil12_are-you-passionate-about-data-and-ready-to-activity-7229546044521373696-zqVy?utm_source=share&amp;utm_medium=member_desktop</v>
      </c>
    </row>
    <row r="817">
      <c r="A817" s="2">
        <f>IFERROR(__xludf.DUMMYFUNCTION("""COMPUTED_VALUE"""),45522.0)</f>
        <v>45522</v>
      </c>
      <c r="B817" s="1" t="str">
        <f>IFERROR(__xludf.DUMMYFUNCTION("""COMPUTED_VALUE"""),"Berkshire")</f>
        <v>Berkshire</v>
      </c>
      <c r="C817" s="1" t="str">
        <f>IFERROR(__xludf.DUMMYFUNCTION("""COMPUTED_VALUE"""),"Analyst, Debt (Asset Management/Bridge Lending)")</f>
        <v>Analyst, Debt (Asset Management/Bridge Lending)</v>
      </c>
      <c r="D817" s="1" t="str">
        <f>IFERROR(__xludf.DUMMYFUNCTION("""COMPUTED_VALUE"""),"Hybrid")</f>
        <v>Hybrid</v>
      </c>
      <c r="E817" s="1" t="str">
        <f>IFERROR(__xludf.DUMMYFUNCTION("""COMPUTED_VALUE"""),"N/A")</f>
        <v>N/A</v>
      </c>
      <c r="F817" s="1" t="str">
        <f>IFERROR(__xludf.DUMMYFUNCTION("""COMPUTED_VALUE"""),"0 - 2")</f>
        <v>0 - 2</v>
      </c>
      <c r="G817" s="1" t="str">
        <f>IFERROR(__xludf.DUMMYFUNCTION("""COMPUTED_VALUE"""),"Dallas, TX")</f>
        <v>Dallas, TX</v>
      </c>
      <c r="H817" s="4" t="str">
        <f>IFERROR(__xludf.DUMMYFUNCTION("""COMPUTED_VALUE"""),"https://www.linkedin.com/posts/michael-watrous-6161345_im-hiring-message-me-to-learn-more-check-activity-7230195425469685760-ujNX?utm_source=share&amp;utm_medium=member_desktop")</f>
        <v>https://www.linkedin.com/posts/michael-watrous-6161345_im-hiring-message-me-to-learn-more-check-activity-7230195425469685760-ujNX?utm_source=share&amp;utm_medium=member_desktop</v>
      </c>
    </row>
    <row r="818">
      <c r="A818" s="2">
        <f>IFERROR(__xludf.DUMMYFUNCTION("""COMPUTED_VALUE"""),45522.0)</f>
        <v>45522</v>
      </c>
      <c r="B818" s="1" t="str">
        <f>IFERROR(__xludf.DUMMYFUNCTION("""COMPUTED_VALUE"""),"Kellermeyer Bergensons Services")</f>
        <v>Kellermeyer Bergensons Services</v>
      </c>
      <c r="C818" s="1" t="str">
        <f>IFERROR(__xludf.DUMMYFUNCTION("""COMPUTED_VALUE"""),"Pricing Analyst (remote)")</f>
        <v>Pricing Analyst (remote)</v>
      </c>
      <c r="D818" s="1" t="str">
        <f>IFERROR(__xludf.DUMMYFUNCTION("""COMPUTED_VALUE"""),"Remote")</f>
        <v>Remote</v>
      </c>
      <c r="E818" s="1" t="str">
        <f>IFERROR(__xludf.DUMMYFUNCTION("""COMPUTED_VALUE"""),"$75k - $90k")</f>
        <v>$75k - $90k</v>
      </c>
      <c r="F818" s="1" t="str">
        <f>IFERROR(__xludf.DUMMYFUNCTION("""COMPUTED_VALUE"""),"0 - 2")</f>
        <v>0 - 2</v>
      </c>
      <c r="G818" s="1" t="str">
        <f>IFERROR(__xludf.DUMMYFUNCTION("""COMPUTED_VALUE"""),"USA")</f>
        <v>USA</v>
      </c>
      <c r="H818" s="4" t="str">
        <f>IFERROR(__xludf.DUMMYFUNCTION("""COMPUTED_VALUE"""),"https://www.linkedin.com/posts/grant-warren-harrington_pricing-analyst-remote-kellermeyer-bergensons-activity-7229978336016408576-eBB3?utm_source=share&amp;utm_medium=member_desktop")</f>
        <v>https://www.linkedin.com/posts/grant-warren-harrington_pricing-analyst-remote-kellermeyer-bergensons-activity-7229978336016408576-eBB3?utm_source=share&amp;utm_medium=member_desktop</v>
      </c>
    </row>
    <row r="819">
      <c r="A819" s="2">
        <f>IFERROR(__xludf.DUMMYFUNCTION("""COMPUTED_VALUE"""),45522.0)</f>
        <v>45522</v>
      </c>
      <c r="B819" s="1" t="str">
        <f>IFERROR(__xludf.DUMMYFUNCTION("""COMPUTED_VALUE"""),"Tripwire Interactive")</f>
        <v>Tripwire Interactive</v>
      </c>
      <c r="C819" s="1" t="str">
        <f>IFERROR(__xludf.DUMMYFUNCTION("""COMPUTED_VALUE"""),"Senior Financial Analyst")</f>
        <v>Senior Financial Analyst</v>
      </c>
      <c r="D819" s="1" t="str">
        <f>IFERROR(__xludf.DUMMYFUNCTION("""COMPUTED_VALUE"""),"Remote")</f>
        <v>Remote</v>
      </c>
      <c r="E819" s="1" t="str">
        <f>IFERROR(__xludf.DUMMYFUNCTION("""COMPUTED_VALUE"""),"$85k")</f>
        <v>$85k</v>
      </c>
      <c r="F819" s="1" t="str">
        <f>IFERROR(__xludf.DUMMYFUNCTION("""COMPUTED_VALUE"""),"3 - 5")</f>
        <v>3 - 5</v>
      </c>
      <c r="G819" s="1" t="str">
        <f>IFERROR(__xludf.DUMMYFUNCTION("""COMPUTED_VALUE"""),"USA")</f>
        <v>USA</v>
      </c>
      <c r="H819" s="4" t="str">
        <f>IFERROR(__xludf.DUMMYFUNCTION("""COMPUTED_VALUE"""),"https://www.linkedin.com/posts/veronica-ochieng_im-hiring-looking-to-add-a-sr-financial-activity-7229601727044354048-lLDe?utm_source=share&amp;utm_medium=member_desktop")</f>
        <v>https://www.linkedin.com/posts/veronica-ochieng_im-hiring-looking-to-add-a-sr-financial-activity-7229601727044354048-lLDe?utm_source=share&amp;utm_medium=member_desktop</v>
      </c>
    </row>
    <row r="820">
      <c r="A820" s="2">
        <f>IFERROR(__xludf.DUMMYFUNCTION("""COMPUTED_VALUE"""),45522.0)</f>
        <v>45522</v>
      </c>
      <c r="B820" s="1" t="str">
        <f>IFERROR(__xludf.DUMMYFUNCTION("""COMPUTED_VALUE"""),"Square")</f>
        <v>Square</v>
      </c>
      <c r="C820" s="1" t="str">
        <f>IFERROR(__xludf.DUMMYFUNCTION("""COMPUTED_VALUE"""),"Senior Data Scientist, Risk")</f>
        <v>Senior Data Scientist, Risk</v>
      </c>
      <c r="D820" s="1" t="str">
        <f>IFERROR(__xludf.DUMMYFUNCTION("""COMPUTED_VALUE"""),"Remote")</f>
        <v>Remote</v>
      </c>
      <c r="E820" s="1" t="str">
        <f>IFERROR(__xludf.DUMMYFUNCTION("""COMPUTED_VALUE"""),"$121k - $213k")</f>
        <v>$121k - $213k</v>
      </c>
      <c r="F820" s="1" t="str">
        <f>IFERROR(__xludf.DUMMYFUNCTION("""COMPUTED_VALUE"""),"3 - 5")</f>
        <v>3 - 5</v>
      </c>
      <c r="G820" s="1" t="str">
        <f>IFERROR(__xludf.DUMMYFUNCTION("""COMPUTED_VALUE"""),"USA")</f>
        <v>USA</v>
      </c>
      <c r="H820" s="4" t="str">
        <f>IFERROR(__xludf.DUMMYFUNCTION("""COMPUTED_VALUE"""),"https://www.linkedin.com/posts/jessicagray_senior-data-scientist-risk-activity-7230291629884989441-vdTy?utm_source=share&amp;utm_medium=member_desktop")</f>
        <v>https://www.linkedin.com/posts/jessicagray_senior-data-scientist-risk-activity-7230291629884989441-vdTy?utm_source=share&amp;utm_medium=member_desktop</v>
      </c>
    </row>
    <row r="821">
      <c r="A821" s="2">
        <f>IFERROR(__xludf.DUMMYFUNCTION("""COMPUTED_VALUE"""),45522.0)</f>
        <v>45522</v>
      </c>
      <c r="B821" s="1" t="str">
        <f>IFERROR(__xludf.DUMMYFUNCTION("""COMPUTED_VALUE"""),"Mars")</f>
        <v>Mars</v>
      </c>
      <c r="C821" s="1" t="str">
        <f>IFERROR(__xludf.DUMMYFUNCTION("""COMPUTED_VALUE"""),"Business Insights Analyst")</f>
        <v>Business Insights Analyst</v>
      </c>
      <c r="D821" s="1" t="str">
        <f>IFERROR(__xludf.DUMMYFUNCTION("""COMPUTED_VALUE"""),"Hybrid")</f>
        <v>Hybrid</v>
      </c>
      <c r="E821" s="1" t="str">
        <f>IFERROR(__xludf.DUMMYFUNCTION("""COMPUTED_VALUE"""),"N/A")</f>
        <v>N/A</v>
      </c>
      <c r="F821" s="1" t="str">
        <f>IFERROR(__xludf.DUMMYFUNCTION("""COMPUTED_VALUE"""),"0 - 2")</f>
        <v>0 - 2</v>
      </c>
      <c r="G821" s="1" t="str">
        <f>IFERROR(__xludf.DUMMYFUNCTION("""COMPUTED_VALUE"""),"Franklin, TN")</f>
        <v>Franklin, TN</v>
      </c>
      <c r="H821" s="4" t="str">
        <f>IFERROR(__xludf.DUMMYFUNCTION("""COMPUTED_VALUE"""),"https://www.linkedin.com/posts/michael-mackezyk-594541158_hiring-activity-7229950639164862465-luMM?utm_source=share&amp;utm_medium=member_desktop")</f>
        <v>https://www.linkedin.com/posts/michael-mackezyk-594541158_hiring-activity-7229950639164862465-luMM?utm_source=share&amp;utm_medium=member_desktop</v>
      </c>
    </row>
    <row r="822">
      <c r="A822" s="2">
        <f>IFERROR(__xludf.DUMMYFUNCTION("""COMPUTED_VALUE"""),45522.0)</f>
        <v>45522</v>
      </c>
      <c r="B822" s="1" t="str">
        <f>IFERROR(__xludf.DUMMYFUNCTION("""COMPUTED_VALUE"""),"Ryan")</f>
        <v>Ryan</v>
      </c>
      <c r="C822" s="1" t="str">
        <f>IFERROR(__xludf.DUMMYFUNCTION("""COMPUTED_VALUE"""),"Senior Analyst, Financial Planning &amp; Analysis")</f>
        <v>Senior Analyst, Financial Planning &amp; Analysis</v>
      </c>
      <c r="D822" s="1" t="str">
        <f>IFERROR(__xludf.DUMMYFUNCTION("""COMPUTED_VALUE"""),"Remote")</f>
        <v>Remote</v>
      </c>
      <c r="E822" s="1" t="str">
        <f>IFERROR(__xludf.DUMMYFUNCTION("""COMPUTED_VALUE"""),"$90k - $123k")</f>
        <v>$90k - $123k</v>
      </c>
      <c r="F822" s="1" t="str">
        <f>IFERROR(__xludf.DUMMYFUNCTION("""COMPUTED_VALUE"""),"3 - 5")</f>
        <v>3 - 5</v>
      </c>
      <c r="G822" s="1" t="str">
        <f>IFERROR(__xludf.DUMMYFUNCTION("""COMPUTED_VALUE"""),"USA")</f>
        <v>USA</v>
      </c>
      <c r="H822" s="4" t="str">
        <f>IFERROR(__xludf.DUMMYFUNCTION("""COMPUTED_VALUE"""),"https://www.linkedin.com/posts/danielleirwin214_senior-analyst-financial-planning-analysis-activity-7229875648163373059-KghT?utm_source=share&amp;utm_medium=member_desktop")</f>
        <v>https://www.linkedin.com/posts/danielleirwin214_senior-analyst-financial-planning-analysis-activity-7229875648163373059-KghT?utm_source=share&amp;utm_medium=member_desktop</v>
      </c>
    </row>
    <row r="823">
      <c r="A823" s="2">
        <f>IFERROR(__xludf.DUMMYFUNCTION("""COMPUTED_VALUE"""),45522.0)</f>
        <v>45522</v>
      </c>
      <c r="B823" s="1" t="str">
        <f>IFERROR(__xludf.DUMMYFUNCTION("""COMPUTED_VALUE"""),"Fluence")</f>
        <v>Fluence</v>
      </c>
      <c r="C823" s="1" t="str">
        <f>IFERROR(__xludf.DUMMYFUNCTION("""COMPUTED_VALUE"""),"Market Analyst-Strategic Growth")</f>
        <v>Market Analyst-Strategic Growth</v>
      </c>
      <c r="D823" s="1" t="str">
        <f>IFERROR(__xludf.DUMMYFUNCTION("""COMPUTED_VALUE"""),"Hybrid")</f>
        <v>Hybrid</v>
      </c>
      <c r="E823" s="1" t="str">
        <f>IFERROR(__xludf.DUMMYFUNCTION("""COMPUTED_VALUE"""),"N/A")</f>
        <v>N/A</v>
      </c>
      <c r="F823" s="1" t="str">
        <f>IFERROR(__xludf.DUMMYFUNCTION("""COMPUTED_VALUE"""),"0 - 2")</f>
        <v>0 - 2</v>
      </c>
      <c r="G823" s="1" t="str">
        <f>IFERROR(__xludf.DUMMYFUNCTION("""COMPUTED_VALUE"""),"Arlington, VA")</f>
        <v>Arlington, VA</v>
      </c>
      <c r="H823" s="4" t="str">
        <f>IFERROR(__xludf.DUMMYFUNCTION("""COMPUTED_VALUE"""),"https://www.linkedin.com/posts/marcelolando_energytransition-fluence-renewableenergycareers-activity-7229924532822650881-Uj56?utm_source=share&amp;utm_medium=member_desktop")</f>
        <v>https://www.linkedin.com/posts/marcelolando_energytransition-fluence-renewableenergycareers-activity-7229924532822650881-Uj56?utm_source=share&amp;utm_medium=member_desktop</v>
      </c>
    </row>
    <row r="824">
      <c r="A824" s="2">
        <f>IFERROR(__xludf.DUMMYFUNCTION("""COMPUTED_VALUE"""),45522.0)</f>
        <v>45522</v>
      </c>
      <c r="B824" s="1" t="str">
        <f>IFERROR(__xludf.DUMMYFUNCTION("""COMPUTED_VALUE"""),"Holland America Line")</f>
        <v>Holland America Line</v>
      </c>
      <c r="C824" s="1" t="str">
        <f>IFERROR(__xludf.DUMMYFUNCTION("""COMPUTED_VALUE"""),"Trade Strategy Planning Analyst")</f>
        <v>Trade Strategy Planning Analyst</v>
      </c>
      <c r="D824" s="1" t="str">
        <f>IFERROR(__xludf.DUMMYFUNCTION("""COMPUTED_VALUE"""),"Hybrid")</f>
        <v>Hybrid</v>
      </c>
      <c r="E824" s="1" t="str">
        <f>IFERROR(__xludf.DUMMYFUNCTION("""COMPUTED_VALUE"""),"$59k - $80k")</f>
        <v>$59k - $80k</v>
      </c>
      <c r="F824" s="1" t="str">
        <f>IFERROR(__xludf.DUMMYFUNCTION("""COMPUTED_VALUE"""),"0 - 2")</f>
        <v>0 - 2</v>
      </c>
      <c r="G824" s="1" t="str">
        <f>IFERROR(__xludf.DUMMYFUNCTION("""COMPUTED_VALUE"""),"Seattle, WA/Miami, FL")</f>
        <v>Seattle, WA/Miami, FL</v>
      </c>
      <c r="H824" s="4" t="str">
        <f>IFERROR(__xludf.DUMMYFUNCTION("""COMPUTED_VALUE"""),"https://www.linkedin.com/posts/joshuadrose1_my-team-is-expanding-and-we-are-looking-to-activity-7230218441587118080-Q0vF?utm_source=share&amp;utm_medium=member_desktop")</f>
        <v>https://www.linkedin.com/posts/joshuadrose1_my-team-is-expanding-and-we-are-looking-to-activity-7230218441587118080-Q0vF?utm_source=share&amp;utm_medium=member_desktop</v>
      </c>
    </row>
    <row r="825">
      <c r="A825" s="2">
        <f>IFERROR(__xludf.DUMMYFUNCTION("""COMPUTED_VALUE"""),45522.0)</f>
        <v>45522</v>
      </c>
      <c r="B825" s="1" t="str">
        <f>IFERROR(__xludf.DUMMYFUNCTION("""COMPUTED_VALUE"""),"Walmart")</f>
        <v>Walmart</v>
      </c>
      <c r="C825" s="1" t="str">
        <f>IFERROR(__xludf.DUMMYFUNCTION("""COMPUTED_VALUE"""),"Senior, Data Analyst")</f>
        <v>Senior, Data Analyst</v>
      </c>
      <c r="D825" s="1" t="str">
        <f>IFERROR(__xludf.DUMMYFUNCTION("""COMPUTED_VALUE"""),"Hybrid")</f>
        <v>Hybrid</v>
      </c>
      <c r="E825" s="1" t="str">
        <f>IFERROR(__xludf.DUMMYFUNCTION("""COMPUTED_VALUE"""),"$80k - $155k")</f>
        <v>$80k - $155k</v>
      </c>
      <c r="F825" s="1" t="str">
        <f>IFERROR(__xludf.DUMMYFUNCTION("""COMPUTED_VALUE"""),"3 - 5")</f>
        <v>3 - 5</v>
      </c>
      <c r="G825" s="1" t="str">
        <f>IFERROR(__xludf.DUMMYFUNCTION("""COMPUTED_VALUE"""),"Bentonville, AR")</f>
        <v>Bentonville, AR</v>
      </c>
      <c r="H825" s="4" t="str">
        <f>IFERROR(__xludf.DUMMYFUNCTION("""COMPUTED_VALUE"""),"https://www.linkedin.com/posts/nick-martin-9437b6160_im-hiring-this-is-an-exciting-opportunity-activity-7231052962553327616-Yhto?utm_source=share&amp;utm_medium=member_desktop")</f>
        <v>https://www.linkedin.com/posts/nick-martin-9437b6160_im-hiring-this-is-an-exciting-opportunity-activity-7231052962553327616-Yhto?utm_source=share&amp;utm_medium=member_desktop</v>
      </c>
    </row>
    <row r="826">
      <c r="A826" s="2">
        <f>IFERROR(__xludf.DUMMYFUNCTION("""COMPUTED_VALUE"""),45522.0)</f>
        <v>45522</v>
      </c>
      <c r="B826" s="1" t="str">
        <f>IFERROR(__xludf.DUMMYFUNCTION("""COMPUTED_VALUE"""),"Fidelity &amp; Guaranty Life Insurance Company")</f>
        <v>Fidelity &amp; Guaranty Life Insurance Company</v>
      </c>
      <c r="C826" s="1" t="str">
        <f>IFERROR(__xludf.DUMMYFUNCTION("""COMPUTED_VALUE"""),"Data Scientist - Retail")</f>
        <v>Data Scientist - Retail</v>
      </c>
      <c r="D826" s="1" t="str">
        <f>IFERROR(__xludf.DUMMYFUNCTION("""COMPUTED_VALUE"""),"Remote")</f>
        <v>Remote</v>
      </c>
      <c r="E826" s="1" t="str">
        <f>IFERROR(__xludf.DUMMYFUNCTION("""COMPUTED_VALUE"""),"N/A")</f>
        <v>N/A</v>
      </c>
      <c r="F826" s="1" t="str">
        <f>IFERROR(__xludf.DUMMYFUNCTION("""COMPUTED_VALUE"""),"6 - 9")</f>
        <v>6 - 9</v>
      </c>
      <c r="G826" s="1" t="str">
        <f>IFERROR(__xludf.DUMMYFUNCTION("""COMPUTED_VALUE"""),"USA")</f>
        <v>USA</v>
      </c>
      <c r="H826" s="4" t="str">
        <f>IFERROR(__xludf.DUMMYFUNCTION("""COMPUTED_VALUE"""),"https://www.linkedin.com/posts/rachel-dines-21b06597_data-scientist-retail-activity-7230669928737951744-wrP1?utm_source=share&amp;utm_medium=member_desktop")</f>
        <v>https://www.linkedin.com/posts/rachel-dines-21b06597_data-scientist-retail-activity-7230669928737951744-wrP1?utm_source=share&amp;utm_medium=member_desktop</v>
      </c>
    </row>
    <row r="827">
      <c r="A827" s="2">
        <f>IFERROR(__xludf.DUMMYFUNCTION("""COMPUTED_VALUE"""),45522.0)</f>
        <v>45522</v>
      </c>
      <c r="B827" s="1" t="str">
        <f>IFERROR(__xludf.DUMMYFUNCTION("""COMPUTED_VALUE"""),"WM")</f>
        <v>WM</v>
      </c>
      <c r="C827" s="1" t="str">
        <f>IFERROR(__xludf.DUMMYFUNCTION("""COMPUTED_VALUE"""),"Senior Financial Analyst - Investor Relations")</f>
        <v>Senior Financial Analyst - Investor Relations</v>
      </c>
      <c r="D827" s="1" t="str">
        <f>IFERROR(__xludf.DUMMYFUNCTION("""COMPUTED_VALUE"""),"Hybrid")</f>
        <v>Hybrid</v>
      </c>
      <c r="E827" s="1" t="str">
        <f>IFERROR(__xludf.DUMMYFUNCTION("""COMPUTED_VALUE"""),"N/A")</f>
        <v>N/A</v>
      </c>
      <c r="F827" s="1" t="str">
        <f>IFERROR(__xludf.DUMMYFUNCTION("""COMPUTED_VALUE"""),"3 - 5")</f>
        <v>3 - 5</v>
      </c>
      <c r="G827" s="1" t="str">
        <f>IFERROR(__xludf.DUMMYFUNCTION("""COMPUTED_VALUE"""),"Houston, TX")</f>
        <v>Houston, TX</v>
      </c>
      <c r="H827" s="4" t="str">
        <f>IFERROR(__xludf.DUMMYFUNCTION("""COMPUTED_VALUE"""),"https://www.linkedin.com/posts/dana-hunsucker-b331195_senior-financial-analyst-investor-relations-activity-7231025998358536192-mYJo?utm_source=share&amp;utm_medium=member_desktop")</f>
        <v>https://www.linkedin.com/posts/dana-hunsucker-b331195_senior-financial-analyst-investor-relations-activity-7231025998358536192-mYJo?utm_source=share&amp;utm_medium=member_desktop</v>
      </c>
    </row>
    <row r="828">
      <c r="A828" s="2">
        <f>IFERROR(__xludf.DUMMYFUNCTION("""COMPUTED_VALUE"""),45522.0)</f>
        <v>45522</v>
      </c>
      <c r="B828" s="1" t="str">
        <f>IFERROR(__xludf.DUMMYFUNCTION("""COMPUTED_VALUE"""),"Brighthouse Financial")</f>
        <v>Brighthouse Financial</v>
      </c>
      <c r="C828" s="1" t="str">
        <f>IFERROR(__xludf.DUMMYFUNCTION("""COMPUTED_VALUE"""),"Marketing Campaign Analyst (Charlotte, NC (Hybrid) or Remote)")</f>
        <v>Marketing Campaign Analyst (Charlotte, NC (Hybrid) or Remote)</v>
      </c>
      <c r="D828" s="1" t="str">
        <f>IFERROR(__xludf.DUMMYFUNCTION("""COMPUTED_VALUE"""),"Remote")</f>
        <v>Remote</v>
      </c>
      <c r="E828" s="1" t="str">
        <f>IFERROR(__xludf.DUMMYFUNCTION("""COMPUTED_VALUE"""),"$50k - $65k")</f>
        <v>$50k - $65k</v>
      </c>
      <c r="F828" s="1" t="str">
        <f>IFERROR(__xludf.DUMMYFUNCTION("""COMPUTED_VALUE"""),"0 - 2")</f>
        <v>0 - 2</v>
      </c>
      <c r="G828" s="1" t="str">
        <f>IFERROR(__xludf.DUMMYFUNCTION("""COMPUTED_VALUE"""),"USA")</f>
        <v>USA</v>
      </c>
      <c r="H828" s="4" t="str">
        <f>IFERROR(__xludf.DUMMYFUNCTION("""COMPUTED_VALUE"""),"https://www.linkedin.com/posts/activity-7231012072581480451-i9_a?utm_source=share&amp;utm_medium=member_desktop")</f>
        <v>https://www.linkedin.com/posts/activity-7231012072581480451-i9_a?utm_source=share&amp;utm_medium=member_desktop</v>
      </c>
    </row>
    <row r="829">
      <c r="A829" s="2">
        <f>IFERROR(__xludf.DUMMYFUNCTION("""COMPUTED_VALUE"""),45522.0)</f>
        <v>45522</v>
      </c>
      <c r="B829" s="1" t="str">
        <f>IFERROR(__xludf.DUMMYFUNCTION("""COMPUTED_VALUE"""),"Spero Technology")</f>
        <v>Spero Technology</v>
      </c>
      <c r="C829" s="1" t="str">
        <f>IFERROR(__xludf.DUMMYFUNCTION("""COMPUTED_VALUE"""),"Senior Financial Analyst")</f>
        <v>Senior Financial Analyst</v>
      </c>
      <c r="D829" s="1" t="str">
        <f>IFERROR(__xludf.DUMMYFUNCTION("""COMPUTED_VALUE"""),"Hybrid")</f>
        <v>Hybrid</v>
      </c>
      <c r="E829" s="1" t="str">
        <f>IFERROR(__xludf.DUMMYFUNCTION("""COMPUTED_VALUE"""),"$80k - $90k")</f>
        <v>$80k - $90k</v>
      </c>
      <c r="F829" s="1" t="str">
        <f>IFERROR(__xludf.DUMMYFUNCTION("""COMPUTED_VALUE"""),"3 - 5")</f>
        <v>3 - 5</v>
      </c>
      <c r="G829" s="1" t="str">
        <f>IFERROR(__xludf.DUMMYFUNCTION("""COMPUTED_VALUE"""),"Irving, TX")</f>
        <v>Irving, TX</v>
      </c>
      <c r="H829" s="4" t="str">
        <f>IFERROR(__xludf.DUMMYFUNCTION("""COMPUTED_VALUE"""),"https://www.linkedin.com/posts/anthonypatricio_our-team-is-currently-seeking-a-senior-financial-activity-7231022103280410624-N1yy?utm_source=share&amp;utm_medium=member_desktop")</f>
        <v>https://www.linkedin.com/posts/anthonypatricio_our-team-is-currently-seeking-a-senior-financial-activity-7231022103280410624-N1yy?utm_source=share&amp;utm_medium=member_desktop</v>
      </c>
    </row>
    <row r="830">
      <c r="A830" s="2">
        <f>IFERROR(__xludf.DUMMYFUNCTION("""COMPUTED_VALUE"""),45522.0)</f>
        <v>45522</v>
      </c>
      <c r="B830" s="1" t="str">
        <f>IFERROR(__xludf.DUMMYFUNCTION("""COMPUTED_VALUE"""),"Sched")</f>
        <v>Sched</v>
      </c>
      <c r="C830" s="1" t="str">
        <f>IFERROR(__xludf.DUMMYFUNCTION("""COMPUTED_VALUE"""),"Data Analyst")</f>
        <v>Data Analyst</v>
      </c>
      <c r="D830" s="1" t="str">
        <f>IFERROR(__xludf.DUMMYFUNCTION("""COMPUTED_VALUE"""),"Remote")</f>
        <v>Remote</v>
      </c>
      <c r="E830" s="1" t="str">
        <f>IFERROR(__xludf.DUMMYFUNCTION("""COMPUTED_VALUE"""),"$70k - $90k")</f>
        <v>$70k - $90k</v>
      </c>
      <c r="F830" s="1" t="str">
        <f>IFERROR(__xludf.DUMMYFUNCTION("""COMPUTED_VALUE"""),"0 - 2")</f>
        <v>0 - 2</v>
      </c>
      <c r="G830" s="1" t="str">
        <f>IFERROR(__xludf.DUMMYFUNCTION("""COMPUTED_VALUE"""),"Global")</f>
        <v>Global</v>
      </c>
      <c r="H830" s="4" t="str">
        <f>IFERROR(__xludf.DUMMYFUNCTION("""COMPUTED_VALUE"""),"https://www.linkedin.com/posts/itsmemichellethompson_dataanalyst-datascience-datajobs-activity-7230744309854076929-nUAF?utm_source=share&amp;utm_medium=member_desktop")</f>
        <v>https://www.linkedin.com/posts/itsmemichellethompson_dataanalyst-datascience-datajobs-activity-7230744309854076929-nUAF?utm_source=share&amp;utm_medium=member_desktop</v>
      </c>
    </row>
    <row r="831">
      <c r="A831" s="2">
        <f>IFERROR(__xludf.DUMMYFUNCTION("""COMPUTED_VALUE"""),45522.0)</f>
        <v>45522</v>
      </c>
      <c r="B831" s="1" t="str">
        <f>IFERROR(__xludf.DUMMYFUNCTION("""COMPUTED_VALUE"""),"United")</f>
        <v>United</v>
      </c>
      <c r="C831" s="1" t="str">
        <f>IFERROR(__xludf.DUMMYFUNCTION("""COMPUTED_VALUE"""),"Manager - Loyalty and Marketing Data Analytics (Hybrid)")</f>
        <v>Manager - Loyalty and Marketing Data Analytics (Hybrid)</v>
      </c>
      <c r="D831" s="1" t="str">
        <f>IFERROR(__xludf.DUMMYFUNCTION("""COMPUTED_VALUE"""),"Hybrid")</f>
        <v>Hybrid</v>
      </c>
      <c r="E831" s="1" t="str">
        <f>IFERROR(__xludf.DUMMYFUNCTION("""COMPUTED_VALUE"""),"N/A")</f>
        <v>N/A</v>
      </c>
      <c r="F831" s="1" t="str">
        <f>IFERROR(__xludf.DUMMYFUNCTION("""COMPUTED_VALUE"""),"3 - 5")</f>
        <v>3 - 5</v>
      </c>
      <c r="G831" s="1" t="str">
        <f>IFERROR(__xludf.DUMMYFUNCTION("""COMPUTED_VALUE"""),"Chicago, IL")</f>
        <v>Chicago, IL</v>
      </c>
      <c r="H831" s="4" t="str">
        <f>IFERROR(__xludf.DUMMYFUNCTION("""COMPUTED_VALUE"""),"https://www.linkedin.com/posts/melissa-mahoney-78bba86b_manager-loyalty-and-marketing-data-analytics-activity-7230924034220158976-oPL2?utm_source=share&amp;utm_medium=member_desktop")</f>
        <v>https://www.linkedin.com/posts/melissa-mahoney-78bba86b_manager-loyalty-and-marketing-data-analytics-activity-7230924034220158976-oPL2?utm_source=share&amp;utm_medium=member_desktop</v>
      </c>
    </row>
    <row r="832">
      <c r="A832" s="2">
        <f>IFERROR(__xludf.DUMMYFUNCTION("""COMPUTED_VALUE"""),45522.0)</f>
        <v>45522</v>
      </c>
      <c r="B832" s="1" t="str">
        <f>IFERROR(__xludf.DUMMYFUNCTION("""COMPUTED_VALUE"""),"LTK")</f>
        <v>LTK</v>
      </c>
      <c r="C832" s="1" t="str">
        <f>IFERROR(__xludf.DUMMYFUNCTION("""COMPUTED_VALUE"""),"Team Lead, Insights &amp; Analytics")</f>
        <v>Team Lead, Insights &amp; Analytics</v>
      </c>
      <c r="D832" s="1" t="str">
        <f>IFERROR(__xludf.DUMMYFUNCTION("""COMPUTED_VALUE"""),"Remote")</f>
        <v>Remote</v>
      </c>
      <c r="E832" s="1" t="str">
        <f>IFERROR(__xludf.DUMMYFUNCTION("""COMPUTED_VALUE"""),"N/A")</f>
        <v>N/A</v>
      </c>
      <c r="F832" s="1" t="str">
        <f>IFERROR(__xludf.DUMMYFUNCTION("""COMPUTED_VALUE"""),"3 - 5")</f>
        <v>3 - 5</v>
      </c>
      <c r="G832" s="1" t="str">
        <f>IFERROR(__xludf.DUMMYFUNCTION("""COMPUTED_VALUE"""),"USA")</f>
        <v>USA</v>
      </c>
      <c r="H832" s="4" t="str">
        <f>IFERROR(__xludf.DUMMYFUNCTION("""COMPUTED_VALUE"""),"https://www.linkedin.com/posts/activity-7231063762726797312-SO3Q?utm_source=share&amp;utm_medium=member_desktop")</f>
        <v>https://www.linkedin.com/posts/activity-7231063762726797312-SO3Q?utm_source=share&amp;utm_medium=member_desktop</v>
      </c>
    </row>
    <row r="833">
      <c r="A833" s="2">
        <f>IFERROR(__xludf.DUMMYFUNCTION("""COMPUTED_VALUE"""),45522.0)</f>
        <v>45522</v>
      </c>
      <c r="B833" s="1" t="str">
        <f>IFERROR(__xludf.DUMMYFUNCTION("""COMPUTED_VALUE"""),"Interplastic Corporation")</f>
        <v>Interplastic Corporation</v>
      </c>
      <c r="C833" s="1" t="str">
        <f>IFERROR(__xludf.DUMMYFUNCTION("""COMPUTED_VALUE"""),"Manager, Supply Chain Analytics")</f>
        <v>Manager, Supply Chain Analytics</v>
      </c>
      <c r="D833" s="1" t="str">
        <f>IFERROR(__xludf.DUMMYFUNCTION("""COMPUTED_VALUE"""),"Hybrid")</f>
        <v>Hybrid</v>
      </c>
      <c r="E833" s="1" t="str">
        <f>IFERROR(__xludf.DUMMYFUNCTION("""COMPUTED_VALUE"""),"N/A")</f>
        <v>N/A</v>
      </c>
      <c r="F833" s="1" t="str">
        <f>IFERROR(__xludf.DUMMYFUNCTION("""COMPUTED_VALUE"""),"10 +")</f>
        <v>10 +</v>
      </c>
      <c r="G833" s="1" t="str">
        <f>IFERROR(__xludf.DUMMYFUNCTION("""COMPUTED_VALUE"""),"St. Paul, MN")</f>
        <v>St. Paul, MN</v>
      </c>
      <c r="H833" s="4" t="str">
        <f>IFERROR(__xludf.DUMMYFUNCTION("""COMPUTED_VALUE"""),"https://www.linkedin.com/posts/carol-altshuler-72b676_supplychain-logistics-activity-7230207367252959232-FIQr?utm_source=share&amp;utm_medium=member_desktop")</f>
        <v>https://www.linkedin.com/posts/carol-altshuler-72b676_supplychain-logistics-activity-7230207367252959232-FIQr?utm_source=share&amp;utm_medium=member_desktop</v>
      </c>
    </row>
    <row r="834">
      <c r="A834" s="2">
        <f>IFERROR(__xludf.DUMMYFUNCTION("""COMPUTED_VALUE"""),45522.0)</f>
        <v>45522</v>
      </c>
      <c r="B834" s="1" t="str">
        <f>IFERROR(__xludf.DUMMYFUNCTION("""COMPUTED_VALUE"""),"JPMorganChase")</f>
        <v>JPMorganChase</v>
      </c>
      <c r="C834" s="1" t="str">
        <f>IFERROR(__xludf.DUMMYFUNCTION("""COMPUTED_VALUE"""),"Quant Analytics Manager")</f>
        <v>Quant Analytics Manager</v>
      </c>
      <c r="D834" s="1" t="str">
        <f>IFERROR(__xludf.DUMMYFUNCTION("""COMPUTED_VALUE"""),"Hybrid")</f>
        <v>Hybrid</v>
      </c>
      <c r="E834" s="1" t="str">
        <f>IFERROR(__xludf.DUMMYFUNCTION("""COMPUTED_VALUE"""),"N/A")</f>
        <v>N/A</v>
      </c>
      <c r="F834" s="1" t="str">
        <f>IFERROR(__xludf.DUMMYFUNCTION("""COMPUTED_VALUE"""),"10 +")</f>
        <v>10 +</v>
      </c>
      <c r="G834" s="1" t="str">
        <f>IFERROR(__xludf.DUMMYFUNCTION("""COMPUTED_VALUE"""),"Columbus, OH")</f>
        <v>Columbus, OH</v>
      </c>
      <c r="H834" s="4" t="str">
        <f>IFERROR(__xludf.DUMMYFUNCTION("""COMPUTED_VALUE"""),"https://www.linkedin.com/posts/ashwini-laguduva-890535b_quant-analytics-manager-activity-7230313879182983168-7yl0?utm_source=share&amp;utm_medium=member_desktop")</f>
        <v>https://www.linkedin.com/posts/ashwini-laguduva-890535b_quant-analytics-manager-activity-7230313879182983168-7yl0?utm_source=share&amp;utm_medium=member_desktop</v>
      </c>
    </row>
    <row r="835">
      <c r="A835" s="2">
        <f>IFERROR(__xludf.DUMMYFUNCTION("""COMPUTED_VALUE"""),45522.0)</f>
        <v>45522</v>
      </c>
      <c r="B835" s="1" t="str">
        <f>IFERROR(__xludf.DUMMYFUNCTION("""COMPUTED_VALUE"""),"Green Key Resources")</f>
        <v>Green Key Resources</v>
      </c>
      <c r="C835" s="1" t="str">
        <f>IFERROR(__xludf.DUMMYFUNCTION("""COMPUTED_VALUE"""),"Performance Analyst")</f>
        <v>Performance Analyst</v>
      </c>
      <c r="D835" s="1" t="str">
        <f>IFERROR(__xludf.DUMMYFUNCTION("""COMPUTED_VALUE"""),"Hybrid")</f>
        <v>Hybrid</v>
      </c>
      <c r="E835" s="1" t="str">
        <f>IFERROR(__xludf.DUMMYFUNCTION("""COMPUTED_VALUE"""),"$130k - $160k")</f>
        <v>$130k - $160k</v>
      </c>
      <c r="F835" s="1" t="str">
        <f>IFERROR(__xludf.DUMMYFUNCTION("""COMPUTED_VALUE"""),"3 - 5")</f>
        <v>3 - 5</v>
      </c>
      <c r="G835" s="1" t="str">
        <f>IFERROR(__xludf.DUMMYFUNCTION("""COMPUTED_VALUE"""),"New York, NY")</f>
        <v>New York, NY</v>
      </c>
      <c r="H835" s="4" t="str">
        <f>IFERROR(__xludf.DUMMYFUNCTION("""COMPUTED_VALUE"""),"https://www.linkedin.com/posts/michael-zubel-02356715_great-opportunity-private-credit-firm-in-activity-7231027075606794241-E7gL?utm_source=share&amp;utm_medium=member_desktop")</f>
        <v>https://www.linkedin.com/posts/michael-zubel-02356715_great-opportunity-private-credit-firm-in-activity-7231027075606794241-E7gL?utm_source=share&amp;utm_medium=member_desktop</v>
      </c>
    </row>
    <row r="836">
      <c r="A836" s="2">
        <f>IFERROR(__xludf.DUMMYFUNCTION("""COMPUTED_VALUE"""),45522.0)</f>
        <v>45522</v>
      </c>
      <c r="B836" s="1" t="str">
        <f>IFERROR(__xludf.DUMMYFUNCTION("""COMPUTED_VALUE"""),"Walmart")</f>
        <v>Walmart</v>
      </c>
      <c r="C836" s="1" t="str">
        <f>IFERROR(__xludf.DUMMYFUNCTION("""COMPUTED_VALUE"""),"Senior Analyst, Supply Chain Management")</f>
        <v>Senior Analyst, Supply Chain Management</v>
      </c>
      <c r="D836" s="1" t="str">
        <f>IFERROR(__xludf.DUMMYFUNCTION("""COMPUTED_VALUE"""),"Hybrid")</f>
        <v>Hybrid</v>
      </c>
      <c r="E836" s="1" t="str">
        <f>IFERROR(__xludf.DUMMYFUNCTION("""COMPUTED_VALUE"""),"$60k - $110k")</f>
        <v>$60k - $110k</v>
      </c>
      <c r="F836" s="1" t="str">
        <f>IFERROR(__xludf.DUMMYFUNCTION("""COMPUTED_VALUE"""),"3 - 5")</f>
        <v>3 - 5</v>
      </c>
      <c r="G836" s="1" t="str">
        <f>IFERROR(__xludf.DUMMYFUNCTION("""COMPUTED_VALUE"""),"Bentonville, AR")</f>
        <v>Bentonville, AR</v>
      </c>
      <c r="H836" s="4" t="str">
        <f>IFERROR(__xludf.DUMMYFUNCTION("""COMPUTED_VALUE"""),"https://www.linkedin.com/posts/laquita-hardin-0978b2214_senior-analyst-supply-chain-management-activity-7230320502978846720-1dkQ?utm_source=share&amp;utm_medium=member_desktop")</f>
        <v>https://www.linkedin.com/posts/laquita-hardin-0978b2214_senior-analyst-supply-chain-management-activity-7230320502978846720-1dkQ?utm_source=share&amp;utm_medium=member_desktop</v>
      </c>
    </row>
    <row r="837">
      <c r="A837" s="2">
        <f>IFERROR(__xludf.DUMMYFUNCTION("""COMPUTED_VALUE"""),45522.0)</f>
        <v>45522</v>
      </c>
      <c r="B837" s="1" t="str">
        <f>IFERROR(__xludf.DUMMYFUNCTION("""COMPUTED_VALUE"""),"Pilgrim’s")</f>
        <v>Pilgrim’s</v>
      </c>
      <c r="C837" s="1" t="str">
        <f>IFERROR(__xludf.DUMMYFUNCTION("""COMPUTED_VALUE"""),"Senior Manager of Reporting &amp; Analytics")</f>
        <v>Senior Manager of Reporting &amp; Analytics</v>
      </c>
      <c r="D837" s="1" t="str">
        <f>IFERROR(__xludf.DUMMYFUNCTION("""COMPUTED_VALUE"""),"On-Site")</f>
        <v>On-Site</v>
      </c>
      <c r="E837" s="1" t="str">
        <f>IFERROR(__xludf.DUMMYFUNCTION("""COMPUTED_VALUE"""),"$86k - $120k")</f>
        <v>$86k - $120k</v>
      </c>
      <c r="F837" s="1" t="str">
        <f>IFERROR(__xludf.DUMMYFUNCTION("""COMPUTED_VALUE"""),"3 - 5")</f>
        <v>3 - 5</v>
      </c>
      <c r="G837" s="1" t="str">
        <f>IFERROR(__xludf.DUMMYFUNCTION("""COMPUTED_VALUE"""),"Greeley, CO")</f>
        <v>Greeley, CO</v>
      </c>
      <c r="H837" s="4" t="str">
        <f>IFERROR(__xludf.DUMMYFUNCTION("""COMPUTED_VALUE"""),"https://www.linkedin.com/posts/sierrahkim_senior-manager-of-reporting-and-analytics-activity-7230915422978465793-AH_2?utm_source=share&amp;utm_medium=member_desktop")</f>
        <v>https://www.linkedin.com/posts/sierrahkim_senior-manager-of-reporting-and-analytics-activity-7230915422978465793-AH_2?utm_source=share&amp;utm_medium=member_desktop</v>
      </c>
    </row>
    <row r="838">
      <c r="A838" s="2">
        <f>IFERROR(__xludf.DUMMYFUNCTION("""COMPUTED_VALUE"""),45522.0)</f>
        <v>45522</v>
      </c>
      <c r="B838" s="1" t="str">
        <f>IFERROR(__xludf.DUMMYFUNCTION("""COMPUTED_VALUE"""),"Hanwha Q CELLS America Inc.")</f>
        <v>Hanwha Q CELLS America Inc.</v>
      </c>
      <c r="C838" s="1" t="str">
        <f>IFERROR(__xludf.DUMMYFUNCTION("""COMPUTED_VALUE"""),"Senior Analyst Credit Risk Analytics")</f>
        <v>Senior Analyst Credit Risk Analytics</v>
      </c>
      <c r="D838" s="1" t="str">
        <f>IFERROR(__xludf.DUMMYFUNCTION("""COMPUTED_VALUE"""),"Remote")</f>
        <v>Remote</v>
      </c>
      <c r="E838" s="1" t="str">
        <f>IFERROR(__xludf.DUMMYFUNCTION("""COMPUTED_VALUE"""),"N/A")</f>
        <v>N/A</v>
      </c>
      <c r="F838" s="1" t="str">
        <f>IFERROR(__xludf.DUMMYFUNCTION("""COMPUTED_VALUE"""),"3 - 5")</f>
        <v>3 - 5</v>
      </c>
      <c r="G838" s="1" t="str">
        <f>IFERROR(__xludf.DUMMYFUNCTION("""COMPUTED_VALUE"""),"USA")</f>
        <v>USA</v>
      </c>
      <c r="H838" s="4" t="str">
        <f>IFERROR(__xludf.DUMMYFUNCTION("""COMPUTED_VALUE"""),"https://www.linkedin.com/posts/timothy-peters-ba3a4a2a1_senior-analyst-credit-risk-analytics-activity-7231005330229383168-op7V?utm_source=share&amp;utm_medium=member_desktop")</f>
        <v>https://www.linkedin.com/posts/timothy-peters-ba3a4a2a1_senior-analyst-credit-risk-analytics-activity-7231005330229383168-op7V?utm_source=share&amp;utm_medium=member_desktop</v>
      </c>
    </row>
    <row r="839">
      <c r="A839" s="2">
        <f>IFERROR(__xludf.DUMMYFUNCTION("""COMPUTED_VALUE"""),45522.0)</f>
        <v>45522</v>
      </c>
      <c r="B839" s="1" t="str">
        <f>IFERROR(__xludf.DUMMYFUNCTION("""COMPUTED_VALUE"""),"Demandbase")</f>
        <v>Demandbase</v>
      </c>
      <c r="C839" s="1" t="str">
        <f>IFERROR(__xludf.DUMMYFUNCTION("""COMPUTED_VALUE"""),"Analytics Consultant")</f>
        <v>Analytics Consultant</v>
      </c>
      <c r="D839" s="1" t="str">
        <f>IFERROR(__xludf.DUMMYFUNCTION("""COMPUTED_VALUE"""),"Remote")</f>
        <v>Remote</v>
      </c>
      <c r="E839" s="1" t="str">
        <f>IFERROR(__xludf.DUMMYFUNCTION("""COMPUTED_VALUE"""),"$85k - $150k")</f>
        <v>$85k - $150k</v>
      </c>
      <c r="F839" s="1" t="str">
        <f>IFERROR(__xludf.DUMMYFUNCTION("""COMPUTED_VALUE"""),"3 - 5")</f>
        <v>3 - 5</v>
      </c>
      <c r="G839" s="1" t="str">
        <f>IFERROR(__xludf.DUMMYFUNCTION("""COMPUTED_VALUE"""),"USA")</f>
        <v>USA</v>
      </c>
      <c r="H839" s="4" t="str">
        <f>IFERROR(__xludf.DUMMYFUNCTION("""COMPUTED_VALUE"""),"https://www.linkedin.com/posts/alexandra-jansen-pmp-1b3886101_analytics-consultant-activity-7231032352729145344-dzHY?utm_source=share&amp;utm_medium=member_desktop")</f>
        <v>https://www.linkedin.com/posts/alexandra-jansen-pmp-1b3886101_analytics-consultant-activity-7231032352729145344-dzHY?utm_source=share&amp;utm_medium=member_desktop</v>
      </c>
    </row>
    <row r="840">
      <c r="A840" s="2">
        <f>IFERROR(__xludf.DUMMYFUNCTION("""COMPUTED_VALUE"""),45522.0)</f>
        <v>45522</v>
      </c>
      <c r="B840" s="1" t="str">
        <f>IFERROR(__xludf.DUMMYFUNCTION("""COMPUTED_VALUE"""),"Wellpath")</f>
        <v>Wellpath</v>
      </c>
      <c r="C840" s="1" t="str">
        <f>IFERROR(__xludf.DUMMYFUNCTION("""COMPUTED_VALUE"""),"Pricing Analyst")</f>
        <v>Pricing Analyst</v>
      </c>
      <c r="D840" s="1" t="str">
        <f>IFERROR(__xludf.DUMMYFUNCTION("""COMPUTED_VALUE"""),"On-Site")</f>
        <v>On-Site</v>
      </c>
      <c r="E840" s="1" t="str">
        <f>IFERROR(__xludf.DUMMYFUNCTION("""COMPUTED_VALUE"""),"N/A")</f>
        <v>N/A</v>
      </c>
      <c r="F840" s="1" t="str">
        <f>IFERROR(__xludf.DUMMYFUNCTION("""COMPUTED_VALUE"""),"0 - 2")</f>
        <v>0 - 2</v>
      </c>
      <c r="G840" s="1" t="str">
        <f>IFERROR(__xludf.DUMMYFUNCTION("""COMPUTED_VALUE"""),"Nashville, TN")</f>
        <v>Nashville, TN</v>
      </c>
      <c r="H840" s="4" t="str">
        <f>IFERROR(__xludf.DUMMYFUNCTION("""COMPUTED_VALUE"""),"https://www.linkedin.com/posts/activity-7230556676242784256-YYT2?utm_source=share&amp;utm_medium=member_ios")</f>
        <v>https://www.linkedin.com/posts/activity-7230556676242784256-YYT2?utm_source=share&amp;utm_medium=member_ios</v>
      </c>
    </row>
    <row r="841">
      <c r="A841" s="2">
        <f>IFERROR(__xludf.DUMMYFUNCTION("""COMPUTED_VALUE"""),45522.0)</f>
        <v>45522</v>
      </c>
      <c r="B841" s="1" t="str">
        <f>IFERROR(__xludf.DUMMYFUNCTION("""COMPUTED_VALUE"""),"McDermott Will &amp; Emery")</f>
        <v>McDermott Will &amp; Emery</v>
      </c>
      <c r="C841" s="1" t="str">
        <f>IFERROR(__xludf.DUMMYFUNCTION("""COMPUTED_VALUE"""),"Financial Analyst (Strategy)")</f>
        <v>Financial Analyst (Strategy)</v>
      </c>
      <c r="D841" s="1" t="str">
        <f>IFERROR(__xludf.DUMMYFUNCTION("""COMPUTED_VALUE"""),"Hybrid")</f>
        <v>Hybrid</v>
      </c>
      <c r="E841" s="1" t="str">
        <f>IFERROR(__xludf.DUMMYFUNCTION("""COMPUTED_VALUE"""),"N/A")</f>
        <v>N/A</v>
      </c>
      <c r="F841" s="1" t="str">
        <f>IFERROR(__xludf.DUMMYFUNCTION("""COMPUTED_VALUE"""),"0 - 2")</f>
        <v>0 - 2</v>
      </c>
      <c r="G841" s="1" t="str">
        <f>IFERROR(__xludf.DUMMYFUNCTION("""COMPUTED_VALUE"""),"Chicago, IL")</f>
        <v>Chicago, IL</v>
      </c>
      <c r="H841" s="4" t="str">
        <f>IFERROR(__xludf.DUMMYFUNCTION("""COMPUTED_VALUE"""),"https://www.linkedin.com/posts/joannelim_were-hiring-a-financial-analyst-to-join-activity-7230961426280951808-BqLP?utm_source=share&amp;utm_medium=member_ios")</f>
        <v>https://www.linkedin.com/posts/joannelim_were-hiring-a-financial-analyst-to-join-activity-7230961426280951808-BqLP?utm_source=share&amp;utm_medium=member_ios</v>
      </c>
    </row>
    <row r="842">
      <c r="A842" s="2">
        <f>IFERROR(__xludf.DUMMYFUNCTION("""COMPUTED_VALUE"""),45522.0)</f>
        <v>45522</v>
      </c>
      <c r="B842" s="1" t="str">
        <f>IFERROR(__xludf.DUMMYFUNCTION("""COMPUTED_VALUE"""),"James Hardie Building Products")</f>
        <v>James Hardie Building Products</v>
      </c>
      <c r="C842" s="1" t="str">
        <f>IFERROR(__xludf.DUMMYFUNCTION("""COMPUTED_VALUE"""),"Senior Financial Analyst, R&amp;D")</f>
        <v>Senior Financial Analyst, R&amp;D</v>
      </c>
      <c r="D842" s="1" t="str">
        <f>IFERROR(__xludf.DUMMYFUNCTION("""COMPUTED_VALUE"""),"Hybrid")</f>
        <v>Hybrid</v>
      </c>
      <c r="E842" s="1" t="str">
        <f>IFERROR(__xludf.DUMMYFUNCTION("""COMPUTED_VALUE"""),"N/A")</f>
        <v>N/A</v>
      </c>
      <c r="F842" s="1" t="str">
        <f>IFERROR(__xludf.DUMMYFUNCTION("""COMPUTED_VALUE"""),"3 - 5")</f>
        <v>3 - 5</v>
      </c>
      <c r="G842" s="1" t="str">
        <f>IFERROR(__xludf.DUMMYFUNCTION("""COMPUTED_VALUE"""),"Chicago, IL")</f>
        <v>Chicago, IL</v>
      </c>
      <c r="H842" s="4" t="str">
        <f>IFERROR(__xludf.DUMMYFUNCTION("""COMPUTED_VALUE"""),"https://www.linkedin.com/posts/lisadanowski_senior-financial-analyst-rd-in-chicago-activity-7230951015586361344-Y8eS?utm_source=share&amp;utm_medium=member_ios")</f>
        <v>https://www.linkedin.com/posts/lisadanowski_senior-financial-analyst-rd-in-chicago-activity-7230951015586361344-Y8eS?utm_source=share&amp;utm_medium=member_ios</v>
      </c>
    </row>
    <row r="843">
      <c r="A843" s="2">
        <f>IFERROR(__xludf.DUMMYFUNCTION("""COMPUTED_VALUE"""),45522.0)</f>
        <v>45522</v>
      </c>
      <c r="B843" s="1" t="str">
        <f>IFERROR(__xludf.DUMMYFUNCTION("""COMPUTED_VALUE"""),"Gemini")</f>
        <v>Gemini</v>
      </c>
      <c r="C843" s="1" t="str">
        <f>IFERROR(__xludf.DUMMYFUNCTION("""COMPUTED_VALUE"""),"Analyst, Finance Transformation")</f>
        <v>Analyst, Finance Transformation</v>
      </c>
      <c r="D843" s="1" t="str">
        <f>IFERROR(__xludf.DUMMYFUNCTION("""COMPUTED_VALUE"""),"Hybrid")</f>
        <v>Hybrid</v>
      </c>
      <c r="E843" s="1" t="str">
        <f>IFERROR(__xludf.DUMMYFUNCTION("""COMPUTED_VALUE"""),"$66k - $83k")</f>
        <v>$66k - $83k</v>
      </c>
      <c r="F843" s="1" t="str">
        <f>IFERROR(__xludf.DUMMYFUNCTION("""COMPUTED_VALUE"""),"0 - 2")</f>
        <v>0 - 2</v>
      </c>
      <c r="G843" s="1" t="str">
        <f>IFERROR(__xludf.DUMMYFUNCTION("""COMPUTED_VALUE"""),"New York, NY")</f>
        <v>New York, NY</v>
      </c>
      <c r="H843" s="4" t="str">
        <f>IFERROR(__xludf.DUMMYFUNCTION("""COMPUTED_VALUE"""),"https://www.linkedin.com/posts/jayson-%E2%82%BFaker-759b7441_analyst-finance-transformation-activity-7230936479806468097-bo8d?utm_source=share&amp;utm_medium=member_ios")</f>
        <v>https://www.linkedin.com/posts/jayson-%E2%82%BFaker-759b7441_analyst-finance-transformation-activity-7230936479806468097-bo8d?utm_source=share&amp;utm_medium=member_ios</v>
      </c>
    </row>
    <row r="844">
      <c r="A844" s="2">
        <f>IFERROR(__xludf.DUMMYFUNCTION("""COMPUTED_VALUE"""),45522.0)</f>
        <v>45522</v>
      </c>
      <c r="B844" s="1" t="str">
        <f>IFERROR(__xludf.DUMMYFUNCTION("""COMPUTED_VALUE"""),"Provation")</f>
        <v>Provation</v>
      </c>
      <c r="C844" s="1" t="str">
        <f>IFERROR(__xludf.DUMMYFUNCTION("""COMPUTED_VALUE"""),"Marketing Analyst")</f>
        <v>Marketing Analyst</v>
      </c>
      <c r="D844" s="1" t="str">
        <f>IFERROR(__xludf.DUMMYFUNCTION("""COMPUTED_VALUE"""),"Remote")</f>
        <v>Remote</v>
      </c>
      <c r="E844" s="1" t="str">
        <f>IFERROR(__xludf.DUMMYFUNCTION("""COMPUTED_VALUE"""),"$63k -  $117k")</f>
        <v>$63k -  $117k</v>
      </c>
      <c r="F844" s="1" t="str">
        <f>IFERROR(__xludf.DUMMYFUNCTION("""COMPUTED_VALUE"""),"0 - 2")</f>
        <v>0 - 2</v>
      </c>
      <c r="G844" s="1" t="str">
        <f>IFERROR(__xludf.DUMMYFUNCTION("""COMPUTED_VALUE"""),"USA")</f>
        <v>USA</v>
      </c>
      <c r="H844" s="4" t="str">
        <f>IFERROR(__xludf.DUMMYFUNCTION("""COMPUTED_VALUE"""),"https://www.linkedin.com/posts/rachananair_join-our-growing-marketing-team-if-you-are-activity-7230979323892002816-BTda?utm_source=share&amp;utm_medium=member_ios")</f>
        <v>https://www.linkedin.com/posts/rachananair_join-our-growing-marketing-team-if-you-are-activity-7230979323892002816-BTda?utm_source=share&amp;utm_medium=member_ios</v>
      </c>
    </row>
    <row r="845">
      <c r="A845" s="2">
        <f>IFERROR(__xludf.DUMMYFUNCTION("""COMPUTED_VALUE"""),45522.0)</f>
        <v>45522</v>
      </c>
      <c r="B845" s="1" t="str">
        <f>IFERROR(__xludf.DUMMYFUNCTION("""COMPUTED_VALUE"""),"Galileo Financial Technologies")</f>
        <v>Galileo Financial Technologies</v>
      </c>
      <c r="C845" s="1" t="str">
        <f>IFERROR(__xludf.DUMMYFUNCTION("""COMPUTED_VALUE"""),"Product Analyst")</f>
        <v>Product Analyst</v>
      </c>
      <c r="D845" s="1" t="str">
        <f>IFERROR(__xludf.DUMMYFUNCTION("""COMPUTED_VALUE"""),"Remote")</f>
        <v>Remote</v>
      </c>
      <c r="E845" s="1" t="str">
        <f>IFERROR(__xludf.DUMMYFUNCTION("""COMPUTED_VALUE"""),"N/A")</f>
        <v>N/A</v>
      </c>
      <c r="F845" s="1" t="str">
        <f>IFERROR(__xludf.DUMMYFUNCTION("""COMPUTED_VALUE"""),"3 - 5")</f>
        <v>3 - 5</v>
      </c>
      <c r="G845" s="1" t="str">
        <f>IFERROR(__xludf.DUMMYFUNCTION("""COMPUTED_VALUE"""),"USA")</f>
        <v>USA</v>
      </c>
      <c r="H845" s="4" t="str">
        <f>IFERROR(__xludf.DUMMYFUNCTION("""COMPUTED_VALUE"""),"https://www.linkedin.com/posts/activity-7230801063329550336-na87?utm_source=share&amp;utm_medium=member_ios")</f>
        <v>https://www.linkedin.com/posts/activity-7230801063329550336-na87?utm_source=share&amp;utm_medium=member_ios</v>
      </c>
    </row>
    <row r="846">
      <c r="A846" s="2">
        <f>IFERROR(__xludf.DUMMYFUNCTION("""COMPUTED_VALUE"""),45522.0)</f>
        <v>45522</v>
      </c>
      <c r="B846" s="1" t="str">
        <f>IFERROR(__xludf.DUMMYFUNCTION("""COMPUTED_VALUE"""),"Arden Trust Company")</f>
        <v>Arden Trust Company</v>
      </c>
      <c r="C846" s="1" t="str">
        <f>IFERROR(__xludf.DUMMYFUNCTION("""COMPUTED_VALUE"""),"Operations Analyst II")</f>
        <v>Operations Analyst II</v>
      </c>
      <c r="D846" s="1" t="str">
        <f>IFERROR(__xludf.DUMMYFUNCTION("""COMPUTED_VALUE"""),"On-Site")</f>
        <v>On-Site</v>
      </c>
      <c r="E846" s="1" t="str">
        <f>IFERROR(__xludf.DUMMYFUNCTION("""COMPUTED_VALUE"""),"N/A")</f>
        <v>N/A</v>
      </c>
      <c r="F846" s="1" t="str">
        <f>IFERROR(__xludf.DUMMYFUNCTION("""COMPUTED_VALUE"""),"3 - 5")</f>
        <v>3 - 5</v>
      </c>
      <c r="G846" s="1" t="str">
        <f>IFERROR(__xludf.DUMMYFUNCTION("""COMPUTED_VALUE"""),"Atlanta, GA")</f>
        <v>Atlanta, GA</v>
      </c>
      <c r="H846" s="4" t="str">
        <f>IFERROR(__xludf.DUMMYFUNCTION("""COMPUTED_VALUE"""),"https://www.linkedin.com/posts/maria-sturges-ctfa-atfa-24563920_if-you-are-looking-to-make-a-change-and-want-activity-7230957595992227840-nAz5?utm_source=share&amp;utm_medium=member_ios")</f>
        <v>https://www.linkedin.com/posts/maria-sturges-ctfa-atfa-24563920_if-you-are-looking-to-make-a-change-and-want-activity-7230957595992227840-nAz5?utm_source=share&amp;utm_medium=member_ios</v>
      </c>
    </row>
    <row r="847">
      <c r="A847" s="2">
        <f>IFERROR(__xludf.DUMMYFUNCTION("""COMPUTED_VALUE"""),45521.0)</f>
        <v>45521</v>
      </c>
      <c r="B847" s="1" t="str">
        <f>IFERROR(__xludf.DUMMYFUNCTION("""COMPUTED_VALUE"""),"Realm Cellars")</f>
        <v>Realm Cellars</v>
      </c>
      <c r="C847" s="1" t="str">
        <f>IFERROR(__xludf.DUMMYFUNCTION("""COMPUTED_VALUE"""),"Sr. Analyst")</f>
        <v>Sr. Analyst</v>
      </c>
      <c r="D847" s="1" t="str">
        <f>IFERROR(__xludf.DUMMYFUNCTION("""COMPUTED_VALUE"""),"On-Site")</f>
        <v>On-Site</v>
      </c>
      <c r="E847" s="1" t="str">
        <f>IFERROR(__xludf.DUMMYFUNCTION("""COMPUTED_VALUE"""),"$100k - $135k")</f>
        <v>$100k - $135k</v>
      </c>
      <c r="F847" s="1" t="str">
        <f>IFERROR(__xludf.DUMMYFUNCTION("""COMPUTED_VALUE"""),"3 - 5")</f>
        <v>3 - 5</v>
      </c>
      <c r="G847" s="1" t="str">
        <f>IFERROR(__xludf.DUMMYFUNCTION("""COMPUTED_VALUE"""),"Napa, CA")</f>
        <v>Napa, CA</v>
      </c>
      <c r="H847" s="4" t="str">
        <f>IFERROR(__xludf.DUMMYFUNCTION("""COMPUTED_VALUE"""),"https://www.linkedin.com/posts/bsturmer_hi-all-our-scrappy-frog-works-team-at-realm-activity-7230731869523210241-HUGF?utm_source=share&amp;utm_medium=member_desktop")</f>
        <v>https://www.linkedin.com/posts/bsturmer_hi-all-our-scrappy-frog-works-team-at-realm-activity-7230731869523210241-HUGF?utm_source=share&amp;utm_medium=member_desktop</v>
      </c>
    </row>
    <row r="848">
      <c r="A848" s="2">
        <f>IFERROR(__xludf.DUMMYFUNCTION("""COMPUTED_VALUE"""),45521.0)</f>
        <v>45521</v>
      </c>
      <c r="B848" s="1" t="str">
        <f>IFERROR(__xludf.DUMMYFUNCTION("""COMPUTED_VALUE"""),"Welch's")</f>
        <v>Welch's</v>
      </c>
      <c r="C848" s="1" t="str">
        <f>IFERROR(__xludf.DUMMYFUNCTION("""COMPUTED_VALUE"""),"Consumer Insights Analyst")</f>
        <v>Consumer Insights Analyst</v>
      </c>
      <c r="D848" s="1" t="str">
        <f>IFERROR(__xludf.DUMMYFUNCTION("""COMPUTED_VALUE"""),"Hybrid")</f>
        <v>Hybrid</v>
      </c>
      <c r="E848" s="1" t="str">
        <f>IFERROR(__xludf.DUMMYFUNCTION("""COMPUTED_VALUE"""),"N/A")</f>
        <v>N/A</v>
      </c>
      <c r="F848" s="1" t="str">
        <f>IFERROR(__xludf.DUMMYFUNCTION("""COMPUTED_VALUE"""),"0 - 2")</f>
        <v>0 - 2</v>
      </c>
      <c r="G848" s="1" t="str">
        <f>IFERROR(__xludf.DUMMYFUNCTION("""COMPUTED_VALUE"""),"Concord, MA")</f>
        <v>Concord, MA</v>
      </c>
      <c r="H848" s="4" t="str">
        <f>IFERROR(__xludf.DUMMYFUNCTION("""COMPUTED_VALUE"""),"https://www.linkedin.com/posts/yelena-barbosa_welchs-is-looking-for-a-consumer-insights-activity-7230736343855759360-jmAk?utm_source=share&amp;utm_medium=member_desktop")</f>
        <v>https://www.linkedin.com/posts/yelena-barbosa_welchs-is-looking-for-a-consumer-insights-activity-7230736343855759360-jmAk?utm_source=share&amp;utm_medium=member_desktop</v>
      </c>
    </row>
    <row r="849">
      <c r="A849" s="2">
        <f>IFERROR(__xludf.DUMMYFUNCTION("""COMPUTED_VALUE"""),45521.0)</f>
        <v>45521</v>
      </c>
      <c r="B849" s="1" t="str">
        <f>IFERROR(__xludf.DUMMYFUNCTION("""COMPUTED_VALUE"""),"Frontline Insurance")</f>
        <v>Frontline Insurance</v>
      </c>
      <c r="C849" s="1" t="str">
        <f>IFERROR(__xludf.DUMMYFUNCTION("""COMPUTED_VALUE"""),"Product Analyst")</f>
        <v>Product Analyst</v>
      </c>
      <c r="D849" s="1" t="str">
        <f>IFERROR(__xludf.DUMMYFUNCTION("""COMPUTED_VALUE"""),"Hybrid")</f>
        <v>Hybrid</v>
      </c>
      <c r="E849" s="1" t="str">
        <f>IFERROR(__xludf.DUMMYFUNCTION("""COMPUTED_VALUE"""),"N/A")</f>
        <v>N/A</v>
      </c>
      <c r="F849" s="1" t="str">
        <f>IFERROR(__xludf.DUMMYFUNCTION("""COMPUTED_VALUE"""),"3 - 5")</f>
        <v>3 - 5</v>
      </c>
      <c r="G849" s="1" t="str">
        <f>IFERROR(__xludf.DUMMYFUNCTION("""COMPUTED_VALUE"""),"Lake Mary, FL")</f>
        <v>Lake Mary, FL</v>
      </c>
      <c r="H849" s="4" t="str">
        <f>IFERROR(__xludf.DUMMYFUNCTION("""COMPUTED_VALUE"""),"https://www.linkedin.com/posts/activity-7230681281590693889-N-Qe?utm_source=share&amp;utm_medium=member_desktop")</f>
        <v>https://www.linkedin.com/posts/activity-7230681281590693889-N-Qe?utm_source=share&amp;utm_medium=member_desktop</v>
      </c>
    </row>
    <row r="850">
      <c r="A850" s="2">
        <f>IFERROR(__xludf.DUMMYFUNCTION("""COMPUTED_VALUE"""),45521.0)</f>
        <v>45521</v>
      </c>
      <c r="B850" s="1" t="str">
        <f>IFERROR(__xludf.DUMMYFUNCTION("""COMPUTED_VALUE"""),"Disney")</f>
        <v>Disney</v>
      </c>
      <c r="C850" s="1" t="str">
        <f>IFERROR(__xludf.DUMMYFUNCTION("""COMPUTED_VALUE"""),"Data Analytics &amp; Finance Transformation Manager")</f>
        <v>Data Analytics &amp; Finance Transformation Manager</v>
      </c>
      <c r="D850" s="1" t="str">
        <f>IFERROR(__xludf.DUMMYFUNCTION("""COMPUTED_VALUE"""),"On-Site")</f>
        <v>On-Site</v>
      </c>
      <c r="E850" s="1" t="str">
        <f>IFERROR(__xludf.DUMMYFUNCTION("""COMPUTED_VALUE"""),"N/A")</f>
        <v>N/A</v>
      </c>
      <c r="F850" s="1" t="str">
        <f>IFERROR(__xludf.DUMMYFUNCTION("""COMPUTED_VALUE"""),"6 - 9")</f>
        <v>6 - 9</v>
      </c>
      <c r="G850" s="1" t="str">
        <f>IFERROR(__xludf.DUMMYFUNCTION("""COMPUTED_VALUE"""),"Celebration, FL")</f>
        <v>Celebration, FL</v>
      </c>
      <c r="H850" s="4" t="str">
        <f>IFERROR(__xludf.DUMMYFUNCTION("""COMPUTED_VALUE"""),"https://www.linkedin.com/posts/activity-7230587978409033729-MWKU?utm_source=share&amp;utm_medium=member_desktop")</f>
        <v>https://www.linkedin.com/posts/activity-7230587978409033729-MWKU?utm_source=share&amp;utm_medium=member_desktop</v>
      </c>
    </row>
    <row r="851">
      <c r="A851" s="2">
        <f>IFERROR(__xludf.DUMMYFUNCTION("""COMPUTED_VALUE"""),45521.0)</f>
        <v>45521</v>
      </c>
      <c r="B851" s="1" t="str">
        <f>IFERROR(__xludf.DUMMYFUNCTION("""COMPUTED_VALUE"""),"First American Financial Corporation")</f>
        <v>First American Financial Corporation</v>
      </c>
      <c r="C851" s="1" t="str">
        <f>IFERROR(__xludf.DUMMYFUNCTION("""COMPUTED_VALUE"""),"People Analytics Analyst - Data Science")</f>
        <v>People Analytics Analyst - Data Science</v>
      </c>
      <c r="D851" s="1" t="str">
        <f>IFERROR(__xludf.DUMMYFUNCTION("""COMPUTED_VALUE"""),"Remote")</f>
        <v>Remote</v>
      </c>
      <c r="E851" s="1" t="str">
        <f>IFERROR(__xludf.DUMMYFUNCTION("""COMPUTED_VALUE"""),"$65k - $109k")</f>
        <v>$65k - $109k</v>
      </c>
      <c r="F851" s="1" t="str">
        <f>IFERROR(__xludf.DUMMYFUNCTION("""COMPUTED_VALUE"""),"3 - 5")</f>
        <v>3 - 5</v>
      </c>
      <c r="G851" s="1" t="str">
        <f>IFERROR(__xludf.DUMMYFUNCTION("""COMPUTED_VALUE"""),"Certain Locations")</f>
        <v>Certain Locations</v>
      </c>
      <c r="H851" s="4" t="str">
        <f>IFERROR(__xludf.DUMMYFUNCTION("""COMPUTED_VALUE"""),"https://www.linkedin.com/posts/allisonpaigehill_people-analytics-analyst-data-science-remote-activity-7230339768310505474--OSy?utm_source=share&amp;utm_medium=member_desktop")</f>
        <v>https://www.linkedin.com/posts/allisonpaigehill_people-analytics-analyst-data-science-remote-activity-7230339768310505474--OSy?utm_source=share&amp;utm_medium=member_desktop</v>
      </c>
    </row>
    <row r="852">
      <c r="A852" s="2">
        <f>IFERROR(__xludf.DUMMYFUNCTION("""COMPUTED_VALUE"""),45521.0)</f>
        <v>45521</v>
      </c>
      <c r="B852" s="1" t="str">
        <f>IFERROR(__xludf.DUMMYFUNCTION("""COMPUTED_VALUE"""),"Avetta")</f>
        <v>Avetta</v>
      </c>
      <c r="C852" s="1" t="str">
        <f>IFERROR(__xludf.DUMMYFUNCTION("""COMPUTED_VALUE"""),"Senior Data Analytics Developer")</f>
        <v>Senior Data Analytics Developer</v>
      </c>
      <c r="D852" s="1" t="str">
        <f>IFERROR(__xludf.DUMMYFUNCTION("""COMPUTED_VALUE"""),"Hybrid")</f>
        <v>Hybrid</v>
      </c>
      <c r="E852" s="1" t="str">
        <f>IFERROR(__xludf.DUMMYFUNCTION("""COMPUTED_VALUE"""),"N/A")</f>
        <v>N/A</v>
      </c>
      <c r="F852" s="1" t="str">
        <f>IFERROR(__xludf.DUMMYFUNCTION("""COMPUTED_VALUE"""),"6 - 9")</f>
        <v>6 - 9</v>
      </c>
      <c r="G852" s="1" t="str">
        <f>IFERROR(__xludf.DUMMYFUNCTION("""COMPUTED_VALUE"""),"Tustin, CA")</f>
        <v>Tustin, CA</v>
      </c>
      <c r="H852" s="4" t="str">
        <f>IFERROR(__xludf.DUMMYFUNCTION("""COMPUTED_VALUE"""),"https://www.linkedin.com/posts/murphyeva_senior-data-analytics-developer-activity-7230306524793913345-KZpe?utm_source=share&amp;utm_medium=member_desktop")</f>
        <v>https://www.linkedin.com/posts/murphyeva_senior-data-analytics-developer-activity-7230306524793913345-KZpe?utm_source=share&amp;utm_medium=member_desktop</v>
      </c>
    </row>
    <row r="853">
      <c r="A853" s="2">
        <f>IFERROR(__xludf.DUMMYFUNCTION("""COMPUTED_VALUE"""),45521.0)</f>
        <v>45521</v>
      </c>
      <c r="B853" s="1" t="str">
        <f>IFERROR(__xludf.DUMMYFUNCTION("""COMPUTED_VALUE"""),"Tulane University - Cowen Institute")</f>
        <v>Tulane University - Cowen Institute</v>
      </c>
      <c r="C853" s="1" t="str">
        <f>IFERROR(__xludf.DUMMYFUNCTION("""COMPUTED_VALUE"""),"Senior Data Analyst")</f>
        <v>Senior Data Analyst</v>
      </c>
      <c r="D853" s="1" t="str">
        <f>IFERROR(__xludf.DUMMYFUNCTION("""COMPUTED_VALUE"""),"On-Site")</f>
        <v>On-Site</v>
      </c>
      <c r="E853" s="1" t="str">
        <f>IFERROR(__xludf.DUMMYFUNCTION("""COMPUTED_VALUE"""),"N/A")</f>
        <v>N/A</v>
      </c>
      <c r="F853" s="1" t="str">
        <f>IFERROR(__xludf.DUMMYFUNCTION("""COMPUTED_VALUE"""),"3 - 5")</f>
        <v>3 - 5</v>
      </c>
      <c r="G853" s="1" t="str">
        <f>IFERROR(__xludf.DUMMYFUNCTION("""COMPUTED_VALUE"""),"New Orleans, LA")</f>
        <v>New Orleans, LA</v>
      </c>
      <c r="H853" s="4" t="str">
        <f>IFERROR(__xludf.DUMMYFUNCTION("""COMPUTED_VALUE"""),"https://www.linkedin.com/posts/vincent-rossmeier-71172115_tulane-staff-positions-activity-7230338164815450112-_wwg?utm_source=share&amp;utm_medium=member_desktop")</f>
        <v>https://www.linkedin.com/posts/vincent-rossmeier-71172115_tulane-staff-positions-activity-7230338164815450112-_wwg?utm_source=share&amp;utm_medium=member_desktop</v>
      </c>
    </row>
    <row r="854">
      <c r="A854" s="2">
        <f>IFERROR(__xludf.DUMMYFUNCTION("""COMPUTED_VALUE"""),45521.0)</f>
        <v>45521</v>
      </c>
      <c r="B854" s="1" t="str">
        <f>IFERROR(__xludf.DUMMYFUNCTION("""COMPUTED_VALUE"""),"Capstone Investment Advisors")</f>
        <v>Capstone Investment Advisors</v>
      </c>
      <c r="C854" s="1" t="str">
        <f>IFERROR(__xludf.DUMMYFUNCTION("""COMPUTED_VALUE"""),"People Analyst")</f>
        <v>People Analyst</v>
      </c>
      <c r="D854" s="1" t="str">
        <f>IFERROR(__xludf.DUMMYFUNCTION("""COMPUTED_VALUE"""),"Hybrid")</f>
        <v>Hybrid</v>
      </c>
      <c r="E854" s="1" t="str">
        <f>IFERROR(__xludf.DUMMYFUNCTION("""COMPUTED_VALUE"""),"$65k - $75k")</f>
        <v>$65k - $75k</v>
      </c>
      <c r="F854" s="1" t="str">
        <f>IFERROR(__xludf.DUMMYFUNCTION("""COMPUTED_VALUE"""),"0 - 2")</f>
        <v>0 - 2</v>
      </c>
      <c r="G854" s="1" t="str">
        <f>IFERROR(__xludf.DUMMYFUNCTION("""COMPUTED_VALUE"""),"New York, NY")</f>
        <v>New York, NY</v>
      </c>
      <c r="H854" s="4" t="str">
        <f>IFERROR(__xludf.DUMMYFUNCTION("""COMPUTED_VALUE"""),"https://www.linkedin.com/posts/simona-shuman_we-are-hiring-a-people-analyst-to-join-my-activity-7230335346138398720-Ra2w?utm_source=share&amp;utm_medium=member_desktop")</f>
        <v>https://www.linkedin.com/posts/simona-shuman_we-are-hiring-a-people-analyst-to-join-my-activity-7230335346138398720-Ra2w?utm_source=share&amp;utm_medium=member_desktop</v>
      </c>
    </row>
    <row r="855">
      <c r="A855" s="2">
        <f>IFERROR(__xludf.DUMMYFUNCTION("""COMPUTED_VALUE"""),45521.0)</f>
        <v>45521</v>
      </c>
      <c r="B855" s="1" t="str">
        <f>IFERROR(__xludf.DUMMYFUNCTION("""COMPUTED_VALUE"""),"Lewis Services")</f>
        <v>Lewis Services</v>
      </c>
      <c r="C855" s="1" t="str">
        <f>IFERROR(__xludf.DUMMYFUNCTION("""COMPUTED_VALUE"""),"Financial Analyst")</f>
        <v>Financial Analyst</v>
      </c>
      <c r="D855" s="1" t="str">
        <f>IFERROR(__xludf.DUMMYFUNCTION("""COMPUTED_VALUE"""),"On-Site")</f>
        <v>On-Site</v>
      </c>
      <c r="E855" s="1" t="str">
        <f>IFERROR(__xludf.DUMMYFUNCTION("""COMPUTED_VALUE"""),"$60k -$70k")</f>
        <v>$60k -$70k</v>
      </c>
      <c r="F855" s="1" t="str">
        <f>IFERROR(__xludf.DUMMYFUNCTION("""COMPUTED_VALUE"""),"0 - 2")</f>
        <v>0 - 2</v>
      </c>
      <c r="G855" s="1" t="str">
        <f>IFERROR(__xludf.DUMMYFUNCTION("""COMPUTED_VALUE"""),"West Henrietta, NY/Rochester, NY")</f>
        <v>West Henrietta, NY/Rochester, NY</v>
      </c>
      <c r="H855" s="4" t="str">
        <f>IFERROR(__xludf.DUMMYFUNCTION("""COMPUTED_VALUE"""),"https://www.linkedin.com/posts/christinemhunt_hiring-a-financial-analyst-for-lewis-services-activity-7230290755636924417-ezxE?utm_source=share&amp;utm_medium=member_desktop")</f>
        <v>https://www.linkedin.com/posts/christinemhunt_hiring-a-financial-analyst-for-lewis-services-activity-7230290755636924417-ezxE?utm_source=share&amp;utm_medium=member_desktop</v>
      </c>
    </row>
    <row r="856">
      <c r="A856" s="2">
        <f>IFERROR(__xludf.DUMMYFUNCTION("""COMPUTED_VALUE"""),45520.0)</f>
        <v>45520</v>
      </c>
      <c r="B856" s="1" t="str">
        <f>IFERROR(__xludf.DUMMYFUNCTION("""COMPUTED_VALUE"""),"CVS Health")</f>
        <v>CVS Health</v>
      </c>
      <c r="C856" s="1" t="str">
        <f>IFERROR(__xludf.DUMMYFUNCTION("""COMPUTED_VALUE"""),"Associate Data Engineer (SQL) (TX or RI)")</f>
        <v>Associate Data Engineer (SQL) (TX or RI)</v>
      </c>
      <c r="D856" s="1" t="str">
        <f>IFERROR(__xludf.DUMMYFUNCTION("""COMPUTED_VALUE"""),"Hybrid")</f>
        <v>Hybrid</v>
      </c>
      <c r="E856" s="1" t="str">
        <f>IFERROR(__xludf.DUMMYFUNCTION("""COMPUTED_VALUE"""),"$62k - $136k")</f>
        <v>$62k - $136k</v>
      </c>
      <c r="F856" s="1" t="str">
        <f>IFERROR(__xludf.DUMMYFUNCTION("""COMPUTED_VALUE"""),"0 - 2")</f>
        <v>0 - 2</v>
      </c>
      <c r="G856" s="1" t="str">
        <f>IFERROR(__xludf.DUMMYFUNCTION("""COMPUTED_VALUE"""),"Woonsocket, RI")</f>
        <v>Woonsocket, RI</v>
      </c>
      <c r="H856" s="4" t="str">
        <f>IFERROR(__xludf.DUMMYFUNCTION("""COMPUTED_VALUE"""),"https://www.linkedin.com/posts/melyndageraghtydevelopmentrecruiter_associate-data-engineer-sql-tx-or-ri-activity-7230215852271251456-J2rN?utm_source=share&amp;utm_medium=member_desktop")</f>
        <v>https://www.linkedin.com/posts/melyndageraghtydevelopmentrecruiter_associate-data-engineer-sql-tx-or-ri-activity-7230215852271251456-J2rN?utm_source=share&amp;utm_medium=member_desktop</v>
      </c>
    </row>
    <row r="857">
      <c r="A857" s="2">
        <f>IFERROR(__xludf.DUMMYFUNCTION("""COMPUTED_VALUE"""),45520.0)</f>
        <v>45520</v>
      </c>
      <c r="B857" s="1" t="str">
        <f>IFERROR(__xludf.DUMMYFUNCTION("""COMPUTED_VALUE"""),"Cox")</f>
        <v>Cox</v>
      </c>
      <c r="C857" s="1" t="str">
        <f>IFERROR(__xludf.DUMMYFUNCTION("""COMPUTED_VALUE"""),"Data Senior Analyst")</f>
        <v>Data Senior Analyst</v>
      </c>
      <c r="D857" s="1" t="str">
        <f>IFERROR(__xludf.DUMMYFUNCTION("""COMPUTED_VALUE"""),"Hybrid")</f>
        <v>Hybrid</v>
      </c>
      <c r="E857" s="1" t="str">
        <f>IFERROR(__xludf.DUMMYFUNCTION("""COMPUTED_VALUE"""),"N/A")</f>
        <v>N/A</v>
      </c>
      <c r="F857" s="1" t="str">
        <f>IFERROR(__xludf.DUMMYFUNCTION("""COMPUTED_VALUE"""),"3 - 5")</f>
        <v>3 - 5</v>
      </c>
      <c r="G857" s="1" t="str">
        <f>IFERROR(__xludf.DUMMYFUNCTION("""COMPUTED_VALUE"""),"Atlanta, GA")</f>
        <v>Atlanta, GA</v>
      </c>
      <c r="H857" s="4" t="str">
        <f>IFERROR(__xludf.DUMMYFUNCTION("""COMPUTED_VALUE"""),"https://www.linkedin.com/posts/riedelandy_data-senior-analyst-activity-7230045461133283328-eGS0?utm_source=share&amp;utm_medium=member_desktop")</f>
        <v>https://www.linkedin.com/posts/riedelandy_data-senior-analyst-activity-7230045461133283328-eGS0?utm_source=share&amp;utm_medium=member_desktop</v>
      </c>
    </row>
    <row r="858">
      <c r="A858" s="2">
        <f>IFERROR(__xludf.DUMMYFUNCTION("""COMPUTED_VALUE"""),45520.0)</f>
        <v>45520</v>
      </c>
      <c r="B858" s="1" t="str">
        <f>IFERROR(__xludf.DUMMYFUNCTION("""COMPUTED_VALUE"""),"Molina Healthcare")</f>
        <v>Molina Healthcare</v>
      </c>
      <c r="C858" s="1" t="str">
        <f>IFERROR(__xludf.DUMMYFUNCTION("""COMPUTED_VALUE"""),"Analyst, Reporting Healthcare Analytics - SQL")</f>
        <v>Analyst, Reporting Healthcare Analytics - SQL</v>
      </c>
      <c r="D858" s="1" t="str">
        <f>IFERROR(__xludf.DUMMYFUNCTION("""COMPUTED_VALUE"""),"Remote")</f>
        <v>Remote</v>
      </c>
      <c r="E858" s="1" t="str">
        <f>IFERROR(__xludf.DUMMYFUNCTION("""COMPUTED_VALUE"""),"$49k - $107k")</f>
        <v>$49k - $107k</v>
      </c>
      <c r="F858" s="1" t="str">
        <f>IFERROR(__xludf.DUMMYFUNCTION("""COMPUTED_VALUE"""),"3 - 5")</f>
        <v>3 - 5</v>
      </c>
      <c r="G858" s="1" t="str">
        <f>IFERROR(__xludf.DUMMYFUNCTION("""COMPUTED_VALUE"""),"USA")</f>
        <v>USA</v>
      </c>
      <c r="H858" s="4" t="str">
        <f>IFERROR(__xludf.DUMMYFUNCTION("""COMPUTED_VALUE"""),"https://www.linkedin.com/posts/justin-eajhan-mccrann-05159749_analyst-reporting-healthcare-analytics-activity-7230295508789903360-oFqQ?utm_source=share&amp;utm_medium=member_desktop")</f>
        <v>https://www.linkedin.com/posts/justin-eajhan-mccrann-05159749_analyst-reporting-healthcare-analytics-activity-7230295508789903360-oFqQ?utm_source=share&amp;utm_medium=member_desktop</v>
      </c>
    </row>
    <row r="859">
      <c r="A859" s="2">
        <f>IFERROR(__xludf.DUMMYFUNCTION("""COMPUTED_VALUE"""),45520.0)</f>
        <v>45520</v>
      </c>
      <c r="B859" s="1" t="str">
        <f>IFERROR(__xludf.DUMMYFUNCTION("""COMPUTED_VALUE"""),"COPIC Companies")</f>
        <v>COPIC Companies</v>
      </c>
      <c r="C859" s="1" t="str">
        <f>IFERROR(__xludf.DUMMYFUNCTION("""COMPUTED_VALUE"""),"Manager, Data &amp; Analytics")</f>
        <v>Manager, Data &amp; Analytics</v>
      </c>
      <c r="D859" s="1" t="str">
        <f>IFERROR(__xludf.DUMMYFUNCTION("""COMPUTED_VALUE"""),"Hybrid")</f>
        <v>Hybrid</v>
      </c>
      <c r="E859" s="1" t="str">
        <f>IFERROR(__xludf.DUMMYFUNCTION("""COMPUTED_VALUE"""),"$120k - $160k")</f>
        <v>$120k - $160k</v>
      </c>
      <c r="F859" s="1" t="str">
        <f>IFERROR(__xludf.DUMMYFUNCTION("""COMPUTED_VALUE"""),"6 - 9")</f>
        <v>6 - 9</v>
      </c>
      <c r="G859" s="1" t="str">
        <f>IFERROR(__xludf.DUMMYFUNCTION("""COMPUTED_VALUE"""),"Denver, CO")</f>
        <v>Denver, CO</v>
      </c>
      <c r="H859" s="4" t="str">
        <f>IFERROR(__xludf.DUMMYFUNCTION("""COMPUTED_VALUE"""),"https://www.linkedin.com/posts/liz-shrum_are-you-a-data-wizard-with-a-passion-for-activity-7230305093282054144-I0fF?utm_source=share&amp;utm_medium=member_desktop")</f>
        <v>https://www.linkedin.com/posts/liz-shrum_are-you-a-data-wizard-with-a-passion-for-activity-7230305093282054144-I0fF?utm_source=share&amp;utm_medium=member_desktop</v>
      </c>
    </row>
    <row r="860">
      <c r="A860" s="2">
        <f>IFERROR(__xludf.DUMMYFUNCTION("""COMPUTED_VALUE"""),45520.0)</f>
        <v>45520</v>
      </c>
      <c r="B860" s="1" t="str">
        <f>IFERROR(__xludf.DUMMYFUNCTION("""COMPUTED_VALUE"""),"Parsec Education")</f>
        <v>Parsec Education</v>
      </c>
      <c r="C860" s="1" t="str">
        <f>IFERROR(__xludf.DUMMYFUNCTION("""COMPUTED_VALUE"""),"Education Data Analyst")</f>
        <v>Education Data Analyst</v>
      </c>
      <c r="D860" s="1" t="str">
        <f>IFERROR(__xludf.DUMMYFUNCTION("""COMPUTED_VALUE"""),"Remote")</f>
        <v>Remote</v>
      </c>
      <c r="E860" s="1" t="str">
        <f>IFERROR(__xludf.DUMMYFUNCTION("""COMPUTED_VALUE"""),"$85k - $105k")</f>
        <v>$85k - $105k</v>
      </c>
      <c r="F860" s="1" t="str">
        <f>IFERROR(__xludf.DUMMYFUNCTION("""COMPUTED_VALUE"""),"0 - 2")</f>
        <v>0 - 2</v>
      </c>
      <c r="G860" s="1" t="str">
        <f>IFERROR(__xludf.DUMMYFUNCTION("""COMPUTED_VALUE"""),"Certain Locations")</f>
        <v>Certain Locations</v>
      </c>
      <c r="H860" s="4" t="str">
        <f>IFERROR(__xludf.DUMMYFUNCTION("""COMPUTED_VALUE"""),"https://www.linkedin.com/posts/drmbaker_we-are-excited-to-announce-that-we-are-expanding-activity-7230336935032934400--HKl?utm_source=share&amp;utm_medium=member_desktop")</f>
        <v>https://www.linkedin.com/posts/drmbaker_we-are-excited-to-announce-that-we-are-expanding-activity-7230336935032934400--HKl?utm_source=share&amp;utm_medium=member_desktop</v>
      </c>
    </row>
    <row r="861">
      <c r="A861" s="2">
        <f>IFERROR(__xludf.DUMMYFUNCTION("""COMPUTED_VALUE"""),45520.0)</f>
        <v>45520</v>
      </c>
      <c r="B861" s="1" t="str">
        <f>IFERROR(__xludf.DUMMYFUNCTION("""COMPUTED_VALUE"""),"South Jersey Industries")</f>
        <v>South Jersey Industries</v>
      </c>
      <c r="C861" s="1" t="str">
        <f>IFERROR(__xludf.DUMMYFUNCTION("""COMPUTED_VALUE"""),"Compensation Analyst Intermediate")</f>
        <v>Compensation Analyst Intermediate</v>
      </c>
      <c r="D861" s="1" t="str">
        <f>IFERROR(__xludf.DUMMYFUNCTION("""COMPUTED_VALUE"""),"Hybrid")</f>
        <v>Hybrid</v>
      </c>
      <c r="E861" s="1" t="str">
        <f>IFERROR(__xludf.DUMMYFUNCTION("""COMPUTED_VALUE"""),"N/A")</f>
        <v>N/A</v>
      </c>
      <c r="F861" s="1" t="str">
        <f>IFERROR(__xludf.DUMMYFUNCTION("""COMPUTED_VALUE"""),"0 - 2")</f>
        <v>0 - 2</v>
      </c>
      <c r="G861" s="1" t="str">
        <f>IFERROR(__xludf.DUMMYFUNCTION("""COMPUTED_VALUE"""),"Folsom, NJ")</f>
        <v>Folsom, NJ</v>
      </c>
      <c r="H861" s="4" t="str">
        <f>IFERROR(__xludf.DUMMYFUNCTION("""COMPUTED_VALUE"""),"https://www.linkedin.com/posts/brittany-lights-tyner-58875851_compensation-totalrewards-nowhiring-activity-7230260833178583040-0IzI?utm_source=share&amp;utm_medium=member_desktop")</f>
        <v>https://www.linkedin.com/posts/brittany-lights-tyner-58875851_compensation-totalrewards-nowhiring-activity-7230260833178583040-0IzI?utm_source=share&amp;utm_medium=member_desktop</v>
      </c>
    </row>
    <row r="862">
      <c r="A862" s="2">
        <f>IFERROR(__xludf.DUMMYFUNCTION("""COMPUTED_VALUE"""),45520.0)</f>
        <v>45520</v>
      </c>
      <c r="B862" s="1" t="str">
        <f>IFERROR(__xludf.DUMMYFUNCTION("""COMPUTED_VALUE"""),"USIC")</f>
        <v>USIC</v>
      </c>
      <c r="C862" s="1" t="str">
        <f>IFERROR(__xludf.DUMMYFUNCTION("""COMPUTED_VALUE"""),"Sr. L&amp;D Data Analyst ")</f>
        <v>Sr. L&amp;D Data Analyst </v>
      </c>
      <c r="D862" s="1" t="str">
        <f>IFERROR(__xludf.DUMMYFUNCTION("""COMPUTED_VALUE"""),"Remote")</f>
        <v>Remote</v>
      </c>
      <c r="E862" s="1" t="str">
        <f>IFERROR(__xludf.DUMMYFUNCTION("""COMPUTED_VALUE"""),"N/A")</f>
        <v>N/A</v>
      </c>
      <c r="F862" s="1" t="str">
        <f>IFERROR(__xludf.DUMMYFUNCTION("""COMPUTED_VALUE"""),"3 - 5")</f>
        <v>3 - 5</v>
      </c>
      <c r="G862" s="1" t="str">
        <f>IFERROR(__xludf.DUMMYFUNCTION("""COMPUTED_VALUE"""),"USA")</f>
        <v>USA</v>
      </c>
      <c r="H862" s="4" t="str">
        <f>IFERROR(__xludf.DUMMYFUNCTION("""COMPUTED_VALUE"""),"https://www.linkedin.com/posts/pacemyrick_hiring-remotejobs-dataanalytics-activity-7230354731821318144-X7hx?utm_source=share&amp;utm_medium=member_desktop")</f>
        <v>https://www.linkedin.com/posts/pacemyrick_hiring-remotejobs-dataanalytics-activity-7230354731821318144-X7hx?utm_source=share&amp;utm_medium=member_desktop</v>
      </c>
    </row>
    <row r="863">
      <c r="A863" s="2">
        <f>IFERROR(__xludf.DUMMYFUNCTION("""COMPUTED_VALUE"""),45520.0)</f>
        <v>45520</v>
      </c>
      <c r="B863" s="1" t="str">
        <f>IFERROR(__xludf.DUMMYFUNCTION("""COMPUTED_VALUE"""),"Merit Medical Systems, Inc.")</f>
        <v>Merit Medical Systems, Inc.</v>
      </c>
      <c r="C863" s="1" t="str">
        <f>IFERROR(__xludf.DUMMYFUNCTION("""COMPUTED_VALUE"""),"Data &amp; Analytics Lead, Global Supply Chain")</f>
        <v>Data &amp; Analytics Lead, Global Supply Chain</v>
      </c>
      <c r="D863" s="1" t="str">
        <f>IFERROR(__xludf.DUMMYFUNCTION("""COMPUTED_VALUE"""),"Remote")</f>
        <v>Remote</v>
      </c>
      <c r="E863" s="1" t="str">
        <f>IFERROR(__xludf.DUMMYFUNCTION("""COMPUTED_VALUE"""),"N/A")</f>
        <v>N/A</v>
      </c>
      <c r="F863" s="1" t="str">
        <f>IFERROR(__xludf.DUMMYFUNCTION("""COMPUTED_VALUE"""),"3 - 5")</f>
        <v>3 - 5</v>
      </c>
      <c r="G863" s="1" t="str">
        <f>IFERROR(__xludf.DUMMYFUNCTION("""COMPUTED_VALUE"""),"USA")</f>
        <v>USA</v>
      </c>
      <c r="H863" s="4" t="str">
        <f>IFERROR(__xludf.DUMMYFUNCTION("""COMPUTED_VALUE"""),"https://www.linkedin.com/posts/aaron-ford-3ba998114_hiring-dataanalytics-medicaldevices-activity-7230238116333178881-cp_c?utm_source=share&amp;utm_medium=member_desktop")</f>
        <v>https://www.linkedin.com/posts/aaron-ford-3ba998114_hiring-dataanalytics-medicaldevices-activity-7230238116333178881-cp_c?utm_source=share&amp;utm_medium=member_desktop</v>
      </c>
    </row>
    <row r="864">
      <c r="A864" s="2">
        <f>IFERROR(__xludf.DUMMYFUNCTION("""COMPUTED_VALUE"""),45520.0)</f>
        <v>45520</v>
      </c>
      <c r="B864" s="1" t="str">
        <f>IFERROR(__xludf.DUMMYFUNCTION("""COMPUTED_VALUE"""),"Kraton Corporation")</f>
        <v>Kraton Corporation</v>
      </c>
      <c r="C864" s="1" t="str">
        <f>IFERROR(__xludf.DUMMYFUNCTION("""COMPUTED_VALUE"""),"Marketing Analyst")</f>
        <v>Marketing Analyst</v>
      </c>
      <c r="D864" s="1" t="str">
        <f>IFERROR(__xludf.DUMMYFUNCTION("""COMPUTED_VALUE"""),"On-Site")</f>
        <v>On-Site</v>
      </c>
      <c r="E864" s="1" t="str">
        <f>IFERROR(__xludf.DUMMYFUNCTION("""COMPUTED_VALUE"""),"N/A")</f>
        <v>N/A</v>
      </c>
      <c r="F864" s="1" t="str">
        <f>IFERROR(__xludf.DUMMYFUNCTION("""COMPUTED_VALUE"""),"0 - 2")</f>
        <v>0 - 2</v>
      </c>
      <c r="G864" s="1" t="str">
        <f>IFERROR(__xludf.DUMMYFUNCTION("""COMPUTED_VALUE"""),"Jacksonville, FL")</f>
        <v>Jacksonville, FL</v>
      </c>
      <c r="H864" s="4" t="str">
        <f>IFERROR(__xludf.DUMMYFUNCTION("""COMPUTED_VALUE"""),"https://www.linkedin.com/posts/nancy-armendariz-517b694a_marketing-analyst-activity-7230274660838338560-Xpw1?utm_source=share&amp;utm_medium=member_desktop")</f>
        <v>https://www.linkedin.com/posts/nancy-armendariz-517b694a_marketing-analyst-activity-7230274660838338560-Xpw1?utm_source=share&amp;utm_medium=member_desktop</v>
      </c>
    </row>
    <row r="865">
      <c r="A865" s="2">
        <f>IFERROR(__xludf.DUMMYFUNCTION("""COMPUTED_VALUE"""),45520.0)</f>
        <v>45520</v>
      </c>
      <c r="B865" s="1" t="str">
        <f>IFERROR(__xludf.DUMMYFUNCTION("""COMPUTED_VALUE"""),"Expedia Group")</f>
        <v>Expedia Group</v>
      </c>
      <c r="C865" s="1" t="str">
        <f>IFERROR(__xludf.DUMMYFUNCTION("""COMPUTED_VALUE"""),"Senior Finance Analyst")</f>
        <v>Senior Finance Analyst</v>
      </c>
      <c r="D865" s="1" t="str">
        <f>IFERROR(__xludf.DUMMYFUNCTION("""COMPUTED_VALUE"""),"Hybrid")</f>
        <v>Hybrid</v>
      </c>
      <c r="E865" s="1" t="str">
        <f>IFERROR(__xludf.DUMMYFUNCTION("""COMPUTED_VALUE"""),"$83k - $132k")</f>
        <v>$83k - $132k</v>
      </c>
      <c r="F865" s="1" t="str">
        <f>IFERROR(__xludf.DUMMYFUNCTION("""COMPUTED_VALUE"""),"3 - 5")</f>
        <v>3 - 5</v>
      </c>
      <c r="G865" s="1" t="str">
        <f>IFERROR(__xludf.DUMMYFUNCTION("""COMPUTED_VALUE"""),"Seattle, WA")</f>
        <v>Seattle, WA</v>
      </c>
      <c r="H865" s="4" t="str">
        <f>IFERROR(__xludf.DUMMYFUNCTION("""COMPUTED_VALUE"""),"https://www.linkedin.com/posts/meredith-kimbrough-b50265205_senior-finance-analyst-activity-7230257384235921408-rmeo?utm_source=share&amp;utm_medium=member_desktop")</f>
        <v>https://www.linkedin.com/posts/meredith-kimbrough-b50265205_senior-finance-analyst-activity-7230257384235921408-rmeo?utm_source=share&amp;utm_medium=member_desktop</v>
      </c>
    </row>
    <row r="866">
      <c r="A866" s="2">
        <f>IFERROR(__xludf.DUMMYFUNCTION("""COMPUTED_VALUE"""),45520.0)</f>
        <v>45520</v>
      </c>
      <c r="B866" s="1" t="str">
        <f>IFERROR(__xludf.DUMMYFUNCTION("""COMPUTED_VALUE"""),"Scribe")</f>
        <v>Scribe</v>
      </c>
      <c r="C866" s="1" t="str">
        <f>IFERROR(__xludf.DUMMYFUNCTION("""COMPUTED_VALUE"""),"Senior Data Analyst (GTM)")</f>
        <v>Senior Data Analyst (GTM)</v>
      </c>
      <c r="D866" s="1" t="str">
        <f>IFERROR(__xludf.DUMMYFUNCTION("""COMPUTED_VALUE"""),"Hybrid")</f>
        <v>Hybrid</v>
      </c>
      <c r="E866" s="1" t="str">
        <f>IFERROR(__xludf.DUMMYFUNCTION("""COMPUTED_VALUE"""),"$140k - $180k")</f>
        <v>$140k - $180k</v>
      </c>
      <c r="F866" s="1" t="str">
        <f>IFERROR(__xludf.DUMMYFUNCTION("""COMPUTED_VALUE"""),"3 - 5")</f>
        <v>3 - 5</v>
      </c>
      <c r="G866" s="1" t="str">
        <f>IFERROR(__xludf.DUMMYFUNCTION("""COMPUTED_VALUE"""),"San Francisco, CA")</f>
        <v>San Francisco, CA</v>
      </c>
      <c r="H866" s="4" t="str">
        <f>IFERROR(__xludf.DUMMYFUNCTION("""COMPUTED_VALUE"""),"https://www.linkedin.com/posts/activity-7230363725692592128-cNMB?utm_source=share&amp;utm_medium=member_desktop")</f>
        <v>https://www.linkedin.com/posts/activity-7230363725692592128-cNMB?utm_source=share&amp;utm_medium=member_desktop</v>
      </c>
    </row>
    <row r="867">
      <c r="A867" s="2">
        <f>IFERROR(__xludf.DUMMYFUNCTION("""COMPUTED_VALUE"""),45520.0)</f>
        <v>45520</v>
      </c>
      <c r="B867" s="1" t="str">
        <f>IFERROR(__xludf.DUMMYFUNCTION("""COMPUTED_VALUE"""),"Gong")</f>
        <v>Gong</v>
      </c>
      <c r="C867" s="1" t="str">
        <f>IFERROR(__xludf.DUMMYFUNCTION("""COMPUTED_VALUE"""),"Senior Financial Analyst")</f>
        <v>Senior Financial Analyst</v>
      </c>
      <c r="D867" s="1" t="str">
        <f>IFERROR(__xludf.DUMMYFUNCTION("""COMPUTED_VALUE"""),"Hybrid")</f>
        <v>Hybrid</v>
      </c>
      <c r="E867" s="1" t="str">
        <f>IFERROR(__xludf.DUMMYFUNCTION("""COMPUTED_VALUE"""),"$106k - $157k")</f>
        <v>$106k - $157k</v>
      </c>
      <c r="F867" s="1" t="str">
        <f>IFERROR(__xludf.DUMMYFUNCTION("""COMPUTED_VALUE"""),"3 - 5")</f>
        <v>3 - 5</v>
      </c>
      <c r="G867" s="1" t="str">
        <f>IFERROR(__xludf.DUMMYFUNCTION("""COMPUTED_VALUE"""),"Salt Lake City, UT/San Francisco, CA")</f>
        <v>Salt Lake City, UT/San Francisco, CA</v>
      </c>
      <c r="H867" s="4" t="str">
        <f>IFERROR(__xludf.DUMMYFUNCTION("""COMPUTED_VALUE"""),"https://www.linkedin.com/posts/liannegong_fpa-senior-analyst-activity-7230286829940318208-4aIE?utm_source=share&amp;utm_medium=member_desktop")</f>
        <v>https://www.linkedin.com/posts/liannegong_fpa-senior-analyst-activity-7230286829940318208-4aIE?utm_source=share&amp;utm_medium=member_desktop</v>
      </c>
    </row>
    <row r="868">
      <c r="A868" s="2">
        <f>IFERROR(__xludf.DUMMYFUNCTION("""COMPUTED_VALUE"""),45520.0)</f>
        <v>45520</v>
      </c>
      <c r="B868" s="1" t="str">
        <f>IFERROR(__xludf.DUMMYFUNCTION("""COMPUTED_VALUE"""),"AngelList")</f>
        <v>AngelList</v>
      </c>
      <c r="C868" s="1" t="str">
        <f>IFERROR(__xludf.DUMMYFUNCTION("""COMPUTED_VALUE"""),"Data Analyst")</f>
        <v>Data Analyst</v>
      </c>
      <c r="D868" s="1" t="str">
        <f>IFERROR(__xludf.DUMMYFUNCTION("""COMPUTED_VALUE"""),"Hybrid")</f>
        <v>Hybrid</v>
      </c>
      <c r="E868" s="1" t="str">
        <f>IFERROR(__xludf.DUMMYFUNCTION("""COMPUTED_VALUE"""),"N/A")</f>
        <v>N/A</v>
      </c>
      <c r="F868" s="1" t="str">
        <f>IFERROR(__xludf.DUMMYFUNCTION("""COMPUTED_VALUE"""),"3 - 5")</f>
        <v>3 - 5</v>
      </c>
      <c r="G868" s="1" t="str">
        <f>IFERROR(__xludf.DUMMYFUNCTION("""COMPUTED_VALUE"""),"Certain Locations")</f>
        <v>Certain Locations</v>
      </c>
      <c r="H868" s="4" t="str">
        <f>IFERROR(__xludf.DUMMYFUNCTION("""COMPUTED_VALUE"""),"https://www.linkedin.com/posts/ryanjkelly8_data-analyst-activity-7230271508378443776-mXg4?utm_source=share&amp;utm_medium=member_desktop")</f>
        <v>https://www.linkedin.com/posts/ryanjkelly8_data-analyst-activity-7230271508378443776-mXg4?utm_source=share&amp;utm_medium=member_desktop</v>
      </c>
    </row>
    <row r="869">
      <c r="A869" s="2">
        <f>IFERROR(__xludf.DUMMYFUNCTION("""COMPUTED_VALUE"""),45520.0)</f>
        <v>45520</v>
      </c>
      <c r="B869" s="1" t="str">
        <f>IFERROR(__xludf.DUMMYFUNCTION("""COMPUTED_VALUE"""),"Posit")</f>
        <v>Posit</v>
      </c>
      <c r="C869" s="1" t="str">
        <f>IFERROR(__xludf.DUMMYFUNCTION("""COMPUTED_VALUE"""),"Data Engineer")</f>
        <v>Data Engineer</v>
      </c>
      <c r="D869" s="1" t="str">
        <f>IFERROR(__xludf.DUMMYFUNCTION("""COMPUTED_VALUE"""),"Remote")</f>
        <v>Remote</v>
      </c>
      <c r="E869" s="1" t="str">
        <f>IFERROR(__xludf.DUMMYFUNCTION("""COMPUTED_VALUE"""),"N/A")</f>
        <v>N/A</v>
      </c>
      <c r="F869" s="1" t="str">
        <f>IFERROR(__xludf.DUMMYFUNCTION("""COMPUTED_VALUE"""),"6 - 9")</f>
        <v>6 - 9</v>
      </c>
      <c r="G869" s="1" t="str">
        <f>IFERROR(__xludf.DUMMYFUNCTION("""COMPUTED_VALUE"""),"USA")</f>
        <v>USA</v>
      </c>
      <c r="H869" s="4" t="str">
        <f>IFERROR(__xludf.DUMMYFUNCTION("""COMPUTED_VALUE"""),"https://www.linkedin.com/posts/taylorhoover_posit-careers-job-listing-activity-7230211758982885376-Of97?utm_source=share&amp;utm_medium=member_ios")</f>
        <v>https://www.linkedin.com/posts/taylorhoover_posit-careers-job-listing-activity-7230211758982885376-Of97?utm_source=share&amp;utm_medium=member_ios</v>
      </c>
    </row>
    <row r="870">
      <c r="A870" s="2">
        <f>IFERROR(__xludf.DUMMYFUNCTION("""COMPUTED_VALUE"""),45520.0)</f>
        <v>45520</v>
      </c>
      <c r="B870" s="1" t="str">
        <f>IFERROR(__xludf.DUMMYFUNCTION("""COMPUTED_VALUE"""),"Bodycote")</f>
        <v>Bodycote</v>
      </c>
      <c r="C870" s="1" t="str">
        <f>IFERROR(__xludf.DUMMYFUNCTION("""COMPUTED_VALUE"""),"Payroll Accountant &amp; Data Analyst")</f>
        <v>Payroll Accountant &amp; Data Analyst</v>
      </c>
      <c r="D870" s="1" t="str">
        <f>IFERROR(__xludf.DUMMYFUNCTION("""COMPUTED_VALUE"""),"Hybrid")</f>
        <v>Hybrid</v>
      </c>
      <c r="E870" s="1" t="str">
        <f>IFERROR(__xludf.DUMMYFUNCTION("""COMPUTED_VALUE"""),"N/A")</f>
        <v>N/A</v>
      </c>
      <c r="F870" s="1" t="str">
        <f>IFERROR(__xludf.DUMMYFUNCTION("""COMPUTED_VALUE"""),"3 - 5")</f>
        <v>3 - 5</v>
      </c>
      <c r="G870" s="1" t="str">
        <f>IFERROR(__xludf.DUMMYFUNCTION("""COMPUTED_VALUE"""),"Dallas, TX")</f>
        <v>Dallas, TX</v>
      </c>
      <c r="H870" s="4" t="str">
        <f>IFERROR(__xludf.DUMMYFUNCTION("""COMPUTED_VALUE"""),"https://www.linkedin.com/posts/allison-brewster-0985264_hiring-activity-7230240211924848640-key9?utm_source=share&amp;utm_medium=member_desktop")</f>
        <v>https://www.linkedin.com/posts/allison-brewster-0985264_hiring-activity-7230240211924848640-key9?utm_source=share&amp;utm_medium=member_desktop</v>
      </c>
    </row>
    <row r="871">
      <c r="A871" s="2">
        <f>IFERROR(__xludf.DUMMYFUNCTION("""COMPUTED_VALUE"""),45520.0)</f>
        <v>45520</v>
      </c>
      <c r="B871" s="1" t="str">
        <f>IFERROR(__xludf.DUMMYFUNCTION("""COMPUTED_VALUE"""),"SOLVE(D)")</f>
        <v>SOLVE(D)</v>
      </c>
      <c r="C871" s="1" t="str">
        <f>IFERROR(__xludf.DUMMYFUNCTION("""COMPUTED_VALUE"""),"Lead Data Scientist")</f>
        <v>Lead Data Scientist</v>
      </c>
      <c r="D871" s="1" t="str">
        <f>IFERROR(__xludf.DUMMYFUNCTION("""COMPUTED_VALUE"""),"Hybrid")</f>
        <v>Hybrid</v>
      </c>
      <c r="E871" s="1" t="str">
        <f>IFERROR(__xludf.DUMMYFUNCTION("""COMPUTED_VALUE"""),"$110k - $140k")</f>
        <v>$110k - $140k</v>
      </c>
      <c r="F871" s="1" t="str">
        <f>IFERROR(__xludf.DUMMYFUNCTION("""COMPUTED_VALUE"""),"3 - 5")</f>
        <v>3 - 5</v>
      </c>
      <c r="G871" s="1" t="str">
        <f>IFERROR(__xludf.DUMMYFUNCTION("""COMPUTED_VALUE"""),"New York, NY")</f>
        <v>New York, NY</v>
      </c>
      <c r="H871" s="4" t="str">
        <f>IFERROR(__xludf.DUMMYFUNCTION("""COMPUTED_VALUE"""),"https://www.linkedin.com/posts/jennifer-hernandez-baa7b9236_hiring-activity-7230222320148123650-IyIt?utm_source=share&amp;utm_medium=member_desktop")</f>
        <v>https://www.linkedin.com/posts/jennifer-hernandez-baa7b9236_hiring-activity-7230222320148123650-IyIt?utm_source=share&amp;utm_medium=member_desktop</v>
      </c>
    </row>
    <row r="872">
      <c r="A872" s="2">
        <f>IFERROR(__xludf.DUMMYFUNCTION("""COMPUTED_VALUE"""),45520.0)</f>
        <v>45520</v>
      </c>
      <c r="B872" s="1" t="str">
        <f>IFERROR(__xludf.DUMMYFUNCTION("""COMPUTED_VALUE"""),"Perennial")</f>
        <v>Perennial</v>
      </c>
      <c r="C872" s="1" t="str">
        <f>IFERROR(__xludf.DUMMYFUNCTION("""COMPUTED_VALUE"""),"Data Analyst, GHG Accounting")</f>
        <v>Data Analyst, GHG Accounting</v>
      </c>
      <c r="D872" s="1" t="str">
        <f>IFERROR(__xludf.DUMMYFUNCTION("""COMPUTED_VALUE"""),"Remote")</f>
        <v>Remote</v>
      </c>
      <c r="E872" s="1" t="str">
        <f>IFERROR(__xludf.DUMMYFUNCTION("""COMPUTED_VALUE"""),"$60k - $95k")</f>
        <v>$60k - $95k</v>
      </c>
      <c r="F872" s="1" t="str">
        <f>IFERROR(__xludf.DUMMYFUNCTION("""COMPUTED_VALUE"""),"3 - 5")</f>
        <v>3 - 5</v>
      </c>
      <c r="G872" s="1" t="str">
        <f>IFERROR(__xludf.DUMMYFUNCTION("""COMPUTED_VALUE"""),"USA")</f>
        <v>USA</v>
      </c>
      <c r="H872" s="4" t="str">
        <f>IFERROR(__xludf.DUMMYFUNCTION("""COMPUTED_VALUE"""),"https://www.linkedin.com/posts/dschurman_perennial-is-hiring-for-a-data-analyst-activity-7230248763909439488-NfRt?utm_source=share&amp;utm_medium=member_desktop")</f>
        <v>https://www.linkedin.com/posts/dschurman_perennial-is-hiring-for-a-data-analyst-activity-7230248763909439488-NfRt?utm_source=share&amp;utm_medium=member_desktop</v>
      </c>
    </row>
    <row r="873">
      <c r="A873" s="2">
        <f>IFERROR(__xludf.DUMMYFUNCTION("""COMPUTED_VALUE"""),45520.0)</f>
        <v>45520</v>
      </c>
      <c r="B873" s="1" t="str">
        <f>IFERROR(__xludf.DUMMYFUNCTION("""COMPUTED_VALUE"""),"The J.M. Smucker Co.")</f>
        <v>The J.M. Smucker Co.</v>
      </c>
      <c r="C873" s="1" t="str">
        <f>IFERROR(__xludf.DUMMYFUNCTION("""COMPUTED_VALUE"""),"Senior Analyst - Customer Logistcs - Walmart")</f>
        <v>Senior Analyst - Customer Logistcs - Walmart</v>
      </c>
      <c r="D873" s="1" t="str">
        <f>IFERROR(__xludf.DUMMYFUNCTION("""COMPUTED_VALUE"""),"Hybrid")</f>
        <v>Hybrid</v>
      </c>
      <c r="E873" s="1" t="str">
        <f>IFERROR(__xludf.DUMMYFUNCTION("""COMPUTED_VALUE"""),"N/A")</f>
        <v>N/A</v>
      </c>
      <c r="F873" s="1" t="str">
        <f>IFERROR(__xludf.DUMMYFUNCTION("""COMPUTED_VALUE"""),"0 - 2")</f>
        <v>0 - 2</v>
      </c>
      <c r="G873" s="1" t="str">
        <f>IFERROR(__xludf.DUMMYFUNCTION("""COMPUTED_VALUE"""),"Orrvile, OH")</f>
        <v>Orrvile, OH</v>
      </c>
      <c r="H873" s="4" t="str">
        <f>IFERROR(__xludf.DUMMYFUNCTION("""COMPUTED_VALUE"""),"https://www.linkedin.com/posts/jennifer-walters-b78771142_senior-analyst-customer-logistics-walmart-activity-7230232306894958592-fNdu?utm_source=share&amp;utm_medium=member_desktop")</f>
        <v>https://www.linkedin.com/posts/jennifer-walters-b78771142_senior-analyst-customer-logistics-walmart-activity-7230232306894958592-fNdu?utm_source=share&amp;utm_medium=member_desktop</v>
      </c>
    </row>
    <row r="874">
      <c r="A874" s="2">
        <f>IFERROR(__xludf.DUMMYFUNCTION("""COMPUTED_VALUE"""),45520.0)</f>
        <v>45520</v>
      </c>
      <c r="B874" s="1" t="str">
        <f>IFERROR(__xludf.DUMMYFUNCTION("""COMPUTED_VALUE"""),"Cedar")</f>
        <v>Cedar</v>
      </c>
      <c r="C874" s="1" t="str">
        <f>IFERROR(__xludf.DUMMYFUNCTION("""COMPUTED_VALUE"""),"Sr. Product Manager (Commercial Analytics)")</f>
        <v>Sr. Product Manager (Commercial Analytics)</v>
      </c>
      <c r="D874" s="1" t="str">
        <f>IFERROR(__xludf.DUMMYFUNCTION("""COMPUTED_VALUE"""),"Remote")</f>
        <v>Remote</v>
      </c>
      <c r="E874" s="1" t="str">
        <f>IFERROR(__xludf.DUMMYFUNCTION("""COMPUTED_VALUE"""),"$164k - $193k")</f>
        <v>$164k - $193k</v>
      </c>
      <c r="F874" s="1" t="str">
        <f>IFERROR(__xludf.DUMMYFUNCTION("""COMPUTED_VALUE"""),"6 - 9")</f>
        <v>6 - 9</v>
      </c>
      <c r="G874" s="1" t="str">
        <f>IFERROR(__xludf.DUMMYFUNCTION("""COMPUTED_VALUE"""),"USA")</f>
        <v>USA</v>
      </c>
      <c r="H874" s="4" t="str">
        <f>IFERROR(__xludf.DUMMYFUNCTION("""COMPUTED_VALUE"""),"https://www.linkedin.com/posts/liliagutnik_hiring-activity-7230251410641051650-3om6?utm_source=share&amp;utm_medium=member_desktop")</f>
        <v>https://www.linkedin.com/posts/liliagutnik_hiring-activity-7230251410641051650-3om6?utm_source=share&amp;utm_medium=member_desktop</v>
      </c>
    </row>
    <row r="875">
      <c r="A875" s="2">
        <f>IFERROR(__xludf.DUMMYFUNCTION("""COMPUTED_VALUE"""),45520.0)</f>
        <v>45520</v>
      </c>
      <c r="B875" s="1" t="str">
        <f>IFERROR(__xludf.DUMMYFUNCTION("""COMPUTED_VALUE"""),"OneGoal")</f>
        <v>OneGoal</v>
      </c>
      <c r="C875" s="1" t="str">
        <f>IFERROR(__xludf.DUMMYFUNCTION("""COMPUTED_VALUE"""),"Manager of Analytics")</f>
        <v>Manager of Analytics</v>
      </c>
      <c r="D875" s="1" t="str">
        <f>IFERROR(__xludf.DUMMYFUNCTION("""COMPUTED_VALUE"""),"Remote")</f>
        <v>Remote</v>
      </c>
      <c r="E875" s="1" t="str">
        <f>IFERROR(__xludf.DUMMYFUNCTION("""COMPUTED_VALUE"""),"$60k - $64k")</f>
        <v>$60k - $64k</v>
      </c>
      <c r="F875" s="1" t="str">
        <f>IFERROR(__xludf.DUMMYFUNCTION("""COMPUTED_VALUE"""),"0 - 2")</f>
        <v>0 - 2</v>
      </c>
      <c r="G875" s="1" t="str">
        <f>IFERROR(__xludf.DUMMYFUNCTION("""COMPUTED_VALUE"""),"Certain Locations")</f>
        <v>Certain Locations</v>
      </c>
      <c r="H875" s="4" t="str">
        <f>IFERROR(__xludf.DUMMYFUNCTION("""COMPUTED_VALUE"""),"https://www.linkedin.com/posts/cassiesupilowski_my-wonderful-teammate-is-hiring-for-a-manager-activity-7230256942235992064-so4_?utm_source=share&amp;utm_medium=member_desktop")</f>
        <v>https://www.linkedin.com/posts/cassiesupilowski_my-wonderful-teammate-is-hiring-for-a-manager-activity-7230256942235992064-so4_?utm_source=share&amp;utm_medium=member_desktop</v>
      </c>
    </row>
    <row r="876">
      <c r="A876" s="2">
        <f>IFERROR(__xludf.DUMMYFUNCTION("""COMPUTED_VALUE"""),45520.0)</f>
        <v>45520</v>
      </c>
      <c r="B876" s="1" t="str">
        <f>IFERROR(__xludf.DUMMYFUNCTION("""COMPUTED_VALUE"""),"Origin")</f>
        <v>Origin</v>
      </c>
      <c r="C876" s="1" t="str">
        <f>IFERROR(__xludf.DUMMYFUNCTION("""COMPUTED_VALUE"""),"Data and Analytics Leader")</f>
        <v>Data and Analytics Leader</v>
      </c>
      <c r="D876" s="1" t="str">
        <f>IFERROR(__xludf.DUMMYFUNCTION("""COMPUTED_VALUE"""),"Hybrid")</f>
        <v>Hybrid</v>
      </c>
      <c r="E876" s="1" t="str">
        <f>IFERROR(__xludf.DUMMYFUNCTION("""COMPUTED_VALUE"""),"N/A")</f>
        <v>N/A</v>
      </c>
      <c r="F876" s="1" t="str">
        <f>IFERROR(__xludf.DUMMYFUNCTION("""COMPUTED_VALUE"""),"6 - 9")</f>
        <v>6 - 9</v>
      </c>
      <c r="G876" s="1" t="str">
        <f>IFERROR(__xludf.DUMMYFUNCTION("""COMPUTED_VALUE"""),"Chicago, IL")</f>
        <v>Chicago, IL</v>
      </c>
      <c r="H876" s="4" t="str">
        <f>IFERROR(__xludf.DUMMYFUNCTION("""COMPUTED_VALUE"""),"https://www.linkedin.com/posts/evangcobb_hiring-data-datastrategy-activity-7230251447802548224-Rcj5?utm_source=share&amp;utm_medium=member_desktop")</f>
        <v>https://www.linkedin.com/posts/evangcobb_hiring-data-datastrategy-activity-7230251447802548224-Rcj5?utm_source=share&amp;utm_medium=member_desktop</v>
      </c>
    </row>
    <row r="877">
      <c r="A877" s="2">
        <f>IFERROR(__xludf.DUMMYFUNCTION("""COMPUTED_VALUE"""),45520.0)</f>
        <v>45520</v>
      </c>
      <c r="B877" s="1" t="str">
        <f>IFERROR(__xludf.DUMMYFUNCTION("""COMPUTED_VALUE"""),"Procore Technologies")</f>
        <v>Procore Technologies</v>
      </c>
      <c r="C877" s="1" t="str">
        <f>IFERROR(__xludf.DUMMYFUNCTION("""COMPUTED_VALUE"""),"Sr. Benefits Analyst")</f>
        <v>Sr. Benefits Analyst</v>
      </c>
      <c r="D877" s="1" t="str">
        <f>IFERROR(__xludf.DUMMYFUNCTION("""COMPUTED_VALUE"""),"Remote")</f>
        <v>Remote</v>
      </c>
      <c r="E877" s="1" t="str">
        <f>IFERROR(__xludf.DUMMYFUNCTION("""COMPUTED_VALUE"""),"$90k - $124k")</f>
        <v>$90k - $124k</v>
      </c>
      <c r="F877" s="1" t="str">
        <f>IFERROR(__xludf.DUMMYFUNCTION("""COMPUTED_VALUE"""),"6 - 9")</f>
        <v>6 - 9</v>
      </c>
      <c r="G877" s="1" t="str">
        <f>IFERROR(__xludf.DUMMYFUNCTION("""COMPUTED_VALUE"""),"USA")</f>
        <v>USA</v>
      </c>
      <c r="H877" s="4" t="str">
        <f>IFERROR(__xludf.DUMMYFUNCTION("""COMPUTED_VALUE"""),"https://www.linkedin.com/posts/nancytreolo_hiring-benefits-activity-7230226160276676610-2NSv?utm_source=share&amp;utm_medium=member_desktop")</f>
        <v>https://www.linkedin.com/posts/nancytreolo_hiring-benefits-activity-7230226160276676610-2NSv?utm_source=share&amp;utm_medium=member_desktop</v>
      </c>
    </row>
    <row r="878">
      <c r="A878" s="2">
        <f>IFERROR(__xludf.DUMMYFUNCTION("""COMPUTED_VALUE"""),45520.0)</f>
        <v>45520</v>
      </c>
      <c r="B878" s="1" t="str">
        <f>IFERROR(__xludf.DUMMYFUNCTION("""COMPUTED_VALUE"""),"AvantStay")</f>
        <v>AvantStay</v>
      </c>
      <c r="C878" s="1" t="str">
        <f>IFERROR(__xludf.DUMMYFUNCTION("""COMPUTED_VALUE"""),"Revenue Analyst")</f>
        <v>Revenue Analyst</v>
      </c>
      <c r="D878" s="1" t="str">
        <f>IFERROR(__xludf.DUMMYFUNCTION("""COMPUTED_VALUE"""),"Remote")</f>
        <v>Remote</v>
      </c>
      <c r="E878" s="1" t="str">
        <f>IFERROR(__xludf.DUMMYFUNCTION("""COMPUTED_VALUE"""),"$70k - $80k")</f>
        <v>$70k - $80k</v>
      </c>
      <c r="F878" s="1" t="str">
        <f>IFERROR(__xludf.DUMMYFUNCTION("""COMPUTED_VALUE"""),"0 - 2")</f>
        <v>0 - 2</v>
      </c>
      <c r="G878" s="1" t="str">
        <f>IFERROR(__xludf.DUMMYFUNCTION("""COMPUTED_VALUE"""),"USA")</f>
        <v>USA</v>
      </c>
      <c r="H878" s="4" t="str">
        <f>IFERROR(__xludf.DUMMYFUNCTION("""COMPUTED_VALUE"""),"https://www.linkedin.com/posts/emre-ilgaz-89718587_hiring-vacationrentals-revenuemanagement-activity-7230272136655904768-IfOL?utm_source=share&amp;utm_medium=member_ios")</f>
        <v>https://www.linkedin.com/posts/emre-ilgaz-89718587_hiring-vacationrentals-revenuemanagement-activity-7230272136655904768-IfOL?utm_source=share&amp;utm_medium=member_ios</v>
      </c>
    </row>
    <row r="879">
      <c r="A879" s="2">
        <f>IFERROR(__xludf.DUMMYFUNCTION("""COMPUTED_VALUE"""),45520.0)</f>
        <v>45520</v>
      </c>
      <c r="B879" s="1" t="str">
        <f>IFERROR(__xludf.DUMMYFUNCTION("""COMPUTED_VALUE"""),"MBC Companies")</f>
        <v>MBC Companies</v>
      </c>
      <c r="C879" s="1" t="str">
        <f>IFERROR(__xludf.DUMMYFUNCTION("""COMPUTED_VALUE"""),"Senior Sales Analyst")</f>
        <v>Senior Sales Analyst</v>
      </c>
      <c r="D879" s="1" t="str">
        <f>IFERROR(__xludf.DUMMYFUNCTION("""COMPUTED_VALUE"""),"Remote")</f>
        <v>Remote</v>
      </c>
      <c r="E879" s="1" t="str">
        <f>IFERROR(__xludf.DUMMYFUNCTION("""COMPUTED_VALUE"""),"$85k")</f>
        <v>$85k</v>
      </c>
      <c r="F879" s="1" t="str">
        <f>IFERROR(__xludf.DUMMYFUNCTION("""COMPUTED_VALUE"""),"6 - 9")</f>
        <v>6 - 9</v>
      </c>
      <c r="G879" s="1" t="str">
        <f>IFERROR(__xludf.DUMMYFUNCTION("""COMPUTED_VALUE"""),"Certain Locations")</f>
        <v>Certain Locations</v>
      </c>
      <c r="H879" s="4" t="str">
        <f>IFERROR(__xludf.DUMMYFUNCTION("""COMPUTED_VALUE"""),"https://www.linkedin.com/posts/kevin-schiller-mba-7826717_im-hiring-were-looking-for-a-senior-sales-activity-7230233289582596098-6W6q?utm_source=share&amp;utm_medium=member_ios")</f>
        <v>https://www.linkedin.com/posts/kevin-schiller-mba-7826717_im-hiring-were-looking-for-a-senior-sales-activity-7230233289582596098-6W6q?utm_source=share&amp;utm_medium=member_ios</v>
      </c>
    </row>
    <row r="880">
      <c r="A880" s="2">
        <f>IFERROR(__xludf.DUMMYFUNCTION("""COMPUTED_VALUE"""),45520.0)</f>
        <v>45520</v>
      </c>
      <c r="B880" s="1" t="str">
        <f>IFERROR(__xludf.DUMMYFUNCTION("""COMPUTED_VALUE"""),"Anthesis Group")</f>
        <v>Anthesis Group</v>
      </c>
      <c r="C880" s="1" t="str">
        <f>IFERROR(__xludf.DUMMYFUNCTION("""COMPUTED_VALUE"""),"Business Intelligence Analyst")</f>
        <v>Business Intelligence Analyst</v>
      </c>
      <c r="D880" s="1" t="str">
        <f>IFERROR(__xludf.DUMMYFUNCTION("""COMPUTED_VALUE"""),"Remote")</f>
        <v>Remote</v>
      </c>
      <c r="E880" s="1" t="str">
        <f>IFERROR(__xludf.DUMMYFUNCTION("""COMPUTED_VALUE"""),"$61k - $70k ")</f>
        <v>$61k - $70k </v>
      </c>
      <c r="F880" s="1" t="str">
        <f>IFERROR(__xludf.DUMMYFUNCTION("""COMPUTED_VALUE"""),"0 - 2")</f>
        <v>0 - 2</v>
      </c>
      <c r="G880" s="1" t="str">
        <f>IFERROR(__xludf.DUMMYFUNCTION("""COMPUTED_VALUE"""),"Certain Locations")</f>
        <v>Certain Locations</v>
      </c>
      <c r="H880" s="4" t="str">
        <f>IFERROR(__xludf.DUMMYFUNCTION("""COMPUTED_VALUE"""),"https://www.linkedin.com/posts/activity-7230274831437484032-lZ_M?utm_source=share&amp;utm_medium=member_ios")</f>
        <v>https://www.linkedin.com/posts/activity-7230274831437484032-lZ_M?utm_source=share&amp;utm_medium=member_ios</v>
      </c>
    </row>
    <row r="881">
      <c r="A881" s="2">
        <f>IFERROR(__xludf.DUMMYFUNCTION("""COMPUTED_VALUE"""),45520.0)</f>
        <v>45520</v>
      </c>
      <c r="B881" s="1" t="str">
        <f>IFERROR(__xludf.DUMMYFUNCTION("""COMPUTED_VALUE"""),"CyrusOne")</f>
        <v>CyrusOne</v>
      </c>
      <c r="C881" s="1" t="str">
        <f>IFERROR(__xludf.DUMMYFUNCTION("""COMPUTED_VALUE"""),"Business Continuity Analyst")</f>
        <v>Business Continuity Analyst</v>
      </c>
      <c r="D881" s="1" t="str">
        <f>IFERROR(__xludf.DUMMYFUNCTION("""COMPUTED_VALUE"""),"On-Site")</f>
        <v>On-Site</v>
      </c>
      <c r="E881" s="1" t="str">
        <f>IFERROR(__xludf.DUMMYFUNCTION("""COMPUTED_VALUE"""),"N/A")</f>
        <v>N/A</v>
      </c>
      <c r="F881" s="1" t="str">
        <f>IFERROR(__xludf.DUMMYFUNCTION("""COMPUTED_VALUE"""),"3 - 5")</f>
        <v>3 - 5</v>
      </c>
      <c r="G881" s="1" t="str">
        <f>IFERROR(__xludf.DUMMYFUNCTION("""COMPUTED_VALUE"""),"Dallas, TX")</f>
        <v>Dallas, TX</v>
      </c>
      <c r="H881" s="4" t="str">
        <f>IFERROR(__xludf.DUMMYFUNCTION("""COMPUTED_VALUE"""),"https://www.linkedin.com/feed/update/urn:li:activity:7229890781216399361?utm_source=share&amp;utm_medium=member_desktop")</f>
        <v>https://www.linkedin.com/feed/update/urn:li:activity:7229890781216399361?utm_source=share&amp;utm_medium=member_desktop</v>
      </c>
    </row>
    <row r="882">
      <c r="A882" s="2">
        <f>IFERROR(__xludf.DUMMYFUNCTION("""COMPUTED_VALUE"""),45520.0)</f>
        <v>45520</v>
      </c>
      <c r="B882" s="1" t="str">
        <f>IFERROR(__xludf.DUMMYFUNCTION("""COMPUTED_VALUE"""),"Airbnb")</f>
        <v>Airbnb</v>
      </c>
      <c r="C882" s="1" t="str">
        <f>IFERROR(__xludf.DUMMYFUNCTION("""COMPUTED_VALUE"""),"Senior Analyst, Advanced Analytics, Supply Diagnostics")</f>
        <v>Senior Analyst, Advanced Analytics, Supply Diagnostics</v>
      </c>
      <c r="D882" s="1" t="str">
        <f>IFERROR(__xludf.DUMMYFUNCTION("""COMPUTED_VALUE"""),"Remote")</f>
        <v>Remote</v>
      </c>
      <c r="E882" s="1" t="str">
        <f>IFERROR(__xludf.DUMMYFUNCTION("""COMPUTED_VALUE"""),"$125k - $150k")</f>
        <v>$125k - $150k</v>
      </c>
      <c r="F882" s="1" t="str">
        <f>IFERROR(__xludf.DUMMYFUNCTION("""COMPUTED_VALUE"""),"3 - 5")</f>
        <v>3 - 5</v>
      </c>
      <c r="G882" s="1" t="str">
        <f>IFERROR(__xludf.DUMMYFUNCTION("""COMPUTED_VALUE"""),"USA")</f>
        <v>USA</v>
      </c>
      <c r="H882" s="4" t="str">
        <f>IFERROR(__xludf.DUMMYFUNCTION("""COMPUTED_VALUE"""),"https://www.linkedin.com/posts/jonathan-allman-7320a444_senior-analyst-advanced-analytics-supply-activity-7230232617831317504-vTCH?utm_source=share&amp;utm_medium=member_desktop")</f>
        <v>https://www.linkedin.com/posts/jonathan-allman-7320a444_senior-analyst-advanced-analytics-supply-activity-7230232617831317504-vTCH?utm_source=share&amp;utm_medium=member_desktop</v>
      </c>
    </row>
    <row r="883">
      <c r="A883" s="2">
        <f>IFERROR(__xludf.DUMMYFUNCTION("""COMPUTED_VALUE"""),45520.0)</f>
        <v>45520</v>
      </c>
      <c r="B883" s="1" t="str">
        <f>IFERROR(__xludf.DUMMYFUNCTION("""COMPUTED_VALUE"""),"Dropbox")</f>
        <v>Dropbox</v>
      </c>
      <c r="C883" s="1" t="str">
        <f>IFERROR(__xludf.DUMMYFUNCTION("""COMPUTED_VALUE"""),"Staff Data Scientist")</f>
        <v>Staff Data Scientist</v>
      </c>
      <c r="D883" s="1" t="str">
        <f>IFERROR(__xludf.DUMMYFUNCTION("""COMPUTED_VALUE"""),"Remote")</f>
        <v>Remote</v>
      </c>
      <c r="E883" s="1" t="str">
        <f>IFERROR(__xludf.DUMMYFUNCTION("""COMPUTED_VALUE"""),"$168k - $256k")</f>
        <v>$168k - $256k</v>
      </c>
      <c r="F883" s="1" t="str">
        <f>IFERROR(__xludf.DUMMYFUNCTION("""COMPUTED_VALUE"""),"6 - 9")</f>
        <v>6 - 9</v>
      </c>
      <c r="G883" s="1" t="str">
        <f>IFERROR(__xludf.DUMMYFUNCTION("""COMPUTED_VALUE"""),"Certain Locations")</f>
        <v>Certain Locations</v>
      </c>
      <c r="H883" s="4" t="str">
        <f>IFERROR(__xludf.DUMMYFUNCTION("""COMPUTED_VALUE"""),"https://www.linkedin.com/posts/adam-bahrainwala_hiring-staff-data-scientist-activity-7230202539781058561-1A9N?utm_source=share&amp;utm_medium=member_desktop")</f>
        <v>https://www.linkedin.com/posts/adam-bahrainwala_hiring-staff-data-scientist-activity-7230202539781058561-1A9N?utm_source=share&amp;utm_medium=member_desktop</v>
      </c>
    </row>
    <row r="884">
      <c r="A884" s="2">
        <f>IFERROR(__xludf.DUMMYFUNCTION("""COMPUTED_VALUE"""),45520.0)</f>
        <v>45520</v>
      </c>
      <c r="B884" s="1" t="str">
        <f>IFERROR(__xludf.DUMMYFUNCTION("""COMPUTED_VALUE"""),"Capital One")</f>
        <v>Capital One</v>
      </c>
      <c r="C884" s="1" t="str">
        <f>IFERROR(__xludf.DUMMYFUNCTION("""COMPUTED_VALUE"""),"Manager, Data Scientist - AI Foundations, Specialist Models")</f>
        <v>Manager, Data Scientist - AI Foundations, Specialist Models</v>
      </c>
      <c r="D884" s="1" t="str">
        <f>IFERROR(__xludf.DUMMYFUNCTION("""COMPUTED_VALUE"""),"Hybrid")</f>
        <v>Hybrid</v>
      </c>
      <c r="E884" s="1" t="str">
        <f>IFERROR(__xludf.DUMMYFUNCTION("""COMPUTED_VALUE"""),"$201k - $243k")</f>
        <v>$201k - $243k</v>
      </c>
      <c r="F884" s="1" t="str">
        <f>IFERROR(__xludf.DUMMYFUNCTION("""COMPUTED_VALUE"""),"6 - 9")</f>
        <v>6 - 9</v>
      </c>
      <c r="G884" s="1" t="str">
        <f>IFERROR(__xludf.DUMMYFUNCTION("""COMPUTED_VALUE"""),"San Francisco, CA/New York, NY")</f>
        <v>San Francisco, CA/New York, NY</v>
      </c>
      <c r="H884" s="4" t="str">
        <f>IFERROR(__xludf.DUMMYFUNCTION("""COMPUTED_VALUE"""),"https://www.linkedin.com/posts/amanda-ding-24473915_my-team-is-hiring-manager-data-scientist-activity-7229910068161318913--d0D?utm_source=share&amp;utm_medium=member_desktop")</f>
        <v>https://www.linkedin.com/posts/amanda-ding-24473915_my-team-is-hiring-manager-data-scientist-activity-7229910068161318913--d0D?utm_source=share&amp;utm_medium=member_desktop</v>
      </c>
    </row>
    <row r="885">
      <c r="A885" s="2">
        <f>IFERROR(__xludf.DUMMYFUNCTION("""COMPUTED_VALUE"""),45520.0)</f>
        <v>45520</v>
      </c>
      <c r="B885" s="1" t="str">
        <f>IFERROR(__xludf.DUMMYFUNCTION("""COMPUTED_VALUE"""),"Reddit")</f>
        <v>Reddit</v>
      </c>
      <c r="C885" s="1" t="str">
        <f>IFERROR(__xludf.DUMMYFUNCTION("""COMPUTED_VALUE"""),"Data Scientist")</f>
        <v>Data Scientist</v>
      </c>
      <c r="D885" s="1" t="str">
        <f>IFERROR(__xludf.DUMMYFUNCTION("""COMPUTED_VALUE"""),"Remote")</f>
        <v>Remote</v>
      </c>
      <c r="E885" s="1" t="str">
        <f>IFERROR(__xludf.DUMMYFUNCTION("""COMPUTED_VALUE"""),"$164k—$229k")</f>
        <v>$164k—$229k</v>
      </c>
      <c r="F885" s="1" t="str">
        <f>IFERROR(__xludf.DUMMYFUNCTION("""COMPUTED_VALUE"""),"3 - 5")</f>
        <v>3 - 5</v>
      </c>
      <c r="G885" s="1" t="str">
        <f>IFERROR(__xludf.DUMMYFUNCTION("""COMPUTED_VALUE"""),"USA")</f>
        <v>USA</v>
      </c>
      <c r="H885" s="4" t="str">
        <f>IFERROR(__xludf.DUMMYFUNCTION("""COMPUTED_VALUE"""),"https://www.linkedin.com/posts/catherinekatiewright_super-excited-to-share-that-i-was-recently-activity-7230012671658536962-_snk?utm_source=share&amp;utm_medium=member_desktop")</f>
        <v>https://www.linkedin.com/posts/catherinekatiewright_super-excited-to-share-that-i-was-recently-activity-7230012671658536962-_snk?utm_source=share&amp;utm_medium=member_desktop</v>
      </c>
    </row>
    <row r="886">
      <c r="A886" s="2">
        <f>IFERROR(__xludf.DUMMYFUNCTION("""COMPUTED_VALUE"""),45520.0)</f>
        <v>45520</v>
      </c>
      <c r="B886" s="1" t="str">
        <f>IFERROR(__xludf.DUMMYFUNCTION("""COMPUTED_VALUE"""),"Opportunity Finance Network")</f>
        <v>Opportunity Finance Network</v>
      </c>
      <c r="C886" s="1" t="str">
        <f>IFERROR(__xludf.DUMMYFUNCTION("""COMPUTED_VALUE"""),"Senior Vice President, Data")</f>
        <v>Senior Vice President, Data</v>
      </c>
      <c r="D886" s="1" t="str">
        <f>IFERROR(__xludf.DUMMYFUNCTION("""COMPUTED_VALUE"""),"Hybrid")</f>
        <v>Hybrid</v>
      </c>
      <c r="E886" s="1" t="str">
        <f>IFERROR(__xludf.DUMMYFUNCTION("""COMPUTED_VALUE"""),"N/A")</f>
        <v>N/A</v>
      </c>
      <c r="F886" s="1" t="str">
        <f>IFERROR(__xludf.DUMMYFUNCTION("""COMPUTED_VALUE"""),"6 - 9")</f>
        <v>6 - 9</v>
      </c>
      <c r="G886" s="1" t="str">
        <f>IFERROR(__xludf.DUMMYFUNCTION("""COMPUTED_VALUE"""),"Washington DC")</f>
        <v>Washington DC</v>
      </c>
      <c r="H886" s="4" t="str">
        <f>IFERROR(__xludf.DUMMYFUNCTION("""COMPUTED_VALUE"""),"https://www.linkedin.com/posts/kevin-fryatt_hiring-activity-7229967110716710914-jWH5?utm_source=share&amp;utm_medium=member_desktop")</f>
        <v>https://www.linkedin.com/posts/kevin-fryatt_hiring-activity-7229967110716710914-jWH5?utm_source=share&amp;utm_medium=member_desktop</v>
      </c>
    </row>
    <row r="887">
      <c r="A887" s="2">
        <f>IFERROR(__xludf.DUMMYFUNCTION("""COMPUTED_VALUE"""),45520.0)</f>
        <v>45520</v>
      </c>
      <c r="B887" s="1" t="str">
        <f>IFERROR(__xludf.DUMMYFUNCTION("""COMPUTED_VALUE"""),"San Francisco Health Plan")</f>
        <v>San Francisco Health Plan</v>
      </c>
      <c r="C887" s="1" t="str">
        <f>IFERROR(__xludf.DUMMYFUNCTION("""COMPUTED_VALUE"""),"Data Analyst, Quality Data Analytics")</f>
        <v>Data Analyst, Quality Data Analytics</v>
      </c>
      <c r="D887" s="1" t="str">
        <f>IFERROR(__xludf.DUMMYFUNCTION("""COMPUTED_VALUE"""),"Hybrid")</f>
        <v>Hybrid</v>
      </c>
      <c r="E887" s="1" t="str">
        <f>IFERROR(__xludf.DUMMYFUNCTION("""COMPUTED_VALUE"""),"$85k - $95k")</f>
        <v>$85k - $95k</v>
      </c>
      <c r="F887" s="1" t="str">
        <f>IFERROR(__xludf.DUMMYFUNCTION("""COMPUTED_VALUE"""),"3 - 5")</f>
        <v>3 - 5</v>
      </c>
      <c r="G887" s="1" t="str">
        <f>IFERROR(__xludf.DUMMYFUNCTION("""COMPUTED_VALUE"""),"San Francisco, CA")</f>
        <v>San Francisco, CA</v>
      </c>
      <c r="H887" s="4" t="str">
        <f>IFERROR(__xludf.DUMMYFUNCTION("""COMPUTED_VALUE"""),"https://www.linkedin.com/posts/activity-7230004786765389825-EGNG?utm_source=share&amp;utm_medium=member_desktop")</f>
        <v>https://www.linkedin.com/posts/activity-7230004786765389825-EGNG?utm_source=share&amp;utm_medium=member_desktop</v>
      </c>
    </row>
    <row r="888">
      <c r="A888" s="2">
        <f>IFERROR(__xludf.DUMMYFUNCTION("""COMPUTED_VALUE"""),45520.0)</f>
        <v>45520</v>
      </c>
      <c r="B888" s="1" t="str">
        <f>IFERROR(__xludf.DUMMYFUNCTION("""COMPUTED_VALUE"""),"Stop &amp; Shop")</f>
        <v>Stop &amp; Shop</v>
      </c>
      <c r="C888" s="1" t="str">
        <f>IFERROR(__xludf.DUMMYFUNCTION("""COMPUTED_VALUE"""),"Finance Analyst II")</f>
        <v>Finance Analyst II</v>
      </c>
      <c r="D888" s="1" t="str">
        <f>IFERROR(__xludf.DUMMYFUNCTION("""COMPUTED_VALUE"""),"Hybrid")</f>
        <v>Hybrid</v>
      </c>
      <c r="E888" s="1" t="str">
        <f>IFERROR(__xludf.DUMMYFUNCTION("""COMPUTED_VALUE"""),"$80k - $80k")</f>
        <v>$80k - $80k</v>
      </c>
      <c r="F888" s="1" t="str">
        <f>IFERROR(__xludf.DUMMYFUNCTION("""COMPUTED_VALUE"""),"3 - 5")</f>
        <v>3 - 5</v>
      </c>
      <c r="G888" s="1" t="str">
        <f>IFERROR(__xludf.DUMMYFUNCTION("""COMPUTED_VALUE"""),"Quincy, MA")</f>
        <v>Quincy, MA</v>
      </c>
      <c r="H888" s="4" t="str">
        <f>IFERROR(__xludf.DUMMYFUNCTION("""COMPUTED_VALUE"""),"https://www.linkedin.com/posts/sandrarinella_finance-analyst-ii-quincy-ma-stop-and-activity-7230217244696285186-ZXiP?utm_source=share&amp;utm_medium=member_desktop")</f>
        <v>https://www.linkedin.com/posts/sandrarinella_finance-analyst-ii-quincy-ma-stop-and-activity-7230217244696285186-ZXiP?utm_source=share&amp;utm_medium=member_desktop</v>
      </c>
    </row>
    <row r="889">
      <c r="A889" s="2">
        <f>IFERROR(__xludf.DUMMYFUNCTION("""COMPUTED_VALUE"""),45520.0)</f>
        <v>45520</v>
      </c>
      <c r="B889" s="1" t="str">
        <f>IFERROR(__xludf.DUMMYFUNCTION("""COMPUTED_VALUE"""),"Aledade")</f>
        <v>Aledade</v>
      </c>
      <c r="C889" s="1" t="str">
        <f>IFERROR(__xludf.DUMMYFUNCTION("""COMPUTED_VALUE"""),"Senior Research Analyst")</f>
        <v>Senior Research Analyst</v>
      </c>
      <c r="D889" s="1" t="str">
        <f>IFERROR(__xludf.DUMMYFUNCTION("""COMPUTED_VALUE"""),"Remote")</f>
        <v>Remote</v>
      </c>
      <c r="E889" s="1" t="str">
        <f>IFERROR(__xludf.DUMMYFUNCTION("""COMPUTED_VALUE"""),"N/A")</f>
        <v>N/A</v>
      </c>
      <c r="F889" s="1" t="str">
        <f>IFERROR(__xludf.DUMMYFUNCTION("""COMPUTED_VALUE"""),"6 - 9")</f>
        <v>6 - 9</v>
      </c>
      <c r="G889" s="1" t="str">
        <f>IFERROR(__xludf.DUMMYFUNCTION("""COMPUTED_VALUE"""),"USA")</f>
        <v>USA</v>
      </c>
      <c r="H889" s="4" t="str">
        <f>IFERROR(__xludf.DUMMYFUNCTION("""COMPUTED_VALUE"""),"https://www.linkedin.com/posts/kristinabennettcontreras_aledade-senior-research-analyst-remote-activity-7230035350230839296-zzl2?utm_source=share&amp;utm_medium=member_desktop")</f>
        <v>https://www.linkedin.com/posts/kristinabennettcontreras_aledade-senior-research-analyst-remote-activity-7230035350230839296-zzl2?utm_source=share&amp;utm_medium=member_desktop</v>
      </c>
    </row>
    <row r="890">
      <c r="A890" s="2">
        <f>IFERROR(__xludf.DUMMYFUNCTION("""COMPUTED_VALUE"""),45520.0)</f>
        <v>45520</v>
      </c>
      <c r="B890" s="1" t="str">
        <f>IFERROR(__xludf.DUMMYFUNCTION("""COMPUTED_VALUE"""),"Amazon")</f>
        <v>Amazon</v>
      </c>
      <c r="C890" s="1" t="str">
        <f>IFERROR(__xludf.DUMMYFUNCTION("""COMPUTED_VALUE"""),"Senior Escalations Analyst, Commerce Platform")</f>
        <v>Senior Escalations Analyst, Commerce Platform</v>
      </c>
      <c r="D890" s="1" t="str">
        <f>IFERROR(__xludf.DUMMYFUNCTION("""COMPUTED_VALUE"""),"Hybrid")</f>
        <v>Hybrid</v>
      </c>
      <c r="E890" s="1" t="str">
        <f>IFERROR(__xludf.DUMMYFUNCTION("""COMPUTED_VALUE"""),"$79k - $169k")</f>
        <v>$79k - $169k</v>
      </c>
      <c r="F890" s="1" t="str">
        <f>IFERROR(__xludf.DUMMYFUNCTION("""COMPUTED_VALUE"""),"3 - 5")</f>
        <v>3 - 5</v>
      </c>
      <c r="G890" s="1" t="str">
        <f>IFERROR(__xludf.DUMMYFUNCTION("""COMPUTED_VALUE"""),"Seattle, WA/New York, NY")</f>
        <v>Seattle, WA/New York, NY</v>
      </c>
      <c r="H890" s="4" t="str">
        <f>IFERROR(__xludf.DUMMYFUNCTION("""COMPUTED_VALUE"""),"https://www.linkedin.com/posts/jonathan-neuhardt-8a188221_senior-escalations-analyst-commerce-platform-activity-7229887306071949313-ht6V?utm_source=share&amp;utm_medium=member_desktop")</f>
        <v>https://www.linkedin.com/posts/jonathan-neuhardt-8a188221_senior-escalations-analyst-commerce-platform-activity-7229887306071949313-ht6V?utm_source=share&amp;utm_medium=member_desktop</v>
      </c>
    </row>
    <row r="891">
      <c r="A891" s="2">
        <f>IFERROR(__xludf.DUMMYFUNCTION("""COMPUTED_VALUE"""),45520.0)</f>
        <v>45520</v>
      </c>
      <c r="B891" s="1" t="str">
        <f>IFERROR(__xludf.DUMMYFUNCTION("""COMPUTED_VALUE"""),"Central Hudson")</f>
        <v>Central Hudson</v>
      </c>
      <c r="C891" s="1" t="str">
        <f>IFERROR(__xludf.DUMMYFUNCTION("""COMPUTED_VALUE"""),"Energy Efficiency Evaluation Analyst")</f>
        <v>Energy Efficiency Evaluation Analyst</v>
      </c>
      <c r="D891" s="1" t="str">
        <f>IFERROR(__xludf.DUMMYFUNCTION("""COMPUTED_VALUE"""),"On-Site")</f>
        <v>On-Site</v>
      </c>
      <c r="E891" s="1" t="str">
        <f>IFERROR(__xludf.DUMMYFUNCTION("""COMPUTED_VALUE"""),"$51k - $110k")</f>
        <v>$51k - $110k</v>
      </c>
      <c r="F891" s="1" t="str">
        <f>IFERROR(__xludf.DUMMYFUNCTION("""COMPUTED_VALUE"""),"3 - 5")</f>
        <v>3 - 5</v>
      </c>
      <c r="G891" s="1" t="str">
        <f>IFERROR(__xludf.DUMMYFUNCTION("""COMPUTED_VALUE"""),"Poughkeepsie, NY")</f>
        <v>Poughkeepsie, NY</v>
      </c>
      <c r="H891" s="4" t="str">
        <f>IFERROR(__xludf.DUMMYFUNCTION("""COMPUTED_VALUE"""),"https://www.linkedin.com/posts/cory-scofield-92b47112_were-growing-i-love-the-work-we-do-and-activity-7229885797343145984-pJuX?utm_source=share&amp;utm_medium=member_desktop")</f>
        <v>https://www.linkedin.com/posts/cory-scofield-92b47112_were-growing-i-love-the-work-we-do-and-activity-7229885797343145984-pJuX?utm_source=share&amp;utm_medium=member_desktop</v>
      </c>
    </row>
    <row r="892">
      <c r="A892" s="2">
        <f>IFERROR(__xludf.DUMMYFUNCTION("""COMPUTED_VALUE"""),45520.0)</f>
        <v>45520</v>
      </c>
      <c r="B892" s="1" t="str">
        <f>IFERROR(__xludf.DUMMYFUNCTION("""COMPUTED_VALUE"""),"Databricks")</f>
        <v>Databricks</v>
      </c>
      <c r="C892" s="1" t="str">
        <f>IFERROR(__xludf.DUMMYFUNCTION("""COMPUTED_VALUE"""),"Staff Compensation Analyst - Program Manager")</f>
        <v>Staff Compensation Analyst - Program Manager</v>
      </c>
      <c r="D892" s="1" t="str">
        <f>IFERROR(__xludf.DUMMYFUNCTION("""COMPUTED_VALUE"""),"Remote")</f>
        <v>Remote</v>
      </c>
      <c r="E892" s="1" t="str">
        <f>IFERROR(__xludf.DUMMYFUNCTION("""COMPUTED_VALUE"""),"$104k - $230k")</f>
        <v>$104k - $230k</v>
      </c>
      <c r="F892" s="1" t="str">
        <f>IFERROR(__xludf.DUMMYFUNCTION("""COMPUTED_VALUE"""),"3 - 5")</f>
        <v>3 - 5</v>
      </c>
      <c r="G892" s="1" t="str">
        <f>IFERROR(__xludf.DUMMYFUNCTION("""COMPUTED_VALUE"""),"USA")</f>
        <v>USA</v>
      </c>
      <c r="H892" s="4" t="str">
        <f>IFERROR(__xludf.DUMMYFUNCTION("""COMPUTED_VALUE"""),"https://www.linkedin.com/posts/diana-clough_hi-compensation-friends-databricks-is-hiring-activity-7229849062504579073-GqxH?utm_source=share&amp;utm_medium=member_desktop")</f>
        <v>https://www.linkedin.com/posts/diana-clough_hi-compensation-friends-databricks-is-hiring-activity-7229849062504579073-GqxH?utm_source=share&amp;utm_medium=member_desktop</v>
      </c>
    </row>
    <row r="893">
      <c r="A893" s="2">
        <f>IFERROR(__xludf.DUMMYFUNCTION("""COMPUTED_VALUE"""),45520.0)</f>
        <v>45520</v>
      </c>
      <c r="B893" s="1" t="str">
        <f>IFERROR(__xludf.DUMMYFUNCTION("""COMPUTED_VALUE"""),"URBN")</f>
        <v>URBN</v>
      </c>
      <c r="C893" s="1" t="str">
        <f>IFERROR(__xludf.DUMMYFUNCTION("""COMPUTED_VALUE"""),"Nuuly Associate Analyst")</f>
        <v>Nuuly Associate Analyst</v>
      </c>
      <c r="D893" s="1" t="str">
        <f>IFERROR(__xludf.DUMMYFUNCTION("""COMPUTED_VALUE"""),"On-Site")</f>
        <v>On-Site</v>
      </c>
      <c r="E893" s="1" t="str">
        <f>IFERROR(__xludf.DUMMYFUNCTION("""COMPUTED_VALUE"""),"N/A")</f>
        <v>N/A</v>
      </c>
      <c r="F893" s="1" t="str">
        <f>IFERROR(__xludf.DUMMYFUNCTION("""COMPUTED_VALUE"""),"0 - 2")</f>
        <v>0 - 2</v>
      </c>
      <c r="G893" s="1" t="str">
        <f>IFERROR(__xludf.DUMMYFUNCTION("""COMPUTED_VALUE"""),"Philadelphia, PA")</f>
        <v>Philadelphia, PA</v>
      </c>
      <c r="H893" s="4" t="str">
        <f>IFERROR(__xludf.DUMMYFUNCTION("""COMPUTED_VALUE"""),"https://www.linkedin.com/posts/amanda-m-zanville_we-are-hiring-a-nuuly-associate-analyst-activity-7229921760928804864-GN_o?utm_source=share&amp;utm_medium=member_desktop")</f>
        <v>https://www.linkedin.com/posts/amanda-m-zanville_we-are-hiring-a-nuuly-associate-analyst-activity-7229921760928804864-GN_o?utm_source=share&amp;utm_medium=member_desktop</v>
      </c>
    </row>
    <row r="894">
      <c r="A894" s="2">
        <f>IFERROR(__xludf.DUMMYFUNCTION("""COMPUTED_VALUE"""),45520.0)</f>
        <v>45520</v>
      </c>
      <c r="B894" s="1" t="str">
        <f>IFERROR(__xludf.DUMMYFUNCTION("""COMPUTED_VALUE"""),"Planet Home Lending")</f>
        <v>Planet Home Lending</v>
      </c>
      <c r="C894" s="1" t="str">
        <f>IFERROR(__xludf.DUMMYFUNCTION("""COMPUTED_VALUE"""),"Financial Analyst II")</f>
        <v>Financial Analyst II</v>
      </c>
      <c r="D894" s="1" t="str">
        <f>IFERROR(__xludf.DUMMYFUNCTION("""COMPUTED_VALUE"""),"Remote")</f>
        <v>Remote</v>
      </c>
      <c r="E894" s="1" t="str">
        <f>IFERROR(__xludf.DUMMYFUNCTION("""COMPUTED_VALUE"""),"N/A")</f>
        <v>N/A</v>
      </c>
      <c r="F894" s="1" t="str">
        <f>IFERROR(__xludf.DUMMYFUNCTION("""COMPUTED_VALUE"""),"3 - 5")</f>
        <v>3 - 5</v>
      </c>
      <c r="G894" s="1" t="str">
        <f>IFERROR(__xludf.DUMMYFUNCTION("""COMPUTED_VALUE"""),"Certain Locations")</f>
        <v>Certain Locations</v>
      </c>
      <c r="H894" s="4" t="str">
        <f>IFERROR(__xludf.DUMMYFUNCTION("""COMPUTED_VALUE"""),"https://www.linkedin.com/posts/lenny-moe-802518114_financial-analyst-ii-activity-7229947125705359360-NGIE?utm_source=share&amp;utm_medium=member_ios")</f>
        <v>https://www.linkedin.com/posts/lenny-moe-802518114_financial-analyst-ii-activity-7229947125705359360-NGIE?utm_source=share&amp;utm_medium=member_ios</v>
      </c>
    </row>
    <row r="895">
      <c r="A895" s="2">
        <f>IFERROR(__xludf.DUMMYFUNCTION("""COMPUTED_VALUE"""),45519.0)</f>
        <v>45519</v>
      </c>
      <c r="B895" s="1" t="str">
        <f>IFERROR(__xludf.DUMMYFUNCTION("""COMPUTED_VALUE"""),"Tesla")</f>
        <v>Tesla</v>
      </c>
      <c r="C895" s="1" t="str">
        <f>IFERROR(__xludf.DUMMYFUNCTION("""COMPUTED_VALUE"""),"Business Systems Analyst, Design Technology")</f>
        <v>Business Systems Analyst, Design Technology</v>
      </c>
      <c r="D895" s="1" t="str">
        <f>IFERROR(__xludf.DUMMYFUNCTION("""COMPUTED_VALUE"""),"On-Site")</f>
        <v>On-Site</v>
      </c>
      <c r="E895" s="1" t="str">
        <f>IFERROR(__xludf.DUMMYFUNCTION("""COMPUTED_VALUE"""),"$68k - $222k")</f>
        <v>$68k - $222k</v>
      </c>
      <c r="F895" s="1" t="str">
        <f>IFERROR(__xludf.DUMMYFUNCTION("""COMPUTED_VALUE"""),"3 - 5")</f>
        <v>3 - 5</v>
      </c>
      <c r="G895" s="1" t="str">
        <f>IFERROR(__xludf.DUMMYFUNCTION("""COMPUTED_VALUE"""),"Palo Alto, CA")</f>
        <v>Palo Alto, CA</v>
      </c>
      <c r="H895" s="4" t="str">
        <f>IFERROR(__xludf.DUMMYFUNCTION("""COMPUTED_VALUE"""),"https://www.linkedin.com/posts/kevinpardais_hiring-businessintelligence-tesla-activity-7229922600381009922-L5uT?utm_source=share&amp;utm_medium=member_desktop")</f>
        <v>https://www.linkedin.com/posts/kevinpardais_hiring-businessintelligence-tesla-activity-7229922600381009922-L5uT?utm_source=share&amp;utm_medium=member_desktop</v>
      </c>
    </row>
    <row r="896">
      <c r="A896" s="2">
        <f>IFERROR(__xludf.DUMMYFUNCTION("""COMPUTED_VALUE"""),45519.0)</f>
        <v>45519</v>
      </c>
      <c r="B896" s="1" t="str">
        <f>IFERROR(__xludf.DUMMYFUNCTION("""COMPUTED_VALUE"""),"Best Buy Health")</f>
        <v>Best Buy Health</v>
      </c>
      <c r="C896" s="1" t="str">
        <f>IFERROR(__xludf.DUMMYFUNCTION("""COMPUTED_VALUE"""),"Senior Clinical Data Scientist")</f>
        <v>Senior Clinical Data Scientist</v>
      </c>
      <c r="D896" s="1" t="str">
        <f>IFERROR(__xludf.DUMMYFUNCTION("""COMPUTED_VALUE"""),"Remote")</f>
        <v>Remote</v>
      </c>
      <c r="E896" s="1" t="str">
        <f>IFERROR(__xludf.DUMMYFUNCTION("""COMPUTED_VALUE"""),"$94k - $167k")</f>
        <v>$94k - $167k</v>
      </c>
      <c r="F896" s="1" t="str">
        <f>IFERROR(__xludf.DUMMYFUNCTION("""COMPUTED_VALUE"""),"3 - 5")</f>
        <v>3 - 5</v>
      </c>
      <c r="G896" s="1" t="str">
        <f>IFERROR(__xludf.DUMMYFUNCTION("""COMPUTED_VALUE"""),"MA")</f>
        <v>MA</v>
      </c>
      <c r="H896" s="4" t="str">
        <f>IFERROR(__xludf.DUMMYFUNCTION("""COMPUTED_VALUE"""),"https://www.linkedin.com/posts/nzahradka_were-hiring-senior-clinical-data-scientist-activity-7229881007494053890-Xcgc?utm_source=share&amp;utm_medium=member_desktop")</f>
        <v>https://www.linkedin.com/posts/nzahradka_were-hiring-senior-clinical-data-scientist-activity-7229881007494053890-Xcgc?utm_source=share&amp;utm_medium=member_desktop</v>
      </c>
    </row>
    <row r="897">
      <c r="A897" s="2">
        <f>IFERROR(__xludf.DUMMYFUNCTION("""COMPUTED_VALUE"""),45519.0)</f>
        <v>45519</v>
      </c>
      <c r="B897" s="1" t="str">
        <f>IFERROR(__xludf.DUMMYFUNCTION("""COMPUTED_VALUE"""),"HarbourVest Partners")</f>
        <v>HarbourVest Partners</v>
      </c>
      <c r="C897" s="1" t="str">
        <f>IFERROR(__xludf.DUMMYFUNCTION("""COMPUTED_VALUE"""),"Data Analyst, Operational Due Diligence")</f>
        <v>Data Analyst, Operational Due Diligence</v>
      </c>
      <c r="D897" s="1" t="str">
        <f>IFERROR(__xludf.DUMMYFUNCTION("""COMPUTED_VALUE"""),"Hybrid")</f>
        <v>Hybrid</v>
      </c>
      <c r="E897" s="1" t="str">
        <f>IFERROR(__xludf.DUMMYFUNCTION("""COMPUTED_VALUE"""),"N/A")</f>
        <v>N/A</v>
      </c>
      <c r="F897" s="1" t="str">
        <f>IFERROR(__xludf.DUMMYFUNCTION("""COMPUTED_VALUE"""),"0 - 2")</f>
        <v>0 - 2</v>
      </c>
      <c r="G897" s="1" t="str">
        <f>IFERROR(__xludf.DUMMYFUNCTION("""COMPUTED_VALUE"""),"Boston, MA")</f>
        <v>Boston, MA</v>
      </c>
      <c r="H897" s="4" t="str">
        <f>IFERROR(__xludf.DUMMYFUNCTION("""COMPUTED_VALUE"""),"https://www.linkedin.com/posts/jesse-bishop-cpa_hiring-activity-7229842240938909696-kwr8?utm_source=share&amp;utm_medium=member_desktop")</f>
        <v>https://www.linkedin.com/posts/jesse-bishop-cpa_hiring-activity-7229842240938909696-kwr8?utm_source=share&amp;utm_medium=member_desktop</v>
      </c>
    </row>
    <row r="898">
      <c r="A898" s="2">
        <f>IFERROR(__xludf.DUMMYFUNCTION("""COMPUTED_VALUE"""),45519.0)</f>
        <v>45519</v>
      </c>
      <c r="B898" s="1" t="str">
        <f>IFERROR(__xludf.DUMMYFUNCTION("""COMPUTED_VALUE"""),"BMC Software")</f>
        <v>BMC Software</v>
      </c>
      <c r="C898" s="1" t="str">
        <f>IFERROR(__xludf.DUMMYFUNCTION("""COMPUTED_VALUE"""),"Senior Compensation Analyst")</f>
        <v>Senior Compensation Analyst</v>
      </c>
      <c r="D898" s="1" t="str">
        <f>IFERROR(__xludf.DUMMYFUNCTION("""COMPUTED_VALUE"""),"Hybrid")</f>
        <v>Hybrid</v>
      </c>
      <c r="E898" s="1" t="str">
        <f>IFERROR(__xludf.DUMMYFUNCTION("""COMPUTED_VALUE"""),"$84k - $140k")</f>
        <v>$84k - $140k</v>
      </c>
      <c r="F898" s="1" t="str">
        <f>IFERROR(__xludf.DUMMYFUNCTION("""COMPUTED_VALUE"""),"3 - 5")</f>
        <v>3 - 5</v>
      </c>
      <c r="G898" s="1" t="str">
        <f>IFERROR(__xludf.DUMMYFUNCTION("""COMPUTED_VALUE"""),"Houston, TX")</f>
        <v>Houston, TX</v>
      </c>
      <c r="H898" s="4" t="str">
        <f>IFERROR(__xludf.DUMMYFUNCTION("""COMPUTED_VALUE"""),"https://www.linkedin.com/posts/lynn-moffett_compensation-payequity-paytransparency-activity-7229943983626407936-GPMD?utm_source=share&amp;utm_medium=member_desktop")</f>
        <v>https://www.linkedin.com/posts/lynn-moffett_compensation-payequity-paytransparency-activity-7229943983626407936-GPMD?utm_source=share&amp;utm_medium=member_desktop</v>
      </c>
    </row>
    <row r="899">
      <c r="A899" s="2">
        <f>IFERROR(__xludf.DUMMYFUNCTION("""COMPUTED_VALUE"""),45519.0)</f>
        <v>45519</v>
      </c>
      <c r="B899" s="1" t="str">
        <f>IFERROR(__xludf.DUMMYFUNCTION("""COMPUTED_VALUE"""),"Bicycle Therapeutics")</f>
        <v>Bicycle Therapeutics</v>
      </c>
      <c r="C899" s="1" t="str">
        <f>IFERROR(__xludf.DUMMYFUNCTION("""COMPUTED_VALUE"""),"Financial Analyst")</f>
        <v>Financial Analyst</v>
      </c>
      <c r="D899" s="1" t="str">
        <f>IFERROR(__xludf.DUMMYFUNCTION("""COMPUTED_VALUE"""),"Hybrid")</f>
        <v>Hybrid</v>
      </c>
      <c r="E899" s="1" t="str">
        <f>IFERROR(__xludf.DUMMYFUNCTION("""COMPUTED_VALUE"""),"N/A")</f>
        <v>N/A</v>
      </c>
      <c r="F899" s="1" t="str">
        <f>IFERROR(__xludf.DUMMYFUNCTION("""COMPUTED_VALUE"""),"0 - 2")</f>
        <v>0 - 2</v>
      </c>
      <c r="G899" s="1" t="str">
        <f>IFERROR(__xludf.DUMMYFUNCTION("""COMPUTED_VALUE"""),"Cambridge, MA")</f>
        <v>Cambridge, MA</v>
      </c>
      <c r="H899" s="4" t="str">
        <f>IFERROR(__xludf.DUMMYFUNCTION("""COMPUTED_VALUE"""),"https://www.linkedin.com/posts/lagarderemyp_we-are-looking-for-a-highly-motivated-financial-activity-7229859538638655490-KT4A?utm_source=share&amp;utm_medium=member_desktop")</f>
        <v>https://www.linkedin.com/posts/lagarderemyp_we-are-looking-for-a-highly-motivated-financial-activity-7229859538638655490-KT4A?utm_source=share&amp;utm_medium=member_desktop</v>
      </c>
    </row>
    <row r="900">
      <c r="A900" s="2">
        <f>IFERROR(__xludf.DUMMYFUNCTION("""COMPUTED_VALUE"""),45519.0)</f>
        <v>45519</v>
      </c>
      <c r="B900" s="1" t="str">
        <f>IFERROR(__xludf.DUMMYFUNCTION("""COMPUTED_VALUE"""),"Fluence")</f>
        <v>Fluence</v>
      </c>
      <c r="C900" s="1" t="str">
        <f>IFERROR(__xludf.DUMMYFUNCTION("""COMPUTED_VALUE"""),"Market Analyst - Strategic Growth")</f>
        <v>Market Analyst - Strategic Growth</v>
      </c>
      <c r="D900" s="1" t="str">
        <f>IFERROR(__xludf.DUMMYFUNCTION("""COMPUTED_VALUE"""),"Hybrid")</f>
        <v>Hybrid</v>
      </c>
      <c r="E900" s="1" t="str">
        <f>IFERROR(__xludf.DUMMYFUNCTION("""COMPUTED_VALUE"""),"N/A")</f>
        <v>N/A</v>
      </c>
      <c r="F900" s="1" t="str">
        <f>IFERROR(__xludf.DUMMYFUNCTION("""COMPUTED_VALUE"""),"0 - 2")</f>
        <v>0 - 2</v>
      </c>
      <c r="G900" s="1" t="str">
        <f>IFERROR(__xludf.DUMMYFUNCTION("""COMPUTED_VALUE"""),"Arlington, VA")</f>
        <v>Arlington, VA</v>
      </c>
      <c r="H900" s="4" t="str">
        <f>IFERROR(__xludf.DUMMYFUNCTION("""COMPUTED_VALUE"""),"https://www.linkedin.com/posts/marcelolando_energytransition-fluence-renewableenergycareers-activity-7229924532822650881-Uj56?utm_source=share&amp;utm_medium=member_desktop")</f>
        <v>https://www.linkedin.com/posts/marcelolando_energytransition-fluence-renewableenergycareers-activity-7229924532822650881-Uj56?utm_source=share&amp;utm_medium=member_desktop</v>
      </c>
    </row>
    <row r="901">
      <c r="A901" s="2">
        <f>IFERROR(__xludf.DUMMYFUNCTION("""COMPUTED_VALUE"""),45519.0)</f>
        <v>45519</v>
      </c>
      <c r="B901" s="1" t="str">
        <f>IFERROR(__xludf.DUMMYFUNCTION("""COMPUTED_VALUE"""),"Harvard Business School")</f>
        <v>Harvard Business School</v>
      </c>
      <c r="C901" s="1" t="str">
        <f>IFERROR(__xludf.DUMMYFUNCTION("""COMPUTED_VALUE"""),"Business Specialist, Alumni Relations")</f>
        <v>Business Specialist, Alumni Relations</v>
      </c>
      <c r="D901" s="1" t="str">
        <f>IFERROR(__xludf.DUMMYFUNCTION("""COMPUTED_VALUE"""),"Hybrid")</f>
        <v>Hybrid</v>
      </c>
      <c r="E901" s="1" t="str">
        <f>IFERROR(__xludf.DUMMYFUNCTION("""COMPUTED_VALUE"""),"$76k - $81k")</f>
        <v>$76k - $81k</v>
      </c>
      <c r="F901" s="1" t="str">
        <f>IFERROR(__xludf.DUMMYFUNCTION("""COMPUTED_VALUE"""),"3 - 5")</f>
        <v>3 - 5</v>
      </c>
      <c r="G901" s="1" t="str">
        <f>IFERROR(__xludf.DUMMYFUNCTION("""COMPUTED_VALUE"""),"Boston, MA")</f>
        <v>Boston, MA</v>
      </c>
      <c r="H901" s="4" t="str">
        <f>IFERROR(__xludf.DUMMYFUNCTION("""COMPUTED_VALUE"""),"https://www.linkedin.com/posts/activity-7229594730123202560-61Fe?utm_source=share&amp;utm_medium=member_desktop")</f>
        <v>https://www.linkedin.com/posts/activity-7229594730123202560-61Fe?utm_source=share&amp;utm_medium=member_desktop</v>
      </c>
    </row>
    <row r="902">
      <c r="A902" s="2">
        <f>IFERROR(__xludf.DUMMYFUNCTION("""COMPUTED_VALUE"""),45519.0)</f>
        <v>45519</v>
      </c>
      <c r="B902" s="1" t="str">
        <f>IFERROR(__xludf.DUMMYFUNCTION("""COMPUTED_VALUE"""),"Aon")</f>
        <v>Aon</v>
      </c>
      <c r="C902" s="1" t="str">
        <f>IFERROR(__xludf.DUMMYFUNCTION("""COMPUTED_VALUE"""),"Senior Financial Analyst, Insurance Markets")</f>
        <v>Senior Financial Analyst, Insurance Markets</v>
      </c>
      <c r="D902" s="1" t="str">
        <f>IFERROR(__xludf.DUMMYFUNCTION("""COMPUTED_VALUE"""),"Hybrid")</f>
        <v>Hybrid</v>
      </c>
      <c r="E902" s="1" t="str">
        <f>IFERROR(__xludf.DUMMYFUNCTION("""COMPUTED_VALUE"""),"$90k - $100k")</f>
        <v>$90k - $100k</v>
      </c>
      <c r="F902" s="1" t="str">
        <f>IFERROR(__xludf.DUMMYFUNCTION("""COMPUTED_VALUE"""),"3 - 5")</f>
        <v>3 - 5</v>
      </c>
      <c r="G902" s="1" t="str">
        <f>IFERROR(__xludf.DUMMYFUNCTION("""COMPUTED_VALUE"""),"Philadelphia, PA")</f>
        <v>Philadelphia, PA</v>
      </c>
      <c r="H902" s="4" t="str">
        <f>IFERROR(__xludf.DUMMYFUNCTION("""COMPUTED_VALUE"""),"https://www.linkedin.com/posts/stephanie-oalickal_hiring-activity-7229881412676423685-sc9-?utm_source=share&amp;utm_medium=member_desktop")</f>
        <v>https://www.linkedin.com/posts/stephanie-oalickal_hiring-activity-7229881412676423685-sc9-?utm_source=share&amp;utm_medium=member_desktop</v>
      </c>
    </row>
    <row r="903">
      <c r="A903" s="2">
        <f>IFERROR(__xludf.DUMMYFUNCTION("""COMPUTED_VALUE"""),45519.0)</f>
        <v>45519</v>
      </c>
      <c r="B903" s="1" t="str">
        <f>IFERROR(__xludf.DUMMYFUNCTION("""COMPUTED_VALUE"""),"Sedgwick Government Solutions")</f>
        <v>Sedgwick Government Solutions</v>
      </c>
      <c r="C903" s="1" t="str">
        <f>IFERROR(__xludf.DUMMYFUNCTION("""COMPUTED_VALUE"""),"Data Analyst II")</f>
        <v>Data Analyst II</v>
      </c>
      <c r="D903" s="1" t="str">
        <f>IFERROR(__xludf.DUMMYFUNCTION("""COMPUTED_VALUE"""),"Remote")</f>
        <v>Remote</v>
      </c>
      <c r="E903" s="1" t="str">
        <f>IFERROR(__xludf.DUMMYFUNCTION("""COMPUTED_VALUE"""),"$70k - $85k")</f>
        <v>$70k - $85k</v>
      </c>
      <c r="F903" s="1" t="str">
        <f>IFERROR(__xludf.DUMMYFUNCTION("""COMPUTED_VALUE"""),"3 - 5")</f>
        <v>3 - 5</v>
      </c>
      <c r="G903" s="1" t="str">
        <f>IFERROR(__xludf.DUMMYFUNCTION("""COMPUTED_VALUE"""),"USA")</f>
        <v>USA</v>
      </c>
      <c r="H903" s="4" t="str">
        <f>IFERROR(__xludf.DUMMYFUNCTION("""COMPUTED_VALUE"""),"https://www.linkedin.com/posts/lindsay-newton-557736139_data-analyst-ii-remote-2024-1360-career-activity-7229843919189000192-xjFm?utm_source=share&amp;utm_medium=member_desktop")</f>
        <v>https://www.linkedin.com/posts/lindsay-newton-557736139_data-analyst-ii-remote-2024-1360-career-activity-7229843919189000192-xjFm?utm_source=share&amp;utm_medium=member_desktop</v>
      </c>
    </row>
    <row r="904">
      <c r="A904" s="2">
        <f>IFERROR(__xludf.DUMMYFUNCTION("""COMPUTED_VALUE"""),45519.0)</f>
        <v>45519</v>
      </c>
      <c r="B904" s="1" t="str">
        <f>IFERROR(__xludf.DUMMYFUNCTION("""COMPUTED_VALUE"""),"Target")</f>
        <v>Target</v>
      </c>
      <c r="C904" s="1" t="str">
        <f>IFERROR(__xludf.DUMMYFUNCTION("""COMPUTED_VALUE"""),"Property Management Data Insights - Sr. Analyst(Insights &amp; Analysis)")</f>
        <v>Property Management Data Insights - Sr. Analyst(Insights &amp; Analysis)</v>
      </c>
      <c r="D904" s="1" t="str">
        <f>IFERROR(__xludf.DUMMYFUNCTION("""COMPUTED_VALUE"""),"Remote")</f>
        <v>Remote</v>
      </c>
      <c r="E904" s="1" t="str">
        <f>IFERROR(__xludf.DUMMYFUNCTION("""COMPUTED_VALUE"""),"$85k - $154k")</f>
        <v>$85k - $154k</v>
      </c>
      <c r="F904" s="1" t="str">
        <f>IFERROR(__xludf.DUMMYFUNCTION("""COMPUTED_VALUE"""),"3 - 5")</f>
        <v>3 - 5</v>
      </c>
      <c r="G904" s="1" t="str">
        <f>IFERROR(__xludf.DUMMYFUNCTION("""COMPUTED_VALUE"""),"USA")</f>
        <v>USA</v>
      </c>
      <c r="H904" s="4" t="str">
        <f>IFERROR(__xludf.DUMMYFUNCTION("""COMPUTED_VALUE"""),"https://www.linkedin.com/posts/amychen5288_check-out-this-job-at-target-property-management-activity-7229856724042547201-vcgY?utm_source=share&amp;utm_medium=member_desktop")</f>
        <v>https://www.linkedin.com/posts/amychen5288_check-out-this-job-at-target-property-management-activity-7229856724042547201-vcgY?utm_source=share&amp;utm_medium=member_desktop</v>
      </c>
    </row>
    <row r="905">
      <c r="A905" s="2">
        <f>IFERROR(__xludf.DUMMYFUNCTION("""COMPUTED_VALUE"""),45519.0)</f>
        <v>45519</v>
      </c>
      <c r="B905" s="1" t="str">
        <f>IFERROR(__xludf.DUMMYFUNCTION("""COMPUTED_VALUE"""),"The Intersect Group")</f>
        <v>The Intersect Group</v>
      </c>
      <c r="C905" s="1" t="str">
        <f>IFERROR(__xludf.DUMMYFUNCTION("""COMPUTED_VALUE"""),"Senior Financial Analyst")</f>
        <v>Senior Financial Analyst</v>
      </c>
      <c r="D905" s="1" t="str">
        <f>IFERROR(__xludf.DUMMYFUNCTION("""COMPUTED_VALUE"""),"Hybrid")</f>
        <v>Hybrid</v>
      </c>
      <c r="E905" s="1" t="str">
        <f>IFERROR(__xludf.DUMMYFUNCTION("""COMPUTED_VALUE"""),"$105k - $115k")</f>
        <v>$105k - $115k</v>
      </c>
      <c r="F905" s="1" t="str">
        <f>IFERROR(__xludf.DUMMYFUNCTION("""COMPUTED_VALUE"""),"6 - 9")</f>
        <v>6 - 9</v>
      </c>
      <c r="G905" s="1" t="str">
        <f>IFERROR(__xludf.DUMMYFUNCTION("""COMPUTED_VALUE"""),"Roswell, GA")</f>
        <v>Roswell, GA</v>
      </c>
      <c r="H905" s="4" t="str">
        <f>IFERROR(__xludf.DUMMYFUNCTION("""COMPUTED_VALUE"""),"https://www.linkedin.com/posts/kinley-bays_financejobs-careeropportunity-activity-7229855177141288960-NJFQ?utm_source=share&amp;utm_medium=member_desktop")</f>
        <v>https://www.linkedin.com/posts/kinley-bays_financejobs-careeropportunity-activity-7229855177141288960-NJFQ?utm_source=share&amp;utm_medium=member_desktop</v>
      </c>
    </row>
    <row r="906">
      <c r="A906" s="2">
        <f>IFERROR(__xludf.DUMMYFUNCTION("""COMPUTED_VALUE"""),45519.0)</f>
        <v>45519</v>
      </c>
      <c r="B906" s="1" t="str">
        <f>IFERROR(__xludf.DUMMYFUNCTION("""COMPUTED_VALUE"""),"Princeton University")</f>
        <v>Princeton University</v>
      </c>
      <c r="C906" s="1" t="str">
        <f>IFERROR(__xludf.DUMMYFUNCTION("""COMPUTED_VALUE"""),"Budget Analyst")</f>
        <v>Budget Analyst</v>
      </c>
      <c r="D906" s="1" t="str">
        <f>IFERROR(__xludf.DUMMYFUNCTION("""COMPUTED_VALUE"""),"On-Site")</f>
        <v>On-Site</v>
      </c>
      <c r="E906" s="1" t="str">
        <f>IFERROR(__xludf.DUMMYFUNCTION("""COMPUTED_VALUE"""),"N/A")</f>
        <v>N/A</v>
      </c>
      <c r="F906" s="1" t="str">
        <f>IFERROR(__xludf.DUMMYFUNCTION("""COMPUTED_VALUE"""),"3 - 5")</f>
        <v>3 - 5</v>
      </c>
      <c r="G906" s="1" t="str">
        <f>IFERROR(__xludf.DUMMYFUNCTION("""COMPUTED_VALUE"""),"Princeton, NJ")</f>
        <v>Princeton, NJ</v>
      </c>
      <c r="H906" s="4" t="str">
        <f>IFERROR(__xludf.DUMMYFUNCTION("""COMPUTED_VALUE"""),"https://www.linkedin.com/posts/christine-brown-mba-03b73112_budget-analyst-in-princeton-new-jersey-activity-7229848174008389633-B-Ib?utm_source=share&amp;utm_medium=member_desktop")</f>
        <v>https://www.linkedin.com/posts/christine-brown-mba-03b73112_budget-analyst-in-princeton-new-jersey-activity-7229848174008389633-B-Ib?utm_source=share&amp;utm_medium=member_desktop</v>
      </c>
    </row>
    <row r="907">
      <c r="A907" s="2">
        <f>IFERROR(__xludf.DUMMYFUNCTION("""COMPUTED_VALUE"""),45519.0)</f>
        <v>45519</v>
      </c>
      <c r="B907" s="1" t="str">
        <f>IFERROR(__xludf.DUMMYFUNCTION("""COMPUTED_VALUE"""),"Apple")</f>
        <v>Apple</v>
      </c>
      <c r="C907" s="1" t="str">
        <f>IFERROR(__xludf.DUMMYFUNCTION("""COMPUTED_VALUE"""),"Revenue and Subscriptions Data Scientist")</f>
        <v>Revenue and Subscriptions Data Scientist</v>
      </c>
      <c r="D907" s="1" t="str">
        <f>IFERROR(__xludf.DUMMYFUNCTION("""COMPUTED_VALUE"""),"On-Site")</f>
        <v>On-Site</v>
      </c>
      <c r="E907" s="1" t="str">
        <f>IFERROR(__xludf.DUMMYFUNCTION("""COMPUTED_VALUE"""),"$136k - $248k")</f>
        <v>$136k - $248k</v>
      </c>
      <c r="F907" s="1" t="str">
        <f>IFERROR(__xludf.DUMMYFUNCTION("""COMPUTED_VALUE"""),"6 - 9")</f>
        <v>6 - 9</v>
      </c>
      <c r="G907" s="1" t="str">
        <f>IFERROR(__xludf.DUMMYFUNCTION("""COMPUTED_VALUE"""),"Cupertino, CA")</f>
        <v>Cupertino, CA</v>
      </c>
      <c r="H907" s="4" t="str">
        <f>IFERROR(__xludf.DUMMYFUNCTION("""COMPUTED_VALUE"""),"https://www.linkedin.com/posts/sam7c_revenue-and-subscriptions-data-scientist-activity-7229634653865881601-0WBo?utm_source=share&amp;utm_medium=member_desktop")</f>
        <v>https://www.linkedin.com/posts/sam7c_revenue-and-subscriptions-data-scientist-activity-7229634653865881601-0WBo?utm_source=share&amp;utm_medium=member_desktop</v>
      </c>
    </row>
    <row r="908">
      <c r="A908" s="2">
        <f>IFERROR(__xludf.DUMMYFUNCTION("""COMPUTED_VALUE"""),45519.0)</f>
        <v>45519</v>
      </c>
      <c r="B908" s="1" t="str">
        <f>IFERROR(__xludf.DUMMYFUNCTION("""COMPUTED_VALUE"""),"Morongo Casino Resort &amp; Spa")</f>
        <v>Morongo Casino Resort &amp; Spa</v>
      </c>
      <c r="C908" s="1" t="str">
        <f>IFERROR(__xludf.DUMMYFUNCTION("""COMPUTED_VALUE"""),"Analyst - Financial Planning")</f>
        <v>Analyst - Financial Planning</v>
      </c>
      <c r="D908" s="1" t="str">
        <f>IFERROR(__xludf.DUMMYFUNCTION("""COMPUTED_VALUE"""),"Hybrid")</f>
        <v>Hybrid</v>
      </c>
      <c r="E908" s="1" t="str">
        <f>IFERROR(__xludf.DUMMYFUNCTION("""COMPUTED_VALUE"""),"N/A")</f>
        <v>N/A</v>
      </c>
      <c r="F908" s="1" t="str">
        <f>IFERROR(__xludf.DUMMYFUNCTION("""COMPUTED_VALUE"""),"0 - 2")</f>
        <v>0 - 2</v>
      </c>
      <c r="G908" s="1" t="str">
        <f>IFERROR(__xludf.DUMMYFUNCTION("""COMPUTED_VALUE"""),"Cabazon, CA")</f>
        <v>Cabazon, CA</v>
      </c>
      <c r="H908" s="4" t="str">
        <f>IFERROR(__xludf.DUMMYFUNCTION("""COMPUTED_VALUE"""),"https://www.linkedin.com/posts/mauricio-montejano-40a2a458_imhiring-activity-7229523796280455169-zLpk?utm_source=share&amp;utm_medium=member_desktop")</f>
        <v>https://www.linkedin.com/posts/mauricio-montejano-40a2a458_imhiring-activity-7229523796280455169-zLpk?utm_source=share&amp;utm_medium=member_desktop</v>
      </c>
    </row>
    <row r="909">
      <c r="A909" s="2">
        <f>IFERROR(__xludf.DUMMYFUNCTION("""COMPUTED_VALUE"""),45519.0)</f>
        <v>45519</v>
      </c>
      <c r="B909" s="1" t="str">
        <f>IFERROR(__xludf.DUMMYFUNCTION("""COMPUTED_VALUE"""),"DaVita Kidney Care")</f>
        <v>DaVita Kidney Care</v>
      </c>
      <c r="C909" s="1" t="str">
        <f>IFERROR(__xludf.DUMMYFUNCTION("""COMPUTED_VALUE"""),"Analyst, Patient Safety Improvement")</f>
        <v>Analyst, Patient Safety Improvement</v>
      </c>
      <c r="D909" s="1" t="str">
        <f>IFERROR(__xludf.DUMMYFUNCTION("""COMPUTED_VALUE"""),"Hybrid")</f>
        <v>Hybrid</v>
      </c>
      <c r="E909" s="1" t="str">
        <f>IFERROR(__xludf.DUMMYFUNCTION("""COMPUTED_VALUE"""),"$57k - $83k")</f>
        <v>$57k - $83k</v>
      </c>
      <c r="F909" s="1" t="str">
        <f>IFERROR(__xludf.DUMMYFUNCTION("""COMPUTED_VALUE"""),"0 - 2")</f>
        <v>0 - 2</v>
      </c>
      <c r="G909" s="1" t="str">
        <f>IFERROR(__xludf.DUMMYFUNCTION("""COMPUTED_VALUE"""),"Denver, CO")</f>
        <v>Denver, CO</v>
      </c>
      <c r="H909" s="4" t="str">
        <f>IFERROR(__xludf.DUMMYFUNCTION("""COMPUTED_VALUE"""),"https://www.linkedin.com/posts/claire-morse-42bb6880_analyst-patient-safety-improvement-activity-7229683780586799104-U4yh?utm_source=share&amp;utm_medium=member_desktop")</f>
        <v>https://www.linkedin.com/posts/claire-morse-42bb6880_analyst-patient-safety-improvement-activity-7229683780586799104-U4yh?utm_source=share&amp;utm_medium=member_desktop</v>
      </c>
    </row>
    <row r="910">
      <c r="A910" s="2">
        <f>IFERROR(__xludf.DUMMYFUNCTION("""COMPUTED_VALUE"""),45519.0)</f>
        <v>45519</v>
      </c>
      <c r="B910" s="1" t="str">
        <f>IFERROR(__xludf.DUMMYFUNCTION("""COMPUTED_VALUE"""),"agilon health")</f>
        <v>agilon health</v>
      </c>
      <c r="C910" s="1" t="str">
        <f>IFERROR(__xludf.DUMMYFUNCTION("""COMPUTED_VALUE"""),"Senior Financial Analyst, FP&amp;A")</f>
        <v>Senior Financial Analyst, FP&amp;A</v>
      </c>
      <c r="D910" s="1" t="str">
        <f>IFERROR(__xludf.DUMMYFUNCTION("""COMPUTED_VALUE"""),"Remote")</f>
        <v>Remote</v>
      </c>
      <c r="E910" s="1" t="str">
        <f>IFERROR(__xludf.DUMMYFUNCTION("""COMPUTED_VALUE"""),"$87k - $107k")</f>
        <v>$87k - $107k</v>
      </c>
      <c r="F910" s="1" t="str">
        <f>IFERROR(__xludf.DUMMYFUNCTION("""COMPUTED_VALUE"""),"3 - 5")</f>
        <v>3 - 5</v>
      </c>
      <c r="G910" s="1" t="str">
        <f>IFERROR(__xludf.DUMMYFUNCTION("""COMPUTED_VALUE"""),"Certain Locations")</f>
        <v>Certain Locations</v>
      </c>
      <c r="H910" s="4" t="str">
        <f>IFERROR(__xludf.DUMMYFUNCTION("""COMPUTED_VALUE"""),"https://www.linkedin.com/posts/courteneynavarini_agilonhealth-oneteam-financejobs-activity-7229641285639286784-GGMd?utm_source=share&amp;utm_medium=member_desktop")</f>
        <v>https://www.linkedin.com/posts/courteneynavarini_agilonhealth-oneteam-financejobs-activity-7229641285639286784-GGMd?utm_source=share&amp;utm_medium=member_desktop</v>
      </c>
    </row>
    <row r="911">
      <c r="A911" s="2">
        <f>IFERROR(__xludf.DUMMYFUNCTION("""COMPUTED_VALUE"""),45519.0)</f>
        <v>45519</v>
      </c>
      <c r="B911" s="1" t="str">
        <f>IFERROR(__xludf.DUMMYFUNCTION("""COMPUTED_VALUE"""),"L'Oreal")</f>
        <v>L'Oreal</v>
      </c>
      <c r="C911" s="1" t="str">
        <f>IFERROR(__xludf.DUMMYFUNCTION("""COMPUTED_VALUE"""),"Analyst - Revenue Growth Management")</f>
        <v>Analyst - Revenue Growth Management</v>
      </c>
      <c r="D911" s="1" t="str">
        <f>IFERROR(__xludf.DUMMYFUNCTION("""COMPUTED_VALUE"""),"Hybrid")</f>
        <v>Hybrid</v>
      </c>
      <c r="E911" s="1" t="str">
        <f>IFERROR(__xludf.DUMMYFUNCTION("""COMPUTED_VALUE"""),"$70k - $98k")</f>
        <v>$70k - $98k</v>
      </c>
      <c r="F911" s="1" t="str">
        <f>IFERROR(__xludf.DUMMYFUNCTION("""COMPUTED_VALUE"""),"3 - 5")</f>
        <v>3 - 5</v>
      </c>
      <c r="G911" s="1" t="str">
        <f>IFERROR(__xludf.DUMMYFUNCTION("""COMPUTED_VALUE"""),"New York, NY")</f>
        <v>New York, NY</v>
      </c>
      <c r="H911" s="4" t="str">
        <f>IFERROR(__xludf.DUMMYFUNCTION("""COMPUTED_VALUE"""),"https://www.linkedin.com/posts/ceceliadinicola_check-out-this-job-at-lor%C3%A9al-analyst-activity-7229556643540140032-x4K7?utm_source=share&amp;utm_medium=member_desktop")</f>
        <v>https://www.linkedin.com/posts/ceceliadinicola_check-out-this-job-at-lor%C3%A9al-analyst-activity-7229556643540140032-x4K7?utm_source=share&amp;utm_medium=member_desktop</v>
      </c>
    </row>
    <row r="912">
      <c r="A912" s="2">
        <f>IFERROR(__xludf.DUMMYFUNCTION("""COMPUTED_VALUE"""),45519.0)</f>
        <v>45519</v>
      </c>
      <c r="B912" s="1" t="str">
        <f>IFERROR(__xludf.DUMMYFUNCTION("""COMPUTED_VALUE"""),"Fresh Thyme Market")</f>
        <v>Fresh Thyme Market</v>
      </c>
      <c r="C912" s="1" t="str">
        <f>IFERROR(__xludf.DUMMYFUNCTION("""COMPUTED_VALUE"""),"Financial Analyst")</f>
        <v>Financial Analyst</v>
      </c>
      <c r="D912" s="1" t="str">
        <f>IFERROR(__xludf.DUMMYFUNCTION("""COMPUTED_VALUE"""),"Hybrid")</f>
        <v>Hybrid</v>
      </c>
      <c r="E912" s="1" t="str">
        <f>IFERROR(__xludf.DUMMYFUNCTION("""COMPUTED_VALUE"""),"N/A")</f>
        <v>N/A</v>
      </c>
      <c r="F912" s="1" t="str">
        <f>IFERROR(__xludf.DUMMYFUNCTION("""COMPUTED_VALUE"""),"3 - 5")</f>
        <v>3 - 5</v>
      </c>
      <c r="G912" s="1" t="str">
        <f>IFERROR(__xludf.DUMMYFUNCTION("""COMPUTED_VALUE"""),"Downers Grove, IL")</f>
        <v>Downers Grove, IL</v>
      </c>
      <c r="H912" s="4" t="str">
        <f>IFERROR(__xludf.DUMMYFUNCTION("""COMPUTED_VALUE"""),"https://www.linkedin.com/posts/stefanie-laroque-a41755b9_freshthymemarket-financialanalyst-activity-7229594620131749888-7eQ1?utm_source=share&amp;utm_medium=member_desktop")</f>
        <v>https://www.linkedin.com/posts/stefanie-laroque-a41755b9_freshthymemarket-financialanalyst-activity-7229594620131749888-7eQ1?utm_source=share&amp;utm_medium=member_desktop</v>
      </c>
    </row>
    <row r="913">
      <c r="A913" s="2">
        <f>IFERROR(__xludf.DUMMYFUNCTION("""COMPUTED_VALUE"""),45519.0)</f>
        <v>45519</v>
      </c>
      <c r="B913" s="1" t="str">
        <f>IFERROR(__xludf.DUMMYFUNCTION("""COMPUTED_VALUE"""),"CloudTrucks")</f>
        <v>CloudTrucks</v>
      </c>
      <c r="C913" s="1" t="str">
        <f>IFERROR(__xludf.DUMMYFUNCTION("""COMPUTED_VALUE"""),"Data Analyst - Safety, Compliance, Operations")</f>
        <v>Data Analyst - Safety, Compliance, Operations</v>
      </c>
      <c r="D913" s="1" t="str">
        <f>IFERROR(__xludf.DUMMYFUNCTION("""COMPUTED_VALUE"""),"Hybrid")</f>
        <v>Hybrid</v>
      </c>
      <c r="E913" s="1" t="str">
        <f>IFERROR(__xludf.DUMMYFUNCTION("""COMPUTED_VALUE"""),"$135k - $165k")</f>
        <v>$135k - $165k</v>
      </c>
      <c r="F913" s="1" t="str">
        <f>IFERROR(__xludf.DUMMYFUNCTION("""COMPUTED_VALUE"""),"3 - 5")</f>
        <v>3 - 5</v>
      </c>
      <c r="G913" s="1" t="str">
        <f>IFERROR(__xludf.DUMMYFUNCTION("""COMPUTED_VALUE"""),"San Francisco, CA")</f>
        <v>San Francisco, CA</v>
      </c>
      <c r="H913" s="4" t="str">
        <f>IFERROR(__xludf.DUMMYFUNCTION("""COMPUTED_VALUE"""),"https://www.linkedin.com/posts/carolinabento_data-analyst-safety-compliance-operations-activity-7229661115910123521-C4iZ?utm_source=share&amp;utm_medium=member_desktop")</f>
        <v>https://www.linkedin.com/posts/carolinabento_data-analyst-safety-compliance-operations-activity-7229661115910123521-C4iZ?utm_source=share&amp;utm_medium=member_desktop</v>
      </c>
    </row>
    <row r="914">
      <c r="A914" s="2">
        <f>IFERROR(__xludf.DUMMYFUNCTION("""COMPUTED_VALUE"""),45518.0)</f>
        <v>45518</v>
      </c>
      <c r="B914" s="1" t="str">
        <f>IFERROR(__xludf.DUMMYFUNCTION("""COMPUTED_VALUE"""),"Honor")</f>
        <v>Honor</v>
      </c>
      <c r="C914" s="1" t="str">
        <f>IFERROR(__xludf.DUMMYFUNCTION("""COMPUTED_VALUE"""),"Senior Data Analyst")</f>
        <v>Senior Data Analyst</v>
      </c>
      <c r="D914" s="1" t="str">
        <f>IFERROR(__xludf.DUMMYFUNCTION("""COMPUTED_VALUE"""),"Remote")</f>
        <v>Remote</v>
      </c>
      <c r="E914" s="1" t="str">
        <f>IFERROR(__xludf.DUMMYFUNCTION("""COMPUTED_VALUE"""),"$133k - $145k")</f>
        <v>$133k - $145k</v>
      </c>
      <c r="F914" s="1" t="str">
        <f>IFERROR(__xludf.DUMMYFUNCTION("""COMPUTED_VALUE"""),"3 - 5")</f>
        <v>3 - 5</v>
      </c>
      <c r="G914" s="1" t="str">
        <f>IFERROR(__xludf.DUMMYFUNCTION("""COMPUTED_VALUE"""),"USA")</f>
        <v>USA</v>
      </c>
      <c r="H914" s="4" t="str">
        <f>IFERROR(__xludf.DUMMYFUNCTION("""COMPUTED_VALUE"""),"https://www.linkedin.com/posts/mahfam-wagner_hiring-analytics-data-activity-7229509481880076288-KJ4D?utm_source=share&amp;utm_medium=member_desktop")</f>
        <v>https://www.linkedin.com/posts/mahfam-wagner_hiring-analytics-data-activity-7229509481880076288-KJ4D?utm_source=share&amp;utm_medium=member_desktop</v>
      </c>
    </row>
    <row r="915">
      <c r="A915" s="2">
        <f>IFERROR(__xludf.DUMMYFUNCTION("""COMPUTED_VALUE"""),45518.0)</f>
        <v>45518</v>
      </c>
      <c r="B915" s="1" t="str">
        <f>IFERROR(__xludf.DUMMYFUNCTION("""COMPUTED_VALUE"""),"DaVita Kidney Care")</f>
        <v>DaVita Kidney Care</v>
      </c>
      <c r="C915" s="1" t="str">
        <f>IFERROR(__xludf.DUMMYFUNCTION("""COMPUTED_VALUE"""),"Sr. Analyst, Data Reporting &amp; Analytics")</f>
        <v>Sr. Analyst, Data Reporting &amp; Analytics</v>
      </c>
      <c r="D915" s="1" t="str">
        <f>IFERROR(__xludf.DUMMYFUNCTION("""COMPUTED_VALUE"""),"On-Site")</f>
        <v>On-Site</v>
      </c>
      <c r="E915" s="1" t="str">
        <f>IFERROR(__xludf.DUMMYFUNCTION("""COMPUTED_VALUE"""),"$68k - $100k")</f>
        <v>$68k - $100k</v>
      </c>
      <c r="F915" s="1" t="str">
        <f>IFERROR(__xludf.DUMMYFUNCTION("""COMPUTED_VALUE"""),"0 - 2")</f>
        <v>0 - 2</v>
      </c>
      <c r="G915" s="1" t="str">
        <f>IFERROR(__xludf.DUMMYFUNCTION("""COMPUTED_VALUE"""),"Denver, CO")</f>
        <v>Denver, CO</v>
      </c>
      <c r="H915" s="4" t="str">
        <f>IFERROR(__xludf.DUMMYFUNCTION("""COMPUTED_VALUE"""),"https://www.linkedin.com/posts/rasmussenandrew_hiring-analytics-businessdevelopment-activity-7229635739267784705-2-VC?utm_source=share&amp;utm_medium=member_desktop")</f>
        <v>https://www.linkedin.com/posts/rasmussenandrew_hiring-analytics-businessdevelopment-activity-7229635739267784705-2-VC?utm_source=share&amp;utm_medium=member_desktop</v>
      </c>
    </row>
    <row r="916">
      <c r="A916" s="2">
        <f>IFERROR(__xludf.DUMMYFUNCTION("""COMPUTED_VALUE"""),45518.0)</f>
        <v>45518</v>
      </c>
      <c r="B916" s="1" t="str">
        <f>IFERROR(__xludf.DUMMYFUNCTION("""COMPUTED_VALUE"""),"2K")</f>
        <v>2K</v>
      </c>
      <c r="C916" s="1" t="str">
        <f>IFERROR(__xludf.DUMMYFUNCTION("""COMPUTED_VALUE"""),"Senior Data Analyst")</f>
        <v>Senior Data Analyst</v>
      </c>
      <c r="D916" s="1" t="str">
        <f>IFERROR(__xludf.DUMMYFUNCTION("""COMPUTED_VALUE"""),"Hybrid")</f>
        <v>Hybrid</v>
      </c>
      <c r="E916" s="1" t="str">
        <f>IFERROR(__xludf.DUMMYFUNCTION("""COMPUTED_VALUE"""),"$98k - $146k")</f>
        <v>$98k - $146k</v>
      </c>
      <c r="F916" s="1" t="str">
        <f>IFERROR(__xludf.DUMMYFUNCTION("""COMPUTED_VALUE"""),"3 - 5")</f>
        <v>3 - 5</v>
      </c>
      <c r="G916" s="1" t="str">
        <f>IFERROR(__xludf.DUMMYFUNCTION("""COMPUTED_VALUE"""),"Los Angeles, CA")</f>
        <v>Los Angeles, CA</v>
      </c>
      <c r="H916" s="4" t="str">
        <f>IFERROR(__xludf.DUMMYFUNCTION("""COMPUTED_VALUE"""),"https://www.linkedin.com/posts/erenis_hiring-ugcPost-7229630613257871362-nSof?utm_source=share&amp;utm_medium=member_desktop")</f>
        <v>https://www.linkedin.com/posts/erenis_hiring-ugcPost-7229630613257871362-nSof?utm_source=share&amp;utm_medium=member_desktop</v>
      </c>
    </row>
    <row r="917">
      <c r="A917" s="2">
        <f>IFERROR(__xludf.DUMMYFUNCTION("""COMPUTED_VALUE"""),45518.0)</f>
        <v>45518</v>
      </c>
      <c r="B917" s="1" t="str">
        <f>IFERROR(__xludf.DUMMYFUNCTION("""COMPUTED_VALUE"""),"M&amp;T Bank")</f>
        <v>M&amp;T Bank</v>
      </c>
      <c r="C917" s="1" t="str">
        <f>IFERROR(__xludf.DUMMYFUNCTION("""COMPUTED_VALUE"""),"Data Management Consultant - Business Engagement")</f>
        <v>Data Management Consultant - Business Engagement</v>
      </c>
      <c r="D917" s="1" t="str">
        <f>IFERROR(__xludf.DUMMYFUNCTION("""COMPUTED_VALUE"""),"Hybrid")</f>
        <v>Hybrid</v>
      </c>
      <c r="E917" s="1" t="str">
        <f>IFERROR(__xludf.DUMMYFUNCTION("""COMPUTED_VALUE"""),"$83k - $138k")</f>
        <v>$83k - $138k</v>
      </c>
      <c r="F917" s="1" t="str">
        <f>IFERROR(__xludf.DUMMYFUNCTION("""COMPUTED_VALUE"""),"3 - 5")</f>
        <v>3 - 5</v>
      </c>
      <c r="G917" s="1" t="str">
        <f>IFERROR(__xludf.DUMMYFUNCTION("""COMPUTED_VALUE"""),"Buffalo, NY")</f>
        <v>Buffalo, NY</v>
      </c>
      <c r="H917" s="4" t="str">
        <f>IFERROR(__xludf.DUMMYFUNCTION("""COMPUTED_VALUE"""),"https://www.linkedin.com/posts/fiona-reid-roma_data-management-consultant-business-engagement-activity-7229181974639185920-SzId?utm_source=share&amp;utm_medium=member_desktop")</f>
        <v>https://www.linkedin.com/posts/fiona-reid-roma_data-management-consultant-business-engagement-activity-7229181974639185920-SzId?utm_source=share&amp;utm_medium=member_desktop</v>
      </c>
    </row>
    <row r="918">
      <c r="A918" s="2">
        <f>IFERROR(__xludf.DUMMYFUNCTION("""COMPUTED_VALUE"""),45518.0)</f>
        <v>45518</v>
      </c>
      <c r="B918" s="1" t="str">
        <f>IFERROR(__xludf.DUMMYFUNCTION("""COMPUTED_VALUE"""),"LinkedIn")</f>
        <v>LinkedIn</v>
      </c>
      <c r="C918" s="1" t="str">
        <f>IFERROR(__xludf.DUMMYFUNCTION("""COMPUTED_VALUE"""),"Sr Insights Analyst")</f>
        <v>Sr Insights Analyst</v>
      </c>
      <c r="D918" s="1" t="str">
        <f>IFERROR(__xludf.DUMMYFUNCTION("""COMPUTED_VALUE"""),"Hybrid")</f>
        <v>Hybrid</v>
      </c>
      <c r="E918" s="1" t="str">
        <f>IFERROR(__xludf.DUMMYFUNCTION("""COMPUTED_VALUE"""),"$102k - $160k")</f>
        <v>$102k - $160k</v>
      </c>
      <c r="F918" s="1" t="str">
        <f>IFERROR(__xludf.DUMMYFUNCTION("""COMPUTED_VALUE"""),"3 - 5")</f>
        <v>3 - 5</v>
      </c>
      <c r="G918" s="1" t="str">
        <f>IFERROR(__xludf.DUMMYFUNCTION("""COMPUTED_VALUE"""),"New York, NY")</f>
        <v>New York, NY</v>
      </c>
      <c r="H918" s="4" t="str">
        <f>IFERROR(__xludf.DUMMYFUNCTION("""COMPUTED_VALUE"""),"https://www.linkedin.com/posts/emily-freeman-a0892971_sr-insights-analyst-activity-7229565427583008768-V6s0?utm_source=share&amp;utm_medium=member_desktop")</f>
        <v>https://www.linkedin.com/posts/emily-freeman-a0892971_sr-insights-analyst-activity-7229565427583008768-V6s0?utm_source=share&amp;utm_medium=member_desktop</v>
      </c>
    </row>
    <row r="919">
      <c r="A919" s="2">
        <f>IFERROR(__xludf.DUMMYFUNCTION("""COMPUTED_VALUE"""),45518.0)</f>
        <v>45518</v>
      </c>
      <c r="B919" s="1" t="str">
        <f>IFERROR(__xludf.DUMMYFUNCTION("""COMPUTED_VALUE"""),"Altercare Integrated Health Services")</f>
        <v>Altercare Integrated Health Services</v>
      </c>
      <c r="C919" s="1" t="str">
        <f>IFERROR(__xludf.DUMMYFUNCTION("""COMPUTED_VALUE"""),"Financial Analyst")</f>
        <v>Financial Analyst</v>
      </c>
      <c r="D919" s="1" t="str">
        <f>IFERROR(__xludf.DUMMYFUNCTION("""COMPUTED_VALUE"""),"On-Site")</f>
        <v>On-Site</v>
      </c>
      <c r="E919" s="1" t="str">
        <f>IFERROR(__xludf.DUMMYFUNCTION("""COMPUTED_VALUE"""),"N/A")</f>
        <v>N/A</v>
      </c>
      <c r="F919" s="1" t="str">
        <f>IFERROR(__xludf.DUMMYFUNCTION("""COMPUTED_VALUE"""),"0 - 2")</f>
        <v>0 - 2</v>
      </c>
      <c r="G919" s="1" t="str">
        <f>IFERROR(__xludf.DUMMYFUNCTION("""COMPUTED_VALUE"""),"North Canton, OH")</f>
        <v>North Canton, OH</v>
      </c>
      <c r="H919" s="4" t="str">
        <f>IFERROR(__xludf.DUMMYFUNCTION("""COMPUTED_VALUE"""),"https://www.linkedin.com/posts/nathan-haines-985154b0_check-out-this-job-at-altercare-integrated-activity-7229476722365136896-PUfL?utm_source=share&amp;utm_medium=member_desktop")</f>
        <v>https://www.linkedin.com/posts/nathan-haines-985154b0_check-out-this-job-at-altercare-integrated-activity-7229476722365136896-PUfL?utm_source=share&amp;utm_medium=member_desktop</v>
      </c>
    </row>
    <row r="920">
      <c r="A920" s="2">
        <f>IFERROR(__xludf.DUMMYFUNCTION("""COMPUTED_VALUE"""),45518.0)</f>
        <v>45518</v>
      </c>
      <c r="B920" s="1" t="str">
        <f>IFERROR(__xludf.DUMMYFUNCTION("""COMPUTED_VALUE"""),"World of Good Brands")</f>
        <v>World of Good Brands</v>
      </c>
      <c r="C920" s="1" t="str">
        <f>IFERROR(__xludf.DUMMYFUNCTION("""COMPUTED_VALUE"""),"Associate Manager, Insights Strategy")</f>
        <v>Associate Manager, Insights Strategy</v>
      </c>
      <c r="D920" s="1" t="str">
        <f>IFERROR(__xludf.DUMMYFUNCTION("""COMPUTED_VALUE"""),"Remote")</f>
        <v>Remote</v>
      </c>
      <c r="E920" s="1" t="str">
        <f>IFERROR(__xludf.DUMMYFUNCTION("""COMPUTED_VALUE"""),"$65k - $65k")</f>
        <v>$65k - $65k</v>
      </c>
      <c r="F920" s="1" t="str">
        <f>IFERROR(__xludf.DUMMYFUNCTION("""COMPUTED_VALUE"""),"0 - 2")</f>
        <v>0 - 2</v>
      </c>
      <c r="G920" s="1" t="str">
        <f>IFERROR(__xludf.DUMMYFUNCTION("""COMPUTED_VALUE"""),"Certain Locations")</f>
        <v>Certain Locations</v>
      </c>
      <c r="H920" s="4" t="str">
        <f>IFERROR(__xludf.DUMMYFUNCTION("""COMPUTED_VALUE"""),"https://www.linkedin.com/posts/vanessamuro_hiring-media-mediapublishing-activity-7229539428552032256-eTcP?utm_source=share&amp;utm_medium=member_desktop")</f>
        <v>https://www.linkedin.com/posts/vanessamuro_hiring-media-mediapublishing-activity-7229539428552032256-eTcP?utm_source=share&amp;utm_medium=member_desktop</v>
      </c>
    </row>
    <row r="921">
      <c r="A921" s="2">
        <f>IFERROR(__xludf.DUMMYFUNCTION("""COMPUTED_VALUE"""),45518.0)</f>
        <v>45518</v>
      </c>
      <c r="B921" s="1" t="str">
        <f>IFERROR(__xludf.DUMMYFUNCTION("""COMPUTED_VALUE"""),"WellWorks For You")</f>
        <v>WellWorks For You</v>
      </c>
      <c r="C921" s="1" t="str">
        <f>IFERROR(__xludf.DUMMYFUNCTION("""COMPUTED_VALUE"""),"Senior Data Scientist - Healthcare")</f>
        <v>Senior Data Scientist - Healthcare</v>
      </c>
      <c r="D921" s="1" t="str">
        <f>IFERROR(__xludf.DUMMYFUNCTION("""COMPUTED_VALUE"""),"Remote")</f>
        <v>Remote</v>
      </c>
      <c r="E921" s="1" t="str">
        <f>IFERROR(__xludf.DUMMYFUNCTION("""COMPUTED_VALUE"""),"$110k - $130k")</f>
        <v>$110k - $130k</v>
      </c>
      <c r="F921" s="1" t="str">
        <f>IFERROR(__xludf.DUMMYFUNCTION("""COMPUTED_VALUE"""),"6 - 9")</f>
        <v>6 - 9</v>
      </c>
      <c r="G921" s="1" t="str">
        <f>IFERROR(__xludf.DUMMYFUNCTION("""COMPUTED_VALUE"""),"USA")</f>
        <v>USA</v>
      </c>
      <c r="H921" s="4" t="str">
        <f>IFERROR(__xludf.DUMMYFUNCTION("""COMPUTED_VALUE"""),"https://www.linkedin.com/posts/lynn-marie-grimes-6b4b875_were-hiring-a-senior-data-scientist-are-activity-7229502183203913729-8Fql?utm_source=share&amp;utm_medium=member_desktop")</f>
        <v>https://www.linkedin.com/posts/lynn-marie-grimes-6b4b875_were-hiring-a-senior-data-scientist-are-activity-7229502183203913729-8Fql?utm_source=share&amp;utm_medium=member_desktop</v>
      </c>
    </row>
    <row r="922">
      <c r="A922" s="2">
        <f>IFERROR(__xludf.DUMMYFUNCTION("""COMPUTED_VALUE"""),45518.0)</f>
        <v>45518</v>
      </c>
      <c r="B922" s="1" t="str">
        <f>IFERROR(__xludf.DUMMYFUNCTION("""COMPUTED_VALUE"""),"Walmart")</f>
        <v>Walmart</v>
      </c>
      <c r="C922" s="1" t="str">
        <f>IFERROR(__xludf.DUMMYFUNCTION("""COMPUTED_VALUE"""),"Data Analyst II")</f>
        <v>Data Analyst II</v>
      </c>
      <c r="D922" s="1" t="str">
        <f>IFERROR(__xludf.DUMMYFUNCTION("""COMPUTED_VALUE"""),"On-Site")</f>
        <v>On-Site</v>
      </c>
      <c r="E922" s="1" t="str">
        <f>IFERROR(__xludf.DUMMYFUNCTION("""COMPUTED_VALUE"""),"$70k - $130k")</f>
        <v>$70k - $130k</v>
      </c>
      <c r="F922" s="1" t="str">
        <f>IFERROR(__xludf.DUMMYFUNCTION("""COMPUTED_VALUE"""),"0 - 2")</f>
        <v>0 - 2</v>
      </c>
      <c r="G922" s="1" t="str">
        <f>IFERROR(__xludf.DUMMYFUNCTION("""COMPUTED_VALUE"""),"Bentonville, AR")</f>
        <v>Bentonville, AR</v>
      </c>
      <c r="H922" s="4" t="str">
        <f>IFERROR(__xludf.DUMMYFUNCTION("""COMPUTED_VALUE"""),"https://www.linkedin.com/posts/andrew-soria-quiroz_walmart-data-enrichment-is-hiring-again-activity-7229204762842308609-uct3?utm_source=share&amp;utm_medium=member_desktop")</f>
        <v>https://www.linkedin.com/posts/andrew-soria-quiroz_walmart-data-enrichment-is-hiring-again-activity-7229204762842308609-uct3?utm_source=share&amp;utm_medium=member_desktop</v>
      </c>
    </row>
    <row r="923">
      <c r="A923" s="2">
        <f>IFERROR(__xludf.DUMMYFUNCTION("""COMPUTED_VALUE"""),45518.0)</f>
        <v>45518</v>
      </c>
      <c r="B923" s="1" t="str">
        <f>IFERROR(__xludf.DUMMYFUNCTION("""COMPUTED_VALUE"""),"ReefPoint Group")</f>
        <v>ReefPoint Group</v>
      </c>
      <c r="C923" s="1" t="str">
        <f>IFERROR(__xludf.DUMMYFUNCTION("""COMPUTED_VALUE"""),"Data Scientist")</f>
        <v>Data Scientist</v>
      </c>
      <c r="D923" s="1" t="str">
        <f>IFERROR(__xludf.DUMMYFUNCTION("""COMPUTED_VALUE"""),"Remote")</f>
        <v>Remote</v>
      </c>
      <c r="E923" s="1" t="str">
        <f>IFERROR(__xludf.DUMMYFUNCTION("""COMPUTED_VALUE"""),"N/A")</f>
        <v>N/A</v>
      </c>
      <c r="F923" s="1" t="str">
        <f>IFERROR(__xludf.DUMMYFUNCTION("""COMPUTED_VALUE"""),"3 - 5")</f>
        <v>3 - 5</v>
      </c>
      <c r="G923" s="1" t="str">
        <f>IFERROR(__xludf.DUMMYFUNCTION("""COMPUTED_VALUE"""),"USA")</f>
        <v>USA</v>
      </c>
      <c r="H923" s="4" t="str">
        <f>IFERROR(__xludf.DUMMYFUNCTION("""COMPUTED_VALUE"""),"https://www.linkedin.com/posts/nassimadibmoradi_hiring-datascience-wearerpg-activity-7229523042882764800-I1c3?utm_source=share&amp;utm_medium=member_desktop")</f>
        <v>https://www.linkedin.com/posts/nassimadibmoradi_hiring-datascience-wearerpg-activity-7229523042882764800-I1c3?utm_source=share&amp;utm_medium=member_desktop</v>
      </c>
    </row>
    <row r="924">
      <c r="A924" s="2">
        <f>IFERROR(__xludf.DUMMYFUNCTION("""COMPUTED_VALUE"""),45518.0)</f>
        <v>45518</v>
      </c>
      <c r="B924" s="1" t="str">
        <f>IFERROR(__xludf.DUMMYFUNCTION("""COMPUTED_VALUE"""),"Optomi")</f>
        <v>Optomi</v>
      </c>
      <c r="C924" s="1" t="str">
        <f>IFERROR(__xludf.DUMMYFUNCTION("""COMPUTED_VALUE"""),"Data Analyst")</f>
        <v>Data Analyst</v>
      </c>
      <c r="D924" s="1" t="str">
        <f>IFERROR(__xludf.DUMMYFUNCTION("""COMPUTED_VALUE"""),"Hybrid")</f>
        <v>Hybrid</v>
      </c>
      <c r="E924" s="1" t="str">
        <f>IFERROR(__xludf.DUMMYFUNCTION("""COMPUTED_VALUE"""),"$40/hr")</f>
        <v>$40/hr</v>
      </c>
      <c r="F924" s="1" t="str">
        <f>IFERROR(__xludf.DUMMYFUNCTION("""COMPUTED_VALUE"""),"0 - 2")</f>
        <v>0 - 2</v>
      </c>
      <c r="G924" s="1" t="str">
        <f>IFERROR(__xludf.DUMMYFUNCTION("""COMPUTED_VALUE"""),"Atlanta, GA")</f>
        <v>Atlanta, GA</v>
      </c>
      <c r="H924" s="4" t="str">
        <f>IFERROR(__xludf.DUMMYFUNCTION("""COMPUTED_VALUE"""),"https://www.linkedin.com/posts/ethan-hadaway_calling-all-data-analyst-in-the-atlanta-area-activity-7229485177989705730-hBoN?utm_source=share&amp;utm_medium=member_desktop")</f>
        <v>https://www.linkedin.com/posts/ethan-hadaway_calling-all-data-analyst-in-the-atlanta-area-activity-7229485177989705730-hBoN?utm_source=share&amp;utm_medium=member_desktop</v>
      </c>
    </row>
    <row r="925">
      <c r="A925" s="2">
        <f>IFERROR(__xludf.DUMMYFUNCTION("""COMPUTED_VALUE"""),45518.0)</f>
        <v>45518</v>
      </c>
      <c r="B925" s="1" t="str">
        <f>IFERROR(__xludf.DUMMYFUNCTION("""COMPUTED_VALUE"""),"Digital Strategy, LLC")</f>
        <v>Digital Strategy, LLC</v>
      </c>
      <c r="C925" s="1" t="str">
        <f>IFERROR(__xludf.DUMMYFUNCTION("""COMPUTED_VALUE"""),"Data Analyst")</f>
        <v>Data Analyst</v>
      </c>
      <c r="D925" s="1" t="str">
        <f>IFERROR(__xludf.DUMMYFUNCTION("""COMPUTED_VALUE"""),"Hybrid")</f>
        <v>Hybrid</v>
      </c>
      <c r="E925" s="1" t="str">
        <f>IFERROR(__xludf.DUMMYFUNCTION("""COMPUTED_VALUE"""),"N/A")</f>
        <v>N/A</v>
      </c>
      <c r="F925" s="1" t="str">
        <f>IFERROR(__xludf.DUMMYFUNCTION("""COMPUTED_VALUE"""),"3 - 5")</f>
        <v>3 - 5</v>
      </c>
      <c r="G925" s="1" t="str">
        <f>IFERROR(__xludf.DUMMYFUNCTION("""COMPUTED_VALUE"""),"Laurel, MD")</f>
        <v>Laurel, MD</v>
      </c>
      <c r="H925" s="4" t="str">
        <f>IFERROR(__xludf.DUMMYFUNCTION("""COMPUTED_VALUE"""),"https://www.linkedin.com/posts/mineshpatel_digital-strategy-activity-7229270674899451904-T0UF?utm_source=share&amp;utm_medium=member_desktop")</f>
        <v>https://www.linkedin.com/posts/mineshpatel_digital-strategy-activity-7229270674899451904-T0UF?utm_source=share&amp;utm_medium=member_desktop</v>
      </c>
    </row>
    <row r="926">
      <c r="A926" s="2">
        <f>IFERROR(__xludf.DUMMYFUNCTION("""COMPUTED_VALUE"""),45518.0)</f>
        <v>45518</v>
      </c>
      <c r="B926" s="1" t="str">
        <f>IFERROR(__xludf.DUMMYFUNCTION("""COMPUTED_VALUE"""),"Idaho State University")</f>
        <v>Idaho State University</v>
      </c>
      <c r="C926" s="1" t="str">
        <f>IFERROR(__xludf.DUMMYFUNCTION("""COMPUTED_VALUE"""),"Prospect Research Analyst, University Advancement")</f>
        <v>Prospect Research Analyst, University Advancement</v>
      </c>
      <c r="D926" s="1" t="str">
        <f>IFERROR(__xludf.DUMMYFUNCTION("""COMPUTED_VALUE"""),"On-Site")</f>
        <v>On-Site</v>
      </c>
      <c r="E926" s="1" t="str">
        <f>IFERROR(__xludf.DUMMYFUNCTION("""COMPUTED_VALUE"""),"$50k - $60k")</f>
        <v>$50k - $60k</v>
      </c>
      <c r="F926" s="1" t="str">
        <f>IFERROR(__xludf.DUMMYFUNCTION("""COMPUTED_VALUE"""),"0 - 2")</f>
        <v>0 - 2</v>
      </c>
      <c r="G926" s="1" t="str">
        <f>IFERROR(__xludf.DUMMYFUNCTION("""COMPUTED_VALUE"""),"Pocatello, ID")</f>
        <v>Pocatello, ID</v>
      </c>
      <c r="H926" s="4" t="str">
        <f>IFERROR(__xludf.DUMMYFUNCTION("""COMPUTED_VALUE"""),"https://www.linkedin.com/posts/denise-scott-a6499a56_prospect-research-analyst-university-advancement-activity-7229514404386521089-0kjr?utm_source=share&amp;utm_medium=member_desktop")</f>
        <v>https://www.linkedin.com/posts/denise-scott-a6499a56_prospect-research-analyst-university-advancement-activity-7229514404386521089-0kjr?utm_source=share&amp;utm_medium=member_desktop</v>
      </c>
    </row>
    <row r="927">
      <c r="A927" s="2">
        <f>IFERROR(__xludf.DUMMYFUNCTION("""COMPUTED_VALUE"""),45518.0)</f>
        <v>45518</v>
      </c>
      <c r="B927" s="1" t="str">
        <f>IFERROR(__xludf.DUMMYFUNCTION("""COMPUTED_VALUE"""),"Momentum Commerce")</f>
        <v>Momentum Commerce</v>
      </c>
      <c r="C927" s="1" t="str">
        <f>IFERROR(__xludf.DUMMYFUNCTION("""COMPUTED_VALUE"""),"Senior Analyst, Media Services")</f>
        <v>Senior Analyst, Media Services</v>
      </c>
      <c r="D927" s="1" t="str">
        <f>IFERROR(__xludf.DUMMYFUNCTION("""COMPUTED_VALUE"""),"Hybrid")</f>
        <v>Hybrid</v>
      </c>
      <c r="E927" s="1" t="str">
        <f>IFERROR(__xludf.DUMMYFUNCTION("""COMPUTED_VALUE"""),"$80 - $100k")</f>
        <v>$80 - $100k</v>
      </c>
      <c r="F927" s="1" t="str">
        <f>IFERROR(__xludf.DUMMYFUNCTION("""COMPUTED_VALUE"""),"3 - 5")</f>
        <v>3 - 5</v>
      </c>
      <c r="G927" s="1" t="str">
        <f>IFERROR(__xludf.DUMMYFUNCTION("""COMPUTED_VALUE"""),"Boston, MA")</f>
        <v>Boston, MA</v>
      </c>
      <c r="H927" s="4" t="str">
        <f>IFERROR(__xludf.DUMMYFUNCTION("""COMPUTED_VALUE"""),"https://www.linkedin.com/posts/danieljsilverman_hiring-boston-ugcPost-7229253351606030336-KWy8?utm_source=share&amp;utm_medium=member_desktop")</f>
        <v>https://www.linkedin.com/posts/danieljsilverman_hiring-boston-ugcPost-7229253351606030336-KWy8?utm_source=share&amp;utm_medium=member_desktop</v>
      </c>
    </row>
    <row r="928">
      <c r="A928" s="2">
        <f>IFERROR(__xludf.DUMMYFUNCTION("""COMPUTED_VALUE"""),45518.0)</f>
        <v>45518</v>
      </c>
      <c r="B928" s="1" t="str">
        <f>IFERROR(__xludf.DUMMYFUNCTION("""COMPUTED_VALUE"""),"CookUnity")</f>
        <v>CookUnity</v>
      </c>
      <c r="C928" s="1" t="str">
        <f>IFERROR(__xludf.DUMMYFUNCTION("""COMPUTED_VALUE"""),"Sr Data Scientist, Food &amp; Chef Portfolio")</f>
        <v>Sr Data Scientist, Food &amp; Chef Portfolio</v>
      </c>
      <c r="D928" s="1" t="str">
        <f>IFERROR(__xludf.DUMMYFUNCTION("""COMPUTED_VALUE"""),"On-Site")</f>
        <v>On-Site</v>
      </c>
      <c r="E928" s="1" t="str">
        <f>IFERROR(__xludf.DUMMYFUNCTION("""COMPUTED_VALUE"""),"$160k - $175k")</f>
        <v>$160k - $175k</v>
      </c>
      <c r="F928" s="1" t="str">
        <f>IFERROR(__xludf.DUMMYFUNCTION("""COMPUTED_VALUE"""),"6 - 9")</f>
        <v>6 - 9</v>
      </c>
      <c r="G928" s="1" t="str">
        <f>IFERROR(__xludf.DUMMYFUNCTION("""COMPUTED_VALUE"""),"New York, NY")</f>
        <v>New York, NY</v>
      </c>
      <c r="H928" s="4" t="str">
        <f>IFERROR(__xludf.DUMMYFUNCTION("""COMPUTED_VALUE"""),"https://www.linkedin.com/posts/carlos-jaime-406aa4a2_sr-data-scientist-food-chef-portfolio-activity-7229558727433961476-1kou?utm_source=share&amp;utm_medium=member_desktop")</f>
        <v>https://www.linkedin.com/posts/carlos-jaime-406aa4a2_sr-data-scientist-food-chef-portfolio-activity-7229558727433961476-1kou?utm_source=share&amp;utm_medium=member_desktop</v>
      </c>
    </row>
    <row r="929">
      <c r="A929" s="2">
        <f>IFERROR(__xludf.DUMMYFUNCTION("""COMPUTED_VALUE"""),45518.0)</f>
        <v>45518</v>
      </c>
      <c r="B929" s="1" t="str">
        <f>IFERROR(__xludf.DUMMYFUNCTION("""COMPUTED_VALUE"""),"CompanyCam")</f>
        <v>CompanyCam</v>
      </c>
      <c r="C929" s="1" t="str">
        <f>IFERROR(__xludf.DUMMYFUNCTION("""COMPUTED_VALUE"""),"Analytics Engineer")</f>
        <v>Analytics Engineer</v>
      </c>
      <c r="D929" s="1" t="str">
        <f>IFERROR(__xludf.DUMMYFUNCTION("""COMPUTED_VALUE"""),"Remote")</f>
        <v>Remote</v>
      </c>
      <c r="E929" s="1" t="str">
        <f>IFERROR(__xludf.DUMMYFUNCTION("""COMPUTED_VALUE"""),"$100k - $120k")</f>
        <v>$100k - $120k</v>
      </c>
      <c r="F929" s="1" t="str">
        <f>IFERROR(__xludf.DUMMYFUNCTION("""COMPUTED_VALUE"""),"3 - 5")</f>
        <v>3 - 5</v>
      </c>
      <c r="G929" s="1" t="str">
        <f>IFERROR(__xludf.DUMMYFUNCTION("""COMPUTED_VALUE"""),"USA")</f>
        <v>USA</v>
      </c>
      <c r="H929" s="4" t="str">
        <f>IFERROR(__xludf.DUMMYFUNCTION("""COMPUTED_VALUE"""),"https://www.linkedin.com/posts/activity-7229220616845860864-TGZf?utm_source=share&amp;utm_medium=member_desktop")</f>
        <v>https://www.linkedin.com/posts/activity-7229220616845860864-TGZf?utm_source=share&amp;utm_medium=member_desktop</v>
      </c>
    </row>
    <row r="930">
      <c r="A930" s="2">
        <f>IFERROR(__xludf.DUMMYFUNCTION("""COMPUTED_VALUE"""),45518.0)</f>
        <v>45518</v>
      </c>
      <c r="B930" s="1" t="str">
        <f>IFERROR(__xludf.DUMMYFUNCTION("""COMPUTED_VALUE"""),"Honor")</f>
        <v>Honor</v>
      </c>
      <c r="C930" s="1" t="str">
        <f>IFERROR(__xludf.DUMMYFUNCTION("""COMPUTED_VALUE"""),"Senior Data Anaylst")</f>
        <v>Senior Data Anaylst</v>
      </c>
      <c r="D930" s="1" t="str">
        <f>IFERROR(__xludf.DUMMYFUNCTION("""COMPUTED_VALUE"""),"Remote")</f>
        <v>Remote</v>
      </c>
      <c r="E930" s="1" t="str">
        <f>IFERROR(__xludf.DUMMYFUNCTION("""COMPUTED_VALUE"""),"$133k - $145k")</f>
        <v>$133k - $145k</v>
      </c>
      <c r="F930" s="1" t="str">
        <f>IFERROR(__xludf.DUMMYFUNCTION("""COMPUTED_VALUE"""),"3 - 5")</f>
        <v>3 - 5</v>
      </c>
      <c r="G930" s="1" t="str">
        <f>IFERROR(__xludf.DUMMYFUNCTION("""COMPUTED_VALUE"""),"USA")</f>
        <v>USA</v>
      </c>
      <c r="H930" s="4" t="str">
        <f>IFERROR(__xludf.DUMMYFUNCTION("""COMPUTED_VALUE"""),"https://www.linkedin.com/posts/mahfam-wagner_hiring-analytics-data-activity-7229509481880076288-KJ4D?utm_source=share&amp;utm_medium=member_desktop")</f>
        <v>https://www.linkedin.com/posts/mahfam-wagner_hiring-analytics-data-activity-7229509481880076288-KJ4D?utm_source=share&amp;utm_medium=member_desktop</v>
      </c>
    </row>
    <row r="931">
      <c r="A931" s="2">
        <f>IFERROR(__xludf.DUMMYFUNCTION("""COMPUTED_VALUE"""),45518.0)</f>
        <v>45518</v>
      </c>
      <c r="B931" s="1" t="str">
        <f>IFERROR(__xludf.DUMMYFUNCTION("""COMPUTED_VALUE"""),"Mercury Insurance")</f>
        <v>Mercury Insurance</v>
      </c>
      <c r="C931" s="1" t="str">
        <f>IFERROR(__xludf.DUMMYFUNCTION("""COMPUTED_VALUE"""),"R&amp;D Analyst II")</f>
        <v>R&amp;D Analyst II</v>
      </c>
      <c r="D931" s="1" t="str">
        <f>IFERROR(__xludf.DUMMYFUNCTION("""COMPUTED_VALUE"""),"Remote")</f>
        <v>Remote</v>
      </c>
      <c r="E931" s="1" t="str">
        <f>IFERROR(__xludf.DUMMYFUNCTION("""COMPUTED_VALUE"""),"$60 - $135k")</f>
        <v>$60 - $135k</v>
      </c>
      <c r="F931" s="1" t="str">
        <f>IFERROR(__xludf.DUMMYFUNCTION("""COMPUTED_VALUE"""),"3 - 5")</f>
        <v>3 - 5</v>
      </c>
      <c r="G931" s="1" t="str">
        <f>IFERROR(__xludf.DUMMYFUNCTION("""COMPUTED_VALUE"""),"USA")</f>
        <v>USA</v>
      </c>
      <c r="H931" s="4" t="str">
        <f>IFERROR(__xludf.DUMMYFUNCTION("""COMPUTED_VALUE"""),"https://www.linkedin.com/posts/zackkelley_mercury-is-hiring-for-a-remote-rd-analyst-activity-7229237680172068864-YEBS?utm_source=share&amp;utm_medium=member_desktop")</f>
        <v>https://www.linkedin.com/posts/zackkelley_mercury-is-hiring-for-a-remote-rd-analyst-activity-7229237680172068864-YEBS?utm_source=share&amp;utm_medium=member_desktop</v>
      </c>
    </row>
    <row r="932">
      <c r="A932" s="2">
        <f>IFERROR(__xludf.DUMMYFUNCTION("""COMPUTED_VALUE"""),45518.0)</f>
        <v>45518</v>
      </c>
      <c r="B932" s="1" t="str">
        <f>IFERROR(__xludf.DUMMYFUNCTION("""COMPUTED_VALUE"""),"Omada Health")</f>
        <v>Omada Health</v>
      </c>
      <c r="C932" s="1" t="str">
        <f>IFERROR(__xludf.DUMMYFUNCTION("""COMPUTED_VALUE"""),"Data Analyst II, Client Analytics")</f>
        <v>Data Analyst II, Client Analytics</v>
      </c>
      <c r="D932" s="1" t="str">
        <f>IFERROR(__xludf.DUMMYFUNCTION("""COMPUTED_VALUE"""),"Remote")</f>
        <v>Remote</v>
      </c>
      <c r="E932" s="1" t="str">
        <f>IFERROR(__xludf.DUMMYFUNCTION("""COMPUTED_VALUE"""),"$116k - $161k")</f>
        <v>$116k - $161k</v>
      </c>
      <c r="F932" s="1" t="str">
        <f>IFERROR(__xludf.DUMMYFUNCTION("""COMPUTED_VALUE"""),"3 - 5")</f>
        <v>3 - 5</v>
      </c>
      <c r="G932" s="1" t="str">
        <f>IFERROR(__xludf.DUMMYFUNCTION("""COMPUTED_VALUE"""),"USA")</f>
        <v>USA</v>
      </c>
      <c r="H932" s="4" t="str">
        <f>IFERROR(__xludf.DUMMYFUNCTION("""COMPUTED_VALUE"""),"https://www.linkedin.com/posts/randhirv_data-analyst-ii-client-analytics-activity-7229486958534651904-SgiH?utm_source=share&amp;utm_medium=member_desktop")</f>
        <v>https://www.linkedin.com/posts/randhirv_data-analyst-ii-client-analytics-activity-7229486958534651904-SgiH?utm_source=share&amp;utm_medium=member_desktop</v>
      </c>
    </row>
    <row r="933">
      <c r="A933" s="2">
        <f>IFERROR(__xludf.DUMMYFUNCTION("""COMPUTED_VALUE"""),45518.0)</f>
        <v>45518</v>
      </c>
      <c r="B933" s="1" t="str">
        <f>IFERROR(__xludf.DUMMYFUNCTION("""COMPUTED_VALUE"""),"Travel + Leisure")</f>
        <v>Travel + Leisure</v>
      </c>
      <c r="C933" s="1" t="str">
        <f>IFERROR(__xludf.DUMMYFUNCTION("""COMPUTED_VALUE"""),"Senior Financial Analyst")</f>
        <v>Senior Financial Analyst</v>
      </c>
      <c r="D933" s="1" t="str">
        <f>IFERROR(__xludf.DUMMYFUNCTION("""COMPUTED_VALUE"""),"Hybrid")</f>
        <v>Hybrid</v>
      </c>
      <c r="E933" s="1" t="str">
        <f>IFERROR(__xludf.DUMMYFUNCTION("""COMPUTED_VALUE"""),"N/A")</f>
        <v>N/A</v>
      </c>
      <c r="F933" s="1" t="str">
        <f>IFERROR(__xludf.DUMMYFUNCTION("""COMPUTED_VALUE"""),"3 - 5")</f>
        <v>3 - 5</v>
      </c>
      <c r="G933" s="1" t="str">
        <f>IFERROR(__xludf.DUMMYFUNCTION("""COMPUTED_VALUE"""),"Orlando, FL")</f>
        <v>Orlando, FL</v>
      </c>
      <c r="H933" s="4" t="str">
        <f>IFERROR(__xludf.DUMMYFUNCTION("""COMPUTED_VALUE"""),"https://www.linkedin.com/posts/kimberly-bibbens-mba-623525145_senior-financial-analyst-orlando-florida-activity-7229487858665861120-B3Lr?utm_source=share&amp;utm_medium=member_desktop")</f>
        <v>https://www.linkedin.com/posts/kimberly-bibbens-mba-623525145_senior-financial-analyst-orlando-florida-activity-7229487858665861120-B3Lr?utm_source=share&amp;utm_medium=member_desktop</v>
      </c>
    </row>
    <row r="934">
      <c r="A934" s="2">
        <f>IFERROR(__xludf.DUMMYFUNCTION("""COMPUTED_VALUE"""),45518.0)</f>
        <v>45518</v>
      </c>
      <c r="B934" s="1" t="str">
        <f>IFERROR(__xludf.DUMMYFUNCTION("""COMPUTED_VALUE"""),"Amazon")</f>
        <v>Amazon</v>
      </c>
      <c r="C934" s="1" t="str">
        <f>IFERROR(__xludf.DUMMYFUNCTION("""COMPUTED_VALUE"""),"Business Analyst, Americas Quality Team")</f>
        <v>Business Analyst, Americas Quality Team</v>
      </c>
      <c r="D934" s="1" t="str">
        <f>IFERROR(__xludf.DUMMYFUNCTION("""COMPUTED_VALUE"""),"On-Site")</f>
        <v>On-Site</v>
      </c>
      <c r="E934" s="1" t="str">
        <f>IFERROR(__xludf.DUMMYFUNCTION("""COMPUTED_VALUE"""),"$106k - $185k")</f>
        <v>$106k - $185k</v>
      </c>
      <c r="F934" s="1" t="str">
        <f>IFERROR(__xludf.DUMMYFUNCTION("""COMPUTED_VALUE"""),"3 - 5")</f>
        <v>3 - 5</v>
      </c>
      <c r="G934" s="1" t="str">
        <f>IFERROR(__xludf.DUMMYFUNCTION("""COMPUTED_VALUE"""),"Certain Locations")</f>
        <v>Certain Locations</v>
      </c>
      <c r="H934" s="4" t="str">
        <f>IFERROR(__xludf.DUMMYFUNCTION("""COMPUTED_VALUE"""),"https://www.linkedin.com/posts/matthew-childers-07954783_business-analyst-americas-quality-team-activity-7229158284748881922-IOmT?utm_source=share&amp;utm_medium=member_desktop")</f>
        <v>https://www.linkedin.com/posts/matthew-childers-07954783_business-analyst-americas-quality-team-activity-7229158284748881922-IOmT?utm_source=share&amp;utm_medium=member_desktop</v>
      </c>
    </row>
    <row r="935">
      <c r="A935" s="2">
        <f>IFERROR(__xludf.DUMMYFUNCTION("""COMPUTED_VALUE"""),45518.0)</f>
        <v>45518</v>
      </c>
      <c r="B935" s="1" t="str">
        <f>IFERROR(__xludf.DUMMYFUNCTION("""COMPUTED_VALUE"""),"Johns Hopkins Bloomberg School of Public Health")</f>
        <v>Johns Hopkins Bloomberg School of Public Health</v>
      </c>
      <c r="C935" s="1" t="str">
        <f>IFERROR(__xludf.DUMMYFUNCTION("""COMPUTED_VALUE"""),"Research Data Analyst")</f>
        <v>Research Data Analyst</v>
      </c>
      <c r="D935" s="1" t="str">
        <f>IFERROR(__xludf.DUMMYFUNCTION("""COMPUTED_VALUE"""),"Hybrid")</f>
        <v>Hybrid</v>
      </c>
      <c r="E935" s="1" t="str">
        <f>IFERROR(__xludf.DUMMYFUNCTION("""COMPUTED_VALUE"""),"$48k - $84k")</f>
        <v>$48k - $84k</v>
      </c>
      <c r="F935" s="1" t="str">
        <f>IFERROR(__xludf.DUMMYFUNCTION("""COMPUTED_VALUE"""),"3 - 5")</f>
        <v>3 - 5</v>
      </c>
      <c r="G935" s="1" t="str">
        <f>IFERROR(__xludf.DUMMYFUNCTION("""COMPUTED_VALUE"""),"Baltimore, MD")</f>
        <v>Baltimore, MD</v>
      </c>
      <c r="H935" s="4" t="str">
        <f>IFERROR(__xludf.DUMMYFUNCTION("""COMPUTED_VALUE"""),"https://www.linkedin.com/posts/catherine-ettman-phd-0740a136_research-data-analyst-activity-7229174676130799620-DZ9Z?utm_source=share&amp;utm_medium=member_desktop")</f>
        <v>https://www.linkedin.com/posts/catherine-ettman-phd-0740a136_research-data-analyst-activity-7229174676130799620-DZ9Z?utm_source=share&amp;utm_medium=member_desktop</v>
      </c>
    </row>
    <row r="936">
      <c r="A936" s="2">
        <f>IFERROR(__xludf.DUMMYFUNCTION("""COMPUTED_VALUE"""),45518.0)</f>
        <v>45518</v>
      </c>
      <c r="B936" s="1" t="str">
        <f>IFERROR(__xludf.DUMMYFUNCTION("""COMPUTED_VALUE"""),"Blue Cross and Blue Shield of Nebraska")</f>
        <v>Blue Cross and Blue Shield of Nebraska</v>
      </c>
      <c r="C936" s="1" t="str">
        <f>IFERROR(__xludf.DUMMYFUNCTION("""COMPUTED_VALUE"""),"Health Data Analyst I")</f>
        <v>Health Data Analyst I</v>
      </c>
      <c r="D936" s="1" t="str">
        <f>IFERROR(__xludf.DUMMYFUNCTION("""COMPUTED_VALUE"""),"Remote")</f>
        <v>Remote</v>
      </c>
      <c r="E936" s="1" t="str">
        <f>IFERROR(__xludf.DUMMYFUNCTION("""COMPUTED_VALUE"""),"N/A")</f>
        <v>N/A</v>
      </c>
      <c r="F936" s="1" t="str">
        <f>IFERROR(__xludf.DUMMYFUNCTION("""COMPUTED_VALUE"""),"0 - 2")</f>
        <v>0 - 2</v>
      </c>
      <c r="G936" s="1" t="str">
        <f>IFERROR(__xludf.DUMMYFUNCTION("""COMPUTED_VALUE"""),"NE")</f>
        <v>NE</v>
      </c>
      <c r="H936" s="4" t="str">
        <f>IFERROR(__xludf.DUMMYFUNCTION("""COMPUTED_VALUE"""),"https://www.linkedin.com/posts/elizabeth-carter-fayers_calling-all-my-nebraska-and-remote-data-analysts-activity-7229335039317000193-PM6X?utm_source=share&amp;utm_medium=member_desktop")</f>
        <v>https://www.linkedin.com/posts/elizabeth-carter-fayers_calling-all-my-nebraska-and-remote-data-analysts-activity-7229335039317000193-PM6X?utm_source=share&amp;utm_medium=member_desktop</v>
      </c>
    </row>
    <row r="937">
      <c r="A937" s="2">
        <f>IFERROR(__xludf.DUMMYFUNCTION("""COMPUTED_VALUE"""),45518.0)</f>
        <v>45518</v>
      </c>
      <c r="B937" s="1" t="str">
        <f>IFERROR(__xludf.DUMMYFUNCTION("""COMPUTED_VALUE"""),"Reinvestment Fund")</f>
        <v>Reinvestment Fund</v>
      </c>
      <c r="C937" s="1" t="str">
        <f>IFERROR(__xludf.DUMMYFUNCTION("""COMPUTED_VALUE"""),"Policy Analyst")</f>
        <v>Policy Analyst</v>
      </c>
      <c r="D937" s="1" t="str">
        <f>IFERROR(__xludf.DUMMYFUNCTION("""COMPUTED_VALUE"""),"Hybrid")</f>
        <v>Hybrid</v>
      </c>
      <c r="E937" s="1" t="str">
        <f>IFERROR(__xludf.DUMMYFUNCTION("""COMPUTED_VALUE"""),"$64k - $71k")</f>
        <v>$64k - $71k</v>
      </c>
      <c r="F937" s="1" t="str">
        <f>IFERROR(__xludf.DUMMYFUNCTION("""COMPUTED_VALUE"""),"0 - 2")</f>
        <v>0 - 2</v>
      </c>
      <c r="G937" s="1" t="str">
        <f>IFERROR(__xludf.DUMMYFUNCTION("""COMPUTED_VALUE"""),"Philadelphia, PA")</f>
        <v>Philadelphia, PA</v>
      </c>
      <c r="H937" s="4" t="str">
        <f>IFERROR(__xludf.DUMMYFUNCTION("""COMPUTED_VALUE"""),"https://www.linkedin.com/posts/michelle-schmitt-phl_come-work-at-reinvestment-fund-the-team-activity-7229461874906464256-moTA?utm_source=share&amp;utm_medium=member_desktop")</f>
        <v>https://www.linkedin.com/posts/michelle-schmitt-phl_come-work-at-reinvestment-fund-the-team-activity-7229461874906464256-moTA?utm_source=share&amp;utm_medium=member_desktop</v>
      </c>
    </row>
    <row r="938">
      <c r="A938" s="2">
        <f>IFERROR(__xludf.DUMMYFUNCTION("""COMPUTED_VALUE"""),45518.0)</f>
        <v>45518</v>
      </c>
      <c r="B938" s="1" t="str">
        <f>IFERROR(__xludf.DUMMYFUNCTION("""COMPUTED_VALUE"""),"Chipotle Mexican Grill")</f>
        <v>Chipotle Mexican Grill</v>
      </c>
      <c r="C938" s="1" t="str">
        <f>IFERROR(__xludf.DUMMYFUNCTION("""COMPUTED_VALUE"""),"Senior Analyst, People Operations")</f>
        <v>Senior Analyst, People Operations</v>
      </c>
      <c r="D938" s="1" t="str">
        <f>IFERROR(__xludf.DUMMYFUNCTION("""COMPUTED_VALUE"""),"On-Site")</f>
        <v>On-Site</v>
      </c>
      <c r="E938" s="1" t="str">
        <f>IFERROR(__xludf.DUMMYFUNCTION("""COMPUTED_VALUE"""),"$58k - $79k")</f>
        <v>$58k - $79k</v>
      </c>
      <c r="F938" s="1" t="str">
        <f>IFERROR(__xludf.DUMMYFUNCTION("""COMPUTED_VALUE"""),"3 - 5")</f>
        <v>3 - 5</v>
      </c>
      <c r="G938" s="1" t="str">
        <f>IFERROR(__xludf.DUMMYFUNCTION("""COMPUTED_VALUE"""),"Columbus, OH")</f>
        <v>Columbus, OH</v>
      </c>
      <c r="H938" s="4" t="str">
        <f>IFERROR(__xludf.DUMMYFUNCTION("""COMPUTED_VALUE"""),"https://www.linkedin.com/posts/bradleyluchene_hiring-jobopening-jobopportunity-activity-7229465140146925569-N-wM?utm_source=share&amp;utm_medium=member_desktop")</f>
        <v>https://www.linkedin.com/posts/bradleyluchene_hiring-jobopening-jobopportunity-activity-7229465140146925569-N-wM?utm_source=share&amp;utm_medium=member_desktop</v>
      </c>
    </row>
    <row r="939">
      <c r="A939" s="2">
        <f>IFERROR(__xludf.DUMMYFUNCTION("""COMPUTED_VALUE"""),45518.0)</f>
        <v>45518</v>
      </c>
      <c r="B939" s="1" t="str">
        <f>IFERROR(__xludf.DUMMYFUNCTION("""COMPUTED_VALUE"""),"Tailored Brands, Inc. ")</f>
        <v>Tailored Brands, Inc. </v>
      </c>
      <c r="C939" s="1" t="str">
        <f>IFERROR(__xludf.DUMMYFUNCTION("""COMPUTED_VALUE"""),"Associate Internal Outreach Analyst")</f>
        <v>Associate Internal Outreach Analyst</v>
      </c>
      <c r="D939" s="1" t="str">
        <f>IFERROR(__xludf.DUMMYFUNCTION("""COMPUTED_VALUE"""),"Hybrid")</f>
        <v>Hybrid</v>
      </c>
      <c r="E939" s="1" t="str">
        <f>IFERROR(__xludf.DUMMYFUNCTION("""COMPUTED_VALUE"""),"N/A")</f>
        <v>N/A</v>
      </c>
      <c r="F939" s="1" t="str">
        <f>IFERROR(__xludf.DUMMYFUNCTION("""COMPUTED_VALUE"""),"0 - 2")</f>
        <v>0 - 2</v>
      </c>
      <c r="G939" s="1" t="str">
        <f>IFERROR(__xludf.DUMMYFUNCTION("""COMPUTED_VALUE"""),"Houston, TX")</f>
        <v>Houston, TX</v>
      </c>
      <c r="H939" s="4" t="str">
        <f>IFERROR(__xludf.DUMMYFUNCTION("""COMPUTED_VALUE"""),"https://www.linkedin.com/posts/activity-7229392021600280576-_vV5?utm_source=share&amp;utm_medium=member_desktop")</f>
        <v>https://www.linkedin.com/posts/activity-7229392021600280576-_vV5?utm_source=share&amp;utm_medium=member_desktop</v>
      </c>
    </row>
    <row r="940">
      <c r="A940" s="2">
        <f>IFERROR(__xludf.DUMMYFUNCTION("""COMPUTED_VALUE"""),45518.0)</f>
        <v>45518</v>
      </c>
      <c r="B940" s="1" t="str">
        <f>IFERROR(__xludf.DUMMYFUNCTION("""COMPUTED_VALUE"""),"Groups Recover Together")</f>
        <v>Groups Recover Together</v>
      </c>
      <c r="C940" s="1" t="str">
        <f>IFERROR(__xludf.DUMMYFUNCTION("""COMPUTED_VALUE"""),"Senior Data Analyst")</f>
        <v>Senior Data Analyst</v>
      </c>
      <c r="D940" s="1" t="str">
        <f>IFERROR(__xludf.DUMMYFUNCTION("""COMPUTED_VALUE"""),"Remote")</f>
        <v>Remote</v>
      </c>
      <c r="E940" s="1" t="str">
        <f>IFERROR(__xludf.DUMMYFUNCTION("""COMPUTED_VALUE"""),"N/A")</f>
        <v>N/A</v>
      </c>
      <c r="F940" s="1" t="str">
        <f>IFERROR(__xludf.DUMMYFUNCTION("""COMPUTED_VALUE"""),"3 - 5")</f>
        <v>3 - 5</v>
      </c>
      <c r="G940" s="1" t="str">
        <f>IFERROR(__xludf.DUMMYFUNCTION("""COMPUTED_VALUE"""),"USA")</f>
        <v>USA</v>
      </c>
      <c r="H940" s="4" t="str">
        <f>IFERROR(__xludf.DUMMYFUNCTION("""COMPUTED_VALUE"""),"https://www.linkedin.com/posts/aprildotenboss_our-finance-and-performance-analytics-team-activity-7229207105369444352-OYnh?utm_source=share&amp;utm_medium=member_ios")</f>
        <v>https://www.linkedin.com/posts/aprildotenboss_our-finance-and-performance-analytics-team-activity-7229207105369444352-OYnh?utm_source=share&amp;utm_medium=member_ios</v>
      </c>
    </row>
    <row r="941">
      <c r="A941" s="2">
        <f>IFERROR(__xludf.DUMMYFUNCTION("""COMPUTED_VALUE"""),45518.0)</f>
        <v>45518</v>
      </c>
      <c r="B941" s="1" t="str">
        <f>IFERROR(__xludf.DUMMYFUNCTION("""COMPUTED_VALUE"""),"Campbell's")</f>
        <v>Campbell's</v>
      </c>
      <c r="C941" s="1" t="str">
        <f>IFERROR(__xludf.DUMMYFUNCTION("""COMPUTED_VALUE"""),"Senior Manager, Business Analytics")</f>
        <v>Senior Manager, Business Analytics</v>
      </c>
      <c r="D941" s="1" t="str">
        <f>IFERROR(__xludf.DUMMYFUNCTION("""COMPUTED_VALUE"""),"On-Site")</f>
        <v>On-Site</v>
      </c>
      <c r="E941" s="1" t="str">
        <f>IFERROR(__xludf.DUMMYFUNCTION("""COMPUTED_VALUE"""),"$105k - $172k")</f>
        <v>$105k - $172k</v>
      </c>
      <c r="F941" s="1" t="str">
        <f>IFERROR(__xludf.DUMMYFUNCTION("""COMPUTED_VALUE"""),"3 - 5")</f>
        <v>3 - 5</v>
      </c>
      <c r="G941" s="1" t="str">
        <f>IFERROR(__xludf.DUMMYFUNCTION("""COMPUTED_VALUE"""),"Camden, NJ")</f>
        <v>Camden, NJ</v>
      </c>
      <c r="H941" s="4" t="str">
        <f>IFERROR(__xludf.DUMMYFUNCTION("""COMPUTED_VALUE"""),"https://www.linkedin.com/posts/leahbhughes_consumerinsights-businessintelligence-marketingjobs-activity-7229274967232634880-E4FN?utm_source=share&amp;utm_medium=member_desktop")</f>
        <v>https://www.linkedin.com/posts/leahbhughes_consumerinsights-businessintelligence-marketingjobs-activity-7229274967232634880-E4FN?utm_source=share&amp;utm_medium=member_desktop</v>
      </c>
    </row>
    <row r="942">
      <c r="A942" s="2">
        <f>IFERROR(__xludf.DUMMYFUNCTION("""COMPUTED_VALUE"""),45517.0)</f>
        <v>45517</v>
      </c>
      <c r="B942" s="1" t="str">
        <f>IFERROR(__xludf.DUMMYFUNCTION("""COMPUTED_VALUE"""),"The Home Depot")</f>
        <v>The Home Depot</v>
      </c>
      <c r="C942" s="1" t="str">
        <f>IFERROR(__xludf.DUMMYFUNCTION("""COMPUTED_VALUE"""),"Senior Financial Analyst - FP&amp;A")</f>
        <v>Senior Financial Analyst - FP&amp;A</v>
      </c>
      <c r="D942" s="1" t="str">
        <f>IFERROR(__xludf.DUMMYFUNCTION("""COMPUTED_VALUE"""),"Hybrid")</f>
        <v>Hybrid</v>
      </c>
      <c r="E942" s="1" t="str">
        <f>IFERROR(__xludf.DUMMYFUNCTION("""COMPUTED_VALUE"""),"N/A")</f>
        <v>N/A</v>
      </c>
      <c r="F942" s="1" t="str">
        <f>IFERROR(__xludf.DUMMYFUNCTION("""COMPUTED_VALUE"""),"3 - 5")</f>
        <v>3 - 5</v>
      </c>
      <c r="G942" s="1" t="str">
        <f>IFERROR(__xludf.DUMMYFUNCTION("""COMPUTED_VALUE"""),"Atlanta, GA")</f>
        <v>Atlanta, GA</v>
      </c>
      <c r="H942" s="4" t="str">
        <f>IFERROR(__xludf.DUMMYFUNCTION("""COMPUTED_VALUE"""),"https://www.linkedin.com/posts/mattredinger_im-hiring-i-have-an-open-senior-financial-activity-7229215362670567425-0PsD?utm_source=share&amp;utm_medium=member_desktop")</f>
        <v>https://www.linkedin.com/posts/mattredinger_im-hiring-i-have-an-open-senior-financial-activity-7229215362670567425-0PsD?utm_source=share&amp;utm_medium=member_desktop</v>
      </c>
    </row>
    <row r="943">
      <c r="A943" s="2">
        <f>IFERROR(__xludf.DUMMYFUNCTION("""COMPUTED_VALUE"""),45517.0)</f>
        <v>45517</v>
      </c>
      <c r="B943" s="1" t="str">
        <f>IFERROR(__xludf.DUMMYFUNCTION("""COMPUTED_VALUE"""),"HCSS")</f>
        <v>HCSS</v>
      </c>
      <c r="C943" s="1" t="str">
        <f>IFERROR(__xludf.DUMMYFUNCTION("""COMPUTED_VALUE"""),"Senior Revenue Operations Analyst")</f>
        <v>Senior Revenue Operations Analyst</v>
      </c>
      <c r="D943" s="1" t="str">
        <f>IFERROR(__xludf.DUMMYFUNCTION("""COMPUTED_VALUE"""),"Remote")</f>
        <v>Remote</v>
      </c>
      <c r="E943" s="1" t="str">
        <f>IFERROR(__xludf.DUMMYFUNCTION("""COMPUTED_VALUE"""),"N/A")</f>
        <v>N/A</v>
      </c>
      <c r="F943" s="1" t="str">
        <f>IFERROR(__xludf.DUMMYFUNCTION("""COMPUTED_VALUE"""),"3 - 5")</f>
        <v>3 - 5</v>
      </c>
      <c r="G943" s="1" t="str">
        <f>IFERROR(__xludf.DUMMYFUNCTION("""COMPUTED_VALUE"""),"USA")</f>
        <v>USA</v>
      </c>
      <c r="H943" s="4" t="str">
        <f>IFERROR(__xludf.DUMMYFUNCTION("""COMPUTED_VALUE"""),"https://www.linkedin.com/posts/karmen-perogine-095309193_senior-revenue-operations-analyst-hcss-activity-7229201191027572737-23b0?utm_source=share&amp;utm_medium=member_desktop")</f>
        <v>https://www.linkedin.com/posts/karmen-perogine-095309193_senior-revenue-operations-analyst-hcss-activity-7229201191027572737-23b0?utm_source=share&amp;utm_medium=member_desktop</v>
      </c>
    </row>
    <row r="944">
      <c r="A944" s="2">
        <f>IFERROR(__xludf.DUMMYFUNCTION("""COMPUTED_VALUE"""),45517.0)</f>
        <v>45517</v>
      </c>
      <c r="B944" s="1" t="str">
        <f>IFERROR(__xludf.DUMMYFUNCTION("""COMPUTED_VALUE"""),"Square")</f>
        <v>Square</v>
      </c>
      <c r="C944" s="1" t="str">
        <f>IFERROR(__xludf.DUMMYFUNCTION("""COMPUTED_VALUE"""),"Sales Operations Analyst")</f>
        <v>Sales Operations Analyst</v>
      </c>
      <c r="D944" s="1" t="str">
        <f>IFERROR(__xludf.DUMMYFUNCTION("""COMPUTED_VALUE"""),"Hybrid")</f>
        <v>Hybrid</v>
      </c>
      <c r="E944" s="1" t="str">
        <f>IFERROR(__xludf.DUMMYFUNCTION("""COMPUTED_VALUE"""),"$105k - $184k")</f>
        <v>$105k - $184k</v>
      </c>
      <c r="F944" s="1" t="str">
        <f>IFERROR(__xludf.DUMMYFUNCTION("""COMPUTED_VALUE"""),"3 - 5")</f>
        <v>3 - 5</v>
      </c>
      <c r="G944" s="1" t="str">
        <f>IFERROR(__xludf.DUMMYFUNCTION("""COMPUTED_VALUE"""),"San Francisco, CA")</f>
        <v>San Francisco, CA</v>
      </c>
      <c r="H944" s="4" t="str">
        <f>IFERROR(__xludf.DUMMYFUNCTION("""COMPUTED_VALUE"""),"https://www.linkedin.com/posts/activity-7229187007971745792-aBUm?utm_source=share&amp;utm_medium=member_desktop")</f>
        <v>https://www.linkedin.com/posts/activity-7229187007971745792-aBUm?utm_source=share&amp;utm_medium=member_desktop</v>
      </c>
    </row>
    <row r="945">
      <c r="A945" s="2">
        <f>IFERROR(__xludf.DUMMYFUNCTION("""COMPUTED_VALUE"""),45517.0)</f>
        <v>45517</v>
      </c>
      <c r="B945" s="1" t="str">
        <f>IFERROR(__xludf.DUMMYFUNCTION("""COMPUTED_VALUE"""),"Amcor")</f>
        <v>Amcor</v>
      </c>
      <c r="C945" s="1" t="str">
        <f>IFERROR(__xludf.DUMMYFUNCTION("""COMPUTED_VALUE"""),"Sr Analytics Analyst")</f>
        <v>Sr Analytics Analyst</v>
      </c>
      <c r="D945" s="1" t="str">
        <f>IFERROR(__xludf.DUMMYFUNCTION("""COMPUTED_VALUE"""),"Remote")</f>
        <v>Remote</v>
      </c>
      <c r="E945" s="1" t="str">
        <f>IFERROR(__xludf.DUMMYFUNCTION("""COMPUTED_VALUE"""),"N/A")</f>
        <v>N/A</v>
      </c>
      <c r="F945" s="1" t="str">
        <f>IFERROR(__xludf.DUMMYFUNCTION("""COMPUTED_VALUE"""),"3 - 5")</f>
        <v>3 - 5</v>
      </c>
      <c r="G945" s="1" t="str">
        <f>IFERROR(__xludf.DUMMYFUNCTION("""COMPUTED_VALUE"""),"Certain Locations")</f>
        <v>Certain Locations</v>
      </c>
      <c r="H945" s="4" t="str">
        <f>IFERROR(__xludf.DUMMYFUNCTION("""COMPUTED_VALUE"""),"https://www.linkedin.com/posts/kimberly-mahar-bb2b8331_our-team-is-expanding-and-were-hiring-for-activity-7229186291219775488-oL-x?utm_source=share&amp;utm_medium=member_desktop")</f>
        <v>https://www.linkedin.com/posts/kimberly-mahar-bb2b8331_our-team-is-expanding-and-were-hiring-for-activity-7229186291219775488-oL-x?utm_source=share&amp;utm_medium=member_desktop</v>
      </c>
    </row>
    <row r="946">
      <c r="A946" s="2">
        <f>IFERROR(__xludf.DUMMYFUNCTION("""COMPUTED_VALUE"""),45517.0)</f>
        <v>45517</v>
      </c>
      <c r="B946" s="1" t="str">
        <f>IFERROR(__xludf.DUMMYFUNCTION("""COMPUTED_VALUE"""),"ACUE")</f>
        <v>ACUE</v>
      </c>
      <c r="C946" s="1" t="str">
        <f>IFERROR(__xludf.DUMMYFUNCTION("""COMPUTED_VALUE"""),"Senior Manager, Revenue Operations and Analytics")</f>
        <v>Senior Manager, Revenue Operations and Analytics</v>
      </c>
      <c r="D946" s="1" t="str">
        <f>IFERROR(__xludf.DUMMYFUNCTION("""COMPUTED_VALUE"""),"Remote")</f>
        <v>Remote</v>
      </c>
      <c r="E946" s="1" t="str">
        <f>IFERROR(__xludf.DUMMYFUNCTION("""COMPUTED_VALUE"""),"$90k - $120k")</f>
        <v>$90k - $120k</v>
      </c>
      <c r="F946" s="1" t="str">
        <f>IFERROR(__xludf.DUMMYFUNCTION("""COMPUTED_VALUE"""),"6 - 9")</f>
        <v>6 - 9</v>
      </c>
      <c r="G946" s="1" t="str">
        <f>IFERROR(__xludf.DUMMYFUNCTION("""COMPUTED_VALUE"""),"USA")</f>
        <v>USA</v>
      </c>
      <c r="H946" s="4" t="str">
        <f>IFERROR(__xludf.DUMMYFUNCTION("""COMPUTED_VALUE"""),"https://www.linkedin.com/posts/megan-dusenbery-7320793a_senior-manager-revenue-operations-and-analytics-activity-7229241628777967616-6rln?utm_source=share&amp;utm_medium=member_desktop")</f>
        <v>https://www.linkedin.com/posts/megan-dusenbery-7320793a_senior-manager-revenue-operations-and-analytics-activity-7229241628777967616-6rln?utm_source=share&amp;utm_medium=member_desktop</v>
      </c>
    </row>
    <row r="947">
      <c r="A947" s="2">
        <f>IFERROR(__xludf.DUMMYFUNCTION("""COMPUTED_VALUE"""),45517.0)</f>
        <v>45517</v>
      </c>
      <c r="B947" s="1" t="str">
        <f>IFERROR(__xludf.DUMMYFUNCTION("""COMPUTED_VALUE"""),"Premier")</f>
        <v>Premier</v>
      </c>
      <c r="C947" s="1" t="str">
        <f>IFERROR(__xludf.DUMMYFUNCTION("""COMPUTED_VALUE"""),"Senior Specialist Contract Operations and Analytics")</f>
        <v>Senior Specialist Contract Operations and Analytics</v>
      </c>
      <c r="D947" s="1" t="str">
        <f>IFERROR(__xludf.DUMMYFUNCTION("""COMPUTED_VALUE"""),"Hybrid")</f>
        <v>Hybrid</v>
      </c>
      <c r="E947" s="1" t="str">
        <f>IFERROR(__xludf.DUMMYFUNCTION("""COMPUTED_VALUE"""),"$64k - $118k")</f>
        <v>$64k - $118k</v>
      </c>
      <c r="F947" s="1" t="str">
        <f>IFERROR(__xludf.DUMMYFUNCTION("""COMPUTED_VALUE"""),"3 - 5")</f>
        <v>3 - 5</v>
      </c>
      <c r="G947" s="1" t="str">
        <f>IFERROR(__xludf.DUMMYFUNCTION("""COMPUTED_VALUE"""),"Charlotte, NC")</f>
        <v>Charlotte, NC</v>
      </c>
      <c r="H947" s="4" t="str">
        <f>IFERROR(__xludf.DUMMYFUNCTION("""COMPUTED_VALUE"""),"https://www.linkedin.com/posts/payton-willingham-297510195_senior-specialist-contract-operations-analytics-activity-7229137497157480448-_DPi?utm_source=share&amp;utm_medium=member_desktop")</f>
        <v>https://www.linkedin.com/posts/payton-willingham-297510195_senior-specialist-contract-operations-analytics-activity-7229137497157480448-_DPi?utm_source=share&amp;utm_medium=member_desktop</v>
      </c>
    </row>
    <row r="948">
      <c r="A948" s="2">
        <f>IFERROR(__xludf.DUMMYFUNCTION("""COMPUTED_VALUE"""),45517.0)</f>
        <v>45517</v>
      </c>
      <c r="B948" s="1" t="str">
        <f>IFERROR(__xludf.DUMMYFUNCTION("""COMPUTED_VALUE"""),"Employ Inc.")</f>
        <v>Employ Inc.</v>
      </c>
      <c r="C948" s="1" t="str">
        <f>IFERROR(__xludf.DUMMYFUNCTION("""COMPUTED_VALUE"""),"Senior Marketing Analytics Manager")</f>
        <v>Senior Marketing Analytics Manager</v>
      </c>
      <c r="D948" s="1" t="str">
        <f>IFERROR(__xludf.DUMMYFUNCTION("""COMPUTED_VALUE"""),"Remote")</f>
        <v>Remote</v>
      </c>
      <c r="E948" s="1" t="str">
        <f>IFERROR(__xludf.DUMMYFUNCTION("""COMPUTED_VALUE"""),"N/A")</f>
        <v>N/A</v>
      </c>
      <c r="F948" s="1" t="str">
        <f>IFERROR(__xludf.DUMMYFUNCTION("""COMPUTED_VALUE"""),"3 - 5")</f>
        <v>3 - 5</v>
      </c>
      <c r="G948" s="1" t="str">
        <f>IFERROR(__xludf.DUMMYFUNCTION("""COMPUTED_VALUE"""),"USA")</f>
        <v>USA</v>
      </c>
      <c r="H948" s="4" t="str">
        <f>IFERROR(__xludf.DUMMYFUNCTION("""COMPUTED_VALUE"""),"https://www.linkedin.com/posts/paige-carder-95730a12b_hot-job-alert-our-marketing-operations-activity-7229195452531752960-uNta?utm_source=share&amp;utm_medium=member_desktop")</f>
        <v>https://www.linkedin.com/posts/paige-carder-95730a12b_hot-job-alert-our-marketing-operations-activity-7229195452531752960-uNta?utm_source=share&amp;utm_medium=member_desktop</v>
      </c>
    </row>
    <row r="949">
      <c r="A949" s="2">
        <f>IFERROR(__xludf.DUMMYFUNCTION("""COMPUTED_VALUE"""),45517.0)</f>
        <v>45517</v>
      </c>
      <c r="B949" s="1" t="str">
        <f>IFERROR(__xludf.DUMMYFUNCTION("""COMPUTED_VALUE"""),"Abbott")</f>
        <v>Abbott</v>
      </c>
      <c r="C949" s="1" t="str">
        <f>IFERROR(__xludf.DUMMYFUNCTION("""COMPUTED_VALUE"""),"Manager, Market Analytics and Insights")</f>
        <v>Manager, Market Analytics and Insights</v>
      </c>
      <c r="D949" s="1" t="str">
        <f>IFERROR(__xludf.DUMMYFUNCTION("""COMPUTED_VALUE"""),"On-Site")</f>
        <v>On-Site</v>
      </c>
      <c r="E949" s="1" t="str">
        <f>IFERROR(__xludf.DUMMYFUNCTION("""COMPUTED_VALUE"""),"$126k - $252k")</f>
        <v>$126k - $252k</v>
      </c>
      <c r="F949" s="1" t="str">
        <f>IFERROR(__xludf.DUMMYFUNCTION("""COMPUTED_VALUE"""),"6 - 9")</f>
        <v>6 - 9</v>
      </c>
      <c r="G949" s="1" t="str">
        <f>IFERROR(__xludf.DUMMYFUNCTION("""COMPUTED_VALUE"""),"Alameda, CA")</f>
        <v>Alameda, CA</v>
      </c>
      <c r="H949" s="4" t="str">
        <f>IFERROR(__xludf.DUMMYFUNCTION("""COMPUTED_VALUE"""),"https://www.linkedin.com/posts/khareamit_manager-market-analytics-and-insights-activity-7229154239959187456-wfJz?utm_source=share&amp;utm_medium=member_desktop")</f>
        <v>https://www.linkedin.com/posts/khareamit_manager-market-analytics-and-insights-activity-7229154239959187456-wfJz?utm_source=share&amp;utm_medium=member_desktop</v>
      </c>
    </row>
    <row r="950">
      <c r="A950" s="2">
        <f>IFERROR(__xludf.DUMMYFUNCTION("""COMPUTED_VALUE"""),45517.0)</f>
        <v>45517</v>
      </c>
      <c r="B950" s="1" t="str">
        <f>IFERROR(__xludf.DUMMYFUNCTION("""COMPUTED_VALUE"""),"Visual Comfort and Co.")</f>
        <v>Visual Comfort and Co.</v>
      </c>
      <c r="C950" s="1" t="str">
        <f>IFERROR(__xludf.DUMMYFUNCTION("""COMPUTED_VALUE"""),"Senior Merchandising Analyst")</f>
        <v>Senior Merchandising Analyst</v>
      </c>
      <c r="D950" s="1" t="str">
        <f>IFERROR(__xludf.DUMMYFUNCTION("""COMPUTED_VALUE"""),"On-Site")</f>
        <v>On-Site</v>
      </c>
      <c r="E950" s="1" t="str">
        <f>IFERROR(__xludf.DUMMYFUNCTION("""COMPUTED_VALUE"""),"N/A")</f>
        <v>N/A</v>
      </c>
      <c r="F950" s="1" t="str">
        <f>IFERROR(__xludf.DUMMYFUNCTION("""COMPUTED_VALUE"""),"3 - 5")</f>
        <v>3 - 5</v>
      </c>
      <c r="G950" s="1" t="str">
        <f>IFERROR(__xludf.DUMMYFUNCTION("""COMPUTED_VALUE"""),"Houston, TX")</f>
        <v>Houston, TX</v>
      </c>
      <c r="H950" s="4" t="str">
        <f>IFERROR(__xludf.DUMMYFUNCTION("""COMPUTED_VALUE"""),"https://www.linkedin.com/posts/natallia-kolas_jobopportunity-hiring-merchandising-activity-7229244639445143554-oVa6?utm_source=share&amp;utm_medium=member_desktop")</f>
        <v>https://www.linkedin.com/posts/natallia-kolas_jobopportunity-hiring-merchandising-activity-7229244639445143554-oVa6?utm_source=share&amp;utm_medium=member_desktop</v>
      </c>
    </row>
    <row r="951">
      <c r="A951" s="2">
        <f>IFERROR(__xludf.DUMMYFUNCTION("""COMPUTED_VALUE"""),45517.0)</f>
        <v>45517</v>
      </c>
      <c r="B951" s="1" t="str">
        <f>IFERROR(__xludf.DUMMYFUNCTION("""COMPUTED_VALUE"""),"Agero, Inc.")</f>
        <v>Agero, Inc.</v>
      </c>
      <c r="C951" s="1" t="str">
        <f>IFERROR(__xludf.DUMMYFUNCTION("""COMPUTED_VALUE"""),"Lead Data Analyst (Product/Data Science)")</f>
        <v>Lead Data Analyst (Product/Data Science)</v>
      </c>
      <c r="D951" s="1" t="str">
        <f>IFERROR(__xludf.DUMMYFUNCTION("""COMPUTED_VALUE"""),"Remote")</f>
        <v>Remote</v>
      </c>
      <c r="E951" s="1" t="str">
        <f>IFERROR(__xludf.DUMMYFUNCTION("""COMPUTED_VALUE"""),"N/A")</f>
        <v>N/A</v>
      </c>
      <c r="F951" s="1" t="str">
        <f>IFERROR(__xludf.DUMMYFUNCTION("""COMPUTED_VALUE"""),"0 - 2")</f>
        <v>0 - 2</v>
      </c>
      <c r="G951" s="1" t="str">
        <f>IFERROR(__xludf.DUMMYFUNCTION("""COMPUTED_VALUE"""),"USA")</f>
        <v>USA</v>
      </c>
      <c r="H951" s="4" t="str">
        <f>IFERROR(__xludf.DUMMYFUNCTION("""COMPUTED_VALUE"""),"https://www.linkedin.com/posts/soumyabraganza_hiring-activity-7229188854375759872-PLrL?utm_source=share&amp;utm_medium=member_desktop")</f>
        <v>https://www.linkedin.com/posts/soumyabraganza_hiring-activity-7229188854375759872-PLrL?utm_source=share&amp;utm_medium=member_desktop</v>
      </c>
    </row>
    <row r="952">
      <c r="A952" s="2">
        <f>IFERROR(__xludf.DUMMYFUNCTION("""COMPUTED_VALUE"""),45517.0)</f>
        <v>45517</v>
      </c>
      <c r="B952" s="1" t="str">
        <f>IFERROR(__xludf.DUMMYFUNCTION("""COMPUTED_VALUE"""),"Batch")</f>
        <v>Batch</v>
      </c>
      <c r="C952" s="1" t="str">
        <f>IFERROR(__xludf.DUMMYFUNCTION("""COMPUTED_VALUE"""),"Senior Data Analyst")</f>
        <v>Senior Data Analyst</v>
      </c>
      <c r="D952" s="1" t="str">
        <f>IFERROR(__xludf.DUMMYFUNCTION("""COMPUTED_VALUE"""),"Remote")</f>
        <v>Remote</v>
      </c>
      <c r="E952" s="1" t="str">
        <f>IFERROR(__xludf.DUMMYFUNCTION("""COMPUTED_VALUE"""),"$90k - $100k")</f>
        <v>$90k - $100k</v>
      </c>
      <c r="F952" s="1" t="str">
        <f>IFERROR(__xludf.DUMMYFUNCTION("""COMPUTED_VALUE"""),"3 - 5")</f>
        <v>3 - 5</v>
      </c>
      <c r="G952" s="1" t="str">
        <f>IFERROR(__xludf.DUMMYFUNCTION("""COMPUTED_VALUE"""),"USA")</f>
        <v>USA</v>
      </c>
      <c r="H952" s="4" t="str">
        <f>IFERROR(__xludf.DUMMYFUNCTION("""COMPUTED_VALUE"""),"https://www.linkedin.com/posts/mandi-cummings-33828552_batch-activity-7229235585238867968-9SSj?utm_source=share&amp;utm_medium=member_desktop")</f>
        <v>https://www.linkedin.com/posts/mandi-cummings-33828552_batch-activity-7229235585238867968-9SSj?utm_source=share&amp;utm_medium=member_desktop</v>
      </c>
    </row>
    <row r="953">
      <c r="A953" s="2">
        <f>IFERROR(__xludf.DUMMYFUNCTION("""COMPUTED_VALUE"""),45517.0)</f>
        <v>45517</v>
      </c>
      <c r="B953" s="1" t="str">
        <f>IFERROR(__xludf.DUMMYFUNCTION("""COMPUTED_VALUE"""),"SumerSports")</f>
        <v>SumerSports</v>
      </c>
      <c r="C953" s="1" t="str">
        <f>IFERROR(__xludf.DUMMYFUNCTION("""COMPUTED_VALUE"""),"Data Engineer")</f>
        <v>Data Engineer</v>
      </c>
      <c r="D953" s="1" t="str">
        <f>IFERROR(__xludf.DUMMYFUNCTION("""COMPUTED_VALUE"""),"Remote")</f>
        <v>Remote</v>
      </c>
      <c r="E953" s="1" t="str">
        <f>IFERROR(__xludf.DUMMYFUNCTION("""COMPUTED_VALUE"""),"N/A")</f>
        <v>N/A</v>
      </c>
      <c r="F953" s="1" t="str">
        <f>IFERROR(__xludf.DUMMYFUNCTION("""COMPUTED_VALUE"""),"3 - 5")</f>
        <v>3 - 5</v>
      </c>
      <c r="G953" s="1" t="str">
        <f>IFERROR(__xludf.DUMMYFUNCTION("""COMPUTED_VALUE"""),"USA")</f>
        <v>USA</v>
      </c>
      <c r="H953" s="4" t="str">
        <f>IFERROR(__xludf.DUMMYFUNCTION("""COMPUTED_VALUE"""),"https://www.linkedin.com/posts/quinnmaclean_looking-to-add-a-data-engineer-to-our-awesome-activity-7229226702101434368-mm5j?utm_source=share&amp;utm_medium=member_desktop")</f>
        <v>https://www.linkedin.com/posts/quinnmaclean_looking-to-add-a-data-engineer-to-our-awesome-activity-7229226702101434368-mm5j?utm_source=share&amp;utm_medium=member_desktop</v>
      </c>
    </row>
    <row r="954">
      <c r="A954" s="2">
        <f>IFERROR(__xludf.DUMMYFUNCTION("""COMPUTED_VALUE"""),45517.0)</f>
        <v>45517</v>
      </c>
      <c r="B954" s="1" t="str">
        <f>IFERROR(__xludf.DUMMYFUNCTION("""COMPUTED_VALUE"""),"Palmetto")</f>
        <v>Palmetto</v>
      </c>
      <c r="C954" s="1" t="str">
        <f>IFERROR(__xludf.DUMMYFUNCTION("""COMPUTED_VALUE"""),"(Senior) Data Analyst, CX &amp; Services")</f>
        <v>(Senior) Data Analyst, CX &amp; Services</v>
      </c>
      <c r="D954" s="1" t="str">
        <f>IFERROR(__xludf.DUMMYFUNCTION("""COMPUTED_VALUE"""),"Remote")</f>
        <v>Remote</v>
      </c>
      <c r="E954" s="1" t="str">
        <f>IFERROR(__xludf.DUMMYFUNCTION("""COMPUTED_VALUE"""),"N/A")</f>
        <v>N/A</v>
      </c>
      <c r="F954" s="1" t="str">
        <f>IFERROR(__xludf.DUMMYFUNCTION("""COMPUTED_VALUE"""),"0 - 2")</f>
        <v>0 - 2</v>
      </c>
      <c r="G954" s="1" t="str">
        <f>IFERROR(__xludf.DUMMYFUNCTION("""COMPUTED_VALUE"""),"USA")</f>
        <v>USA</v>
      </c>
      <c r="H954" s="4" t="str">
        <f>IFERROR(__xludf.DUMMYFUNCTION("""COMPUTED_VALUE"""),"https://www.linkedin.com/posts/schramdavid_data-at-palmetto-is-growing-im-looking-activity-7229195116144398337-sNTQ?utm_source=share&amp;utm_medium=member_desktop")</f>
        <v>https://www.linkedin.com/posts/schramdavid_data-at-palmetto-is-growing-im-looking-activity-7229195116144398337-sNTQ?utm_source=share&amp;utm_medium=member_desktop</v>
      </c>
    </row>
    <row r="955">
      <c r="A955" s="2">
        <f>IFERROR(__xludf.DUMMYFUNCTION("""COMPUTED_VALUE"""),45517.0)</f>
        <v>45517</v>
      </c>
      <c r="B955" s="1" t="str">
        <f>IFERROR(__xludf.DUMMYFUNCTION("""COMPUTED_VALUE"""),"NFP")</f>
        <v>NFP</v>
      </c>
      <c r="C955" s="1" t="str">
        <f>IFERROR(__xludf.DUMMYFUNCTION("""COMPUTED_VALUE"""),"Implementation Data Analyst")</f>
        <v>Implementation Data Analyst</v>
      </c>
      <c r="D955" s="1" t="str">
        <f>IFERROR(__xludf.DUMMYFUNCTION("""COMPUTED_VALUE"""),"On-Site")</f>
        <v>On-Site</v>
      </c>
      <c r="E955" s="1" t="str">
        <f>IFERROR(__xludf.DUMMYFUNCTION("""COMPUTED_VALUE"""),"N/A")</f>
        <v>N/A</v>
      </c>
      <c r="F955" s="1" t="str">
        <f>IFERROR(__xludf.DUMMYFUNCTION("""COMPUTED_VALUE"""),"0 - 2")</f>
        <v>0 - 2</v>
      </c>
      <c r="G955" s="1" t="str">
        <f>IFERROR(__xludf.DUMMYFUNCTION("""COMPUTED_VALUE"""),"Columbus, OH")</f>
        <v>Columbus, OH</v>
      </c>
      <c r="H955" s="4" t="str">
        <f>IFERROR(__xludf.DUMMYFUNCTION("""COMPUTED_VALUE"""),"https://www.linkedin.com/feed/update/urn:li:activity:7229190480637431808?utm_source=share&amp;utm_medium=member_desktop")</f>
        <v>https://www.linkedin.com/feed/update/urn:li:activity:7229190480637431808?utm_source=share&amp;utm_medium=member_desktop</v>
      </c>
    </row>
    <row r="956">
      <c r="A956" s="2">
        <f>IFERROR(__xludf.DUMMYFUNCTION("""COMPUTED_VALUE"""),45517.0)</f>
        <v>45517</v>
      </c>
      <c r="B956" s="1" t="str">
        <f>IFERROR(__xludf.DUMMYFUNCTION("""COMPUTED_VALUE"""),"JPMorganChase")</f>
        <v>JPMorganChase</v>
      </c>
      <c r="C956" s="1" t="str">
        <f>IFERROR(__xludf.DUMMYFUNCTION("""COMPUTED_VALUE"""),"Global Financial Intelligence Unit Compliance-Data Analyst-Senior Associate")</f>
        <v>Global Financial Intelligence Unit Compliance-Data Analyst-Senior Associate</v>
      </c>
      <c r="D956" s="1" t="str">
        <f>IFERROR(__xludf.DUMMYFUNCTION("""COMPUTED_VALUE"""),"On-Site")</f>
        <v>On-Site</v>
      </c>
      <c r="E956" s="1" t="str">
        <f>IFERROR(__xludf.DUMMYFUNCTION("""COMPUTED_VALUE"""),"$100k - $165k")</f>
        <v>$100k - $165k</v>
      </c>
      <c r="F956" s="1" t="str">
        <f>IFERROR(__xludf.DUMMYFUNCTION("""COMPUTED_VALUE"""),"3 - 5")</f>
        <v>3 - 5</v>
      </c>
      <c r="G956" s="1" t="str">
        <f>IFERROR(__xludf.DUMMYFUNCTION("""COMPUTED_VALUE"""),"Certain Locations")</f>
        <v>Certain Locations</v>
      </c>
      <c r="H956" s="4" t="str">
        <f>IFERROR(__xludf.DUMMYFUNCTION("""COMPUTED_VALUE"""),"https://www.linkedin.com/posts/althea-bowen-58b61057_global-financial-intelligence-unit-compliance-activity-7229137960120586241-zWDS?utm_source=share&amp;utm_medium=member_desktop")</f>
        <v>https://www.linkedin.com/posts/althea-bowen-58b61057_global-financial-intelligence-unit-compliance-activity-7229137960120586241-zWDS?utm_source=share&amp;utm_medium=member_desktop</v>
      </c>
    </row>
    <row r="957">
      <c r="A957" s="2">
        <f>IFERROR(__xludf.DUMMYFUNCTION("""COMPUTED_VALUE"""),45517.0)</f>
        <v>45517</v>
      </c>
      <c r="B957" s="1" t="str">
        <f>IFERROR(__xludf.DUMMYFUNCTION("""COMPUTED_VALUE"""),"Bluestem Brands")</f>
        <v>Bluestem Brands</v>
      </c>
      <c r="C957" s="1" t="str">
        <f>IFERROR(__xludf.DUMMYFUNCTION("""COMPUTED_VALUE"""),"Collections Analyst")</f>
        <v>Collections Analyst</v>
      </c>
      <c r="D957" s="1" t="str">
        <f>IFERROR(__xludf.DUMMYFUNCTION("""COMPUTED_VALUE"""),"Hybrid")</f>
        <v>Hybrid</v>
      </c>
      <c r="E957" s="1" t="str">
        <f>IFERROR(__xludf.DUMMYFUNCTION("""COMPUTED_VALUE"""),"N/A")</f>
        <v>N/A</v>
      </c>
      <c r="F957" s="1" t="str">
        <f>IFERROR(__xludf.DUMMYFUNCTION("""COMPUTED_VALUE"""),"3 - 5")</f>
        <v>3 - 5</v>
      </c>
      <c r="G957" s="1" t="str">
        <f>IFERROR(__xludf.DUMMYFUNCTION("""COMPUTED_VALUE"""),"Eden Prairie, MN")</f>
        <v>Eden Prairie, MN</v>
      </c>
      <c r="H957" s="4" t="str">
        <f>IFERROR(__xludf.DUMMYFUNCTION("""COMPUTED_VALUE"""),"https://www.linkedin.com/posts/william-powell-68988483_i-am-hiring-a-collections-analyst-primarily-activity-7229167529145909248-xiSo?utm_source=share&amp;utm_medium=member_desktop")</f>
        <v>https://www.linkedin.com/posts/william-powell-68988483_i-am-hiring-a-collections-analyst-primarily-activity-7229167529145909248-xiSo?utm_source=share&amp;utm_medium=member_desktop</v>
      </c>
    </row>
    <row r="958">
      <c r="A958" s="2">
        <f>IFERROR(__xludf.DUMMYFUNCTION("""COMPUTED_VALUE"""),45517.0)</f>
        <v>45517</v>
      </c>
      <c r="B958" s="1" t="str">
        <f>IFERROR(__xludf.DUMMYFUNCTION("""COMPUTED_VALUE"""),"Intelsat")</f>
        <v>Intelsat</v>
      </c>
      <c r="C958" s="1" t="str">
        <f>IFERROR(__xludf.DUMMYFUNCTION("""COMPUTED_VALUE"""),"Product Operations Analyst")</f>
        <v>Product Operations Analyst</v>
      </c>
      <c r="D958" s="1" t="str">
        <f>IFERROR(__xludf.DUMMYFUNCTION("""COMPUTED_VALUE"""),"Hybrid")</f>
        <v>Hybrid</v>
      </c>
      <c r="E958" s="1" t="str">
        <f>IFERROR(__xludf.DUMMYFUNCTION("""COMPUTED_VALUE"""),"N/A")</f>
        <v>N/A</v>
      </c>
      <c r="F958" s="1" t="str">
        <f>IFERROR(__xludf.DUMMYFUNCTION("""COMPUTED_VALUE"""),"0 - 2")</f>
        <v>0 - 2</v>
      </c>
      <c r="G958" s="1" t="str">
        <f>IFERROR(__xludf.DUMMYFUNCTION("""COMPUTED_VALUE"""),"Chicago, IL")</f>
        <v>Chicago, IL</v>
      </c>
      <c r="H958" s="4" t="str">
        <f>IFERROR(__xludf.DUMMYFUNCTION("""COMPUTED_VALUE"""),"https://www.linkedin.com/posts/tony-mancini-262358_product-operations-analyst-in-chicago-il-activity-7229214475155861506-X0-q?utm_source=share&amp;utm_medium=member_desktop")</f>
        <v>https://www.linkedin.com/posts/tony-mancini-262358_product-operations-analyst-in-chicago-il-activity-7229214475155861506-X0-q?utm_source=share&amp;utm_medium=member_desktop</v>
      </c>
    </row>
    <row r="959">
      <c r="A959" s="2">
        <f>IFERROR(__xludf.DUMMYFUNCTION("""COMPUTED_VALUE"""),45517.0)</f>
        <v>45517</v>
      </c>
      <c r="B959" s="1" t="str">
        <f>IFERROR(__xludf.DUMMYFUNCTION("""COMPUTED_VALUE"""),"Express Scripts")</f>
        <v>Express Scripts</v>
      </c>
      <c r="C959" s="1" t="str">
        <f>IFERROR(__xludf.DUMMYFUNCTION("""COMPUTED_VALUE"""),"Financial Analysis Lead Analyst")</f>
        <v>Financial Analysis Lead Analyst</v>
      </c>
      <c r="D959" s="1" t="str">
        <f>IFERROR(__xludf.DUMMYFUNCTION("""COMPUTED_VALUE"""),"Hybrid")</f>
        <v>Hybrid</v>
      </c>
      <c r="E959" s="1" t="str">
        <f>IFERROR(__xludf.DUMMYFUNCTION("""COMPUTED_VALUE"""),"N/A")</f>
        <v>N/A</v>
      </c>
      <c r="F959" s="1" t="str">
        <f>IFERROR(__xludf.DUMMYFUNCTION("""COMPUTED_VALUE"""),"3 - 5")</f>
        <v>3 - 5</v>
      </c>
      <c r="G959" s="1" t="str">
        <f>IFERROR(__xludf.DUMMYFUNCTION("""COMPUTED_VALUE"""),"St. Louis, MO")</f>
        <v>St. Louis, MO</v>
      </c>
      <c r="H959" s="4" t="str">
        <f>IFERROR(__xludf.DUMMYFUNCTION("""COMPUTED_VALUE"""),"https://www.linkedin.com/posts/matthew-walter-347177128_were-hiring-a-financial-analyst-for-our-activity-7229150071353741312-jR78?utm_source=share&amp;utm_medium=member_desktop")</f>
        <v>https://www.linkedin.com/posts/matthew-walter-347177128_were-hiring-a-financial-analyst-for-our-activity-7229150071353741312-jR78?utm_source=share&amp;utm_medium=member_desktop</v>
      </c>
    </row>
    <row r="960">
      <c r="A960" s="2">
        <f>IFERROR(__xludf.DUMMYFUNCTION("""COMPUTED_VALUE"""),45517.0)</f>
        <v>45517</v>
      </c>
      <c r="B960" s="1" t="str">
        <f>IFERROR(__xludf.DUMMYFUNCTION("""COMPUTED_VALUE"""),"Constant Associates")</f>
        <v>Constant Associates</v>
      </c>
      <c r="C960" s="1" t="str">
        <f>IFERROR(__xludf.DUMMYFUNCTION("""COMPUTED_VALUE"""),"Disaster Recovery Analyst")</f>
        <v>Disaster Recovery Analyst</v>
      </c>
      <c r="D960" s="1" t="str">
        <f>IFERROR(__xludf.DUMMYFUNCTION("""COMPUTED_VALUE"""),"Remote")</f>
        <v>Remote</v>
      </c>
      <c r="E960" s="1" t="str">
        <f>IFERROR(__xludf.DUMMYFUNCTION("""COMPUTED_VALUE"""),"$65k - $80k")</f>
        <v>$65k - $80k</v>
      </c>
      <c r="F960" s="1" t="str">
        <f>IFERROR(__xludf.DUMMYFUNCTION("""COMPUTED_VALUE"""),"3 - 5")</f>
        <v>3 - 5</v>
      </c>
      <c r="G960" s="1" t="str">
        <f>IFERROR(__xludf.DUMMYFUNCTION("""COMPUTED_VALUE"""),"Certain Locations")</f>
        <v>Certain Locations</v>
      </c>
      <c r="H960" s="4" t="str">
        <f>IFERROR(__xludf.DUMMYFUNCTION("""COMPUTED_VALUE"""),"https://www.linkedin.com/posts/alyssadelacruzshrm-cp_were-on-the-lookout-for-a-disaster-recovery-activity-7229193203080384512-Y1f_?utm_source=share&amp;utm_medium=member_desktop")</f>
        <v>https://www.linkedin.com/posts/alyssadelacruzshrm-cp_were-on-the-lookout-for-a-disaster-recovery-activity-7229193203080384512-Y1f_?utm_source=share&amp;utm_medium=member_desktop</v>
      </c>
    </row>
    <row r="961">
      <c r="A961" s="2">
        <f>IFERROR(__xludf.DUMMYFUNCTION("""COMPUTED_VALUE"""),45517.0)</f>
        <v>45517</v>
      </c>
      <c r="B961" s="1" t="str">
        <f>IFERROR(__xludf.DUMMYFUNCTION("""COMPUTED_VALUE"""),"Storable")</f>
        <v>Storable</v>
      </c>
      <c r="C961" s="1" t="str">
        <f>IFERROR(__xludf.DUMMYFUNCTION("""COMPUTED_VALUE"""),"Senior Business Analyst, Revenue")</f>
        <v>Senior Business Analyst, Revenue</v>
      </c>
      <c r="D961" s="1" t="str">
        <f>IFERROR(__xludf.DUMMYFUNCTION("""COMPUTED_VALUE"""),"Remote")</f>
        <v>Remote</v>
      </c>
      <c r="E961" s="1" t="str">
        <f>IFERROR(__xludf.DUMMYFUNCTION("""COMPUTED_VALUE"""),"$100k - $117k")</f>
        <v>$100k - $117k</v>
      </c>
      <c r="F961" s="1" t="str">
        <f>IFERROR(__xludf.DUMMYFUNCTION("""COMPUTED_VALUE"""),"3 - 5")</f>
        <v>3 - 5</v>
      </c>
      <c r="G961" s="1" t="str">
        <f>IFERROR(__xludf.DUMMYFUNCTION("""COMPUTED_VALUE"""),"Certain Locations")</f>
        <v>Certain Locations</v>
      </c>
      <c r="H961" s="4" t="str">
        <f>IFERROR(__xludf.DUMMYFUNCTION("""COMPUTED_VALUE"""),"https://www.linkedin.com/posts/matthew-hershey_im-currently-looking-for-a-senior-business-activity-7229137790691659776-0QYl?utm_source=share&amp;utm_medium=member_desktop")</f>
        <v>https://www.linkedin.com/posts/matthew-hershey_im-currently-looking-for-a-senior-business-activity-7229137790691659776-0QYl?utm_source=share&amp;utm_medium=member_desktop</v>
      </c>
    </row>
    <row r="962">
      <c r="A962" s="2">
        <f>IFERROR(__xludf.DUMMYFUNCTION("""COMPUTED_VALUE"""),45517.0)</f>
        <v>45517</v>
      </c>
      <c r="B962" s="1" t="str">
        <f>IFERROR(__xludf.DUMMYFUNCTION("""COMPUTED_VALUE"""),"Keurig Dr. Pepper")</f>
        <v>Keurig Dr. Pepper</v>
      </c>
      <c r="C962" s="1" t="str">
        <f>IFERROR(__xludf.DUMMYFUNCTION("""COMPUTED_VALUE"""),"Financial Analyst")</f>
        <v>Financial Analyst</v>
      </c>
      <c r="D962" s="1" t="str">
        <f>IFERROR(__xludf.DUMMYFUNCTION("""COMPUTED_VALUE"""),"Hybrid")</f>
        <v>Hybrid</v>
      </c>
      <c r="E962" s="1" t="str">
        <f>IFERROR(__xludf.DUMMYFUNCTION("""COMPUTED_VALUE"""),"N/A")</f>
        <v>N/A</v>
      </c>
      <c r="F962" s="1" t="str">
        <f>IFERROR(__xludf.DUMMYFUNCTION("""COMPUTED_VALUE"""),"0 - 2")</f>
        <v>0 - 2</v>
      </c>
      <c r="G962" s="1" t="str">
        <f>IFERROR(__xludf.DUMMYFUNCTION("""COMPUTED_VALUE"""),"Burlington, MA")</f>
        <v>Burlington, MA</v>
      </c>
      <c r="H962" s="4" t="str">
        <f>IFERROR(__xludf.DUMMYFUNCTION("""COMPUTED_VALUE"""),"https://www.linkedin.com/posts/activity-7229170931586256898-uQAf?utm_source=share&amp;utm_medium=member_desktop")</f>
        <v>https://www.linkedin.com/posts/activity-7229170931586256898-uQAf?utm_source=share&amp;utm_medium=member_desktop</v>
      </c>
    </row>
    <row r="963">
      <c r="A963" s="2">
        <f>IFERROR(__xludf.DUMMYFUNCTION("""COMPUTED_VALUE"""),45517.0)</f>
        <v>45517</v>
      </c>
      <c r="B963" s="1" t="str">
        <f>IFERROR(__xludf.DUMMYFUNCTION("""COMPUTED_VALUE"""),"Amcor")</f>
        <v>Amcor</v>
      </c>
      <c r="C963" s="1" t="str">
        <f>IFERROR(__xludf.DUMMYFUNCTION("""COMPUTED_VALUE"""),"Sr. Analytics Analyst")</f>
        <v>Sr. Analytics Analyst</v>
      </c>
      <c r="D963" s="1" t="str">
        <f>IFERROR(__xludf.DUMMYFUNCTION("""COMPUTED_VALUE"""),"Remote")</f>
        <v>Remote</v>
      </c>
      <c r="E963" s="1" t="str">
        <f>IFERROR(__xludf.DUMMYFUNCTION("""COMPUTED_VALUE"""),"N/A")</f>
        <v>N/A</v>
      </c>
      <c r="F963" s="1" t="str">
        <f>IFERROR(__xludf.DUMMYFUNCTION("""COMPUTED_VALUE"""),"3 - 5")</f>
        <v>3 - 5</v>
      </c>
      <c r="G963" s="1" t="str">
        <f>IFERROR(__xludf.DUMMYFUNCTION("""COMPUTED_VALUE"""),"Certain Locations")</f>
        <v>Certain Locations</v>
      </c>
      <c r="H963" s="4" t="str">
        <f>IFERROR(__xludf.DUMMYFUNCTION("""COMPUTED_VALUE"""),"https://www.linkedin.com/posts/kimberly-mahar-bb2b8331_our-team-is-expanding-and-were-hiring-for-activity-7229186291219775488-oL-x?utm_source=share&amp;utm_medium=member_desktop")</f>
        <v>https://www.linkedin.com/posts/kimberly-mahar-bb2b8331_our-team-is-expanding-and-were-hiring-for-activity-7229186291219775488-oL-x?utm_source=share&amp;utm_medium=member_desktop</v>
      </c>
    </row>
    <row r="964">
      <c r="A964" s="2">
        <f>IFERROR(__xludf.DUMMYFUNCTION("""COMPUTED_VALUE"""),45517.0)</f>
        <v>45517</v>
      </c>
      <c r="B964" s="1" t="str">
        <f>IFERROR(__xludf.DUMMYFUNCTION("""COMPUTED_VALUE"""),"10x Genomics")</f>
        <v>10x Genomics</v>
      </c>
      <c r="C964" s="1" t="str">
        <f>IFERROR(__xludf.DUMMYFUNCTION("""COMPUTED_VALUE"""),"Data Analyst - Contract Temp")</f>
        <v>Data Analyst - Contract Temp</v>
      </c>
      <c r="D964" s="1" t="str">
        <f>IFERROR(__xludf.DUMMYFUNCTION("""COMPUTED_VALUE"""),"On-Site")</f>
        <v>On-Site</v>
      </c>
      <c r="E964" s="1" t="str">
        <f>IFERROR(__xludf.DUMMYFUNCTION("""COMPUTED_VALUE"""),"N/A")</f>
        <v>N/A</v>
      </c>
      <c r="F964" s="1" t="str">
        <f>IFERROR(__xludf.DUMMYFUNCTION("""COMPUTED_VALUE"""),"0 - 2")</f>
        <v>0 - 2</v>
      </c>
      <c r="G964" s="1" t="str">
        <f>IFERROR(__xludf.DUMMYFUNCTION("""COMPUTED_VALUE"""),"Pleasanton, CA")</f>
        <v>Pleasanton, CA</v>
      </c>
      <c r="H964" s="4" t="str">
        <f>IFERROR(__xludf.DUMMYFUNCTION("""COMPUTED_VALUE"""),"https://www.linkedin.com/posts/deborah-sloan_hiring-activity-7225178233867026432-qsXd?utm_source=share&amp;utm_medium=member_desktop")</f>
        <v>https://www.linkedin.com/posts/deborah-sloan_hiring-activity-7225178233867026432-qsXd?utm_source=share&amp;utm_medium=member_desktop</v>
      </c>
    </row>
    <row r="965">
      <c r="A965" s="2">
        <f>IFERROR(__xludf.DUMMYFUNCTION("""COMPUTED_VALUE"""),45517.0)</f>
        <v>45517</v>
      </c>
      <c r="B965" s="1" t="str">
        <f>IFERROR(__xludf.DUMMYFUNCTION("""COMPUTED_VALUE"""),"American Express")</f>
        <v>American Express</v>
      </c>
      <c r="C965" s="1" t="str">
        <f>IFERROR(__xludf.DUMMYFUNCTION("""COMPUTED_VALUE"""),"Analyst, US Brand Content")</f>
        <v>Analyst, US Brand Content</v>
      </c>
      <c r="D965" s="1" t="str">
        <f>IFERROR(__xludf.DUMMYFUNCTION("""COMPUTED_VALUE"""),"Hybrid")</f>
        <v>Hybrid</v>
      </c>
      <c r="E965" s="1" t="str">
        <f>IFERROR(__xludf.DUMMYFUNCTION("""COMPUTED_VALUE"""),"$55k - $105k")</f>
        <v>$55k - $105k</v>
      </c>
      <c r="F965" s="1" t="str">
        <f>IFERROR(__xludf.DUMMYFUNCTION("""COMPUTED_VALUE"""),"0 - 2")</f>
        <v>0 - 2</v>
      </c>
      <c r="G965" s="1" t="str">
        <f>IFERROR(__xludf.DUMMYFUNCTION("""COMPUTED_VALUE"""),"New York, NY")</f>
        <v>New York, NY</v>
      </c>
      <c r="H965" s="4" t="str">
        <f>IFERROR(__xludf.DUMMYFUNCTION("""COMPUTED_VALUE"""),"https://www.linkedin.com/posts/sylviastatler_looking-for-a-rockstar-analyst-to-join-our-activity-7229136204229718016-HvdO?utm_source=share&amp;utm_medium=member_desktop")</f>
        <v>https://www.linkedin.com/posts/sylviastatler_looking-for-a-rockstar-analyst-to-join-our-activity-7229136204229718016-HvdO?utm_source=share&amp;utm_medium=member_desktop</v>
      </c>
    </row>
    <row r="966">
      <c r="A966" s="2">
        <f>IFERROR(__xludf.DUMMYFUNCTION("""COMPUTED_VALUE"""),45517.0)</f>
        <v>45517</v>
      </c>
      <c r="B966" s="1" t="str">
        <f>IFERROR(__xludf.DUMMYFUNCTION("""COMPUTED_VALUE"""),"Eaze")</f>
        <v>Eaze</v>
      </c>
      <c r="C966" s="1" t="str">
        <f>IFERROR(__xludf.DUMMYFUNCTION("""COMPUTED_VALUE"""),"Senior Data Analyst")</f>
        <v>Senior Data Analyst</v>
      </c>
      <c r="D966" s="1" t="str">
        <f>IFERROR(__xludf.DUMMYFUNCTION("""COMPUTED_VALUE"""),"Remote")</f>
        <v>Remote</v>
      </c>
      <c r="E966" s="1" t="str">
        <f>IFERROR(__xludf.DUMMYFUNCTION("""COMPUTED_VALUE"""),"$92k - $163k")</f>
        <v>$92k - $163k</v>
      </c>
      <c r="F966" s="1" t="str">
        <f>IFERROR(__xludf.DUMMYFUNCTION("""COMPUTED_VALUE"""),"3 - 5")</f>
        <v>3 - 5</v>
      </c>
      <c r="G966" s="1" t="str">
        <f>IFERROR(__xludf.DUMMYFUNCTION("""COMPUTED_VALUE"""),"USA")</f>
        <v>USA</v>
      </c>
      <c r="H966" s="4" t="str">
        <f>IFERROR(__xludf.DUMMYFUNCTION("""COMPUTED_VALUE"""),"https://www.linkedin.com/posts/eaze-up_hiring-activity-7229087853174018049-3uNz?utm_source=share&amp;utm_medium=member_desktop")</f>
        <v>https://www.linkedin.com/posts/eaze-up_hiring-activity-7229087853174018049-3uNz?utm_source=share&amp;utm_medium=member_desktop</v>
      </c>
    </row>
    <row r="967">
      <c r="A967" s="2">
        <f>IFERROR(__xludf.DUMMYFUNCTION("""COMPUTED_VALUE"""),45517.0)</f>
        <v>45517</v>
      </c>
      <c r="B967" s="1" t="str">
        <f>IFERROR(__xludf.DUMMYFUNCTION("""COMPUTED_VALUE"""),"Stryker")</f>
        <v>Stryker</v>
      </c>
      <c r="C967" s="1" t="str">
        <f>IFERROR(__xludf.DUMMYFUNCTION("""COMPUTED_VALUE"""),"Lead Analyst, Health Economics &amp; Value")</f>
        <v>Lead Analyst, Health Economics &amp; Value</v>
      </c>
      <c r="D967" s="1" t="str">
        <f>IFERROR(__xludf.DUMMYFUNCTION("""COMPUTED_VALUE"""),"Remote")</f>
        <v>Remote</v>
      </c>
      <c r="E967" s="1" t="str">
        <f>IFERROR(__xludf.DUMMYFUNCTION("""COMPUTED_VALUE"""),"$85k - $182k")</f>
        <v>$85k - $182k</v>
      </c>
      <c r="F967" s="1" t="str">
        <f>IFERROR(__xludf.DUMMYFUNCTION("""COMPUTED_VALUE"""),"3 - 5")</f>
        <v>3 - 5</v>
      </c>
      <c r="G967" s="1" t="str">
        <f>IFERROR(__xludf.DUMMYFUNCTION("""COMPUTED_VALUE"""),"USA")</f>
        <v>USA</v>
      </c>
      <c r="H967" s="4" t="str">
        <f>IFERROR(__xludf.DUMMYFUNCTION("""COMPUTED_VALUE"""),"https://www.linkedin.com/posts/blairteunissen_wearestryker-healtheconomics-valueanalysis-activity-7229151215215865856-qdB0?utm_source=share&amp;utm_medium=member_desktop")</f>
        <v>https://www.linkedin.com/posts/blairteunissen_wearestryker-healtheconomics-valueanalysis-activity-7229151215215865856-qdB0?utm_source=share&amp;utm_medium=member_desktop</v>
      </c>
    </row>
    <row r="968">
      <c r="A968" s="2">
        <f>IFERROR(__xludf.DUMMYFUNCTION("""COMPUTED_VALUE"""),45517.0)</f>
        <v>45517</v>
      </c>
      <c r="B968" s="1" t="str">
        <f>IFERROR(__xludf.DUMMYFUNCTION("""COMPUTED_VALUE"""),"Freixenet Mionetto USA")</f>
        <v>Freixenet Mionetto USA</v>
      </c>
      <c r="C968" s="1" t="str">
        <f>IFERROR(__xludf.DUMMYFUNCTION("""COMPUTED_VALUE"""),"Sales Data Analyst")</f>
        <v>Sales Data Analyst</v>
      </c>
      <c r="D968" s="1" t="str">
        <f>IFERROR(__xludf.DUMMYFUNCTION("""COMPUTED_VALUE"""),"Hybrid")</f>
        <v>Hybrid</v>
      </c>
      <c r="E968" s="1" t="str">
        <f>IFERROR(__xludf.DUMMYFUNCTION("""COMPUTED_VALUE"""),"$70k - $85k")</f>
        <v>$70k - $85k</v>
      </c>
      <c r="F968" s="1" t="str">
        <f>IFERROR(__xludf.DUMMYFUNCTION("""COMPUTED_VALUE"""),"3 - 5")</f>
        <v>3 - 5</v>
      </c>
      <c r="G968" s="1" t="str">
        <f>IFERROR(__xludf.DUMMYFUNCTION("""COMPUTED_VALUE"""),"White Plains, NY")</f>
        <v>White Plains, NY</v>
      </c>
      <c r="H968" s="4" t="str">
        <f>IFERROR(__xludf.DUMMYFUNCTION("""COMPUTED_VALUE"""),"https://www.linkedin.com/posts/paula-wertalik_check-out-this-job-at-freixenet-mionetto-activity-7229164060729094144-Koc5?utm_source=share&amp;utm_medium=member_desktop")</f>
        <v>https://www.linkedin.com/posts/paula-wertalik_check-out-this-job-at-freixenet-mionetto-activity-7229164060729094144-Koc5?utm_source=share&amp;utm_medium=member_desktop</v>
      </c>
    </row>
    <row r="969">
      <c r="A969" s="2">
        <f>IFERROR(__xludf.DUMMYFUNCTION("""COMPUTED_VALUE"""),45517.0)</f>
        <v>45517</v>
      </c>
      <c r="B969" s="1" t="str">
        <f>IFERROR(__xludf.DUMMYFUNCTION("""COMPUTED_VALUE"""),"SS&amp;C Technologies")</f>
        <v>SS&amp;C Technologies</v>
      </c>
      <c r="C969" s="1" t="str">
        <f>IFERROR(__xludf.DUMMYFUNCTION("""COMPUTED_VALUE"""),"Financial Analyst")</f>
        <v>Financial Analyst</v>
      </c>
      <c r="D969" s="1" t="str">
        <f>IFERROR(__xludf.DUMMYFUNCTION("""COMPUTED_VALUE"""),"Hybrid")</f>
        <v>Hybrid</v>
      </c>
      <c r="E969" s="1" t="str">
        <f>IFERROR(__xludf.DUMMYFUNCTION("""COMPUTED_VALUE"""),"$75k - $95k")</f>
        <v>$75k - $95k</v>
      </c>
      <c r="F969" s="1" t="str">
        <f>IFERROR(__xludf.DUMMYFUNCTION("""COMPUTED_VALUE"""),"0 - 2")</f>
        <v>0 - 2</v>
      </c>
      <c r="G969" s="1" t="str">
        <f>IFERROR(__xludf.DUMMYFUNCTION("""COMPUTED_VALUE"""),"Certain Locations")</f>
        <v>Certain Locations</v>
      </c>
      <c r="H969" s="4" t="str">
        <f>IFERROR(__xludf.DUMMYFUNCTION("""COMPUTED_VALUE"""),"https://www.linkedin.com/posts/daphneedwards_financial-analyst-in-new-york-ny-activity-7229095102508388352-eDnX?utm_source=share&amp;utm_medium=member_desktop")</f>
        <v>https://www.linkedin.com/posts/daphneedwards_financial-analyst-in-new-york-ny-activity-7229095102508388352-eDnX?utm_source=share&amp;utm_medium=member_desktop</v>
      </c>
    </row>
    <row r="970">
      <c r="A970" s="2">
        <f>IFERROR(__xludf.DUMMYFUNCTION("""COMPUTED_VALUE"""),45517.0)</f>
        <v>45517</v>
      </c>
      <c r="B970" s="1" t="str">
        <f>IFERROR(__xludf.DUMMYFUNCTION("""COMPUTED_VALUE"""),"Curana Health")</f>
        <v>Curana Health</v>
      </c>
      <c r="C970" s="1" t="str">
        <f>IFERROR(__xludf.DUMMYFUNCTION("""COMPUTED_VALUE"""),"Revenue Cycle Management Analyst")</f>
        <v>Revenue Cycle Management Analyst</v>
      </c>
      <c r="D970" s="1" t="str">
        <f>IFERROR(__xludf.DUMMYFUNCTION("""COMPUTED_VALUE"""),"Remote")</f>
        <v>Remote</v>
      </c>
      <c r="E970" s="1" t="str">
        <f>IFERROR(__xludf.DUMMYFUNCTION("""COMPUTED_VALUE"""),"N/A")</f>
        <v>N/A</v>
      </c>
      <c r="F970" s="1" t="str">
        <f>IFERROR(__xludf.DUMMYFUNCTION("""COMPUTED_VALUE"""),"3 - 5")</f>
        <v>3 - 5</v>
      </c>
      <c r="G970" s="1" t="str">
        <f>IFERROR(__xludf.DUMMYFUNCTION("""COMPUTED_VALUE"""),"USA")</f>
        <v>USA</v>
      </c>
      <c r="H970" s="4" t="str">
        <f>IFERROR(__xludf.DUMMYFUNCTION("""COMPUTED_VALUE"""),"https://www.linkedin.com/posts/tara-jones-722bb9124_check-out-this-job-at-curana-health-revenue-activity-7228931873115156480-P9wB?utm_source=share&amp;utm_medium=member_desktop")</f>
        <v>https://www.linkedin.com/posts/tara-jones-722bb9124_check-out-this-job-at-curana-health-revenue-activity-7228931873115156480-P9wB?utm_source=share&amp;utm_medium=member_desktop</v>
      </c>
    </row>
    <row r="971">
      <c r="A971" s="2">
        <f>IFERROR(__xludf.DUMMYFUNCTION("""COMPUTED_VALUE"""),45517.0)</f>
        <v>45517</v>
      </c>
      <c r="B971" s="1" t="str">
        <f>IFERROR(__xludf.DUMMYFUNCTION("""COMPUTED_VALUE"""),"Cityblock Health")</f>
        <v>Cityblock Health</v>
      </c>
      <c r="C971" s="1" t="str">
        <f>IFERROR(__xludf.DUMMYFUNCTION("""COMPUTED_VALUE"""),"Senior Clinical Data Analyst")</f>
        <v>Senior Clinical Data Analyst</v>
      </c>
      <c r="D971" s="1" t="str">
        <f>IFERROR(__xludf.DUMMYFUNCTION("""COMPUTED_VALUE"""),"Remote")</f>
        <v>Remote</v>
      </c>
      <c r="E971" s="1" t="str">
        <f>IFERROR(__xludf.DUMMYFUNCTION("""COMPUTED_VALUE"""),"$104k - $130k")</f>
        <v>$104k - $130k</v>
      </c>
      <c r="F971" s="1" t="str">
        <f>IFERROR(__xludf.DUMMYFUNCTION("""COMPUTED_VALUE"""),"3 - 5")</f>
        <v>3 - 5</v>
      </c>
      <c r="G971" s="1" t="str">
        <f>IFERROR(__xludf.DUMMYFUNCTION("""COMPUTED_VALUE"""),"USA")</f>
        <v>USA</v>
      </c>
      <c r="H971" s="4" t="str">
        <f>IFERROR(__xludf.DUMMYFUNCTION("""COMPUTED_VALUE"""),"https://www.linkedin.com/posts/ericjhilton_senior-clinical-data-analyst-activity-7228878677776744448-ZO21?utm_source=share&amp;utm_medium=member_desktop")</f>
        <v>https://www.linkedin.com/posts/ericjhilton_senior-clinical-data-analyst-activity-7228878677776744448-ZO21?utm_source=share&amp;utm_medium=member_desktop</v>
      </c>
    </row>
    <row r="972">
      <c r="A972" s="2">
        <f>IFERROR(__xludf.DUMMYFUNCTION("""COMPUTED_VALUE"""),45517.0)</f>
        <v>45517</v>
      </c>
      <c r="B972" s="1" t="str">
        <f>IFERROR(__xludf.DUMMYFUNCTION("""COMPUTED_VALUE"""),"Textron Aviation")</f>
        <v>Textron Aviation</v>
      </c>
      <c r="C972" s="1" t="str">
        <f>IFERROR(__xludf.DUMMYFUNCTION("""COMPUTED_VALUE"""),"Data Analyst - Flight Safety &amp; Security")</f>
        <v>Data Analyst - Flight Safety &amp; Security</v>
      </c>
      <c r="D972" s="1" t="str">
        <f>IFERROR(__xludf.DUMMYFUNCTION("""COMPUTED_VALUE"""),"On-Site")</f>
        <v>On-Site</v>
      </c>
      <c r="E972" s="1" t="str">
        <f>IFERROR(__xludf.DUMMYFUNCTION("""COMPUTED_VALUE"""),"N/A")</f>
        <v>N/A</v>
      </c>
      <c r="F972" s="1" t="str">
        <f>IFERROR(__xludf.DUMMYFUNCTION("""COMPUTED_VALUE"""),"0 - 2")</f>
        <v>0 - 2</v>
      </c>
      <c r="G972" s="1" t="str">
        <f>IFERROR(__xludf.DUMMYFUNCTION("""COMPUTED_VALUE"""),"Wichita, KS")</f>
        <v>Wichita, KS</v>
      </c>
      <c r="H972" s="4" t="str">
        <f>IFERROR(__xludf.DUMMYFUNCTION("""COMPUTED_VALUE"""),"https://www.linkedin.com/posts/caitlin-chodak-479904a2_werehiring-aviationjobs-onetxtavteam-activity-7228782686151045120-GHr0?utm_source=share&amp;utm_medium=member_desktop")</f>
        <v>https://www.linkedin.com/posts/caitlin-chodak-479904a2_werehiring-aviationjobs-onetxtavteam-activity-7228782686151045120-GHr0?utm_source=share&amp;utm_medium=member_desktop</v>
      </c>
    </row>
    <row r="973">
      <c r="A973" s="2">
        <f>IFERROR(__xludf.DUMMYFUNCTION("""COMPUTED_VALUE"""),45517.0)</f>
        <v>45517</v>
      </c>
      <c r="B973" s="1" t="str">
        <f>IFERROR(__xludf.DUMMYFUNCTION("""COMPUTED_VALUE"""),"GM Financial")</f>
        <v>GM Financial</v>
      </c>
      <c r="C973" s="1" t="str">
        <f>IFERROR(__xludf.DUMMYFUNCTION("""COMPUTED_VALUE"""),"Cybersecurity Analyst - Data Analytics &amp; Automation")</f>
        <v>Cybersecurity Analyst - Data Analytics &amp; Automation</v>
      </c>
      <c r="D973" s="1" t="str">
        <f>IFERROR(__xludf.DUMMYFUNCTION("""COMPUTED_VALUE"""),"Hybrid")</f>
        <v>Hybrid</v>
      </c>
      <c r="E973" s="1" t="str">
        <f>IFERROR(__xludf.DUMMYFUNCTION("""COMPUTED_VALUE"""),"N/A")</f>
        <v>N/A</v>
      </c>
      <c r="F973" s="1" t="str">
        <f>IFERROR(__xludf.DUMMYFUNCTION("""COMPUTED_VALUE"""),"0 - 2")</f>
        <v>0 - 2</v>
      </c>
      <c r="G973" s="1" t="str">
        <f>IFERROR(__xludf.DUMMYFUNCTION("""COMPUTED_VALUE"""),"Irving, TX")</f>
        <v>Irving, TX</v>
      </c>
      <c r="H973" s="4" t="str">
        <f>IFERROR(__xludf.DUMMYFUNCTION("""COMPUTED_VALUE"""),"https://www.linkedin.com/posts/activity-7229114799014469632-hBpE?utm_source=share&amp;utm_medium=member_desktop")</f>
        <v>https://www.linkedin.com/posts/activity-7229114799014469632-hBpE?utm_source=share&amp;utm_medium=member_desktop</v>
      </c>
    </row>
    <row r="974">
      <c r="A974" s="2">
        <f>IFERROR(__xludf.DUMMYFUNCTION("""COMPUTED_VALUE"""),45517.0)</f>
        <v>45517</v>
      </c>
      <c r="B974" s="1" t="str">
        <f>IFERROR(__xludf.DUMMYFUNCTION("""COMPUTED_VALUE"""),"GM Financial")</f>
        <v>GM Financial</v>
      </c>
      <c r="C974" s="1" t="str">
        <f>IFERROR(__xludf.DUMMYFUNCTION("""COMPUTED_VALUE"""),"Sr. Cybersecurity Analyst - Data Analytics &amp; Automation")</f>
        <v>Sr. Cybersecurity Analyst - Data Analytics &amp; Automation</v>
      </c>
      <c r="D974" s="1" t="str">
        <f>IFERROR(__xludf.DUMMYFUNCTION("""COMPUTED_VALUE"""),"Hybrid")</f>
        <v>Hybrid</v>
      </c>
      <c r="E974" s="1" t="str">
        <f>IFERROR(__xludf.DUMMYFUNCTION("""COMPUTED_VALUE"""),"N/A")</f>
        <v>N/A</v>
      </c>
      <c r="F974" s="1" t="str">
        <f>IFERROR(__xludf.DUMMYFUNCTION("""COMPUTED_VALUE"""),"3 - 5")</f>
        <v>3 - 5</v>
      </c>
      <c r="G974" s="1" t="str">
        <f>IFERROR(__xludf.DUMMYFUNCTION("""COMPUTED_VALUE"""),"Irving, TX")</f>
        <v>Irving, TX</v>
      </c>
      <c r="H974" s="4" t="str">
        <f>IFERROR(__xludf.DUMMYFUNCTION("""COMPUTED_VALUE"""),"https://www.linkedin.com/posts/activity-7229114799014469632-hBpE?utm_source=share&amp;utm_medium=member_desktop")</f>
        <v>https://www.linkedin.com/posts/activity-7229114799014469632-hBpE?utm_source=share&amp;utm_medium=member_desktop</v>
      </c>
    </row>
    <row r="975">
      <c r="A975" s="2">
        <f>IFERROR(__xludf.DUMMYFUNCTION("""COMPUTED_VALUE"""),45517.0)</f>
        <v>45517</v>
      </c>
      <c r="B975" s="1" t="str">
        <f>IFERROR(__xludf.DUMMYFUNCTION("""COMPUTED_VALUE"""),"Snowflake")</f>
        <v>Snowflake</v>
      </c>
      <c r="C975" s="1" t="str">
        <f>IFERROR(__xludf.DUMMYFUNCTION("""COMPUTED_VALUE"""),"Sr. Professional Services &amp; Training Data Analyst")</f>
        <v>Sr. Professional Services &amp; Training Data Analyst</v>
      </c>
      <c r="D975" s="1" t="str">
        <f>IFERROR(__xludf.DUMMYFUNCTION("""COMPUTED_VALUE"""),"Remote")</f>
        <v>Remote</v>
      </c>
      <c r="E975" s="1" t="str">
        <f>IFERROR(__xludf.DUMMYFUNCTION("""COMPUTED_VALUE"""),"$163k - $233k")</f>
        <v>$163k - $233k</v>
      </c>
      <c r="F975" s="1" t="str">
        <f>IFERROR(__xludf.DUMMYFUNCTION("""COMPUTED_VALUE"""),"6 - 9")</f>
        <v>6 - 9</v>
      </c>
      <c r="G975" s="1" t="str">
        <f>IFERROR(__xludf.DUMMYFUNCTION("""COMPUTED_VALUE"""),"USA")</f>
        <v>USA</v>
      </c>
      <c r="H975" s="4" t="str">
        <f>IFERROR(__xludf.DUMMYFUNCTION("""COMPUTED_VALUE"""),"https://www.linkedin.com/posts/stelzerchristina_hiring-makeitsnow-data-activity-7229131448916545539-6dei?utm_source=share&amp;utm_medium=member_desktop")</f>
        <v>https://www.linkedin.com/posts/stelzerchristina_hiring-makeitsnow-data-activity-7229131448916545539-6dei?utm_source=share&amp;utm_medium=member_desktop</v>
      </c>
    </row>
    <row r="976">
      <c r="A976" s="2">
        <f>IFERROR(__xludf.DUMMYFUNCTION("""COMPUTED_VALUE"""),45517.0)</f>
        <v>45517</v>
      </c>
      <c r="B976" s="1" t="str">
        <f>IFERROR(__xludf.DUMMYFUNCTION("""COMPUTED_VALUE"""),"Fortune Brands Innovations")</f>
        <v>Fortune Brands Innovations</v>
      </c>
      <c r="C976" s="1" t="str">
        <f>IFERROR(__xludf.DUMMYFUNCTION("""COMPUTED_VALUE"""),"Senior Data Scientist")</f>
        <v>Senior Data Scientist</v>
      </c>
      <c r="D976" s="1" t="str">
        <f>IFERROR(__xludf.DUMMYFUNCTION("""COMPUTED_VALUE"""),"Remote")</f>
        <v>Remote</v>
      </c>
      <c r="E976" s="1" t="str">
        <f>IFERROR(__xludf.DUMMYFUNCTION("""COMPUTED_VALUE"""),"$105k - $165k")</f>
        <v>$105k - $165k</v>
      </c>
      <c r="F976" s="1" t="str">
        <f>IFERROR(__xludf.DUMMYFUNCTION("""COMPUTED_VALUE"""),"6 - 9")</f>
        <v>6 - 9</v>
      </c>
      <c r="G976" s="1" t="str">
        <f>IFERROR(__xludf.DUMMYFUNCTION("""COMPUTED_VALUE"""),"USA")</f>
        <v>USA</v>
      </c>
      <c r="H976" s="4" t="str">
        <f>IFERROR(__xludf.DUMMYFUNCTION("""COMPUTED_VALUE"""),"https://www.linkedin.com/posts/zacharyelewitz_are-you-looking-for-your-next-opportunity-activity-7228871143904940032-tD5g?utm_source=share&amp;utm_medium=member_desktop")</f>
        <v>https://www.linkedin.com/posts/zacharyelewitz_are-you-looking-for-your-next-opportunity-activity-7228871143904940032-tD5g?utm_source=share&amp;utm_medium=member_desktop</v>
      </c>
    </row>
    <row r="977">
      <c r="A977" s="2">
        <f>IFERROR(__xludf.DUMMYFUNCTION("""COMPUTED_VALUE"""),45517.0)</f>
        <v>45517</v>
      </c>
      <c r="B977" s="1" t="str">
        <f>IFERROR(__xludf.DUMMYFUNCTION("""COMPUTED_VALUE"""),"Fortune Brands Innovations")</f>
        <v>Fortune Brands Innovations</v>
      </c>
      <c r="C977" s="1" t="str">
        <f>IFERROR(__xludf.DUMMYFUNCTION("""COMPUTED_VALUE"""),"Associate Data Scientist")</f>
        <v>Associate Data Scientist</v>
      </c>
      <c r="D977" s="1" t="str">
        <f>IFERROR(__xludf.DUMMYFUNCTION("""COMPUTED_VALUE"""),"On-Site")</f>
        <v>On-Site</v>
      </c>
      <c r="E977" s="1" t="str">
        <f>IFERROR(__xludf.DUMMYFUNCTION("""COMPUTED_VALUE"""),"$60k - $99k")</f>
        <v>$60k - $99k</v>
      </c>
      <c r="F977" s="1" t="str">
        <f>IFERROR(__xludf.DUMMYFUNCTION("""COMPUTED_VALUE"""),"0 - 2")</f>
        <v>0 - 2</v>
      </c>
      <c r="G977" s="1" t="str">
        <f>IFERROR(__xludf.DUMMYFUNCTION("""COMPUTED_VALUE"""),"North Olmsted, OH")</f>
        <v>North Olmsted, OH</v>
      </c>
      <c r="H977" s="4" t="str">
        <f>IFERROR(__xludf.DUMMYFUNCTION("""COMPUTED_VALUE"""),"https://www.linkedin.com/posts/zacharyelewitz_are-you-looking-for-your-next-opportunity-activity-7228871143904940032-tD5g?utm_source=share&amp;utm_medium=member_desktop")</f>
        <v>https://www.linkedin.com/posts/zacharyelewitz_are-you-looking-for-your-next-opportunity-activity-7228871143904940032-tD5g?utm_source=share&amp;utm_medium=member_desktop</v>
      </c>
    </row>
    <row r="978">
      <c r="A978" s="2">
        <f>IFERROR(__xludf.DUMMYFUNCTION("""COMPUTED_VALUE"""),45516.0)</f>
        <v>45516</v>
      </c>
      <c r="B978" s="1" t="str">
        <f>IFERROR(__xludf.DUMMYFUNCTION("""COMPUTED_VALUE"""),"Smartsheet")</f>
        <v>Smartsheet</v>
      </c>
      <c r="C978" s="1" t="str">
        <f>IFERROR(__xludf.DUMMYFUNCTION("""COMPUTED_VALUE"""),"Sr. Data Scientist I - Marketing")</f>
        <v>Sr. Data Scientist I - Marketing</v>
      </c>
      <c r="D978" s="1" t="str">
        <f>IFERROR(__xludf.DUMMYFUNCTION("""COMPUTED_VALUE"""),"Remote")</f>
        <v>Remote</v>
      </c>
      <c r="E978" s="1" t="str">
        <f>IFERROR(__xludf.DUMMYFUNCTION("""COMPUTED_VALUE"""),"$110k - $173k")</f>
        <v>$110k - $173k</v>
      </c>
      <c r="F978" s="1" t="str">
        <f>IFERROR(__xludf.DUMMYFUNCTION("""COMPUTED_VALUE"""),"6 - 9")</f>
        <v>6 - 9</v>
      </c>
      <c r="G978" s="1" t="str">
        <f>IFERROR(__xludf.DUMMYFUNCTION("""COMPUTED_VALUE"""),"USA")</f>
        <v>USA</v>
      </c>
      <c r="H978" s="4" t="str">
        <f>IFERROR(__xludf.DUMMYFUNCTION("""COMPUTED_VALUE"""),"https://www.linkedin.com/posts/prashantarora88_hiring-for-a-marketing-data-scientist-role-activity-7228822472853221377-SqO7?utm_source=share&amp;utm_medium=member_desktop")</f>
        <v>https://www.linkedin.com/posts/prashantarora88_hiring-for-a-marketing-data-scientist-role-activity-7228822472853221377-SqO7?utm_source=share&amp;utm_medium=member_desktop</v>
      </c>
    </row>
    <row r="979">
      <c r="A979" s="2">
        <f>IFERROR(__xludf.DUMMYFUNCTION("""COMPUTED_VALUE"""),45516.0)</f>
        <v>45516</v>
      </c>
      <c r="B979" s="1" t="str">
        <f>IFERROR(__xludf.DUMMYFUNCTION("""COMPUTED_VALUE"""),"Cordia Resources by Cherry Bekaert")</f>
        <v>Cordia Resources by Cherry Bekaert</v>
      </c>
      <c r="C979" s="1" t="str">
        <f>IFERROR(__xludf.DUMMYFUNCTION("""COMPUTED_VALUE"""),"Data Analyst")</f>
        <v>Data Analyst</v>
      </c>
      <c r="D979" s="1" t="str">
        <f>IFERROR(__xludf.DUMMYFUNCTION("""COMPUTED_VALUE"""),"Remote")</f>
        <v>Remote</v>
      </c>
      <c r="E979" s="1" t="str">
        <f>IFERROR(__xludf.DUMMYFUNCTION("""COMPUTED_VALUE"""),"$65 - $70/hr")</f>
        <v>$65 - $70/hr</v>
      </c>
      <c r="F979" s="1" t="str">
        <f>IFERROR(__xludf.DUMMYFUNCTION("""COMPUTED_VALUE"""),"0 - 2")</f>
        <v>0 - 2</v>
      </c>
      <c r="G979" s="1" t="str">
        <f>IFERROR(__xludf.DUMMYFUNCTION("""COMPUTED_VALUE"""),"USA")</f>
        <v>USA</v>
      </c>
      <c r="H979" s="4" t="str">
        <f>IFERROR(__xludf.DUMMYFUNCTION("""COMPUTED_VALUE"""),"https://www.linkedin.com/posts/bryantcovelli_data-analyst-hiring-activity-7228837664467099648-ntEb?utm_source=share&amp;utm_medium=member_desktop")</f>
        <v>https://www.linkedin.com/posts/bryantcovelli_data-analyst-hiring-activity-7228837664467099648-ntEb?utm_source=share&amp;utm_medium=member_desktop</v>
      </c>
    </row>
    <row r="980">
      <c r="A980" s="2">
        <f>IFERROR(__xludf.DUMMYFUNCTION("""COMPUTED_VALUE"""),45516.0)</f>
        <v>45516</v>
      </c>
      <c r="B980" s="1" t="str">
        <f>IFERROR(__xludf.DUMMYFUNCTION("""COMPUTED_VALUE"""),"DispatchHealth")</f>
        <v>DispatchHealth</v>
      </c>
      <c r="C980" s="1" t="str">
        <f>IFERROR(__xludf.DUMMYFUNCTION("""COMPUTED_VALUE"""),"Senior Data Analyst")</f>
        <v>Senior Data Analyst</v>
      </c>
      <c r="D980" s="1" t="str">
        <f>IFERROR(__xludf.DUMMYFUNCTION("""COMPUTED_VALUE"""),"Remote")</f>
        <v>Remote</v>
      </c>
      <c r="E980" s="1" t="str">
        <f>IFERROR(__xludf.DUMMYFUNCTION("""COMPUTED_VALUE"""),"N/A")</f>
        <v>N/A</v>
      </c>
      <c r="F980" s="1" t="str">
        <f>IFERROR(__xludf.DUMMYFUNCTION("""COMPUTED_VALUE"""),"6 - 9")</f>
        <v>6 - 9</v>
      </c>
      <c r="G980" s="1" t="str">
        <f>IFERROR(__xludf.DUMMYFUNCTION("""COMPUTED_VALUE"""),"USA")</f>
        <v>USA</v>
      </c>
      <c r="H980" s="4" t="str">
        <f>IFERROR(__xludf.DUMMYFUNCTION("""COMPUTED_VALUE"""),"https://www.linkedin.com/posts/k-mccarthy0_hiring-seniordataanalyst-remotework-activity-7228811702379667456-Ro3P?utm_source=share&amp;utm_medium=member_desktop")</f>
        <v>https://www.linkedin.com/posts/k-mccarthy0_hiring-seniordataanalyst-remotework-activity-7228811702379667456-Ro3P?utm_source=share&amp;utm_medium=member_desktop</v>
      </c>
    </row>
    <row r="981">
      <c r="A981" s="2">
        <f>IFERROR(__xludf.DUMMYFUNCTION("""COMPUTED_VALUE"""),45516.0)</f>
        <v>45516</v>
      </c>
      <c r="B981" s="1" t="str">
        <f>IFERROR(__xludf.DUMMYFUNCTION("""COMPUTED_VALUE"""),"Gusto")</f>
        <v>Gusto</v>
      </c>
      <c r="C981" s="1" t="str">
        <f>IFERROR(__xludf.DUMMYFUNCTION("""COMPUTED_VALUE"""),"Marketing Analytics Lead")</f>
        <v>Marketing Analytics Lead</v>
      </c>
      <c r="D981" s="1" t="str">
        <f>IFERROR(__xludf.DUMMYFUNCTION("""COMPUTED_VALUE"""),"Hybrid")</f>
        <v>Hybrid</v>
      </c>
      <c r="E981" s="1" t="str">
        <f>IFERROR(__xludf.DUMMYFUNCTION("""COMPUTED_VALUE"""),"$187k - $220k")</f>
        <v>$187k - $220k</v>
      </c>
      <c r="F981" s="1" t="str">
        <f>IFERROR(__xludf.DUMMYFUNCTION("""COMPUTED_VALUE"""),"6 - 9")</f>
        <v>6 - 9</v>
      </c>
      <c r="G981" s="1" t="str">
        <f>IFERROR(__xludf.DUMMYFUNCTION("""COMPUTED_VALUE"""),"Certain Locations")</f>
        <v>Certain Locations</v>
      </c>
      <c r="H981" s="4" t="str">
        <f>IFERROR(__xludf.DUMMYFUNCTION("""COMPUTED_VALUE"""),"https://www.linkedin.com/posts/deeptibitra_were-hiring-if-you-or-someone-you-know-activity-7228837705105690624-iJI5?utm_source=share&amp;utm_medium=member_desktop")</f>
        <v>https://www.linkedin.com/posts/deeptibitra_were-hiring-if-you-or-someone-you-know-activity-7228837705105690624-iJI5?utm_source=share&amp;utm_medium=member_desktop</v>
      </c>
    </row>
    <row r="982">
      <c r="A982" s="2">
        <f>IFERROR(__xludf.DUMMYFUNCTION("""COMPUTED_VALUE"""),45516.0)</f>
        <v>45516</v>
      </c>
      <c r="B982" s="1" t="str">
        <f>IFERROR(__xludf.DUMMYFUNCTION("""COMPUTED_VALUE"""),"Gusto")</f>
        <v>Gusto</v>
      </c>
      <c r="C982" s="1" t="str">
        <f>IFERROR(__xludf.DUMMYFUNCTION("""COMPUTED_VALUE"""),"Senior Customer Data Analyst")</f>
        <v>Senior Customer Data Analyst</v>
      </c>
      <c r="D982" s="1" t="str">
        <f>IFERROR(__xludf.DUMMYFUNCTION("""COMPUTED_VALUE"""),"Hybrid")</f>
        <v>Hybrid</v>
      </c>
      <c r="E982" s="1" t="str">
        <f>IFERROR(__xludf.DUMMYFUNCTION("""COMPUTED_VALUE"""),"$136k - $160k")</f>
        <v>$136k - $160k</v>
      </c>
      <c r="F982" s="1" t="str">
        <f>IFERROR(__xludf.DUMMYFUNCTION("""COMPUTED_VALUE"""),"3 - 5")</f>
        <v>3 - 5</v>
      </c>
      <c r="G982" s="1" t="str">
        <f>IFERROR(__xludf.DUMMYFUNCTION("""COMPUTED_VALUE"""),"Certain Locations")</f>
        <v>Certain Locations</v>
      </c>
      <c r="H982" s="4" t="str">
        <f>IFERROR(__xludf.DUMMYFUNCTION("""COMPUTED_VALUE"""),"https://www.linkedin.com/posts/deeptibitra_were-hiring-if-you-or-someone-you-know-activity-7228837705105690624-iJI5?utm_source=share&amp;utm_medium=member_desktop")</f>
        <v>https://www.linkedin.com/posts/deeptibitra_were-hiring-if-you-or-someone-you-know-activity-7228837705105690624-iJI5?utm_source=share&amp;utm_medium=member_desktop</v>
      </c>
    </row>
    <row r="983">
      <c r="A983" s="2">
        <f>IFERROR(__xludf.DUMMYFUNCTION("""COMPUTED_VALUE"""),45516.0)</f>
        <v>45516</v>
      </c>
      <c r="B983" s="1" t="str">
        <f>IFERROR(__xludf.DUMMYFUNCTION("""COMPUTED_VALUE"""),"Integrity Management Services, Inc.")</f>
        <v>Integrity Management Services, Inc.</v>
      </c>
      <c r="C983" s="1" t="str">
        <f>IFERROR(__xludf.DUMMYFUNCTION("""COMPUTED_VALUE"""),"Sr. Healthcare Data Analyst")</f>
        <v>Sr. Healthcare Data Analyst</v>
      </c>
      <c r="D983" s="1" t="str">
        <f>IFERROR(__xludf.DUMMYFUNCTION("""COMPUTED_VALUE"""),"Remote")</f>
        <v>Remote</v>
      </c>
      <c r="E983" s="1" t="str">
        <f>IFERROR(__xludf.DUMMYFUNCTION("""COMPUTED_VALUE"""),"N/A")</f>
        <v>N/A</v>
      </c>
      <c r="F983" s="1" t="str">
        <f>IFERROR(__xludf.DUMMYFUNCTION("""COMPUTED_VALUE"""),"3 - 5")</f>
        <v>3 - 5</v>
      </c>
      <c r="G983" s="1" t="str">
        <f>IFERROR(__xludf.DUMMYFUNCTION("""COMPUTED_VALUE"""),"USA")</f>
        <v>USA</v>
      </c>
      <c r="H983" s="4" t="str">
        <f>IFERROR(__xludf.DUMMYFUNCTION("""COMPUTED_VALUE"""),"https://www.linkedin.com/posts/whitney-olley_we-are-still-hiring-a-senior-data-analyst-activity-7228846986500661249-foYC?utm_source=share&amp;utm_medium=member_desktop")</f>
        <v>https://www.linkedin.com/posts/whitney-olley_we-are-still-hiring-a-senior-data-analyst-activity-7228846986500661249-foYC?utm_source=share&amp;utm_medium=member_desktop</v>
      </c>
    </row>
    <row r="984">
      <c r="A984" s="2">
        <f>IFERROR(__xludf.DUMMYFUNCTION("""COMPUTED_VALUE"""),45516.0)</f>
        <v>45516</v>
      </c>
      <c r="B984" s="1" t="str">
        <f>IFERROR(__xludf.DUMMYFUNCTION("""COMPUTED_VALUE"""),"Datavant")</f>
        <v>Datavant</v>
      </c>
      <c r="C984" s="1" t="str">
        <f>IFERROR(__xludf.DUMMYFUNCTION("""COMPUTED_VALUE"""),"Data Analyst")</f>
        <v>Data Analyst</v>
      </c>
      <c r="D984" s="1" t="str">
        <f>IFERROR(__xludf.DUMMYFUNCTION("""COMPUTED_VALUE"""),"Remote")</f>
        <v>Remote</v>
      </c>
      <c r="E984" s="1" t="str">
        <f>IFERROR(__xludf.DUMMYFUNCTION("""COMPUTED_VALUE"""),"$110k - $140k")</f>
        <v>$110k - $140k</v>
      </c>
      <c r="F984" s="1" t="str">
        <f>IFERROR(__xludf.DUMMYFUNCTION("""COMPUTED_VALUE"""),"3 - 5")</f>
        <v>3 - 5</v>
      </c>
      <c r="G984" s="1" t="str">
        <f>IFERROR(__xludf.DUMMYFUNCTION("""COMPUTED_VALUE"""),"USA")</f>
        <v>USA</v>
      </c>
      <c r="H984" s="4" t="str">
        <f>IFERROR(__xludf.DUMMYFUNCTION("""COMPUTED_VALUE"""),"https://www.linkedin.com/posts/danielle-sill-428423125_apply-to-salaried-roles-datavant-activity-7228865653972070400-RSo7?utm_source=share&amp;utm_medium=member_desktop")</f>
        <v>https://www.linkedin.com/posts/danielle-sill-428423125_apply-to-salaried-roles-datavant-activity-7228865653972070400-RSo7?utm_source=share&amp;utm_medium=member_desktop</v>
      </c>
    </row>
    <row r="985">
      <c r="A985" s="2">
        <f>IFERROR(__xludf.DUMMYFUNCTION("""COMPUTED_VALUE"""),45516.0)</f>
        <v>45516</v>
      </c>
      <c r="B985" s="1" t="str">
        <f>IFERROR(__xludf.DUMMYFUNCTION("""COMPUTED_VALUE"""),"Independent Health")</f>
        <v>Independent Health</v>
      </c>
      <c r="C985" s="1" t="str">
        <f>IFERROR(__xludf.DUMMYFUNCTION("""COMPUTED_VALUE"""),"Data Innovation Analyst-Intermediate")</f>
        <v>Data Innovation Analyst-Intermediate</v>
      </c>
      <c r="D985" s="1" t="str">
        <f>IFERROR(__xludf.DUMMYFUNCTION("""COMPUTED_VALUE"""),"Hybrid")</f>
        <v>Hybrid</v>
      </c>
      <c r="E985" s="1" t="str">
        <f>IFERROR(__xludf.DUMMYFUNCTION("""COMPUTED_VALUE"""),"$70k - $80k")</f>
        <v>$70k - $80k</v>
      </c>
      <c r="F985" s="1" t="str">
        <f>IFERROR(__xludf.DUMMYFUNCTION("""COMPUTED_VALUE"""),"3 - 5")</f>
        <v>3 - 5</v>
      </c>
      <c r="G985" s="1" t="str">
        <f>IFERROR(__xludf.DUMMYFUNCTION("""COMPUTED_VALUE"""),"Buffalo, NY")</f>
        <v>Buffalo, NY</v>
      </c>
      <c r="H985" s="4" t="str">
        <f>IFERROR(__xludf.DUMMYFUNCTION("""COMPUTED_VALUE"""),"https://www.linkedin.com/posts/matthew-urbanczyk-725535a0_data-innovation-analyst-intermediate-activity-7228740763667345409-F5Nh?utm_source=share&amp;utm_medium=member_desktop")</f>
        <v>https://www.linkedin.com/posts/matthew-urbanczyk-725535a0_data-innovation-analyst-intermediate-activity-7228740763667345409-F5Nh?utm_source=share&amp;utm_medium=member_desktop</v>
      </c>
    </row>
    <row r="986">
      <c r="A986" s="2">
        <f>IFERROR(__xludf.DUMMYFUNCTION("""COMPUTED_VALUE"""),45516.0)</f>
        <v>45516</v>
      </c>
      <c r="B986" s="1" t="str">
        <f>IFERROR(__xludf.DUMMYFUNCTION("""COMPUTED_VALUE"""),"Holganix")</f>
        <v>Holganix</v>
      </c>
      <c r="C986" s="1" t="str">
        <f>IFERROR(__xludf.DUMMYFUNCTION("""COMPUTED_VALUE"""),"Agronomy Data Analyst")</f>
        <v>Agronomy Data Analyst</v>
      </c>
      <c r="D986" s="1" t="str">
        <f>IFERROR(__xludf.DUMMYFUNCTION("""COMPUTED_VALUE"""),"Remote")</f>
        <v>Remote</v>
      </c>
      <c r="E986" s="1" t="str">
        <f>IFERROR(__xludf.DUMMYFUNCTION("""COMPUTED_VALUE"""),"N/A")</f>
        <v>N/A</v>
      </c>
      <c r="F986" s="1" t="str">
        <f>IFERROR(__xludf.DUMMYFUNCTION("""COMPUTED_VALUE"""),"3 - 5")</f>
        <v>3 - 5</v>
      </c>
      <c r="G986" s="1" t="str">
        <f>IFERROR(__xludf.DUMMYFUNCTION("""COMPUTED_VALUE"""),"USA")</f>
        <v>USA</v>
      </c>
      <c r="H986" s="4" t="str">
        <f>IFERROR(__xludf.DUMMYFUNCTION("""COMPUTED_VALUE"""),"https://www.linkedin.com/posts/meganmknight_agronomy-data-analyst-kansas-city-missouri-activity-7228794552919154688-9_xH?utm_source=share&amp;utm_medium=member_desktop")</f>
        <v>https://www.linkedin.com/posts/meganmknight_agronomy-data-analyst-kansas-city-missouri-activity-7228794552919154688-9_xH?utm_source=share&amp;utm_medium=member_desktop</v>
      </c>
    </row>
    <row r="987">
      <c r="A987" s="2">
        <f>IFERROR(__xludf.DUMMYFUNCTION("""COMPUTED_VALUE"""),45516.0)</f>
        <v>45516</v>
      </c>
      <c r="B987" s="1" t="str">
        <f>IFERROR(__xludf.DUMMYFUNCTION("""COMPUTED_VALUE"""),"The Hartford")</f>
        <v>The Hartford</v>
      </c>
      <c r="C987" s="1" t="str">
        <f>IFERROR(__xludf.DUMMYFUNCTION("""COMPUTED_VALUE"""),"Director of Business Intelligence - HR Data &amp; Analytics")</f>
        <v>Director of Business Intelligence - HR Data &amp; Analytics</v>
      </c>
      <c r="D987" s="1" t="str">
        <f>IFERROR(__xludf.DUMMYFUNCTION("""COMPUTED_VALUE"""),"Hybrid")</f>
        <v>Hybrid</v>
      </c>
      <c r="E987" s="1" t="str">
        <f>IFERROR(__xludf.DUMMYFUNCTION("""COMPUTED_VALUE"""),"$133k - $200k")</f>
        <v>$133k - $200k</v>
      </c>
      <c r="F987" s="1" t="str">
        <f>IFERROR(__xludf.DUMMYFUNCTION("""COMPUTED_VALUE"""),"10 +")</f>
        <v>10 +</v>
      </c>
      <c r="G987" s="1" t="str">
        <f>IFERROR(__xludf.DUMMYFUNCTION("""COMPUTED_VALUE"""),"Hartford, CT")</f>
        <v>Hartford, CT</v>
      </c>
      <c r="H987" s="4" t="str">
        <f>IFERROR(__xludf.DUMMYFUNCTION("""COMPUTED_VALUE"""),"https://www.linkedin.com/posts/briana-wolff_director-of-business-intelligence-hr-data-activity-7228791499621122048-JVOA?utm_source=share&amp;utm_medium=member_desktop")</f>
        <v>https://www.linkedin.com/posts/briana-wolff_director-of-business-intelligence-hr-data-activity-7228791499621122048-JVOA?utm_source=share&amp;utm_medium=member_desktop</v>
      </c>
    </row>
    <row r="988">
      <c r="A988" s="2">
        <f>IFERROR(__xludf.DUMMYFUNCTION("""COMPUTED_VALUE"""),45516.0)</f>
        <v>45516</v>
      </c>
      <c r="B988" s="1" t="str">
        <f>IFERROR(__xludf.DUMMYFUNCTION("""COMPUTED_VALUE"""),"Coinbase")</f>
        <v>Coinbase</v>
      </c>
      <c r="C988" s="1" t="str">
        <f>IFERROR(__xludf.DUMMYFUNCTION("""COMPUTED_VALUE"""),"Senior Financial Analyst, Core")</f>
        <v>Senior Financial Analyst, Core</v>
      </c>
      <c r="D988" s="1" t="str">
        <f>IFERROR(__xludf.DUMMYFUNCTION("""COMPUTED_VALUE"""),"Remote")</f>
        <v>Remote</v>
      </c>
      <c r="E988" s="1" t="str">
        <f>IFERROR(__xludf.DUMMYFUNCTION("""COMPUTED_VALUE"""),"$127k - $150k")</f>
        <v>$127k - $150k</v>
      </c>
      <c r="F988" s="1" t="str">
        <f>IFERROR(__xludf.DUMMYFUNCTION("""COMPUTED_VALUE"""),"3 - 5")</f>
        <v>3 - 5</v>
      </c>
      <c r="G988" s="1" t="str">
        <f>IFERROR(__xludf.DUMMYFUNCTION("""COMPUTED_VALUE"""),"USA")</f>
        <v>USA</v>
      </c>
      <c r="H988" s="4" t="str">
        <f>IFERROR(__xludf.DUMMYFUNCTION("""COMPUTED_VALUE"""),"https://www.linkedin.com/posts/nicholastoma_senior-financial-analyst-operations-remote-activity-7228868563921477633-Td0_?utm_source=share&amp;utm_medium=member_desktop")</f>
        <v>https://www.linkedin.com/posts/nicholastoma_senior-financial-analyst-operations-remote-activity-7228868563921477633-Td0_?utm_source=share&amp;utm_medium=member_desktop</v>
      </c>
    </row>
    <row r="989">
      <c r="A989" s="2">
        <f>IFERROR(__xludf.DUMMYFUNCTION("""COMPUTED_VALUE"""),45516.0)</f>
        <v>45516</v>
      </c>
      <c r="B989" s="1" t="str">
        <f>IFERROR(__xludf.DUMMYFUNCTION("""COMPUTED_VALUE"""),"Apptronik")</f>
        <v>Apptronik</v>
      </c>
      <c r="C989" s="1" t="str">
        <f>IFERROR(__xludf.DUMMYFUNCTION("""COMPUTED_VALUE"""),"FP&amp;A Senior Analyst")</f>
        <v>FP&amp;A Senior Analyst</v>
      </c>
      <c r="D989" s="1" t="str">
        <f>IFERROR(__xludf.DUMMYFUNCTION("""COMPUTED_VALUE"""),"Hybrid")</f>
        <v>Hybrid</v>
      </c>
      <c r="E989" s="1" t="str">
        <f>IFERROR(__xludf.DUMMYFUNCTION("""COMPUTED_VALUE"""),"N/A")</f>
        <v>N/A</v>
      </c>
      <c r="F989" s="1" t="str">
        <f>IFERROR(__xludf.DUMMYFUNCTION("""COMPUTED_VALUE"""),"0 - 2")</f>
        <v>0 - 2</v>
      </c>
      <c r="G989" s="1" t="str">
        <f>IFERROR(__xludf.DUMMYFUNCTION("""COMPUTED_VALUE"""),"Austin, TX")</f>
        <v>Austin, TX</v>
      </c>
      <c r="H989" s="4" t="str">
        <f>IFERROR(__xludf.DUMMYFUNCTION("""COMPUTED_VALUE"""),"https://www.linkedin.com/posts/bradleyluzietti_looking-for-someone-with-a-few-years-of-experience-activity-7228811322946117632-iQuN?utm_source=share&amp;utm_medium=member_desktop")</f>
        <v>https://www.linkedin.com/posts/bradleyluzietti_looking-for-someone-with-a-few-years-of-experience-activity-7228811322946117632-iQuN?utm_source=share&amp;utm_medium=member_desktop</v>
      </c>
    </row>
    <row r="990">
      <c r="A990" s="2">
        <f>IFERROR(__xludf.DUMMYFUNCTION("""COMPUTED_VALUE"""),45516.0)</f>
        <v>45516</v>
      </c>
      <c r="B990" s="1" t="str">
        <f>IFERROR(__xludf.DUMMYFUNCTION("""COMPUTED_VALUE"""),"American Honda Motor Company, Inc.")</f>
        <v>American Honda Motor Company, Inc.</v>
      </c>
      <c r="C990" s="1" t="str">
        <f>IFERROR(__xludf.DUMMYFUNCTION("""COMPUTED_VALUE"""),"Partnerships Analyst II - Sustainability")</f>
        <v>Partnerships Analyst II - Sustainability</v>
      </c>
      <c r="D990" s="1" t="str">
        <f>IFERROR(__xludf.DUMMYFUNCTION("""COMPUTED_VALUE"""),"Hybrid")</f>
        <v>Hybrid</v>
      </c>
      <c r="E990" s="1" t="str">
        <f>IFERROR(__xludf.DUMMYFUNCTION("""COMPUTED_VALUE"""),"$89k - $133k")</f>
        <v>$89k - $133k</v>
      </c>
      <c r="F990" s="1" t="str">
        <f>IFERROR(__xludf.DUMMYFUNCTION("""COMPUTED_VALUE"""),"3 - 5")</f>
        <v>3 - 5</v>
      </c>
      <c r="G990" s="1" t="str">
        <f>IFERROR(__xludf.DUMMYFUNCTION("""COMPUTED_VALUE"""),"Torrance, CA")</f>
        <v>Torrance, CA</v>
      </c>
      <c r="H990" s="4" t="str">
        <f>IFERROR(__xludf.DUMMYFUNCTION("""COMPUTED_VALUE"""),"https://www.linkedin.com/posts/firasn_come-and-join-our-partnerships-team-at-honda-activity-7228496180391862272-_MlX?utm_source=share&amp;utm_medium=member_desktop")</f>
        <v>https://www.linkedin.com/posts/firasn_come-and-join-our-partnerships-team-at-honda-activity-7228496180391862272-_MlX?utm_source=share&amp;utm_medium=member_desktop</v>
      </c>
    </row>
    <row r="991">
      <c r="A991" s="2">
        <f>IFERROR(__xludf.DUMMYFUNCTION("""COMPUTED_VALUE"""),45516.0)</f>
        <v>45516</v>
      </c>
      <c r="B991" s="1" t="str">
        <f>IFERROR(__xludf.DUMMYFUNCTION("""COMPUTED_VALUE"""),"Oshkosh Corporation")</f>
        <v>Oshkosh Corporation</v>
      </c>
      <c r="C991" s="1" t="str">
        <f>IFERROR(__xludf.DUMMYFUNCTION("""COMPUTED_VALUE"""),"Digital Technology Manager - Advanced Analytics")</f>
        <v>Digital Technology Manager - Advanced Analytics</v>
      </c>
      <c r="D991" s="1" t="str">
        <f>IFERROR(__xludf.DUMMYFUNCTION("""COMPUTED_VALUE"""),"On-Site")</f>
        <v>On-Site</v>
      </c>
      <c r="E991" s="1" t="str">
        <f>IFERROR(__xludf.DUMMYFUNCTION("""COMPUTED_VALUE"""),"N/A")</f>
        <v>N/A</v>
      </c>
      <c r="F991" s="1" t="str">
        <f>IFERROR(__xludf.DUMMYFUNCTION("""COMPUTED_VALUE"""),"6 - 9")</f>
        <v>6 - 9</v>
      </c>
      <c r="G991" s="1" t="str">
        <f>IFERROR(__xludf.DUMMYFUNCTION("""COMPUTED_VALUE"""),"Greenville, WI/Dodge Center, MN")</f>
        <v>Greenville, WI/Dodge Center, MN</v>
      </c>
      <c r="H991" s="4" t="str">
        <f>IFERROR(__xludf.DUMMYFUNCTION("""COMPUTED_VALUE"""),"https://www.linkedin.com/posts/jennifer-blank1_digital-technology-manager-advanced-analytics-activity-7228578761976201218-jnPX?utm_source=share&amp;utm_medium=member_desktop")</f>
        <v>https://www.linkedin.com/posts/jennifer-blank1_digital-technology-manager-advanced-analytics-activity-7228578761976201218-jnPX?utm_source=share&amp;utm_medium=member_desktop</v>
      </c>
    </row>
    <row r="992">
      <c r="A992" s="2">
        <f>IFERROR(__xludf.DUMMYFUNCTION("""COMPUTED_VALUE"""),45516.0)</f>
        <v>45516</v>
      </c>
      <c r="B992" s="1" t="str">
        <f>IFERROR(__xludf.DUMMYFUNCTION("""COMPUTED_VALUE"""),"Aktion Associates, Inc.")</f>
        <v>Aktion Associates, Inc.</v>
      </c>
      <c r="C992" s="1" t="str">
        <f>IFERROR(__xludf.DUMMYFUNCTION("""COMPUTED_VALUE"""),"Financial ERP Business Analyst")</f>
        <v>Financial ERP Business Analyst</v>
      </c>
      <c r="D992" s="1" t="str">
        <f>IFERROR(__xludf.DUMMYFUNCTION("""COMPUTED_VALUE"""),"Hybrid")</f>
        <v>Hybrid</v>
      </c>
      <c r="E992" s="1" t="str">
        <f>IFERROR(__xludf.DUMMYFUNCTION("""COMPUTED_VALUE"""),"N/A")</f>
        <v>N/A</v>
      </c>
      <c r="F992" s="1" t="str">
        <f>IFERROR(__xludf.DUMMYFUNCTION("""COMPUTED_VALUE"""),"3 - 5")</f>
        <v>3 - 5</v>
      </c>
      <c r="G992" s="1" t="str">
        <f>IFERROR(__xludf.DUMMYFUNCTION("""COMPUTED_VALUE"""),"Maumee, OH")</f>
        <v>Maumee, OH</v>
      </c>
      <c r="H992" s="4" t="str">
        <f>IFERROR(__xludf.DUMMYFUNCTION("""COMPUTED_VALUE"""),"https://www.linkedin.com/posts/kortney-griffith-790677188_businessanalyst-erp-acumatica-activity-7228790907645374464--a4H?utm_source=share&amp;utm_medium=member_desktop")</f>
        <v>https://www.linkedin.com/posts/kortney-griffith-790677188_businessanalyst-erp-acumatica-activity-7228790907645374464--a4H?utm_source=share&amp;utm_medium=member_desktop</v>
      </c>
    </row>
    <row r="993">
      <c r="A993" s="2">
        <f>IFERROR(__xludf.DUMMYFUNCTION("""COMPUTED_VALUE"""),45516.0)</f>
        <v>45516</v>
      </c>
      <c r="B993" s="1" t="str">
        <f>IFERROR(__xludf.DUMMYFUNCTION("""COMPUTED_VALUE"""),"City of Miramar, Florida")</f>
        <v>City of Miramar, Florida</v>
      </c>
      <c r="C993" s="1" t="str">
        <f>IFERROR(__xludf.DUMMYFUNCTION("""COMPUTED_VALUE"""),"Budget Analyst")</f>
        <v>Budget Analyst</v>
      </c>
      <c r="D993" s="1" t="str">
        <f>IFERROR(__xludf.DUMMYFUNCTION("""COMPUTED_VALUE"""),"On-Site")</f>
        <v>On-Site</v>
      </c>
      <c r="E993" s="1" t="str">
        <f>IFERROR(__xludf.DUMMYFUNCTION("""COMPUTED_VALUE"""),"N/A")</f>
        <v>N/A</v>
      </c>
      <c r="F993" s="1" t="str">
        <f>IFERROR(__xludf.DUMMYFUNCTION("""COMPUTED_VALUE"""),"3 - 5")</f>
        <v>3 - 5</v>
      </c>
      <c r="G993" s="1" t="str">
        <f>IFERROR(__xludf.DUMMYFUNCTION("""COMPUTED_VALUE"""),"Miramar, FL")</f>
        <v>Miramar, FL</v>
      </c>
      <c r="H993" s="4" t="str">
        <f>IFERROR(__xludf.DUMMYFUNCTION("""COMPUTED_VALUE"""),"https://www.linkedin.com/posts/rafaelsanmiguel_hiring-activity-7228787175314591745--N4k?utm_source=share&amp;utm_medium=member_desktop")</f>
        <v>https://www.linkedin.com/posts/rafaelsanmiguel_hiring-activity-7228787175314591745--N4k?utm_source=share&amp;utm_medium=member_desktop</v>
      </c>
    </row>
    <row r="994">
      <c r="A994" s="2">
        <f>IFERROR(__xludf.DUMMYFUNCTION("""COMPUTED_VALUE"""),45516.0)</f>
        <v>45516</v>
      </c>
      <c r="B994" s="1" t="str">
        <f>IFERROR(__xludf.DUMMYFUNCTION("""COMPUTED_VALUE"""),"Gold Kidney Health Plan")</f>
        <v>Gold Kidney Health Plan</v>
      </c>
      <c r="C994" s="1" t="str">
        <f>IFERROR(__xludf.DUMMYFUNCTION("""COMPUTED_VALUE"""),"Credentialing Analyst")</f>
        <v>Credentialing Analyst</v>
      </c>
      <c r="D994" s="1" t="str">
        <f>IFERROR(__xludf.DUMMYFUNCTION("""COMPUTED_VALUE"""),"On-Site")</f>
        <v>On-Site</v>
      </c>
      <c r="E994" s="1" t="str">
        <f>IFERROR(__xludf.DUMMYFUNCTION("""COMPUTED_VALUE"""),"$50k - $60k")</f>
        <v>$50k - $60k</v>
      </c>
      <c r="F994" s="1" t="str">
        <f>IFERROR(__xludf.DUMMYFUNCTION("""COMPUTED_VALUE"""),"0 - 2")</f>
        <v>0 - 2</v>
      </c>
      <c r="G994" s="1" t="str">
        <f>IFERROR(__xludf.DUMMYFUNCTION("""COMPUTED_VALUE"""),"Tampa, FL")</f>
        <v>Tampa, FL</v>
      </c>
      <c r="H994" s="4" t="str">
        <f>IFERROR(__xludf.DUMMYFUNCTION("""COMPUTED_VALUE"""),"https://www.linkedin.com/posts/reneesantana_gold-kidney-health-plan-is-growing-and-looking-activity-7228496915988987904-R5cd?utm_source=share&amp;utm_medium=member_desktop")</f>
        <v>https://www.linkedin.com/posts/reneesantana_gold-kidney-health-plan-is-growing-and-looking-activity-7228496915988987904-R5cd?utm_source=share&amp;utm_medium=member_desktop</v>
      </c>
    </row>
    <row r="995">
      <c r="A995" s="2">
        <f>IFERROR(__xludf.DUMMYFUNCTION("""COMPUTED_VALUE"""),45516.0)</f>
        <v>45516</v>
      </c>
      <c r="B995" s="1" t="str">
        <f>IFERROR(__xludf.DUMMYFUNCTION("""COMPUTED_VALUE"""),"INSPIRE")</f>
        <v>INSPIRE</v>
      </c>
      <c r="C995" s="1" t="str">
        <f>IFERROR(__xludf.DUMMYFUNCTION("""COMPUTED_VALUE"""),"Operations Analyst")</f>
        <v>Operations Analyst</v>
      </c>
      <c r="D995" s="1" t="str">
        <f>IFERROR(__xludf.DUMMYFUNCTION("""COMPUTED_VALUE"""),"On-Site")</f>
        <v>On-Site</v>
      </c>
      <c r="E995" s="1" t="str">
        <f>IFERROR(__xludf.DUMMYFUNCTION("""COMPUTED_VALUE"""),"N/A")</f>
        <v>N/A</v>
      </c>
      <c r="F995" s="1" t="str">
        <f>IFERROR(__xludf.DUMMYFUNCTION("""COMPUTED_VALUE"""),"0 - 2")</f>
        <v>0 - 2</v>
      </c>
      <c r="G995" s="1" t="str">
        <f>IFERROR(__xludf.DUMMYFUNCTION("""COMPUTED_VALUE"""),"Dallas, TX")</f>
        <v>Dallas, TX</v>
      </c>
      <c r="H995" s="4" t="str">
        <f>IFERROR(__xludf.DUMMYFUNCTION("""COMPUTED_VALUE"""),"https://www.linkedin.com/posts/amygrayta_dallas-hiring-activity-7228878793522692096-eTZ2?utm_source=share&amp;utm_medium=member_desktop")</f>
        <v>https://www.linkedin.com/posts/amygrayta_dallas-hiring-activity-7228878793522692096-eTZ2?utm_source=share&amp;utm_medium=member_desktop</v>
      </c>
    </row>
    <row r="996">
      <c r="A996" s="2">
        <f>IFERROR(__xludf.DUMMYFUNCTION("""COMPUTED_VALUE"""),45516.0)</f>
        <v>45516</v>
      </c>
      <c r="B996" s="4" t="str">
        <f>IFERROR(__xludf.DUMMYFUNCTION("""COMPUTED_VALUE"""),"Viz.ai")</f>
        <v>Viz.ai</v>
      </c>
      <c r="C996" s="1" t="str">
        <f>IFERROR(__xludf.DUMMYFUNCTION("""COMPUTED_VALUE"""),"Customer Success Analyst")</f>
        <v>Customer Success Analyst</v>
      </c>
      <c r="D996" s="1" t="str">
        <f>IFERROR(__xludf.DUMMYFUNCTION("""COMPUTED_VALUE"""),"Remote")</f>
        <v>Remote</v>
      </c>
      <c r="E996" s="1" t="str">
        <f>IFERROR(__xludf.DUMMYFUNCTION("""COMPUTED_VALUE"""),"$84k - $108k")</f>
        <v>$84k - $108k</v>
      </c>
      <c r="F996" s="1" t="str">
        <f>IFERROR(__xludf.DUMMYFUNCTION("""COMPUTED_VALUE"""),"3 - 5")</f>
        <v>3 - 5</v>
      </c>
      <c r="G996" s="1" t="str">
        <f>IFERROR(__xludf.DUMMYFUNCTION("""COMPUTED_VALUE"""),"USA")</f>
        <v>USA</v>
      </c>
      <c r="H996" s="4" t="str">
        <f>IFERROR(__xludf.DUMMYFUNCTION("""COMPUTED_VALUE"""),"https://www.linkedin.com/posts/christinesextonmurphy_job-openings-activity-7228783567093350401-hC20?utm_source=share&amp;utm_medium=member_desktop")</f>
        <v>https://www.linkedin.com/posts/christinesextonmurphy_job-openings-activity-7228783567093350401-hC20?utm_source=share&amp;utm_medium=member_desktop</v>
      </c>
    </row>
    <row r="997">
      <c r="A997" s="2">
        <f>IFERROR(__xludf.DUMMYFUNCTION("""COMPUTED_VALUE"""),45516.0)</f>
        <v>45516</v>
      </c>
      <c r="B997" s="1" t="str">
        <f>IFERROR(__xludf.DUMMYFUNCTION("""COMPUTED_VALUE"""),"Corning Incorporated")</f>
        <v>Corning Incorporated</v>
      </c>
      <c r="C997" s="1" t="str">
        <f>IFERROR(__xludf.DUMMYFUNCTION("""COMPUTED_VALUE"""),"Logistics and Procurement Analyst")</f>
        <v>Logistics and Procurement Analyst</v>
      </c>
      <c r="D997" s="1" t="str">
        <f>IFERROR(__xludf.DUMMYFUNCTION("""COMPUTED_VALUE"""),"On-Site")</f>
        <v>On-Site</v>
      </c>
      <c r="E997" s="1" t="str">
        <f>IFERROR(__xludf.DUMMYFUNCTION("""COMPUTED_VALUE"""),"$47k - $64k")</f>
        <v>$47k - $64k</v>
      </c>
      <c r="F997" s="1" t="str">
        <f>IFERROR(__xludf.DUMMYFUNCTION("""COMPUTED_VALUE"""),"0 - 2")</f>
        <v>0 - 2</v>
      </c>
      <c r="G997" s="1" t="str">
        <f>IFERROR(__xludf.DUMMYFUNCTION("""COMPUTED_VALUE"""),"Corning, NY")</f>
        <v>Corning, NY</v>
      </c>
      <c r="H997" s="4" t="str">
        <f>IFERROR(__xludf.DUMMYFUNCTION("""COMPUTED_VALUE"""),"https://www.linkedin.com/posts/annette-barnard-cscp-13644926_we-are-hiring-check-out-this-job-at-corning-activity-7228465143871913985-jcbk?utm_source=share&amp;utm_medium=member_desktop")</f>
        <v>https://www.linkedin.com/posts/annette-barnard-cscp-13644926_we-are-hiring-check-out-this-job-at-corning-activity-7228465143871913985-jcbk?utm_source=share&amp;utm_medium=member_desktop</v>
      </c>
    </row>
    <row r="998">
      <c r="A998" s="2">
        <f>IFERROR(__xludf.DUMMYFUNCTION("""COMPUTED_VALUE"""),45516.0)</f>
        <v>45516</v>
      </c>
      <c r="B998" s="1" t="str">
        <f>IFERROR(__xludf.DUMMYFUNCTION("""COMPUTED_VALUE"""),"Rocket Software")</f>
        <v>Rocket Software</v>
      </c>
      <c r="C998" s="1" t="str">
        <f>IFERROR(__xludf.DUMMYFUNCTION("""COMPUTED_VALUE"""),"Business Analyst")</f>
        <v>Business Analyst</v>
      </c>
      <c r="D998" s="1" t="str">
        <f>IFERROR(__xludf.DUMMYFUNCTION("""COMPUTED_VALUE"""),"Remote")</f>
        <v>Remote</v>
      </c>
      <c r="E998" s="1" t="str">
        <f>IFERROR(__xludf.DUMMYFUNCTION("""COMPUTED_VALUE"""),"$91k - $113k")</f>
        <v>$91k - $113k</v>
      </c>
      <c r="F998" s="1" t="str">
        <f>IFERROR(__xludf.DUMMYFUNCTION("""COMPUTED_VALUE"""),"3 - 5")</f>
        <v>3 - 5</v>
      </c>
      <c r="G998" s="1" t="str">
        <f>IFERROR(__xludf.DUMMYFUNCTION("""COMPUTED_VALUE"""),"USA")</f>
        <v>USA</v>
      </c>
      <c r="H998" s="4" t="str">
        <f>IFERROR(__xludf.DUMMYFUNCTION("""COMPUTED_VALUE"""),"https://www.linkedin.com/posts/shawn-tumblin_business-analyst-activity-7228759516471775233-yqjE?utm_source=share&amp;utm_medium=member_desktop")</f>
        <v>https://www.linkedin.com/posts/shawn-tumblin_business-analyst-activity-7228759516471775233-yqjE?utm_source=share&amp;utm_medium=member_desktop</v>
      </c>
    </row>
    <row r="999">
      <c r="A999" s="2">
        <f>IFERROR(__xludf.DUMMYFUNCTION("""COMPUTED_VALUE"""),45516.0)</f>
        <v>45516</v>
      </c>
      <c r="B999" s="1" t="str">
        <f>IFERROR(__xludf.DUMMYFUNCTION("""COMPUTED_VALUE"""),"Gunderson Health System")</f>
        <v>Gunderson Health System</v>
      </c>
      <c r="C999" s="1" t="str">
        <f>IFERROR(__xludf.DUMMYFUNCTION("""COMPUTED_VALUE"""),"Business Analyst | Digital Experience (DXP) Strategic Work Team")</f>
        <v>Business Analyst | Digital Experience (DXP) Strategic Work Team</v>
      </c>
      <c r="D999" s="1" t="str">
        <f>IFERROR(__xludf.DUMMYFUNCTION("""COMPUTED_VALUE"""),"Remote")</f>
        <v>Remote</v>
      </c>
      <c r="E999" s="1" t="str">
        <f>IFERROR(__xludf.DUMMYFUNCTION("""COMPUTED_VALUE"""),"N/A")</f>
        <v>N/A</v>
      </c>
      <c r="F999" s="1" t="str">
        <f>IFERROR(__xludf.DUMMYFUNCTION("""COMPUTED_VALUE"""),"3 - 5")</f>
        <v>3 - 5</v>
      </c>
      <c r="G999" s="1" t="str">
        <f>IFERROR(__xludf.DUMMYFUNCTION("""COMPUTED_VALUE"""),"Certain Locations")</f>
        <v>Certain Locations</v>
      </c>
      <c r="H999" s="4" t="str">
        <f>IFERROR(__xludf.DUMMYFUNCTION("""COMPUTED_VALUE"""),"https://www.linkedin.com/posts/adamschwoerer_weve-got-a-great-opportunity-for-a-business-activity-7228754849918558210-bnn1?utm_source=share&amp;utm_medium=member_desktop")</f>
        <v>https://www.linkedin.com/posts/adamschwoerer_weve-got-a-great-opportunity-for-a-business-activity-7228754849918558210-bnn1?utm_source=share&amp;utm_medium=member_desktop</v>
      </c>
    </row>
    <row r="1000">
      <c r="A1000" s="2">
        <f>IFERROR(__xludf.DUMMYFUNCTION("""COMPUTED_VALUE"""),45516.0)</f>
        <v>45516</v>
      </c>
      <c r="B1000" s="1" t="str">
        <f>IFERROR(__xludf.DUMMYFUNCTION("""COMPUTED_VALUE"""),"Insight Global")</f>
        <v>Insight Global</v>
      </c>
      <c r="C1000" s="1" t="str">
        <f>IFERROR(__xludf.DUMMYFUNCTION("""COMPUTED_VALUE"""),"BI Data Analyst")</f>
        <v>BI Data Analyst</v>
      </c>
      <c r="D1000" s="1" t="str">
        <f>IFERROR(__xludf.DUMMYFUNCTION("""COMPUTED_VALUE"""),"Hybrid")</f>
        <v>Hybrid</v>
      </c>
      <c r="E1000" s="1" t="str">
        <f>IFERROR(__xludf.DUMMYFUNCTION("""COMPUTED_VALUE"""),"$110k")</f>
        <v>$110k</v>
      </c>
      <c r="F1000" s="1" t="str">
        <f>IFERROR(__xludf.DUMMYFUNCTION("""COMPUTED_VALUE"""),"3 - 5")</f>
        <v>3 - 5</v>
      </c>
      <c r="G1000" s="1" t="str">
        <f>IFERROR(__xludf.DUMMYFUNCTION("""COMPUTED_VALUE"""),"Newark, DE")</f>
        <v>Newark, DE</v>
      </c>
      <c r="H1000" s="4" t="str">
        <f>IFERROR(__xludf.DUMMYFUNCTION("""COMPUTED_VALUE"""),"https://www.linkedin.com/posts/gianna-battaglia-50037423b_hiring-powerbi-dataanalyst-activity-7228742485559181314-036F?utm_source=share&amp;utm_medium=member_desktop")</f>
        <v>https://www.linkedin.com/posts/gianna-battaglia-50037423b_hiring-powerbi-dataanalyst-activity-7228742485559181314-036F?utm_source=share&amp;utm_medium=member_desktop</v>
      </c>
    </row>
    <row r="1001">
      <c r="A1001" s="2">
        <f>IFERROR(__xludf.DUMMYFUNCTION("""COMPUTED_VALUE"""),45516.0)</f>
        <v>45516</v>
      </c>
      <c r="B1001" s="1" t="str">
        <f>IFERROR(__xludf.DUMMYFUNCTION("""COMPUTED_VALUE"""),"Targa Resources")</f>
        <v>Targa Resources</v>
      </c>
      <c r="C1001" s="1" t="str">
        <f>IFERROR(__xludf.DUMMYFUNCTION("""COMPUTED_VALUE"""),"Internal Communications Analyst")</f>
        <v>Internal Communications Analyst</v>
      </c>
      <c r="D1001" s="1" t="str">
        <f>IFERROR(__xludf.DUMMYFUNCTION("""COMPUTED_VALUE"""),"On-Site")</f>
        <v>On-Site</v>
      </c>
      <c r="E1001" s="1" t="str">
        <f>IFERROR(__xludf.DUMMYFUNCTION("""COMPUTED_VALUE"""),"N/A")</f>
        <v>N/A</v>
      </c>
      <c r="F1001" s="1" t="str">
        <f>IFERROR(__xludf.DUMMYFUNCTION("""COMPUTED_VALUE"""),"3 - 5")</f>
        <v>3 - 5</v>
      </c>
      <c r="G1001" s="1" t="str">
        <f>IFERROR(__xludf.DUMMYFUNCTION("""COMPUTED_VALUE"""),"Houston, TX")</f>
        <v>Houston, TX</v>
      </c>
      <c r="H1001" s="4" t="str">
        <f>IFERROR(__xludf.DUMMYFUNCTION("""COMPUTED_VALUE"""),"https://www.linkedin.com/posts/krystal-acosta-3834711b7_hiring-activity-7228735218776469504-oiVn?utm_source=share&amp;utm_medium=member_desktop")</f>
        <v>https://www.linkedin.com/posts/krystal-acosta-3834711b7_hiring-activity-7228735218776469504-oiVn?utm_source=share&amp;utm_medium=member_desktop</v>
      </c>
    </row>
    <row r="1002">
      <c r="A1002" s="2">
        <f>IFERROR(__xludf.DUMMYFUNCTION("""COMPUTED_VALUE"""),45516.0)</f>
        <v>45516</v>
      </c>
      <c r="B1002" s="1" t="str">
        <f>IFERROR(__xludf.DUMMYFUNCTION("""COMPUTED_VALUE"""),"CUCollaborate")</f>
        <v>CUCollaborate</v>
      </c>
      <c r="C1002" s="1" t="str">
        <f>IFERROR(__xludf.DUMMYFUNCTION("""COMPUTED_VALUE"""),"Data Analyst")</f>
        <v>Data Analyst</v>
      </c>
      <c r="D1002" s="1" t="str">
        <f>IFERROR(__xludf.DUMMYFUNCTION("""COMPUTED_VALUE"""),"Remote")</f>
        <v>Remote</v>
      </c>
      <c r="E1002" s="1" t="str">
        <f>IFERROR(__xludf.DUMMYFUNCTION("""COMPUTED_VALUE"""),"$60k")</f>
        <v>$60k</v>
      </c>
      <c r="F1002" s="1" t="str">
        <f>IFERROR(__xludf.DUMMYFUNCTION("""COMPUTED_VALUE"""),"0 - 2")</f>
        <v>0 - 2</v>
      </c>
      <c r="G1002" s="1" t="str">
        <f>IFERROR(__xludf.DUMMYFUNCTION("""COMPUTED_VALUE"""),"USA")</f>
        <v>USA</v>
      </c>
      <c r="H1002" s="4" t="str">
        <f>IFERROR(__xludf.DUMMYFUNCTION("""COMPUTED_VALUE"""),"https://www.linkedin.com/posts/samuelbrownell_cucollaborate-is-looking-for-a-data-analyst-activity-7228748783759609856-f2q-?utm_source=share&amp;utm_medium=member_desktop")</f>
        <v>https://www.linkedin.com/posts/samuelbrownell_cucollaborate-is-looking-for-a-data-analyst-activity-7228748783759609856-f2q-?utm_source=share&amp;utm_medium=member_desktop</v>
      </c>
    </row>
    <row r="1003">
      <c r="A1003" s="2">
        <f>IFERROR(__xludf.DUMMYFUNCTION("""COMPUTED_VALUE"""),45516.0)</f>
        <v>45516</v>
      </c>
      <c r="B1003" s="1" t="str">
        <f>IFERROR(__xludf.DUMMYFUNCTION("""COMPUTED_VALUE"""),"American Family Insurance")</f>
        <v>American Family Insurance</v>
      </c>
      <c r="C1003" s="1" t="str">
        <f>IFERROR(__xludf.DUMMYFUNCTION("""COMPUTED_VALUE"""),"Accounting Analyst")</f>
        <v>Accounting Analyst</v>
      </c>
      <c r="D1003" s="1" t="str">
        <f>IFERROR(__xludf.DUMMYFUNCTION("""COMPUTED_VALUE"""),"Hybrid")</f>
        <v>Hybrid</v>
      </c>
      <c r="E1003" s="1" t="str">
        <f>IFERROR(__xludf.DUMMYFUNCTION("""COMPUTED_VALUE"""),"$60k - $99k")</f>
        <v>$60k - $99k</v>
      </c>
      <c r="F1003" s="1" t="str">
        <f>IFERROR(__xludf.DUMMYFUNCTION("""COMPUTED_VALUE"""),"3 - 5")</f>
        <v>3 - 5</v>
      </c>
      <c r="G1003" s="1" t="str">
        <f>IFERROR(__xludf.DUMMYFUNCTION("""COMPUTED_VALUE"""),"Madison, WI")</f>
        <v>Madison, WI</v>
      </c>
      <c r="H1003" s="4" t="str">
        <f>IFERROR(__xludf.DUMMYFUNCTION("""COMPUTED_VALUE"""),"https://www.linkedin.com/posts/steve-rose-44b04469_accounting-analyst-flex-homeoffice-activity-7228735959733784578-iseK?utm_source=share&amp;utm_medium=member_desktop")</f>
        <v>https://www.linkedin.com/posts/steve-rose-44b04469_accounting-analyst-flex-homeoffice-activity-7228735959733784578-iseK?utm_source=share&amp;utm_medium=member_desktop</v>
      </c>
    </row>
    <row r="1004">
      <c r="A1004" s="2">
        <f>IFERROR(__xludf.DUMMYFUNCTION("""COMPUTED_VALUE"""),45516.0)</f>
        <v>45516</v>
      </c>
      <c r="B1004" s="1" t="str">
        <f>IFERROR(__xludf.DUMMYFUNCTION("""COMPUTED_VALUE"""),"TCC")</f>
        <v>TCC</v>
      </c>
      <c r="C1004" s="1" t="str">
        <f>IFERROR(__xludf.DUMMYFUNCTION("""COMPUTED_VALUE"""),"Sales Auditor Analyst")</f>
        <v>Sales Auditor Analyst</v>
      </c>
      <c r="D1004" s="1" t="str">
        <f>IFERROR(__xludf.DUMMYFUNCTION("""COMPUTED_VALUE"""),"Hybrid")</f>
        <v>Hybrid</v>
      </c>
      <c r="E1004" s="1" t="str">
        <f>IFERROR(__xludf.DUMMYFUNCTION("""COMPUTED_VALUE"""),"N/A")</f>
        <v>N/A</v>
      </c>
      <c r="F1004" s="1" t="str">
        <f>IFERROR(__xludf.DUMMYFUNCTION("""COMPUTED_VALUE"""),"0 - 2")</f>
        <v>0 - 2</v>
      </c>
      <c r="G1004" s="1" t="str">
        <f>IFERROR(__xludf.DUMMYFUNCTION("""COMPUTED_VALUE"""),"Fishers, IN")</f>
        <v>Fishers, IN</v>
      </c>
      <c r="H1004" s="4" t="str">
        <f>IFERROR(__xludf.DUMMYFUNCTION("""COMPUTED_VALUE"""),"https://www.linkedin.com/posts/lesliewidget_sales-auditor-analyst-in-fishers-in-activity-7228766384078348288-CJW0?utm_source=share&amp;utm_medium=member_desktop")</f>
        <v>https://www.linkedin.com/posts/lesliewidget_sales-auditor-analyst-in-fishers-in-activity-7228766384078348288-CJW0?utm_source=share&amp;utm_medium=member_desktop</v>
      </c>
    </row>
    <row r="1005">
      <c r="A1005" s="2">
        <f>IFERROR(__xludf.DUMMYFUNCTION("""COMPUTED_VALUE"""),45516.0)</f>
        <v>45516</v>
      </c>
      <c r="B1005" s="1" t="str">
        <f>IFERROR(__xludf.DUMMYFUNCTION("""COMPUTED_VALUE"""),"Houston Methodist")</f>
        <v>Houston Methodist</v>
      </c>
      <c r="C1005" s="1" t="str">
        <f>IFERROR(__xludf.DUMMYFUNCTION("""COMPUTED_VALUE"""),"Senior Financial Analyst - Medicine - Administration")</f>
        <v>Senior Financial Analyst - Medicine - Administration</v>
      </c>
      <c r="D1005" s="1" t="str">
        <f>IFERROR(__xludf.DUMMYFUNCTION("""COMPUTED_VALUE"""),"On-Site")</f>
        <v>On-Site</v>
      </c>
      <c r="E1005" s="1" t="str">
        <f>IFERROR(__xludf.DUMMYFUNCTION("""COMPUTED_VALUE"""),"N/A")</f>
        <v>N/A</v>
      </c>
      <c r="F1005" s="1" t="str">
        <f>IFERROR(__xludf.DUMMYFUNCTION("""COMPUTED_VALUE"""),"3 - 5")</f>
        <v>3 - 5</v>
      </c>
      <c r="G1005" s="1" t="str">
        <f>IFERROR(__xludf.DUMMYFUNCTION("""COMPUTED_VALUE"""),"Houston, TX")</f>
        <v>Houston, TX</v>
      </c>
      <c r="H1005" s="4" t="str">
        <f>IFERROR(__xludf.DUMMYFUNCTION("""COMPUTED_VALUE"""),"https://www.linkedin.com/posts/will-simpson-24489522_i-was-disappointed-to-hear-about-the-recent-activity-7228746358784999424-P8jl?utm_source=share&amp;utm_medium=member_desktop")</f>
        <v>https://www.linkedin.com/posts/will-simpson-24489522_i-was-disappointed-to-hear-about-the-recent-activity-7228746358784999424-P8jl?utm_source=share&amp;utm_medium=member_desktop</v>
      </c>
    </row>
    <row r="1006">
      <c r="A1006" s="2">
        <f>IFERROR(__xludf.DUMMYFUNCTION("""COMPUTED_VALUE"""),45516.0)</f>
        <v>45516</v>
      </c>
      <c r="B1006" s="1" t="str">
        <f>IFERROR(__xludf.DUMMYFUNCTION("""COMPUTED_VALUE"""),"L.A. Health Care Plan")</f>
        <v>L.A. Health Care Plan</v>
      </c>
      <c r="C1006" s="1" t="str">
        <f>IFERROR(__xludf.DUMMYFUNCTION("""COMPUTED_VALUE"""),"Revenue Financial Analyst III")</f>
        <v>Revenue Financial Analyst III</v>
      </c>
      <c r="D1006" s="1" t="str">
        <f>IFERROR(__xludf.DUMMYFUNCTION("""COMPUTED_VALUE"""),"On-Site")</f>
        <v>On-Site</v>
      </c>
      <c r="E1006" s="1" t="str">
        <f>IFERROR(__xludf.DUMMYFUNCTION("""COMPUTED_VALUE"""),"$89k - $142k")</f>
        <v>$89k - $142k</v>
      </c>
      <c r="F1006" s="1" t="str">
        <f>IFERROR(__xludf.DUMMYFUNCTION("""COMPUTED_VALUE"""),"3 - 5")</f>
        <v>3 - 5</v>
      </c>
      <c r="G1006" s="1" t="str">
        <f>IFERROR(__xludf.DUMMYFUNCTION("""COMPUTED_VALUE"""),"Los Angeles, CA")</f>
        <v>Los Angeles, CA</v>
      </c>
      <c r="H1006" s="4" t="str">
        <f>IFERROR(__xludf.DUMMYFUNCTION("""COMPUTED_VALUE"""),"https://www.linkedin.com/posts/lourdes-rocha-cir-certified-8b40591a_revenue-financial-analyst-iii-in-los-angeles-activity-7228773071782879234-PJQ3?utm_source=share&amp;utm_medium=member_desktop")</f>
        <v>https://www.linkedin.com/posts/lourdes-rocha-cir-certified-8b40591a_revenue-financial-analyst-iii-in-los-angeles-activity-7228773071782879234-PJQ3?utm_source=share&amp;utm_medium=member_desktop</v>
      </c>
    </row>
    <row r="1007">
      <c r="A1007" s="2">
        <f>IFERROR(__xludf.DUMMYFUNCTION("""COMPUTED_VALUE"""),45516.0)</f>
        <v>45516</v>
      </c>
      <c r="B1007" s="1" t="str">
        <f>IFERROR(__xludf.DUMMYFUNCTION("""COMPUTED_VALUE"""),"Mastercard")</f>
        <v>Mastercard</v>
      </c>
      <c r="C1007" s="1" t="str">
        <f>IFERROR(__xludf.DUMMYFUNCTION("""COMPUTED_VALUE"""),"Senior Analyst, Supply Chain Climate Data")</f>
        <v>Senior Analyst, Supply Chain Climate Data</v>
      </c>
      <c r="D1007" s="1" t="str">
        <f>IFERROR(__xludf.DUMMYFUNCTION("""COMPUTED_VALUE"""),"Hybrid")</f>
        <v>Hybrid</v>
      </c>
      <c r="E1007" s="1" t="str">
        <f>IFERROR(__xludf.DUMMYFUNCTION("""COMPUTED_VALUE"""),"N/A")</f>
        <v>N/A</v>
      </c>
      <c r="F1007" s="1" t="str">
        <f>IFERROR(__xludf.DUMMYFUNCTION("""COMPUTED_VALUE"""),"3 - 5")</f>
        <v>3 - 5</v>
      </c>
      <c r="G1007" s="1" t="str">
        <f>IFERROR(__xludf.DUMMYFUNCTION("""COMPUTED_VALUE"""),"Certain Locations")</f>
        <v>Certain Locations</v>
      </c>
      <c r="H1007" s="4" t="str">
        <f>IFERROR(__xludf.DUMMYFUNCTION("""COMPUTED_VALUE"""),"https://www.linkedin.com/posts/caitlyn-auletta_mastercard-is-looking-to-fill-the-supply-activity-7228871438433206273-Ws3r?utm_source=share&amp;utm_medium=member_desktop")</f>
        <v>https://www.linkedin.com/posts/caitlyn-auletta_mastercard-is-looking-to-fill-the-supply-activity-7228871438433206273-Ws3r?utm_source=share&amp;utm_medium=member_desktop</v>
      </c>
    </row>
    <row r="1008">
      <c r="A1008" s="2">
        <f>IFERROR(__xludf.DUMMYFUNCTION("""COMPUTED_VALUE"""),45516.0)</f>
        <v>45516</v>
      </c>
      <c r="B1008" s="1" t="str">
        <f>IFERROR(__xludf.DUMMYFUNCTION("""COMPUTED_VALUE"""),"Rocket Software")</f>
        <v>Rocket Software</v>
      </c>
      <c r="C1008" s="1" t="str">
        <f>IFERROR(__xludf.DUMMYFUNCTION("""COMPUTED_VALUE"""),"Business Analyst")</f>
        <v>Business Analyst</v>
      </c>
      <c r="D1008" s="1" t="str">
        <f>IFERROR(__xludf.DUMMYFUNCTION("""COMPUTED_VALUE"""),"Remote")</f>
        <v>Remote</v>
      </c>
      <c r="E1008" s="1" t="str">
        <f>IFERROR(__xludf.DUMMYFUNCTION("""COMPUTED_VALUE"""),"$91k - $113k")</f>
        <v>$91k - $113k</v>
      </c>
      <c r="F1008" s="1" t="str">
        <f>IFERROR(__xludf.DUMMYFUNCTION("""COMPUTED_VALUE"""),"3 - 5")</f>
        <v>3 - 5</v>
      </c>
      <c r="G1008" s="1" t="str">
        <f>IFERROR(__xludf.DUMMYFUNCTION("""COMPUTED_VALUE"""),"USA")</f>
        <v>USA</v>
      </c>
      <c r="H1008" s="4" t="str">
        <f>IFERROR(__xludf.DUMMYFUNCTION("""COMPUTED_VALUE"""),"https://www.linkedin.com/posts/shawn-tumblin_business-analyst-activity-7228759516471775233-yqjE?utm_source=share&amp;utm_medium=member_desktop")</f>
        <v>https://www.linkedin.com/posts/shawn-tumblin_business-analyst-activity-7228759516471775233-yqjE?utm_source=share&amp;utm_medium=member_desktop</v>
      </c>
    </row>
    <row r="1009">
      <c r="A1009" s="2">
        <f>IFERROR(__xludf.DUMMYFUNCTION("""COMPUTED_VALUE"""),45516.0)</f>
        <v>45516</v>
      </c>
      <c r="B1009" s="1" t="str">
        <f>IFERROR(__xludf.DUMMYFUNCTION("""COMPUTED_VALUE"""),"Country Financial")</f>
        <v>Country Financial</v>
      </c>
      <c r="C1009" s="1" t="str">
        <f>IFERROR(__xludf.DUMMYFUNCTION("""COMPUTED_VALUE"""),"Personal Lines Product Analyst")</f>
        <v>Personal Lines Product Analyst</v>
      </c>
      <c r="D1009" s="1" t="str">
        <f>IFERROR(__xludf.DUMMYFUNCTION("""COMPUTED_VALUE"""),"Hybrid")</f>
        <v>Hybrid</v>
      </c>
      <c r="E1009" s="1" t="str">
        <f>IFERROR(__xludf.DUMMYFUNCTION("""COMPUTED_VALUE"""),"N/A")</f>
        <v>N/A</v>
      </c>
      <c r="F1009" s="1" t="str">
        <f>IFERROR(__xludf.DUMMYFUNCTION("""COMPUTED_VALUE"""),"0 - 2")</f>
        <v>0 - 2</v>
      </c>
      <c r="G1009" s="1" t="str">
        <f>IFERROR(__xludf.DUMMYFUNCTION("""COMPUTED_VALUE"""),"Bloomington, IL")</f>
        <v>Bloomington, IL</v>
      </c>
      <c r="H1009" s="4" t="str">
        <f>IFERROR(__xludf.DUMMYFUNCTION("""COMPUTED_VALUE"""),"https://www.linkedin.com/posts/matthew-brophy-he-him-06289450_personal-lines-product-analyst-activity-7228799500465664001-410Z?utm_source=share&amp;utm_medium=member_desktop")</f>
        <v>https://www.linkedin.com/posts/matthew-brophy-he-him-06289450_personal-lines-product-analyst-activity-7228799500465664001-410Z?utm_source=share&amp;utm_medium=member_desktop</v>
      </c>
    </row>
    <row r="1010">
      <c r="A1010" s="2">
        <f>IFERROR(__xludf.DUMMYFUNCTION("""COMPUTED_VALUE"""),45516.0)</f>
        <v>45516</v>
      </c>
      <c r="B1010" s="1" t="str">
        <f>IFERROR(__xludf.DUMMYFUNCTION("""COMPUTED_VALUE"""),"Arena Labs")</f>
        <v>Arena Labs</v>
      </c>
      <c r="C1010" s="1" t="str">
        <f>IFERROR(__xludf.DUMMYFUNCTION("""COMPUTED_VALUE"""),"Performance Science Data Analyst")</f>
        <v>Performance Science Data Analyst</v>
      </c>
      <c r="D1010" s="1" t="str">
        <f>IFERROR(__xludf.DUMMYFUNCTION("""COMPUTED_VALUE"""),"On-Site")</f>
        <v>On-Site</v>
      </c>
      <c r="E1010" s="1" t="str">
        <f>IFERROR(__xludf.DUMMYFUNCTION("""COMPUTED_VALUE"""),"N/A")</f>
        <v>N/A</v>
      </c>
      <c r="F1010" s="1" t="str">
        <f>IFERROR(__xludf.DUMMYFUNCTION("""COMPUTED_VALUE"""),"3 - 5")</f>
        <v>3 - 5</v>
      </c>
      <c r="G1010" s="1" t="str">
        <f>IFERROR(__xludf.DUMMYFUNCTION("""COMPUTED_VALUE"""),"Nashville, TN")</f>
        <v>Nashville, TN</v>
      </c>
      <c r="H1010" s="4" t="str">
        <f>IFERROR(__xludf.DUMMYFUNCTION("""COMPUTED_VALUE"""),"https://www.linkedin.com/posts/joshua-blair-1002_performance-science-data-analyst-notion-activity-7228800688921718784-Gq5E?utm_source=share&amp;utm_medium=member_desktop")</f>
        <v>https://www.linkedin.com/posts/joshua-blair-1002_performance-science-data-analyst-notion-activity-7228800688921718784-Gq5E?utm_source=share&amp;utm_medium=member_desktop</v>
      </c>
    </row>
    <row r="1011">
      <c r="A1011" s="2">
        <f>IFERROR(__xludf.DUMMYFUNCTION("""COMPUTED_VALUE"""),45516.0)</f>
        <v>45516</v>
      </c>
      <c r="B1011" s="1" t="str">
        <f>IFERROR(__xludf.DUMMYFUNCTION("""COMPUTED_VALUE"""),"Alteryx")</f>
        <v>Alteryx</v>
      </c>
      <c r="C1011" s="1" t="str">
        <f>IFERROR(__xludf.DUMMYFUNCTION("""COMPUTED_VALUE"""),"Product Strategy Analyst")</f>
        <v>Product Strategy Analyst</v>
      </c>
      <c r="D1011" s="1" t="str">
        <f>IFERROR(__xludf.DUMMYFUNCTION("""COMPUTED_VALUE"""),"Remote")</f>
        <v>Remote</v>
      </c>
      <c r="E1011" s="1" t="str">
        <f>IFERROR(__xludf.DUMMYFUNCTION("""COMPUTED_VALUE"""),"$110k - $139k")</f>
        <v>$110k - $139k</v>
      </c>
      <c r="F1011" s="1" t="str">
        <f>IFERROR(__xludf.DUMMYFUNCTION("""COMPUTED_VALUE"""),"3 - 5")</f>
        <v>3 - 5</v>
      </c>
      <c r="G1011" s="1" t="str">
        <f>IFERROR(__xludf.DUMMYFUNCTION("""COMPUTED_VALUE"""),"USA")</f>
        <v>USA</v>
      </c>
      <c r="H1011" s="4" t="str">
        <f>IFERROR(__xludf.DUMMYFUNCTION("""COMPUTED_VALUE"""),"https://www.linkedin.com/posts/kendall-carroll_hiring-productstrategy-dataanalytics-activity-7228832166481211392-ajAL?utm_source=share&amp;utm_medium=member_desktop")</f>
        <v>https://www.linkedin.com/posts/kendall-carroll_hiring-productstrategy-dataanalytics-activity-7228832166481211392-ajAL?utm_source=share&amp;utm_medium=member_desktop</v>
      </c>
    </row>
    <row r="1012">
      <c r="A1012" s="2">
        <f>IFERROR(__xludf.DUMMYFUNCTION("""COMPUTED_VALUE"""),45516.0)</f>
        <v>45516</v>
      </c>
      <c r="B1012" s="1" t="str">
        <f>IFERROR(__xludf.DUMMYFUNCTION("""COMPUTED_VALUE"""),"Hearst")</f>
        <v>Hearst</v>
      </c>
      <c r="C1012" s="1" t="str">
        <f>IFERROR(__xludf.DUMMYFUNCTION("""COMPUTED_VALUE"""),"Senior Product Analyst")</f>
        <v>Senior Product Analyst</v>
      </c>
      <c r="D1012" s="1" t="str">
        <f>IFERROR(__xludf.DUMMYFUNCTION("""COMPUTED_VALUE"""),"Hybrid")</f>
        <v>Hybrid</v>
      </c>
      <c r="E1012" s="1" t="str">
        <f>IFERROR(__xludf.DUMMYFUNCTION("""COMPUTED_VALUE"""),"$130k - $160k")</f>
        <v>$130k - $160k</v>
      </c>
      <c r="F1012" s="1" t="str">
        <f>IFERROR(__xludf.DUMMYFUNCTION("""COMPUTED_VALUE"""),"3 - 5")</f>
        <v>3 - 5</v>
      </c>
      <c r="G1012" s="1" t="str">
        <f>IFERROR(__xludf.DUMMYFUNCTION("""COMPUTED_VALUE"""),"New York, NY/Seattle, WA")</f>
        <v>New York, NY/Seattle, WA</v>
      </c>
      <c r="H1012" s="4" t="str">
        <f>IFERROR(__xludf.DUMMYFUNCTION("""COMPUTED_VALUE"""),"https://www.linkedin.com/posts/jeanne-b_senior-product-analyst-e-commerce-activity-7228918625477279746-Cny2?utm_source=share&amp;utm_medium=member_desktop")</f>
        <v>https://www.linkedin.com/posts/jeanne-b_senior-product-analyst-e-commerce-activity-7228918625477279746-Cny2?utm_source=share&amp;utm_medium=member_desktop</v>
      </c>
    </row>
    <row r="1013">
      <c r="A1013" s="2">
        <f>IFERROR(__xludf.DUMMYFUNCTION("""COMPUTED_VALUE"""),45515.0)</f>
        <v>45515</v>
      </c>
      <c r="B1013" s="1" t="str">
        <f>IFERROR(__xludf.DUMMYFUNCTION("""COMPUTED_VALUE"""),"HCSC")</f>
        <v>HCSC</v>
      </c>
      <c r="C1013" s="1" t="str">
        <f>IFERROR(__xludf.DUMMYFUNCTION("""COMPUTED_VALUE"""),"Technical Bus Qual Analyst I")</f>
        <v>Technical Bus Qual Analyst I</v>
      </c>
      <c r="D1013" s="1" t="str">
        <f>IFERROR(__xludf.DUMMYFUNCTION("""COMPUTED_VALUE"""),"Hybrid")</f>
        <v>Hybrid</v>
      </c>
      <c r="E1013" s="1" t="str">
        <f>IFERROR(__xludf.DUMMYFUNCTION("""COMPUTED_VALUE"""),"$40k - $89k")</f>
        <v>$40k - $89k</v>
      </c>
      <c r="F1013" s="1" t="str">
        <f>IFERROR(__xludf.DUMMYFUNCTION("""COMPUTED_VALUE"""),"0 - 2")</f>
        <v>0 - 2</v>
      </c>
      <c r="G1013" s="1" t="str">
        <f>IFERROR(__xludf.DUMMYFUNCTION("""COMPUTED_VALUE"""),"Chicago, IL")</f>
        <v>Chicago, IL</v>
      </c>
      <c r="H1013" s="4" t="str">
        <f>IFERROR(__xludf.DUMMYFUNCTION("""COMPUTED_VALUE"""),"https://www.linkedin.com/posts/chuckradcliff_technical-bus-qual-analyst-i-in-chicago-activity-7228467715777118209-wTYW?utm_source=share&amp;utm_medium=member_desktop")</f>
        <v>https://www.linkedin.com/posts/chuckradcliff_technical-bus-qual-analyst-i-in-chicago-activity-7228467715777118209-wTYW?utm_source=share&amp;utm_medium=member_desktop</v>
      </c>
    </row>
    <row r="1014">
      <c r="A1014" s="2">
        <f>IFERROR(__xludf.DUMMYFUNCTION("""COMPUTED_VALUE"""),45515.0)</f>
        <v>45515</v>
      </c>
      <c r="B1014" s="1" t="str">
        <f>IFERROR(__xludf.DUMMYFUNCTION("""COMPUTED_VALUE"""),"Liberty University")</f>
        <v>Liberty University</v>
      </c>
      <c r="C1014" s="1" t="str">
        <f>IFERROR(__xludf.DUMMYFUNCTION("""COMPUTED_VALUE"""),"Business Data Analyst I")</f>
        <v>Business Data Analyst I</v>
      </c>
      <c r="D1014" s="1" t="str">
        <f>IFERROR(__xludf.DUMMYFUNCTION("""COMPUTED_VALUE"""),"Hybrid")</f>
        <v>Hybrid</v>
      </c>
      <c r="E1014" s="1" t="str">
        <f>IFERROR(__xludf.DUMMYFUNCTION("""COMPUTED_VALUE"""),"N/A")</f>
        <v>N/A</v>
      </c>
      <c r="F1014" s="1" t="str">
        <f>IFERROR(__xludf.DUMMYFUNCTION("""COMPUTED_VALUE"""),"0 - 2")</f>
        <v>0 - 2</v>
      </c>
      <c r="G1014" s="1" t="str">
        <f>IFERROR(__xludf.DUMMYFUNCTION("""COMPUTED_VALUE"""),"Lynchburg, VA")</f>
        <v>Lynchburg, VA</v>
      </c>
      <c r="H1014" s="4" t="str">
        <f>IFERROR(__xludf.DUMMYFUNCTION("""COMPUTED_VALUE"""),"https://www.linkedin.com/posts/david-smith-7130481b_check-out-this-job-at-liberty-university-activity-7228456048007745536-LJU3?utm_source=share&amp;utm_medium=member_desktop")</f>
        <v>https://www.linkedin.com/posts/david-smith-7130481b_check-out-this-job-at-liberty-university-activity-7228456048007745536-LJU3?utm_source=share&amp;utm_medium=member_desktop</v>
      </c>
    </row>
    <row r="1015">
      <c r="A1015" s="2">
        <f>IFERROR(__xludf.DUMMYFUNCTION("""COMPUTED_VALUE"""),45515.0)</f>
        <v>45515</v>
      </c>
      <c r="B1015" s="1" t="str">
        <f>IFERROR(__xludf.DUMMYFUNCTION("""COMPUTED_VALUE"""),"SCP Health")</f>
        <v>SCP Health</v>
      </c>
      <c r="C1015" s="1" t="str">
        <f>IFERROR(__xludf.DUMMYFUNCTION("""COMPUTED_VALUE"""),"Finance Analyst")</f>
        <v>Finance Analyst</v>
      </c>
      <c r="D1015" s="1" t="str">
        <f>IFERROR(__xludf.DUMMYFUNCTION("""COMPUTED_VALUE"""),"On-Site")</f>
        <v>On-Site</v>
      </c>
      <c r="E1015" s="1" t="str">
        <f>IFERROR(__xludf.DUMMYFUNCTION("""COMPUTED_VALUE"""),"N/A")</f>
        <v>N/A</v>
      </c>
      <c r="F1015" s="1" t="str">
        <f>IFERROR(__xludf.DUMMYFUNCTION("""COMPUTED_VALUE"""),"0 - 2")</f>
        <v>0 - 2</v>
      </c>
      <c r="G1015" s="1" t="str">
        <f>IFERROR(__xludf.DUMMYFUNCTION("""COMPUTED_VALUE"""),"Lafayette, LA")</f>
        <v>Lafayette, LA</v>
      </c>
      <c r="H1015" s="4" t="str">
        <f>IFERROR(__xludf.DUMMYFUNCTION("""COMPUTED_VALUE"""),"https://www.linkedin.com/posts/kimberly-touchet-47bb734a_finance-analyst-entry-level-activity-7228409245581373442-gogd?utm_source=share&amp;utm_medium=member_ios")</f>
        <v>https://www.linkedin.com/posts/kimberly-touchet-47bb734a_finance-analyst-entry-level-activity-7228409245581373442-gogd?utm_source=share&amp;utm_medium=member_ios</v>
      </c>
    </row>
    <row r="1016">
      <c r="A1016" s="2">
        <f>IFERROR(__xludf.DUMMYFUNCTION("""COMPUTED_VALUE"""),45515.0)</f>
        <v>45515</v>
      </c>
      <c r="B1016" s="1" t="str">
        <f>IFERROR(__xludf.DUMMYFUNCTION("""COMPUTED_VALUE"""),"Mariner")</f>
        <v>Mariner</v>
      </c>
      <c r="C1016" s="1" t="str">
        <f>IFERROR(__xludf.DUMMYFUNCTION("""COMPUTED_VALUE"""),"Financial Analyst")</f>
        <v>Financial Analyst</v>
      </c>
      <c r="D1016" s="1" t="str">
        <f>IFERROR(__xludf.DUMMYFUNCTION("""COMPUTED_VALUE"""),"Hybrid")</f>
        <v>Hybrid</v>
      </c>
      <c r="E1016" s="1" t="str">
        <f>IFERROR(__xludf.DUMMYFUNCTION("""COMPUTED_VALUE"""),"N/A")</f>
        <v>N/A</v>
      </c>
      <c r="F1016" s="1" t="str">
        <f>IFERROR(__xludf.DUMMYFUNCTION("""COMPUTED_VALUE"""),"0 - 2")</f>
        <v>0 - 2</v>
      </c>
      <c r="G1016" s="1" t="str">
        <f>IFERROR(__xludf.DUMMYFUNCTION("""COMPUTED_VALUE"""),"Overland Park, KS")</f>
        <v>Overland Park, KS</v>
      </c>
      <c r="H1016" s="4" t="str">
        <f>IFERROR(__xludf.DUMMYFUNCTION("""COMPUTED_VALUE"""),"https://www.linkedin.com/posts/alant_seeking-candidates-for-financial-analyst-activity-7228399829549232128-CVtC?utm_source=share&amp;utm_medium=member_desktop")</f>
        <v>https://www.linkedin.com/posts/alant_seeking-candidates-for-financial-analyst-activity-7228399829549232128-CVtC?utm_source=share&amp;utm_medium=member_desktop</v>
      </c>
    </row>
    <row r="1017">
      <c r="A1017" s="2">
        <f>IFERROR(__xludf.DUMMYFUNCTION("""COMPUTED_VALUE"""),45515.0)</f>
        <v>45515</v>
      </c>
      <c r="B1017" s="1" t="str">
        <f>IFERROR(__xludf.DUMMYFUNCTION("""COMPUTED_VALUE"""),"United Airlines")</f>
        <v>United Airlines</v>
      </c>
      <c r="C1017" s="1" t="str">
        <f>IFERROR(__xludf.DUMMYFUNCTION("""COMPUTED_VALUE"""),"Senior Analyst- Technical Operations Master Data")</f>
        <v>Senior Analyst- Technical Operations Master Data</v>
      </c>
      <c r="D1017" s="1" t="str">
        <f>IFERROR(__xludf.DUMMYFUNCTION("""COMPUTED_VALUE"""),"On-Site")</f>
        <v>On-Site</v>
      </c>
      <c r="E1017" s="1" t="str">
        <f>IFERROR(__xludf.DUMMYFUNCTION("""COMPUTED_VALUE"""),"N/A")</f>
        <v>N/A</v>
      </c>
      <c r="F1017" s="1" t="str">
        <f>IFERROR(__xludf.DUMMYFUNCTION("""COMPUTED_VALUE"""),"3 - 5")</f>
        <v>3 - 5</v>
      </c>
      <c r="G1017" s="1" t="str">
        <f>IFERROR(__xludf.DUMMYFUNCTION("""COMPUTED_VALUE"""),"Chicago, IL")</f>
        <v>Chicago, IL</v>
      </c>
      <c r="H1017" s="4" t="str">
        <f>IFERROR(__xludf.DUMMYFUNCTION("""COMPUTED_VALUE"""),"https://www.linkedin.com/posts/daisy-b-suarez_hiring-activity-7227360493655482368-j2RZ?utm_source=share&amp;utm_medium=member_ios")</f>
        <v>https://www.linkedin.com/posts/daisy-b-suarez_hiring-activity-7227360493655482368-j2RZ?utm_source=share&amp;utm_medium=member_ios</v>
      </c>
    </row>
    <row r="1018">
      <c r="A1018" s="2">
        <f>IFERROR(__xludf.DUMMYFUNCTION("""COMPUTED_VALUE"""),45515.0)</f>
        <v>45515</v>
      </c>
      <c r="B1018" s="1" t="str">
        <f>IFERROR(__xludf.DUMMYFUNCTION("""COMPUTED_VALUE"""),"Petco")</f>
        <v>Petco</v>
      </c>
      <c r="C1018" s="1" t="str">
        <f>IFERROR(__xludf.DUMMYFUNCTION("""COMPUTED_VALUE"""),"Senior Data Scientist - Marketing Measurement &amp; Optimization")</f>
        <v>Senior Data Scientist - Marketing Measurement &amp; Optimization</v>
      </c>
      <c r="D1018" s="1" t="str">
        <f>IFERROR(__xludf.DUMMYFUNCTION("""COMPUTED_VALUE"""),"Remote")</f>
        <v>Remote</v>
      </c>
      <c r="E1018" s="1" t="str">
        <f>IFERROR(__xludf.DUMMYFUNCTION("""COMPUTED_VALUE"""),"$109k - $163k")</f>
        <v>$109k - $163k</v>
      </c>
      <c r="F1018" s="1" t="str">
        <f>IFERROR(__xludf.DUMMYFUNCTION("""COMPUTED_VALUE"""),"0 - 2")</f>
        <v>0 - 2</v>
      </c>
      <c r="G1018" s="1" t="str">
        <f>IFERROR(__xludf.DUMMYFUNCTION("""COMPUTED_VALUE"""),"USA")</f>
        <v>USA</v>
      </c>
      <c r="H1018" s="4" t="str">
        <f>IFERROR(__xludf.DUMMYFUNCTION("""COMPUTED_VALUE"""),"https://www.linkedin.com/posts/mculleton_check-out-this-job-at-petco-senior-data-activity-7228179811368624128-cDQe?utm_source=share&amp;utm_medium=member_ios")</f>
        <v>https://www.linkedin.com/posts/mculleton_check-out-this-job-at-petco-senior-data-activity-7228179811368624128-cDQe?utm_source=share&amp;utm_medium=member_ios</v>
      </c>
    </row>
    <row r="1019">
      <c r="A1019" s="2">
        <f>IFERROR(__xludf.DUMMYFUNCTION("""COMPUTED_VALUE"""),45515.0)</f>
        <v>45515</v>
      </c>
      <c r="B1019" s="1" t="str">
        <f>IFERROR(__xludf.DUMMYFUNCTION("""COMPUTED_VALUE"""),"Fiserv")</f>
        <v>Fiserv</v>
      </c>
      <c r="C1019" s="1" t="str">
        <f>IFERROR(__xludf.DUMMYFUNCTION("""COMPUTED_VALUE"""),"Senior Data Analyst - Transaction Authorizations")</f>
        <v>Senior Data Analyst - Transaction Authorizations</v>
      </c>
      <c r="D1019" s="1" t="str">
        <f>IFERROR(__xludf.DUMMYFUNCTION("""COMPUTED_VALUE"""),"On-Site")</f>
        <v>On-Site</v>
      </c>
      <c r="E1019" s="1" t="str">
        <f>IFERROR(__xludf.DUMMYFUNCTION("""COMPUTED_VALUE"""),"$77k - $138k")</f>
        <v>$77k - $138k</v>
      </c>
      <c r="F1019" s="1" t="str">
        <f>IFERROR(__xludf.DUMMYFUNCTION("""COMPUTED_VALUE"""),"6 - 9")</f>
        <v>6 - 9</v>
      </c>
      <c r="G1019" s="1" t="str">
        <f>IFERROR(__xludf.DUMMYFUNCTION("""COMPUTED_VALUE"""),"Certain Locations")</f>
        <v>Certain Locations</v>
      </c>
      <c r="H1019" s="4" t="str">
        <f>IFERROR(__xludf.DUMMYFUNCTION("""COMPUTED_VALUE"""),"https://www.linkedin.com/posts/chanceharbour_hiring-fiserv-datajobs-activity-7227416972479598593-mEUS?utm_source=share&amp;utm_medium=member_ios")</f>
        <v>https://www.linkedin.com/posts/chanceharbour_hiring-fiserv-datajobs-activity-7227416972479598593-mEUS?utm_source=share&amp;utm_medium=member_ios</v>
      </c>
    </row>
    <row r="1020">
      <c r="A1020" s="2">
        <f>IFERROR(__xludf.DUMMYFUNCTION("""COMPUTED_VALUE"""),45515.0)</f>
        <v>45515</v>
      </c>
      <c r="B1020" s="1" t="str">
        <f>IFERROR(__xludf.DUMMYFUNCTION("""COMPUTED_VALUE"""),"Utah Transit Authority")</f>
        <v>Utah Transit Authority</v>
      </c>
      <c r="C1020" s="1" t="str">
        <f>IFERROR(__xludf.DUMMYFUNCTION("""COMPUTED_VALUE"""),"Data Scientist")</f>
        <v>Data Scientist</v>
      </c>
      <c r="D1020" s="1" t="str">
        <f>IFERROR(__xludf.DUMMYFUNCTION("""COMPUTED_VALUE"""),"On-Site")</f>
        <v>On-Site</v>
      </c>
      <c r="E1020" s="1" t="str">
        <f>IFERROR(__xludf.DUMMYFUNCTION("""COMPUTED_VALUE"""),"$89k")</f>
        <v>$89k</v>
      </c>
      <c r="F1020" s="1" t="str">
        <f>IFERROR(__xludf.DUMMYFUNCTION("""COMPUTED_VALUE"""),"0 - 2")</f>
        <v>0 - 2</v>
      </c>
      <c r="G1020" s="1" t="str">
        <f>IFERROR(__xludf.DUMMYFUNCTION("""COMPUTED_VALUE"""),"Salt Lake City, UT")</f>
        <v>Salt Lake City, UT</v>
      </c>
      <c r="H1020" s="4" t="str">
        <f>IFERROR(__xludf.DUMMYFUNCTION("""COMPUTED_VALUE"""),"https://www.linkedin.com/posts/violetta-ayala-26585a52_data-scientist-activity-7228079540433010690-aIIF?utm_source=share&amp;utm_medium=member_ios")</f>
        <v>https://www.linkedin.com/posts/violetta-ayala-26585a52_data-scientist-activity-7228079540433010690-aIIF?utm_source=share&amp;utm_medium=member_ios</v>
      </c>
    </row>
    <row r="1021">
      <c r="A1021" s="2">
        <f>IFERROR(__xludf.DUMMYFUNCTION("""COMPUTED_VALUE"""),45515.0)</f>
        <v>45515</v>
      </c>
      <c r="B1021" s="1" t="str">
        <f>IFERROR(__xludf.DUMMYFUNCTION("""COMPUTED_VALUE"""),"Wikimedia Foundation")</f>
        <v>Wikimedia Foundation</v>
      </c>
      <c r="C1021" s="1" t="str">
        <f>IFERROR(__xludf.DUMMYFUNCTION("""COMPUTED_VALUE"""),"Senior Manager, Fundraising Data &amp; Analytics")</f>
        <v>Senior Manager, Fundraising Data &amp; Analytics</v>
      </c>
      <c r="D1021" s="1" t="str">
        <f>IFERROR(__xludf.DUMMYFUNCTION("""COMPUTED_VALUE"""),"Remote")</f>
        <v>Remote</v>
      </c>
      <c r="E1021" s="1" t="str">
        <f>IFERROR(__xludf.DUMMYFUNCTION("""COMPUTED_VALUE"""),"$145k - $224k")</f>
        <v>$145k - $224k</v>
      </c>
      <c r="F1021" s="1" t="str">
        <f>IFERROR(__xludf.DUMMYFUNCTION("""COMPUTED_VALUE"""),"6 - 9")</f>
        <v>6 - 9</v>
      </c>
      <c r="G1021" s="1" t="str">
        <f>IFERROR(__xludf.DUMMYFUNCTION("""COMPUTED_VALUE"""),"Global")</f>
        <v>Global</v>
      </c>
      <c r="H1021" s="4" t="str">
        <f>IFERROR(__xludf.DUMMYFUNCTION("""COMPUTED_VALUE"""),"https://www.linkedin.com/posts/activity-7228218573020676096-Dpes?utm_source=share&amp;utm_medium=member_ios")</f>
        <v>https://www.linkedin.com/posts/activity-7228218573020676096-Dpes?utm_source=share&amp;utm_medium=member_ios</v>
      </c>
    </row>
    <row r="1022">
      <c r="A1022" s="2">
        <f>IFERROR(__xludf.DUMMYFUNCTION("""COMPUTED_VALUE"""),45515.0)</f>
        <v>45515</v>
      </c>
      <c r="B1022" s="1" t="str">
        <f>IFERROR(__xludf.DUMMYFUNCTION("""COMPUTED_VALUE"""),"Stabile Search")</f>
        <v>Stabile Search</v>
      </c>
      <c r="C1022" s="1" t="str">
        <f>IFERROR(__xludf.DUMMYFUNCTION("""COMPUTED_VALUE"""),"Senior Data Scientist")</f>
        <v>Senior Data Scientist</v>
      </c>
      <c r="D1022" s="1" t="str">
        <f>IFERROR(__xludf.DUMMYFUNCTION("""COMPUTED_VALUE"""),"Remote")</f>
        <v>Remote</v>
      </c>
      <c r="E1022" s="1" t="str">
        <f>IFERROR(__xludf.DUMMYFUNCTION("""COMPUTED_VALUE"""),"$200k - $225k")</f>
        <v>$200k - $225k</v>
      </c>
      <c r="F1022" s="1" t="str">
        <f>IFERROR(__xludf.DUMMYFUNCTION("""COMPUTED_VALUE"""),"3 - 5")</f>
        <v>3 - 5</v>
      </c>
      <c r="G1022" s="1" t="str">
        <f>IFERROR(__xludf.DUMMYFUNCTION("""COMPUTED_VALUE"""),"USA")</f>
        <v>USA</v>
      </c>
      <c r="H1022" s="4" t="str">
        <f>IFERROR(__xludf.DUMMYFUNCTION("""COMPUTED_VALUE"""),"https://www.linkedin.com/posts/mattstabile_are-you-a-senior-data-scientist-with-extensive-activity-7227784474107748352-7sjO?utm_source=share&amp;utm_medium=member_ios")</f>
        <v>https://www.linkedin.com/posts/mattstabile_are-you-a-senior-data-scientist-with-extensive-activity-7227784474107748352-7sjO?utm_source=share&amp;utm_medium=member_ios</v>
      </c>
    </row>
    <row r="1023">
      <c r="A1023" s="2">
        <f>IFERROR(__xludf.DUMMYFUNCTION("""COMPUTED_VALUE"""),45515.0)</f>
        <v>45515</v>
      </c>
      <c r="B1023" s="1" t="str">
        <f>IFERROR(__xludf.DUMMYFUNCTION("""COMPUTED_VALUE"""),"Asana")</f>
        <v>Asana</v>
      </c>
      <c r="C1023" s="1" t="str">
        <f>IFERROR(__xludf.DUMMYFUNCTION("""COMPUTED_VALUE"""),"Marketing Analytics Manager, Adoption &amp; Retention")</f>
        <v>Marketing Analytics Manager, Adoption &amp; Retention</v>
      </c>
      <c r="D1023" s="1" t="str">
        <f>IFERROR(__xludf.DUMMYFUNCTION("""COMPUTED_VALUE"""),"Hybrid")</f>
        <v>Hybrid</v>
      </c>
      <c r="E1023" s="1" t="str">
        <f>IFERROR(__xludf.DUMMYFUNCTION("""COMPUTED_VALUE"""),"$146k - $186k")</f>
        <v>$146k - $186k</v>
      </c>
      <c r="F1023" s="1" t="str">
        <f>IFERROR(__xludf.DUMMYFUNCTION("""COMPUTED_VALUE"""),"3 - 5")</f>
        <v>3 - 5</v>
      </c>
      <c r="G1023" s="1" t="str">
        <f>IFERROR(__xludf.DUMMYFUNCTION("""COMPUTED_VALUE"""),"San Francisco, CA")</f>
        <v>San Francisco, CA</v>
      </c>
      <c r="H1023" s="4" t="str">
        <f>IFERROR(__xludf.DUMMYFUNCTION("""COMPUTED_VALUE"""),"https://www.linkedin.com/posts/activity-7227350004397391872-3MHB?utm_source=share&amp;utm_medium=member_ios")</f>
        <v>https://www.linkedin.com/posts/activity-7227350004397391872-3MHB?utm_source=share&amp;utm_medium=member_ios</v>
      </c>
    </row>
    <row r="1024">
      <c r="A1024" s="2">
        <f>IFERROR(__xludf.DUMMYFUNCTION("""COMPUTED_VALUE"""),45515.0)</f>
        <v>45515</v>
      </c>
      <c r="B1024" s="1" t="str">
        <f>IFERROR(__xludf.DUMMYFUNCTION("""COMPUTED_VALUE"""),"Chegg")</f>
        <v>Chegg</v>
      </c>
      <c r="C1024" s="1" t="str">
        <f>IFERROR(__xludf.DUMMYFUNCTION("""COMPUTED_VALUE"""),"Marketing Data Scientist")</f>
        <v>Marketing Data Scientist</v>
      </c>
      <c r="D1024" s="1" t="str">
        <f>IFERROR(__xludf.DUMMYFUNCTION("""COMPUTED_VALUE"""),"Hybrid")</f>
        <v>Hybrid</v>
      </c>
      <c r="E1024" s="1" t="str">
        <f>IFERROR(__xludf.DUMMYFUNCTION("""COMPUTED_VALUE"""),"$108k - $199k")</f>
        <v>$108k - $199k</v>
      </c>
      <c r="F1024" s="1" t="str">
        <f>IFERROR(__xludf.DUMMYFUNCTION("""COMPUTED_VALUE"""),"3 - 5")</f>
        <v>3 - 5</v>
      </c>
      <c r="G1024" s="1" t="str">
        <f>IFERROR(__xludf.DUMMYFUNCTION("""COMPUTED_VALUE"""),"Santa Clara, CA")</f>
        <v>Santa Clara, CA</v>
      </c>
      <c r="H1024" s="4" t="str">
        <f>IFERROR(__xludf.DUMMYFUNCTION("""COMPUTED_VALUE"""),"https://www.linkedin.com/posts/julieann-li_marketing-data-scientist-activity-7228080692369272832-ca78?utm_source=share&amp;utm_medium=member_ios")</f>
        <v>https://www.linkedin.com/posts/julieann-li_marketing-data-scientist-activity-7228080692369272832-ca78?utm_source=share&amp;utm_medium=member_ios</v>
      </c>
    </row>
    <row r="1025">
      <c r="A1025" s="2">
        <f>IFERROR(__xludf.DUMMYFUNCTION("""COMPUTED_VALUE"""),45515.0)</f>
        <v>45515</v>
      </c>
      <c r="B1025" s="1" t="str">
        <f>IFERROR(__xludf.DUMMYFUNCTION("""COMPUTED_VALUE"""),"Littler")</f>
        <v>Littler</v>
      </c>
      <c r="C1025" s="1" t="str">
        <f>IFERROR(__xludf.DUMMYFUNCTION("""COMPUTED_VALUE"""),"Data Analyst II")</f>
        <v>Data Analyst II</v>
      </c>
      <c r="D1025" s="1" t="str">
        <f>IFERROR(__xludf.DUMMYFUNCTION("""COMPUTED_VALUE"""),"Remote")</f>
        <v>Remote</v>
      </c>
      <c r="E1025" s="1" t="str">
        <f>IFERROR(__xludf.DUMMYFUNCTION("""COMPUTED_VALUE"""),"$94k - $134k")</f>
        <v>$94k - $134k</v>
      </c>
      <c r="F1025" s="1" t="str">
        <f>IFERROR(__xludf.DUMMYFUNCTION("""COMPUTED_VALUE"""),"0 - 2")</f>
        <v>0 - 2</v>
      </c>
      <c r="G1025" s="1" t="str">
        <f>IFERROR(__xludf.DUMMYFUNCTION("""COMPUTED_VALUE"""),"USA")</f>
        <v>USA</v>
      </c>
      <c r="H1025" s="4" t="str">
        <f>IFERROR(__xludf.DUMMYFUNCTION("""COMPUTED_VALUE"""),"https://www.linkedin.com/posts/jazminvivanco_hiring-dataanalyst-dataanalyst-activity-7227749327765393408-PnSx?utm_source=share&amp;utm_medium=member_ios")</f>
        <v>https://www.linkedin.com/posts/jazminvivanco_hiring-dataanalyst-dataanalyst-activity-7227749327765393408-PnSx?utm_source=share&amp;utm_medium=member_ios</v>
      </c>
    </row>
    <row r="1026">
      <c r="A1026" s="2">
        <f>IFERROR(__xludf.DUMMYFUNCTION("""COMPUTED_VALUE"""),45515.0)</f>
        <v>45515</v>
      </c>
      <c r="B1026" s="1" t="str">
        <f>IFERROR(__xludf.DUMMYFUNCTION("""COMPUTED_VALUE"""),"Imagine Learning")</f>
        <v>Imagine Learning</v>
      </c>
      <c r="C1026" s="1" t="str">
        <f>IFERROR(__xludf.DUMMYFUNCTION("""COMPUTED_VALUE"""),"Financial Analyst")</f>
        <v>Financial Analyst</v>
      </c>
      <c r="D1026" s="1" t="str">
        <f>IFERROR(__xludf.DUMMYFUNCTION("""COMPUTED_VALUE"""),"Remote")</f>
        <v>Remote</v>
      </c>
      <c r="E1026" s="1" t="str">
        <f>IFERROR(__xludf.DUMMYFUNCTION("""COMPUTED_VALUE"""),"$74k - $90k")</f>
        <v>$74k - $90k</v>
      </c>
      <c r="F1026" s="1" t="str">
        <f>IFERROR(__xludf.DUMMYFUNCTION("""COMPUTED_VALUE"""),"0 - 2")</f>
        <v>0 - 2</v>
      </c>
      <c r="G1026" s="1" t="str">
        <f>IFERROR(__xludf.DUMMYFUNCTION("""COMPUTED_VALUE"""),"USA")</f>
        <v>USA</v>
      </c>
      <c r="H1026" s="4" t="str">
        <f>IFERROR(__xludf.DUMMYFUNCTION("""COMPUTED_VALUE"""),"https://www.linkedin.com/posts/activity-7228088458399879168-7VPe?utm_source=share&amp;utm_medium=member_desktop")</f>
        <v>https://www.linkedin.com/posts/activity-7228088458399879168-7VPe?utm_source=share&amp;utm_medium=member_desktop</v>
      </c>
    </row>
    <row r="1027">
      <c r="A1027" s="2">
        <f>IFERROR(__xludf.DUMMYFUNCTION("""COMPUTED_VALUE"""),45515.0)</f>
        <v>45515</v>
      </c>
      <c r="B1027" s="1" t="str">
        <f>IFERROR(__xludf.DUMMYFUNCTION("""COMPUTED_VALUE"""),"HCA Healthcare")</f>
        <v>HCA Healthcare</v>
      </c>
      <c r="C1027" s="1" t="str">
        <f>IFERROR(__xludf.DUMMYFUNCTION("""COMPUTED_VALUE"""),"Financial Analyst")</f>
        <v>Financial Analyst</v>
      </c>
      <c r="D1027" s="1" t="str">
        <f>IFERROR(__xludf.DUMMYFUNCTION("""COMPUTED_VALUE"""),"On-Site")</f>
        <v>On-Site</v>
      </c>
      <c r="E1027" s="1" t="str">
        <f>IFERROR(__xludf.DUMMYFUNCTION("""COMPUTED_VALUE"""),"N/A")</f>
        <v>N/A</v>
      </c>
      <c r="F1027" s="1" t="str">
        <f>IFERROR(__xludf.DUMMYFUNCTION("""COMPUTED_VALUE"""),"3 - 5")</f>
        <v>3 - 5</v>
      </c>
      <c r="G1027" s="1" t="str">
        <f>IFERROR(__xludf.DUMMYFUNCTION("""COMPUTED_VALUE"""),"Brentwood, TN")</f>
        <v>Brentwood, TN</v>
      </c>
      <c r="H1027" s="4" t="str">
        <f>IFERROR(__xludf.DUMMYFUNCTION("""COMPUTED_VALUE"""),"https://www.linkedin.com/posts/williamdtaylor_financial-analyst-activity-7227793398429032449-T2CJ?utm_source=share&amp;utm_medium=member_desktop")</f>
        <v>https://www.linkedin.com/posts/williamdtaylor_financial-analyst-activity-7227793398429032449-T2CJ?utm_source=share&amp;utm_medium=member_desktop</v>
      </c>
    </row>
    <row r="1028">
      <c r="A1028" s="2">
        <f>IFERROR(__xludf.DUMMYFUNCTION("""COMPUTED_VALUE"""),45515.0)</f>
        <v>45515</v>
      </c>
      <c r="B1028" s="1" t="str">
        <f>IFERROR(__xludf.DUMMYFUNCTION("""COMPUTED_VALUE"""),"CareSource")</f>
        <v>CareSource</v>
      </c>
      <c r="C1028" s="1" t="str">
        <f>IFERROR(__xludf.DUMMYFUNCTION("""COMPUTED_VALUE"""),"Senior Financial Planning Analyst")</f>
        <v>Senior Financial Planning Analyst</v>
      </c>
      <c r="D1028" s="1" t="str">
        <f>IFERROR(__xludf.DUMMYFUNCTION("""COMPUTED_VALUE"""),"Remote")</f>
        <v>Remote</v>
      </c>
      <c r="E1028" s="1" t="str">
        <f>IFERROR(__xludf.DUMMYFUNCTION("""COMPUTED_VALUE"""),"$80k - $100k")</f>
        <v>$80k - $100k</v>
      </c>
      <c r="F1028" s="1" t="str">
        <f>IFERROR(__xludf.DUMMYFUNCTION("""COMPUTED_VALUE"""),"3 - 5")</f>
        <v>3 - 5</v>
      </c>
      <c r="G1028" s="1" t="str">
        <f>IFERROR(__xludf.DUMMYFUNCTION("""COMPUTED_VALUE"""),"Certain Locations")</f>
        <v>Certain Locations</v>
      </c>
      <c r="H1028" s="4" t="str">
        <f>IFERROR(__xludf.DUMMYFUNCTION("""COMPUTED_VALUE"""),"https://www.linkedin.com/posts/elizabeth-moore-prc-96b496b5_hi-finance-friends-my-employer-caresource-activity-7227357769819955201-_74Q?utm_source=share&amp;utm_medium=member_desktop")</f>
        <v>https://www.linkedin.com/posts/elizabeth-moore-prc-96b496b5_hi-finance-friends-my-employer-caresource-activity-7227357769819955201-_74Q?utm_source=share&amp;utm_medium=member_desktop</v>
      </c>
    </row>
    <row r="1029">
      <c r="A1029" s="2">
        <f>IFERROR(__xludf.DUMMYFUNCTION("""COMPUTED_VALUE"""),45515.0)</f>
        <v>45515</v>
      </c>
      <c r="B1029" s="1" t="str">
        <f>IFERROR(__xludf.DUMMYFUNCTION("""COMPUTED_VALUE"""),"Robobank")</f>
        <v>Robobank</v>
      </c>
      <c r="C1029" s="1" t="str">
        <f>IFERROR(__xludf.DUMMYFUNCTION("""COMPUTED_VALUE"""),"AVP - Senior FP&amp;A Analyst")</f>
        <v>AVP - Senior FP&amp;A Analyst</v>
      </c>
      <c r="D1029" s="1" t="str">
        <f>IFERROR(__xludf.DUMMYFUNCTION("""COMPUTED_VALUE"""),"Hybrid")</f>
        <v>Hybrid</v>
      </c>
      <c r="E1029" s="1" t="str">
        <f>IFERROR(__xludf.DUMMYFUNCTION("""COMPUTED_VALUE"""),"$75k - $110k")</f>
        <v>$75k - $110k</v>
      </c>
      <c r="F1029" s="1" t="str">
        <f>IFERROR(__xludf.DUMMYFUNCTION("""COMPUTED_VALUE"""),"3 - 5")</f>
        <v>3 - 5</v>
      </c>
      <c r="G1029" s="1" t="str">
        <f>IFERROR(__xludf.DUMMYFUNCTION("""COMPUTED_VALUE"""),"St. Louis, MO")</f>
        <v>St. Louis, MO</v>
      </c>
      <c r="H1029" s="4" t="str">
        <f>IFERROR(__xludf.DUMMYFUNCTION("""COMPUTED_VALUE"""),"https://www.linkedin.com/posts/sarabethcolvin_avp-senior-fpa-analyst-activity-7228068228835479552-o4fL?utm_source=share&amp;utm_medium=member_desktop")</f>
        <v>https://www.linkedin.com/posts/sarabethcolvin_avp-senior-fpa-analyst-activity-7228068228835479552-o4fL?utm_source=share&amp;utm_medium=member_desktop</v>
      </c>
    </row>
    <row r="1030">
      <c r="A1030" s="2">
        <f>IFERROR(__xludf.DUMMYFUNCTION("""COMPUTED_VALUE"""),45515.0)</f>
        <v>45515</v>
      </c>
      <c r="B1030" s="1" t="str">
        <f>IFERROR(__xludf.DUMMYFUNCTION("""COMPUTED_VALUE"""),"Toyota Material Handling")</f>
        <v>Toyota Material Handling</v>
      </c>
      <c r="C1030" s="1" t="str">
        <f>IFERROR(__xludf.DUMMYFUNCTION("""COMPUTED_VALUE"""),"Supply Chain Analyst")</f>
        <v>Supply Chain Analyst</v>
      </c>
      <c r="D1030" s="1" t="str">
        <f>IFERROR(__xludf.DUMMYFUNCTION("""COMPUTED_VALUE"""),"On-Site")</f>
        <v>On-Site</v>
      </c>
      <c r="E1030" s="1" t="str">
        <f>IFERROR(__xludf.DUMMYFUNCTION("""COMPUTED_VALUE"""),"N/A")</f>
        <v>N/A</v>
      </c>
      <c r="F1030" s="1" t="str">
        <f>IFERROR(__xludf.DUMMYFUNCTION("""COMPUTED_VALUE"""),"0 - 2")</f>
        <v>0 - 2</v>
      </c>
      <c r="G1030" s="1" t="str">
        <f>IFERROR(__xludf.DUMMYFUNCTION("""COMPUTED_VALUE"""),"East Chicago, IN")</f>
        <v>East Chicago, IN</v>
      </c>
      <c r="H1030" s="4" t="str">
        <f>IFERROR(__xludf.DUMMYFUNCTION("""COMPUTED_VALUE"""),"https://www.linkedin.com/posts/tinacaffee_hi-everyone-we-have-a-rare-opening-here-activity-7227491549159284736-6en_?utm_source=share&amp;utm_medium=member_desktop")</f>
        <v>https://www.linkedin.com/posts/tinacaffee_hi-everyone-we-have-a-rare-opening-here-activity-7227491549159284736-6en_?utm_source=share&amp;utm_medium=member_desktop</v>
      </c>
    </row>
    <row r="1031">
      <c r="A1031" s="2">
        <f>IFERROR(__xludf.DUMMYFUNCTION("""COMPUTED_VALUE"""),45514.0)</f>
        <v>45514</v>
      </c>
      <c r="B1031" s="1" t="str">
        <f>IFERROR(__xludf.DUMMYFUNCTION("""COMPUTED_VALUE"""),"Choice Hotels International")</f>
        <v>Choice Hotels International</v>
      </c>
      <c r="C1031" s="1" t="str">
        <f>IFERROR(__xludf.DUMMYFUNCTION("""COMPUTED_VALUE"""),"Choice Privileges Strategy Analyst")</f>
        <v>Choice Privileges Strategy Analyst</v>
      </c>
      <c r="D1031" s="1" t="str">
        <f>IFERROR(__xludf.DUMMYFUNCTION("""COMPUTED_VALUE"""),"On-Site")</f>
        <v>On-Site</v>
      </c>
      <c r="E1031" s="1" t="str">
        <f>IFERROR(__xludf.DUMMYFUNCTION("""COMPUTED_VALUE"""),"N/A")</f>
        <v>N/A</v>
      </c>
      <c r="F1031" s="1" t="str">
        <f>IFERROR(__xludf.DUMMYFUNCTION("""COMPUTED_VALUE"""),"0 - 2")</f>
        <v>0 - 2</v>
      </c>
      <c r="G1031" s="1" t="str">
        <f>IFERROR(__xludf.DUMMYFUNCTION("""COMPUTED_VALUE"""),"North Bethesda, MD")</f>
        <v>North Bethesda, MD</v>
      </c>
      <c r="H1031" s="4" t="str">
        <f>IFERROR(__xludf.DUMMYFUNCTION("""COMPUTED_VALUE"""),"https://www.linkedin.com/posts/activity-7227806297583239168-0Cxg?utm_source=share&amp;utm_medium=member_desktop")</f>
        <v>https://www.linkedin.com/posts/activity-7227806297583239168-0Cxg?utm_source=share&amp;utm_medium=member_desktop</v>
      </c>
    </row>
    <row r="1032">
      <c r="A1032" s="2">
        <f>IFERROR(__xludf.DUMMYFUNCTION("""COMPUTED_VALUE"""),45514.0)</f>
        <v>45514</v>
      </c>
      <c r="B1032" s="1" t="str">
        <f>IFERROR(__xludf.DUMMYFUNCTION("""COMPUTED_VALUE"""),"Arnold Ventures")</f>
        <v>Arnold Ventures</v>
      </c>
      <c r="C1032" s="1" t="str">
        <f>IFERROR(__xludf.DUMMYFUNCTION("""COMPUTED_VALUE"""),"Health Care Analyst, Cross-Cutting")</f>
        <v>Health Care Analyst, Cross-Cutting</v>
      </c>
      <c r="D1032" s="1" t="str">
        <f>IFERROR(__xludf.DUMMYFUNCTION("""COMPUTED_VALUE"""),"Hybrid")</f>
        <v>Hybrid</v>
      </c>
      <c r="E1032" s="1" t="str">
        <f>IFERROR(__xludf.DUMMYFUNCTION("""COMPUTED_VALUE"""),"N/A")</f>
        <v>N/A</v>
      </c>
      <c r="F1032" s="1" t="str">
        <f>IFERROR(__xludf.DUMMYFUNCTION("""COMPUTED_VALUE"""),"0 - 2")</f>
        <v>0 - 2</v>
      </c>
      <c r="G1032" s="1" t="str">
        <f>IFERROR(__xludf.DUMMYFUNCTION("""COMPUTED_VALUE"""),"Washington, DC")</f>
        <v>Washington, DC</v>
      </c>
      <c r="H1032" s="4" t="str">
        <f>IFERROR(__xludf.DUMMYFUNCTION("""COMPUTED_VALUE"""),"https://www.linkedin.com/posts/arielle-mir-8b33ba9_cat-lovers-know-that-av-health-care-is-activity-7224856181775708160-Kx4g?utm_source=share&amp;utm_medium=member_desktop")</f>
        <v>https://www.linkedin.com/posts/arielle-mir-8b33ba9_cat-lovers-know-that-av-health-care-is-activity-7224856181775708160-Kx4g?utm_source=share&amp;utm_medium=member_desktop</v>
      </c>
    </row>
    <row r="1033">
      <c r="A1033" s="2">
        <f>IFERROR(__xludf.DUMMYFUNCTION("""COMPUTED_VALUE"""),45514.0)</f>
        <v>45514</v>
      </c>
      <c r="B1033" s="1" t="str">
        <f>IFERROR(__xludf.DUMMYFUNCTION("""COMPUTED_VALUE"""),"Aledade")</f>
        <v>Aledade</v>
      </c>
      <c r="C1033" s="1" t="str">
        <f>IFERROR(__xludf.DUMMYFUNCTION("""COMPUTED_VALUE"""),"Value Based Care Performance Analyst")</f>
        <v>Value Based Care Performance Analyst</v>
      </c>
      <c r="D1033" s="1" t="str">
        <f>IFERROR(__xludf.DUMMYFUNCTION("""COMPUTED_VALUE"""),"Remote")</f>
        <v>Remote</v>
      </c>
      <c r="E1033" s="1" t="str">
        <f>IFERROR(__xludf.DUMMYFUNCTION("""COMPUTED_VALUE"""),"N/A")</f>
        <v>N/A</v>
      </c>
      <c r="F1033" s="1" t="str">
        <f>IFERROR(__xludf.DUMMYFUNCTION("""COMPUTED_VALUE"""),"0 - 2")</f>
        <v>0 - 2</v>
      </c>
      <c r="G1033" s="1" t="str">
        <f>IFERROR(__xludf.DUMMYFUNCTION("""COMPUTED_VALUE"""),"Certain Locations")</f>
        <v>Certain Locations</v>
      </c>
      <c r="H1033" s="4" t="str">
        <f>IFERROR(__xludf.DUMMYFUNCTION("""COMPUTED_VALUE"""),"https://www.linkedin.com/posts/kevin-atkins-5b217328_aledade-value-based-care-performance-analyst-activity-7227783254303457280-_f2X?utm_source=share&amp;utm_medium=member_desktop")</f>
        <v>https://www.linkedin.com/posts/kevin-atkins-5b217328_aledade-value-based-care-performance-analyst-activity-7227783254303457280-_f2X?utm_source=share&amp;utm_medium=member_desktop</v>
      </c>
    </row>
    <row r="1034">
      <c r="A1034" s="2">
        <f>IFERROR(__xludf.DUMMYFUNCTION("""COMPUTED_VALUE"""),45514.0)</f>
        <v>45514</v>
      </c>
      <c r="B1034" s="1" t="str">
        <f>IFERROR(__xludf.DUMMYFUNCTION("""COMPUTED_VALUE"""),"JPMorganChase")</f>
        <v>JPMorganChase</v>
      </c>
      <c r="C1034" s="1" t="str">
        <f>IFERROR(__xludf.DUMMYFUNCTION("""COMPUTED_VALUE"""),"Service Product Analytics - Quant Analyst Senior Associate")</f>
        <v>Service Product Analytics - Quant Analyst Senior Associate</v>
      </c>
      <c r="D1034" s="1" t="str">
        <f>IFERROR(__xludf.DUMMYFUNCTION("""COMPUTED_VALUE"""),"On-Site")</f>
        <v>On-Site</v>
      </c>
      <c r="E1034" s="1" t="str">
        <f>IFERROR(__xludf.DUMMYFUNCTION("""COMPUTED_VALUE"""),"N/A")</f>
        <v>N/A</v>
      </c>
      <c r="F1034" s="1" t="str">
        <f>IFERROR(__xludf.DUMMYFUNCTION("""COMPUTED_VALUE"""),"3 - 5")</f>
        <v>3 - 5</v>
      </c>
      <c r="G1034" s="1" t="str">
        <f>IFERROR(__xludf.DUMMYFUNCTION("""COMPUTED_VALUE"""),"Wilmington, DE/Columbus, OH")</f>
        <v>Wilmington, DE/Columbus, OH</v>
      </c>
      <c r="H1034" s="4" t="str">
        <f>IFERROR(__xludf.DUMMYFUNCTION("""COMPUTED_VALUE"""),"https://www.linkedin.com/posts/nabin-ghimire-187485a_service-product-analytics-quant-analytics-activity-7227789783853408256-wtQZ?utm_source=share&amp;utm_medium=member_desktop")</f>
        <v>https://www.linkedin.com/posts/nabin-ghimire-187485a_service-product-analytics-quant-analytics-activity-7227789783853408256-wtQZ?utm_source=share&amp;utm_medium=member_desktop</v>
      </c>
    </row>
    <row r="1035">
      <c r="A1035" s="2">
        <f>IFERROR(__xludf.DUMMYFUNCTION("""COMPUTED_VALUE"""),45514.0)</f>
        <v>45514</v>
      </c>
      <c r="B1035" s="1" t="str">
        <f>IFERROR(__xludf.DUMMYFUNCTION("""COMPUTED_VALUE"""),"Red Bull")</f>
        <v>Red Bull</v>
      </c>
      <c r="C1035" s="1" t="str">
        <f>IFERROR(__xludf.DUMMYFUNCTION("""COMPUTED_VALUE"""),"Business Analyst")</f>
        <v>Business Analyst</v>
      </c>
      <c r="D1035" s="1" t="str">
        <f>IFERROR(__xludf.DUMMYFUNCTION("""COMPUTED_VALUE"""),"On-Site")</f>
        <v>On-Site</v>
      </c>
      <c r="E1035" s="1" t="str">
        <f>IFERROR(__xludf.DUMMYFUNCTION("""COMPUTED_VALUE"""),"$76k - $84k")</f>
        <v>$76k - $84k</v>
      </c>
      <c r="F1035" s="1" t="str">
        <f>IFERROR(__xludf.DUMMYFUNCTION("""COMPUTED_VALUE"""),"0 - 2")</f>
        <v>0 - 2</v>
      </c>
      <c r="G1035" s="1" t="str">
        <f>IFERROR(__xludf.DUMMYFUNCTION("""COMPUTED_VALUE"""),"Santa Monica, CA")</f>
        <v>Santa Monica, CA</v>
      </c>
      <c r="H1035" s="4" t="str">
        <f>IFERROR(__xludf.DUMMYFUNCTION("""COMPUTED_VALUE"""),"https://www.linkedin.com/posts/melissa-ercoli_business-analyst-santa-monica-red-bull-activity-7227820963734675457-TbN4?utm_source=share&amp;utm_medium=member_desktop")</f>
        <v>https://www.linkedin.com/posts/melissa-ercoli_business-analyst-santa-monica-red-bull-activity-7227820963734675457-TbN4?utm_source=share&amp;utm_medium=member_desktop</v>
      </c>
    </row>
    <row r="1036">
      <c r="A1036" s="2">
        <f>IFERROR(__xludf.DUMMYFUNCTION("""COMPUTED_VALUE"""),45514.0)</f>
        <v>45514</v>
      </c>
      <c r="B1036" s="1" t="str">
        <f>IFERROR(__xludf.DUMMYFUNCTION("""COMPUTED_VALUE"""),"VMG Health")</f>
        <v>VMG Health</v>
      </c>
      <c r="C1036" s="1" t="str">
        <f>IFERROR(__xludf.DUMMYFUNCTION("""COMPUTED_VALUE"""),"Financial Analyst")</f>
        <v>Financial Analyst</v>
      </c>
      <c r="D1036" s="1" t="str">
        <f>IFERROR(__xludf.DUMMYFUNCTION("""COMPUTED_VALUE"""),"On-Site")</f>
        <v>On-Site</v>
      </c>
      <c r="E1036" s="1" t="str">
        <f>IFERROR(__xludf.DUMMYFUNCTION("""COMPUTED_VALUE"""),"$75k - $80k")</f>
        <v>$75k - $80k</v>
      </c>
      <c r="F1036" s="1" t="str">
        <f>IFERROR(__xludf.DUMMYFUNCTION("""COMPUTED_VALUE"""),"0 - 2")</f>
        <v>0 - 2</v>
      </c>
      <c r="G1036" s="1" t="str">
        <f>IFERROR(__xludf.DUMMYFUNCTION("""COMPUTED_VALUE"""),"Denver, CO")</f>
        <v>Denver, CO</v>
      </c>
      <c r="H1036" s="4" t="str">
        <f>IFERROR(__xludf.DUMMYFUNCTION("""COMPUTED_VALUE"""),"https://www.linkedin.com/posts/rileythompsxn_check-out-this-job-here-at-vmg-health-financial-activity-7227759649385500673-jVx3?utm_source=share&amp;utm_medium=member_desktop")</f>
        <v>https://www.linkedin.com/posts/rileythompsxn_check-out-this-job-here-at-vmg-health-financial-activity-7227759649385500673-jVx3?utm_source=share&amp;utm_medium=member_desktop</v>
      </c>
    </row>
    <row r="1037">
      <c r="A1037" s="2">
        <f>IFERROR(__xludf.DUMMYFUNCTION("""COMPUTED_VALUE"""),45514.0)</f>
        <v>45514</v>
      </c>
      <c r="B1037" s="1" t="str">
        <f>IFERROR(__xludf.DUMMYFUNCTION("""COMPUTED_VALUE"""),"Gusto")</f>
        <v>Gusto</v>
      </c>
      <c r="C1037" s="1" t="str">
        <f>IFERROR(__xludf.DUMMYFUNCTION("""COMPUTED_VALUE"""),"Intraday Real-Time Analyst")</f>
        <v>Intraday Real-Time Analyst</v>
      </c>
      <c r="D1037" s="1" t="str">
        <f>IFERROR(__xludf.DUMMYFUNCTION("""COMPUTED_VALUE"""),"Remote")</f>
        <v>Remote</v>
      </c>
      <c r="E1037" s="1" t="str">
        <f>IFERROR(__xludf.DUMMYFUNCTION("""COMPUTED_VALUE"""),"$57k - $71k")</f>
        <v>$57k - $71k</v>
      </c>
      <c r="F1037" s="1" t="str">
        <f>IFERROR(__xludf.DUMMYFUNCTION("""COMPUTED_VALUE"""),"0 - 2")</f>
        <v>0 - 2</v>
      </c>
      <c r="G1037" s="1" t="str">
        <f>IFERROR(__xludf.DUMMYFUNCTION("""COMPUTED_VALUE"""),"Certain Locations")</f>
        <v>Certain Locations</v>
      </c>
      <c r="H1037" s="4" t="str">
        <f>IFERROR(__xludf.DUMMYFUNCTION("""COMPUTED_VALUE"""),"https://www.linkedin.com/posts/schamper_orlando-area-friends-check-out-this-job-activity-7228051527075033088-Y2N4?utm_source=share&amp;utm_medium=member_desktop")</f>
        <v>https://www.linkedin.com/posts/schamper_orlando-area-friends-check-out-this-job-activity-7228051527075033088-Y2N4?utm_source=share&amp;utm_medium=member_desktop</v>
      </c>
    </row>
    <row r="1038">
      <c r="A1038" s="2">
        <f>IFERROR(__xludf.DUMMYFUNCTION("""COMPUTED_VALUE"""),45514.0)</f>
        <v>45514</v>
      </c>
      <c r="B1038" s="1" t="str">
        <f>IFERROR(__xludf.DUMMYFUNCTION("""COMPUTED_VALUE"""),"Caterpillar")</f>
        <v>Caterpillar</v>
      </c>
      <c r="C1038" s="1" t="str">
        <f>IFERROR(__xludf.DUMMYFUNCTION("""COMPUTED_VALUE"""),"Business Intelligence Analyst")</f>
        <v>Business Intelligence Analyst</v>
      </c>
      <c r="D1038" s="1" t="str">
        <f>IFERROR(__xludf.DUMMYFUNCTION("""COMPUTED_VALUE"""),"On-Site")</f>
        <v>On-Site</v>
      </c>
      <c r="E1038" s="1" t="str">
        <f>IFERROR(__xludf.DUMMYFUNCTION("""COMPUTED_VALUE"""),"N/A")</f>
        <v>N/A</v>
      </c>
      <c r="F1038" s="1" t="str">
        <f>IFERROR(__xludf.DUMMYFUNCTION("""COMPUTED_VALUE"""),"3 - 5")</f>
        <v>3 - 5</v>
      </c>
      <c r="G1038" s="1" t="str">
        <f>IFERROR(__xludf.DUMMYFUNCTION("""COMPUTED_VALUE"""),"Irving, TX")</f>
        <v>Irving, TX</v>
      </c>
      <c r="H1038" s="4" t="str">
        <f>IFERROR(__xludf.DUMMYFUNCTION("""COMPUTED_VALUE"""),"https://www.linkedin.com/posts/kaitlin-palumbo-muller_happy-friday-were-excited-to-announce-an-activity-7227678525892313096--Myq?utm_source=share&amp;utm_medium=member_desktop")</f>
        <v>https://www.linkedin.com/posts/kaitlin-palumbo-muller_happy-friday-were-excited-to-announce-an-activity-7227678525892313096--Myq?utm_source=share&amp;utm_medium=member_desktop</v>
      </c>
    </row>
    <row r="1039">
      <c r="A1039" s="2">
        <f>IFERROR(__xludf.DUMMYFUNCTION("""COMPUTED_VALUE"""),45514.0)</f>
        <v>45514</v>
      </c>
      <c r="B1039" s="1" t="str">
        <f>IFERROR(__xludf.DUMMYFUNCTION("""COMPUTED_VALUE"""),"Blue Cross Blue Shield")</f>
        <v>Blue Cross Blue Shield</v>
      </c>
      <c r="C1039" s="1" t="str">
        <f>IFERROR(__xludf.DUMMYFUNCTION("""COMPUTED_VALUE"""),"Investment Analyst III")</f>
        <v>Investment Analyst III</v>
      </c>
      <c r="D1039" s="1" t="str">
        <f>IFERROR(__xludf.DUMMYFUNCTION("""COMPUTED_VALUE"""),"Hybrid")</f>
        <v>Hybrid</v>
      </c>
      <c r="E1039" s="1" t="str">
        <f>IFERROR(__xludf.DUMMYFUNCTION("""COMPUTED_VALUE"""),"$59k - $130k")</f>
        <v>$59k - $130k</v>
      </c>
      <c r="F1039" s="1" t="str">
        <f>IFERROR(__xludf.DUMMYFUNCTION("""COMPUTED_VALUE"""),"3 - 5")</f>
        <v>3 - 5</v>
      </c>
      <c r="G1039" s="1" t="str">
        <f>IFERROR(__xludf.DUMMYFUNCTION("""COMPUTED_VALUE"""),"Chicago, IL")</f>
        <v>Chicago, IL</v>
      </c>
      <c r="H1039" s="4" t="str">
        <f>IFERROR(__xludf.DUMMYFUNCTION("""COMPUTED_VALUE"""),"https://www.linkedin.com/posts/toni-pearson-she-her-41075b7_investment-analyst-iii-in-chicago-il-activity-7228145317861285888-DpBb?utm_source=share&amp;utm_medium=member_desktop")</f>
        <v>https://www.linkedin.com/posts/toni-pearson-she-her-41075b7_investment-analyst-iii-in-chicago-il-activity-7228145317861285888-DpBb?utm_source=share&amp;utm_medium=member_desktop</v>
      </c>
    </row>
    <row r="1040">
      <c r="A1040" s="2">
        <f>IFERROR(__xludf.DUMMYFUNCTION("""COMPUTED_VALUE"""),45514.0)</f>
        <v>45514</v>
      </c>
      <c r="B1040" s="1" t="str">
        <f>IFERROR(__xludf.DUMMYFUNCTION("""COMPUTED_VALUE"""),"Arnold Ventures")</f>
        <v>Arnold Ventures</v>
      </c>
      <c r="C1040" s="1" t="str">
        <f>IFERROR(__xludf.DUMMYFUNCTION("""COMPUTED_VALUE"""),"Health Care Analyst, Cross-Cutting")</f>
        <v>Health Care Analyst, Cross-Cutting</v>
      </c>
      <c r="D1040" s="1" t="str">
        <f>IFERROR(__xludf.DUMMYFUNCTION("""COMPUTED_VALUE"""),"Hybrid")</f>
        <v>Hybrid</v>
      </c>
      <c r="E1040" s="1" t="str">
        <f>IFERROR(__xludf.DUMMYFUNCTION("""COMPUTED_VALUE"""),"$75k - $90k")</f>
        <v>$75k - $90k</v>
      </c>
      <c r="F1040" s="1" t="str">
        <f>IFERROR(__xludf.DUMMYFUNCTION("""COMPUTED_VALUE"""),"0 - 2")</f>
        <v>0 - 2</v>
      </c>
      <c r="G1040" s="1" t="str">
        <f>IFERROR(__xludf.DUMMYFUNCTION("""COMPUTED_VALUE"""),"Washington, DC")</f>
        <v>Washington, DC</v>
      </c>
      <c r="H1040" s="4" t="str">
        <f>IFERROR(__xludf.DUMMYFUNCTION("""COMPUTED_VALUE"""),"https://www.linkedin.com/posts/arielle-mir-8b33ba9_cat-lovers-know-that-av-health-care-is-activity-7224856181775708160-Kx4g?utm_source=share&amp;utm_medium=member_desktop")</f>
        <v>https://www.linkedin.com/posts/arielle-mir-8b33ba9_cat-lovers-know-that-av-health-care-is-activity-7224856181775708160-Kx4g?utm_source=share&amp;utm_medium=member_desktop</v>
      </c>
    </row>
    <row r="1041">
      <c r="A1041" s="2">
        <f>IFERROR(__xludf.DUMMYFUNCTION("""COMPUTED_VALUE"""),45513.0)</f>
        <v>45513</v>
      </c>
      <c r="B1041" s="1" t="str">
        <f>IFERROR(__xludf.DUMMYFUNCTION("""COMPUTED_VALUE"""),"Regal Rexnord")</f>
        <v>Regal Rexnord</v>
      </c>
      <c r="C1041" s="1" t="str">
        <f>IFERROR(__xludf.DUMMYFUNCTION("""COMPUTED_VALUE"""),"PowerBI Analyst")</f>
        <v>PowerBI Analyst</v>
      </c>
      <c r="D1041" s="1" t="str">
        <f>IFERROR(__xludf.DUMMYFUNCTION("""COMPUTED_VALUE"""),"Hybrid")</f>
        <v>Hybrid</v>
      </c>
      <c r="E1041" s="1" t="str">
        <f>IFERROR(__xludf.DUMMYFUNCTION("""COMPUTED_VALUE"""),"N/A")</f>
        <v>N/A</v>
      </c>
      <c r="F1041" s="1" t="str">
        <f>IFERROR(__xludf.DUMMYFUNCTION("""COMPUTED_VALUE"""),"3 - 5")</f>
        <v>3 - 5</v>
      </c>
      <c r="G1041" s="1" t="str">
        <f>IFERROR(__xludf.DUMMYFUNCTION("""COMPUTED_VALUE"""),"Milwaukee, WI")</f>
        <v>Milwaukee, WI</v>
      </c>
      <c r="H1041" s="4" t="str">
        <f>IFERROR(__xludf.DUMMYFUNCTION("""COMPUTED_VALUE"""),"https://www.linkedin.com/posts/dan-heidenreich-270a7125_powerbi-analyst-activity-7227415816407805952-fwUi?utm_source=share&amp;utm_medium=member_desktop")</f>
        <v>https://www.linkedin.com/posts/dan-heidenreich-270a7125_powerbi-analyst-activity-7227415816407805952-fwUi?utm_source=share&amp;utm_medium=member_desktop</v>
      </c>
    </row>
    <row r="1042">
      <c r="A1042" s="2">
        <f>IFERROR(__xludf.DUMMYFUNCTION("""COMPUTED_VALUE"""),45513.0)</f>
        <v>45513</v>
      </c>
      <c r="B1042" s="1" t="str">
        <f>IFERROR(__xludf.DUMMYFUNCTION("""COMPUTED_VALUE"""),"University Health")</f>
        <v>University Health</v>
      </c>
      <c r="C1042" s="1" t="str">
        <f>IFERROR(__xludf.DUMMYFUNCTION("""COMPUTED_VALUE"""),"Senior Data Quality Analyst")</f>
        <v>Senior Data Quality Analyst</v>
      </c>
      <c r="D1042" s="1" t="str">
        <f>IFERROR(__xludf.DUMMYFUNCTION("""COMPUTED_VALUE"""),"On-Site")</f>
        <v>On-Site</v>
      </c>
      <c r="E1042" s="1" t="str">
        <f>IFERROR(__xludf.DUMMYFUNCTION("""COMPUTED_VALUE"""),"N/A")</f>
        <v>N/A</v>
      </c>
      <c r="F1042" s="1" t="str">
        <f>IFERROR(__xludf.DUMMYFUNCTION("""COMPUTED_VALUE"""),"0 - 2")</f>
        <v>0 - 2</v>
      </c>
      <c r="G1042" s="1" t="str">
        <f>IFERROR(__xludf.DUMMYFUNCTION("""COMPUTED_VALUE"""),"San Antonio, TX")</f>
        <v>San Antonio, TX</v>
      </c>
      <c r="H1042" s="4" t="str">
        <f>IFERROR(__xludf.DUMMYFUNCTION("""COMPUTED_VALUE"""),"https://www.linkedin.com/posts/maria-vergel-19142a35_senior-quality-data-analyst-at-university-activity-7227729502833922048-qEqY?utm_source=share&amp;utm_medium=member_desktop")</f>
        <v>https://www.linkedin.com/posts/maria-vergel-19142a35_senior-quality-data-analyst-at-university-activity-7227729502833922048-qEqY?utm_source=share&amp;utm_medium=member_desktop</v>
      </c>
    </row>
    <row r="1043">
      <c r="A1043" s="2">
        <f>IFERROR(__xludf.DUMMYFUNCTION("""COMPUTED_VALUE"""),45513.0)</f>
        <v>45513</v>
      </c>
      <c r="B1043" s="1" t="str">
        <f>IFERROR(__xludf.DUMMYFUNCTION("""COMPUTED_VALUE"""),"EverQuote")</f>
        <v>EverQuote</v>
      </c>
      <c r="C1043" s="1" t="str">
        <f>IFERROR(__xludf.DUMMYFUNCTION("""COMPUTED_VALUE"""),"Senior Analyst")</f>
        <v>Senior Analyst</v>
      </c>
      <c r="D1043" s="1" t="str">
        <f>IFERROR(__xludf.DUMMYFUNCTION("""COMPUTED_VALUE"""),"On-Site")</f>
        <v>On-Site</v>
      </c>
      <c r="E1043" s="1" t="str">
        <f>IFERROR(__xludf.DUMMYFUNCTION("""COMPUTED_VALUE"""),"N/A")</f>
        <v>N/A</v>
      </c>
      <c r="F1043" s="1" t="str">
        <f>IFERROR(__xludf.DUMMYFUNCTION("""COMPUTED_VALUE"""),"3 - 5")</f>
        <v>3 - 5</v>
      </c>
      <c r="G1043" s="1" t="str">
        <f>IFERROR(__xludf.DUMMYFUNCTION("""COMPUTED_VALUE"""),"Cambridge, MA")</f>
        <v>Cambridge, MA</v>
      </c>
      <c r="H1043" s="4" t="str">
        <f>IFERROR(__xludf.DUMMYFUNCTION("""COMPUTED_VALUE"""),"https://www.linkedin.com/posts/cheyennetila_our-analytics-team-is-growing-at-everquote-activity-7227729453081092096-Xrwz?utm_source=share&amp;utm_medium=member_desktop")</f>
        <v>https://www.linkedin.com/posts/cheyennetila_our-analytics-team-is-growing-at-everquote-activity-7227729453081092096-Xrwz?utm_source=share&amp;utm_medium=member_desktop</v>
      </c>
    </row>
    <row r="1044">
      <c r="A1044" s="2">
        <f>IFERROR(__xludf.DUMMYFUNCTION("""COMPUTED_VALUE"""),45513.0)</f>
        <v>45513</v>
      </c>
      <c r="B1044" s="1" t="str">
        <f>IFERROR(__xludf.DUMMYFUNCTION("""COMPUTED_VALUE"""),"EPITEC")</f>
        <v>EPITEC</v>
      </c>
      <c r="C1044" s="1" t="str">
        <f>IFERROR(__xludf.DUMMYFUNCTION("""COMPUTED_VALUE"""),"Business Analyst")</f>
        <v>Business Analyst</v>
      </c>
      <c r="D1044" s="1" t="str">
        <f>IFERROR(__xludf.DUMMYFUNCTION("""COMPUTED_VALUE"""),"On-Site")</f>
        <v>On-Site</v>
      </c>
      <c r="E1044" s="1" t="str">
        <f>IFERROR(__xludf.DUMMYFUNCTION("""COMPUTED_VALUE"""),"$35 - $39/hr")</f>
        <v>$35 - $39/hr</v>
      </c>
      <c r="F1044" s="1" t="str">
        <f>IFERROR(__xludf.DUMMYFUNCTION("""COMPUTED_VALUE"""),"0 - 2")</f>
        <v>0 - 2</v>
      </c>
      <c r="G1044" s="1" t="str">
        <f>IFERROR(__xludf.DUMMYFUNCTION("""COMPUTED_VALUE"""),"Plano,TX")</f>
        <v>Plano,TX</v>
      </c>
      <c r="H1044" s="4" t="str">
        <f>IFERROR(__xludf.DUMMYFUNCTION("""COMPUTED_VALUE"""),"https://www.linkedin.com/posts/madison-melone_hiring-activity-7227696025623293954-IDd1?utm_source=share&amp;utm_medium=member_desktop")</f>
        <v>https://www.linkedin.com/posts/madison-melone_hiring-activity-7227696025623293954-IDd1?utm_source=share&amp;utm_medium=member_desktop</v>
      </c>
    </row>
    <row r="1045">
      <c r="A1045" s="2">
        <f>IFERROR(__xludf.DUMMYFUNCTION("""COMPUTED_VALUE"""),45513.0)</f>
        <v>45513</v>
      </c>
      <c r="B1045" s="1" t="str">
        <f>IFERROR(__xludf.DUMMYFUNCTION("""COMPUTED_VALUE"""),"Funko")</f>
        <v>Funko</v>
      </c>
      <c r="C1045" s="1" t="str">
        <f>IFERROR(__xludf.DUMMYFUNCTION("""COMPUTED_VALUE"""),"Senior Manager Operations and Network Analytics")</f>
        <v>Senior Manager Operations and Network Analytics</v>
      </c>
      <c r="D1045" s="1" t="str">
        <f>IFERROR(__xludf.DUMMYFUNCTION("""COMPUTED_VALUE"""),"Hybrid")</f>
        <v>Hybrid</v>
      </c>
      <c r="E1045" s="1" t="str">
        <f>IFERROR(__xludf.DUMMYFUNCTION("""COMPUTED_VALUE"""),"$121k - $151k")</f>
        <v>$121k - $151k</v>
      </c>
      <c r="F1045" s="1" t="str">
        <f>IFERROR(__xludf.DUMMYFUNCTION("""COMPUTED_VALUE"""),"3 - 5")</f>
        <v>3 - 5</v>
      </c>
      <c r="G1045" s="1" t="str">
        <f>IFERROR(__xludf.DUMMYFUNCTION("""COMPUTED_VALUE"""),"Certain Locations")</f>
        <v>Certain Locations</v>
      </c>
      <c r="H1045" s="4" t="str">
        <f>IFERROR(__xludf.DUMMYFUNCTION("""COMPUTED_VALUE"""),"https://www.linkedin.com/posts/carlanna-livingstone-cpp_senior-manager-operations-and-network-analytics-activity-7227795780399472640-qmss?utm_source=share&amp;utm_medium=member_desktop")</f>
        <v>https://www.linkedin.com/posts/carlanna-livingstone-cpp_senior-manager-operations-and-network-analytics-activity-7227795780399472640-qmss?utm_source=share&amp;utm_medium=member_desktop</v>
      </c>
    </row>
    <row r="1046">
      <c r="A1046" s="2">
        <f>IFERROR(__xludf.DUMMYFUNCTION("""COMPUTED_VALUE"""),45513.0)</f>
        <v>45513</v>
      </c>
      <c r="B1046" s="1" t="str">
        <f>IFERROR(__xludf.DUMMYFUNCTION("""COMPUTED_VALUE"""),"The Baldwin Group")</f>
        <v>The Baldwin Group</v>
      </c>
      <c r="C1046" s="1" t="str">
        <f>IFERROR(__xludf.DUMMYFUNCTION("""COMPUTED_VALUE"""),"Financial Analyst")</f>
        <v>Financial Analyst</v>
      </c>
      <c r="D1046" s="1" t="str">
        <f>IFERROR(__xludf.DUMMYFUNCTION("""COMPUTED_VALUE"""),"On-Site")</f>
        <v>On-Site</v>
      </c>
      <c r="E1046" s="1" t="str">
        <f>IFERROR(__xludf.DUMMYFUNCTION("""COMPUTED_VALUE"""),"N/A")</f>
        <v>N/A</v>
      </c>
      <c r="F1046" s="1" t="str">
        <f>IFERROR(__xludf.DUMMYFUNCTION("""COMPUTED_VALUE"""),"0 - 2")</f>
        <v>0 - 2</v>
      </c>
      <c r="G1046" s="1" t="str">
        <f>IFERROR(__xludf.DUMMYFUNCTION("""COMPUTED_VALUE"""),"Tampa, FL")</f>
        <v>Tampa, FL</v>
      </c>
      <c r="H1046" s="4" t="str">
        <f>IFERROR(__xludf.DUMMYFUNCTION("""COMPUTED_VALUE"""),"https://www.linkedin.com/posts/samanthajgeorge_financial-analyst-activity-7227655728163942400-4NnZ?utm_source=share&amp;utm_medium=member_desktop")</f>
        <v>https://www.linkedin.com/posts/samanthajgeorge_financial-analyst-activity-7227655728163942400-4NnZ?utm_source=share&amp;utm_medium=member_desktop</v>
      </c>
    </row>
    <row r="1047">
      <c r="A1047" s="2">
        <f>IFERROR(__xludf.DUMMYFUNCTION("""COMPUTED_VALUE"""),45513.0)</f>
        <v>45513</v>
      </c>
      <c r="B1047" s="1" t="str">
        <f>IFERROR(__xludf.DUMMYFUNCTION("""COMPUTED_VALUE"""),"Sitio Royalties")</f>
        <v>Sitio Royalties</v>
      </c>
      <c r="C1047" s="1" t="str">
        <f>IFERROR(__xludf.DUMMYFUNCTION("""COMPUTED_VALUE"""),"Corporate Finance Analyst")</f>
        <v>Corporate Finance Analyst</v>
      </c>
      <c r="D1047" s="1" t="str">
        <f>IFERROR(__xludf.DUMMYFUNCTION("""COMPUTED_VALUE"""),"Hybrid")</f>
        <v>Hybrid</v>
      </c>
      <c r="E1047" s="1" t="str">
        <f>IFERROR(__xludf.DUMMYFUNCTION("""COMPUTED_VALUE"""),"N/A")</f>
        <v>N/A</v>
      </c>
      <c r="F1047" s="1" t="str">
        <f>IFERROR(__xludf.DUMMYFUNCTION("""COMPUTED_VALUE"""),"3 - 5")</f>
        <v>3 - 5</v>
      </c>
      <c r="G1047" s="1" t="str">
        <f>IFERROR(__xludf.DUMMYFUNCTION("""COMPUTED_VALUE"""),"Houston, TX")</f>
        <v>Houston, TX</v>
      </c>
      <c r="H1047" s="4" t="str">
        <f>IFERROR(__xludf.DUMMYFUNCTION("""COMPUTED_VALUE"""),"https://www.linkedin.com/posts/sonali-kothare-phr-m-s-51b57342_what-a-great-way-to-end-the-week-launching-activity-7227680113813790722-TJ-U?utm_source=share&amp;utm_medium=member_desktop")</f>
        <v>https://www.linkedin.com/posts/sonali-kothare-phr-m-s-51b57342_what-a-great-way-to-end-the-week-launching-activity-7227680113813790722-TJ-U?utm_source=share&amp;utm_medium=member_desktop</v>
      </c>
    </row>
    <row r="1048">
      <c r="A1048" s="2">
        <f>IFERROR(__xludf.DUMMYFUNCTION("""COMPUTED_VALUE"""),45513.0)</f>
        <v>45513</v>
      </c>
      <c r="B1048" s="1" t="str">
        <f>IFERROR(__xludf.DUMMYFUNCTION("""COMPUTED_VALUE"""),"Boston Consulting Group")</f>
        <v>Boston Consulting Group</v>
      </c>
      <c r="C1048" s="1" t="str">
        <f>IFERROR(__xludf.DUMMYFUNCTION("""COMPUTED_VALUE"""),"Lead Knowledge Analyst")</f>
        <v>Lead Knowledge Analyst</v>
      </c>
      <c r="D1048" s="1" t="str">
        <f>IFERROR(__xludf.DUMMYFUNCTION("""COMPUTED_VALUE"""),"On-Site")</f>
        <v>On-Site</v>
      </c>
      <c r="E1048" s="1" t="str">
        <f>IFERROR(__xludf.DUMMYFUNCTION("""COMPUTED_VALUE"""),"N/A")</f>
        <v>N/A</v>
      </c>
      <c r="F1048" s="1" t="str">
        <f>IFERROR(__xludf.DUMMYFUNCTION("""COMPUTED_VALUE"""),"3 - 5")</f>
        <v>3 - 5</v>
      </c>
      <c r="G1048" s="1" t="str">
        <f>IFERROR(__xludf.DUMMYFUNCTION("""COMPUTED_VALUE"""),"Chicago, IL")</f>
        <v>Chicago, IL</v>
      </c>
      <c r="H1048" s="4" t="str">
        <f>IFERROR(__xludf.DUMMYFUNCTION("""COMPUTED_VALUE"""),"https://www.linkedin.com/posts/amberwilcox_our-team-is-hiring-come-join-my-global-team-activity-7227687228477427712-lwio?utm_source=share&amp;utm_medium=member_desktop")</f>
        <v>https://www.linkedin.com/posts/amberwilcox_our-team-is-hiring-come-join-my-global-team-activity-7227687228477427712-lwio?utm_source=share&amp;utm_medium=member_desktop</v>
      </c>
    </row>
    <row r="1049">
      <c r="A1049" s="2">
        <f>IFERROR(__xludf.DUMMYFUNCTION("""COMPUTED_VALUE"""),45513.0)</f>
        <v>45513</v>
      </c>
      <c r="B1049" s="1" t="str">
        <f>IFERROR(__xludf.DUMMYFUNCTION("""COMPUTED_VALUE"""),"Capstan Consulting, LLC")</f>
        <v>Capstan Consulting, LLC</v>
      </c>
      <c r="C1049" s="1" t="str">
        <f>IFERROR(__xludf.DUMMYFUNCTION("""COMPUTED_VALUE"""),"Analyst")</f>
        <v>Analyst</v>
      </c>
      <c r="D1049" s="1" t="str">
        <f>IFERROR(__xludf.DUMMYFUNCTION("""COMPUTED_VALUE"""),"Remote")</f>
        <v>Remote</v>
      </c>
      <c r="E1049" s="1" t="str">
        <f>IFERROR(__xludf.DUMMYFUNCTION("""COMPUTED_VALUE"""),"N/A")</f>
        <v>N/A</v>
      </c>
      <c r="F1049" s="1" t="str">
        <f>IFERROR(__xludf.DUMMYFUNCTION("""COMPUTED_VALUE"""),"3 - 5")</f>
        <v>3 - 5</v>
      </c>
      <c r="G1049" s="1" t="str">
        <f>IFERROR(__xludf.DUMMYFUNCTION("""COMPUTED_VALUE"""),"USA")</f>
        <v>USA</v>
      </c>
      <c r="H1049" s="4" t="str">
        <f>IFERROR(__xludf.DUMMYFUNCTION("""COMPUTED_VALUE"""),"https://www.linkedin.com/posts/bradjulian_we-are-looking-for-qualified-candidates-to-activity-7227698477139476480-594C?utm_source=share&amp;utm_medium=member_desktop")</f>
        <v>https://www.linkedin.com/posts/bradjulian_we-are-looking-for-qualified-candidates-to-activity-7227698477139476480-594C?utm_source=share&amp;utm_medium=member_desktop</v>
      </c>
    </row>
    <row r="1050">
      <c r="A1050" s="2">
        <f>IFERROR(__xludf.DUMMYFUNCTION("""COMPUTED_VALUE"""),45513.0)</f>
        <v>45513</v>
      </c>
      <c r="B1050" s="1" t="str">
        <f>IFERROR(__xludf.DUMMYFUNCTION("""COMPUTED_VALUE"""),"Inceed")</f>
        <v>Inceed</v>
      </c>
      <c r="C1050" s="1" t="str">
        <f>IFERROR(__xludf.DUMMYFUNCTION("""COMPUTED_VALUE"""),"Financial Analyst")</f>
        <v>Financial Analyst</v>
      </c>
      <c r="D1050" s="1" t="str">
        <f>IFERROR(__xludf.DUMMYFUNCTION("""COMPUTED_VALUE"""),"On-Site")</f>
        <v>On-Site</v>
      </c>
      <c r="E1050" s="1" t="str">
        <f>IFERROR(__xludf.DUMMYFUNCTION("""COMPUTED_VALUE"""),"$80k - $90k")</f>
        <v>$80k - $90k</v>
      </c>
      <c r="F1050" s="1" t="str">
        <f>IFERROR(__xludf.DUMMYFUNCTION("""COMPUTED_VALUE"""),"3 - 5")</f>
        <v>3 - 5</v>
      </c>
      <c r="G1050" s="1" t="str">
        <f>IFERROR(__xludf.DUMMYFUNCTION("""COMPUTED_VALUE"""),"Oklahoma City, OK")</f>
        <v>Oklahoma City, OK</v>
      </c>
      <c r="H1050" s="4" t="str">
        <f>IFERROR(__xludf.DUMMYFUNCTION("""COMPUTED_VALUE"""),"https://www.linkedin.com/posts/mandi-robbins-a574a6128_im-looking-for-a-financial-analyst-that-activity-7227715739846131713-TyBg?utm_source=share&amp;utm_medium=member_desktop")</f>
        <v>https://www.linkedin.com/posts/mandi-robbins-a574a6128_im-looking-for-a-financial-analyst-that-activity-7227715739846131713-TyBg?utm_source=share&amp;utm_medium=member_desktop</v>
      </c>
    </row>
    <row r="1051">
      <c r="A1051" s="2">
        <f>IFERROR(__xludf.DUMMYFUNCTION("""COMPUTED_VALUE"""),45513.0)</f>
        <v>45513</v>
      </c>
      <c r="B1051" s="1" t="str">
        <f>IFERROR(__xludf.DUMMYFUNCTION("""COMPUTED_VALUE"""),"Corewell Health")</f>
        <v>Corewell Health</v>
      </c>
      <c r="C1051" s="1" t="str">
        <f>IFERROR(__xludf.DUMMYFUNCTION("""COMPUTED_VALUE"""),"Health Insurance Business Intelligence Analyst")</f>
        <v>Health Insurance Business Intelligence Analyst</v>
      </c>
      <c r="D1051" s="1" t="str">
        <f>IFERROR(__xludf.DUMMYFUNCTION("""COMPUTED_VALUE"""),"Hybrid")</f>
        <v>Hybrid</v>
      </c>
      <c r="E1051" s="1" t="str">
        <f>IFERROR(__xludf.DUMMYFUNCTION("""COMPUTED_VALUE"""),"N/A")</f>
        <v>N/A</v>
      </c>
      <c r="F1051" s="1" t="str">
        <f>IFERROR(__xludf.DUMMYFUNCTION("""COMPUTED_VALUE"""),"0 - 2")</f>
        <v>0 - 2</v>
      </c>
      <c r="G1051" s="1" t="str">
        <f>IFERROR(__xludf.DUMMYFUNCTION("""COMPUTED_VALUE"""),"Grand Rapids, MI")</f>
        <v>Grand Rapids, MI</v>
      </c>
      <c r="H1051" s="4" t="str">
        <f>IFERROR(__xludf.DUMMYFUNCTION("""COMPUTED_VALUE"""),"https://www.linkedin.com/posts/elisabethbrewer_health-insurance-business-intelligence-analyst-activity-7227723142796877825-ITkc?utm_source=share&amp;utm_medium=member_desktop")</f>
        <v>https://www.linkedin.com/posts/elisabethbrewer_health-insurance-business-intelligence-analyst-activity-7227723142796877825-ITkc?utm_source=share&amp;utm_medium=member_desktop</v>
      </c>
    </row>
    <row r="1052">
      <c r="A1052" s="2">
        <f>IFERROR(__xludf.DUMMYFUNCTION("""COMPUTED_VALUE"""),45513.0)</f>
        <v>45513</v>
      </c>
      <c r="B1052" s="1" t="str">
        <f>IFERROR(__xludf.DUMMYFUNCTION("""COMPUTED_VALUE"""),"Rheem")</f>
        <v>Rheem</v>
      </c>
      <c r="C1052" s="1" t="str">
        <f>IFERROR(__xludf.DUMMYFUNCTION("""COMPUTED_VALUE"""),"Business Insights Analyst")</f>
        <v>Business Insights Analyst</v>
      </c>
      <c r="D1052" s="1" t="str">
        <f>IFERROR(__xludf.DUMMYFUNCTION("""COMPUTED_VALUE"""),"Remote")</f>
        <v>Remote</v>
      </c>
      <c r="E1052" s="1" t="str">
        <f>IFERROR(__xludf.DUMMYFUNCTION("""COMPUTED_VALUE"""),"$78k - $134k")</f>
        <v>$78k - $134k</v>
      </c>
      <c r="F1052" s="1" t="str">
        <f>IFERROR(__xludf.DUMMYFUNCTION("""COMPUTED_VALUE"""),"3 - 5")</f>
        <v>3 - 5</v>
      </c>
      <c r="G1052" s="1" t="str">
        <f>IFERROR(__xludf.DUMMYFUNCTION("""COMPUTED_VALUE"""),"USA")</f>
        <v>USA</v>
      </c>
      <c r="H1052" s="4" t="str">
        <f>IFERROR(__xludf.DUMMYFUNCTION("""COMPUTED_VALUE"""),"https://www.linkedin.com/posts/activity-7227039323588562944-t3bW?utm_source=share&amp;utm_medium=member_desktop")</f>
        <v>https://www.linkedin.com/posts/activity-7227039323588562944-t3bW?utm_source=share&amp;utm_medium=member_desktop</v>
      </c>
    </row>
    <row r="1053">
      <c r="A1053" s="2">
        <f>IFERROR(__xludf.DUMMYFUNCTION("""COMPUTED_VALUE"""),45513.0)</f>
        <v>45513</v>
      </c>
      <c r="B1053" s="1" t="str">
        <f>IFERROR(__xludf.DUMMYFUNCTION("""COMPUTED_VALUE"""),"EDO, Inc.")</f>
        <v>EDO, Inc.</v>
      </c>
      <c r="C1053" s="1" t="str">
        <f>IFERROR(__xludf.DUMMYFUNCTION("""COMPUTED_VALUE"""),"Media Analytics Associate")</f>
        <v>Media Analytics Associate</v>
      </c>
      <c r="D1053" s="1" t="str">
        <f>IFERROR(__xludf.DUMMYFUNCTION("""COMPUTED_VALUE"""),"Hybrid")</f>
        <v>Hybrid</v>
      </c>
      <c r="E1053" s="1" t="str">
        <f>IFERROR(__xludf.DUMMYFUNCTION("""COMPUTED_VALUE"""),"$62k - $70k")</f>
        <v>$62k - $70k</v>
      </c>
      <c r="F1053" s="1" t="str">
        <f>IFERROR(__xludf.DUMMYFUNCTION("""COMPUTED_VALUE"""),"0 - 2")</f>
        <v>0 - 2</v>
      </c>
      <c r="G1053" s="1" t="str">
        <f>IFERROR(__xludf.DUMMYFUNCTION("""COMPUTED_VALUE"""),"New York, NY")</f>
        <v>New York, NY</v>
      </c>
      <c r="H1053" s="4" t="str">
        <f>IFERROR(__xludf.DUMMYFUNCTION("""COMPUTED_VALUE"""),"https://www.linkedin.com/posts/sierra-cox-b80757173_hiring-data-openings-activity-7227718567406829568-8BoJ?utm_source=share&amp;utm_medium=member_desktop")</f>
        <v>https://www.linkedin.com/posts/sierra-cox-b80757173_hiring-data-openings-activity-7227718567406829568-8BoJ?utm_source=share&amp;utm_medium=member_desktop</v>
      </c>
    </row>
    <row r="1054">
      <c r="A1054" s="2">
        <f>IFERROR(__xludf.DUMMYFUNCTION("""COMPUTED_VALUE"""),45513.0)</f>
        <v>45513</v>
      </c>
      <c r="B1054" s="1" t="str">
        <f>IFERROR(__xludf.DUMMYFUNCTION("""COMPUTED_VALUE"""),"Rula")</f>
        <v>Rula</v>
      </c>
      <c r="C1054" s="1" t="str">
        <f>IFERROR(__xludf.DUMMYFUNCTION("""COMPUTED_VALUE"""),"Director of Revenue Analytics")</f>
        <v>Director of Revenue Analytics</v>
      </c>
      <c r="D1054" s="1" t="str">
        <f>IFERROR(__xludf.DUMMYFUNCTION("""COMPUTED_VALUE"""),"Remote")</f>
        <v>Remote</v>
      </c>
      <c r="E1054" s="1" t="str">
        <f>IFERROR(__xludf.DUMMYFUNCTION("""COMPUTED_VALUE"""),"N/A")</f>
        <v>N/A</v>
      </c>
      <c r="F1054" s="1" t="str">
        <f>IFERROR(__xludf.DUMMYFUNCTION("""COMPUTED_VALUE"""),"10 +")</f>
        <v>10 +</v>
      </c>
      <c r="G1054" s="1" t="str">
        <f>IFERROR(__xludf.DUMMYFUNCTION("""COMPUTED_VALUE"""),"USA")</f>
        <v>USA</v>
      </c>
      <c r="H1054" s="4" t="str">
        <f>IFERROR(__xludf.DUMMYFUNCTION("""COMPUTED_VALUE"""),"https://www.linkedin.com/posts/austinpogue_another-one-im-hiring-for-a-director-activity-7227483285294080000-Snbo?utm_source=share&amp;utm_medium=member_desktop")</f>
        <v>https://www.linkedin.com/posts/austinpogue_another-one-im-hiring-for-a-director-activity-7227483285294080000-Snbo?utm_source=share&amp;utm_medium=member_desktop</v>
      </c>
    </row>
    <row r="1055">
      <c r="A1055" s="2">
        <f>IFERROR(__xludf.DUMMYFUNCTION("""COMPUTED_VALUE"""),45513.0)</f>
        <v>45513</v>
      </c>
      <c r="B1055" s="1" t="str">
        <f>IFERROR(__xludf.DUMMYFUNCTION("""COMPUTED_VALUE"""),"Advocate Health")</f>
        <v>Advocate Health</v>
      </c>
      <c r="C1055" s="1" t="str">
        <f>IFERROR(__xludf.DUMMYFUNCTION("""COMPUTED_VALUE"""),"Operations Data Analyst Manager")</f>
        <v>Operations Data Analyst Manager</v>
      </c>
      <c r="D1055" s="1" t="str">
        <f>IFERROR(__xludf.DUMMYFUNCTION("""COMPUTED_VALUE"""),"Hybrid")</f>
        <v>Hybrid</v>
      </c>
      <c r="E1055" s="1" t="str">
        <f>IFERROR(__xludf.DUMMYFUNCTION("""COMPUTED_VALUE"""),"N/A")</f>
        <v>N/A</v>
      </c>
      <c r="F1055" s="1" t="str">
        <f>IFERROR(__xludf.DUMMYFUNCTION("""COMPUTED_VALUE"""),"6 - 9")</f>
        <v>6 - 9</v>
      </c>
      <c r="G1055" s="1" t="str">
        <f>IFERROR(__xludf.DUMMYFUNCTION("""COMPUTED_VALUE"""),"Oak Brook, IL")</f>
        <v>Oak Brook, IL</v>
      </c>
      <c r="H1055" s="4" t="str">
        <f>IFERROR(__xludf.DUMMYFUNCTION("""COMPUTED_VALUE"""),"https://www.linkedin.com/posts/jasvillanueva_advocate-health-is-seeking-a-dynamic-operations-activity-7226688944082403328-JZ18?utm_source=share&amp;utm_medium=member_desktop")</f>
        <v>https://www.linkedin.com/posts/jasvillanueva_advocate-health-is-seeking-a-dynamic-operations-activity-7226688944082403328-JZ18?utm_source=share&amp;utm_medium=member_desktop</v>
      </c>
    </row>
    <row r="1056">
      <c r="A1056" s="2">
        <f>IFERROR(__xludf.DUMMYFUNCTION("""COMPUTED_VALUE"""),45513.0)</f>
        <v>45513</v>
      </c>
      <c r="B1056" s="1" t="str">
        <f>IFERROR(__xludf.DUMMYFUNCTION("""COMPUTED_VALUE"""),"Truist")</f>
        <v>Truist</v>
      </c>
      <c r="C1056" s="1" t="str">
        <f>IFERROR(__xludf.DUMMYFUNCTION("""COMPUTED_VALUE"""),"Senior HR Data Analyst")</f>
        <v>Senior HR Data Analyst</v>
      </c>
      <c r="D1056" s="1" t="str">
        <f>IFERROR(__xludf.DUMMYFUNCTION("""COMPUTED_VALUE"""),"On-Site")</f>
        <v>On-Site</v>
      </c>
      <c r="E1056" s="1" t="str">
        <f>IFERROR(__xludf.DUMMYFUNCTION("""COMPUTED_VALUE"""),"$85k - $132k")</f>
        <v>$85k - $132k</v>
      </c>
      <c r="F1056" s="1" t="str">
        <f>IFERROR(__xludf.DUMMYFUNCTION("""COMPUTED_VALUE"""),"3 - 5")</f>
        <v>3 - 5</v>
      </c>
      <c r="G1056" s="1" t="str">
        <f>IFERROR(__xludf.DUMMYFUNCTION("""COMPUTED_VALUE"""),"Charlotte, NC")</f>
        <v>Charlotte, NC</v>
      </c>
      <c r="H1056" s="4" t="str">
        <f>IFERROR(__xludf.DUMMYFUNCTION("""COMPUTED_VALUE"""),"https://www.linkedin.com/posts/alex-at-workday_joinmyteam-activity-7227111389960515584-E1gl?utm_source=share&amp;utm_medium=member_desktop")</f>
        <v>https://www.linkedin.com/posts/alex-at-workday_joinmyteam-activity-7227111389960515584-E1gl?utm_source=share&amp;utm_medium=member_desktop</v>
      </c>
    </row>
    <row r="1057">
      <c r="A1057" s="2">
        <f>IFERROR(__xludf.DUMMYFUNCTION("""COMPUTED_VALUE"""),45513.0)</f>
        <v>45513</v>
      </c>
      <c r="B1057" s="1" t="str">
        <f>IFERROR(__xludf.DUMMYFUNCTION("""COMPUTED_VALUE"""),"UnitedHealthcare")</f>
        <v>UnitedHealthcare</v>
      </c>
      <c r="C1057" s="1" t="str">
        <f>IFERROR(__xludf.DUMMYFUNCTION("""COMPUTED_VALUE"""),"Data Analyst")</f>
        <v>Data Analyst</v>
      </c>
      <c r="D1057" s="1" t="str">
        <f>IFERROR(__xludf.DUMMYFUNCTION("""COMPUTED_VALUE"""),"Remote")</f>
        <v>Remote</v>
      </c>
      <c r="E1057" s="1" t="str">
        <f>IFERROR(__xludf.DUMMYFUNCTION("""COMPUTED_VALUE"""),"$70k - $138k")</f>
        <v>$70k - $138k</v>
      </c>
      <c r="F1057" s="1" t="str">
        <f>IFERROR(__xludf.DUMMYFUNCTION("""COMPUTED_VALUE"""),"3 - 5")</f>
        <v>3 - 5</v>
      </c>
      <c r="G1057" s="1" t="str">
        <f>IFERROR(__xludf.DUMMYFUNCTION("""COMPUTED_VALUE"""),"USA")</f>
        <v>USA</v>
      </c>
      <c r="H1057" s="4" t="str">
        <f>IFERROR(__xludf.DUMMYFUNCTION("""COMPUTED_VALUE"""),"https://www.linkedin.com/posts/vickie-holland-4aba0410a_data-analyst-remote-in-minnetonka-mn-activity-7227760850458001408-3QRD?utm_source=share&amp;utm_medium=member_desktop")</f>
        <v>https://www.linkedin.com/posts/vickie-holland-4aba0410a_data-analyst-remote-in-minnetonka-mn-activity-7227760850458001408-3QRD?utm_source=share&amp;utm_medium=member_desktop</v>
      </c>
    </row>
    <row r="1058">
      <c r="A1058" s="2">
        <f>IFERROR(__xludf.DUMMYFUNCTION("""COMPUTED_VALUE"""),45513.0)</f>
        <v>45513</v>
      </c>
      <c r="B1058" s="1" t="str">
        <f>IFERROR(__xludf.DUMMYFUNCTION("""COMPUTED_VALUE"""),"Apptegy")</f>
        <v>Apptegy</v>
      </c>
      <c r="C1058" s="1" t="str">
        <f>IFERROR(__xludf.DUMMYFUNCTION("""COMPUTED_VALUE"""),"Senior Financial Analyst")</f>
        <v>Senior Financial Analyst</v>
      </c>
      <c r="D1058" s="1" t="str">
        <f>IFERROR(__xludf.DUMMYFUNCTION("""COMPUTED_VALUE"""),"Remote")</f>
        <v>Remote</v>
      </c>
      <c r="E1058" s="1" t="str">
        <f>IFERROR(__xludf.DUMMYFUNCTION("""COMPUTED_VALUE"""),"N/A")</f>
        <v>N/A</v>
      </c>
      <c r="F1058" s="1" t="str">
        <f>IFERROR(__xludf.DUMMYFUNCTION("""COMPUTED_VALUE"""),"3 - 5")</f>
        <v>3 - 5</v>
      </c>
      <c r="G1058" s="1" t="str">
        <f>IFERROR(__xludf.DUMMYFUNCTION("""COMPUTED_VALUE"""),"USA")</f>
        <v>USA</v>
      </c>
      <c r="H1058" s="4" t="str">
        <f>IFERROR(__xludf.DUMMYFUNCTION("""COMPUTED_VALUE"""),"https://www.linkedin.com/posts/sethbenkov_apptegy-financial-analyst-activity-7226650361674039296-PZBc?utm_source=share&amp;utm_medium=member_desktop")</f>
        <v>https://www.linkedin.com/posts/sethbenkov_apptegy-financial-analyst-activity-7226650361674039296-PZBc?utm_source=share&amp;utm_medium=member_desktop</v>
      </c>
    </row>
    <row r="1059">
      <c r="A1059" s="2">
        <f>IFERROR(__xludf.DUMMYFUNCTION("""COMPUTED_VALUE"""),45513.0)</f>
        <v>45513</v>
      </c>
      <c r="B1059" s="1" t="str">
        <f>IFERROR(__xludf.DUMMYFUNCTION("""COMPUTED_VALUE"""),"Euronet")</f>
        <v>Euronet</v>
      </c>
      <c r="C1059" s="1" t="str">
        <f>IFERROR(__xludf.DUMMYFUNCTION("""COMPUTED_VALUE"""),"Financial Reporting Analyst")</f>
        <v>Financial Reporting Analyst</v>
      </c>
      <c r="D1059" s="1" t="str">
        <f>IFERROR(__xludf.DUMMYFUNCTION("""COMPUTED_VALUE"""),"On-Site")</f>
        <v>On-Site</v>
      </c>
      <c r="E1059" s="1" t="str">
        <f>IFERROR(__xludf.DUMMYFUNCTION("""COMPUTED_VALUE"""),"N/A")</f>
        <v>N/A</v>
      </c>
      <c r="F1059" s="1" t="str">
        <f>IFERROR(__xludf.DUMMYFUNCTION("""COMPUTED_VALUE"""),"0 - 2")</f>
        <v>0 - 2</v>
      </c>
      <c r="G1059" s="1" t="str">
        <f>IFERROR(__xludf.DUMMYFUNCTION("""COMPUTED_VALUE"""),"Leawood, KS")</f>
        <v>Leawood, KS</v>
      </c>
      <c r="H1059" s="4" t="str">
        <f>IFERROR(__xludf.DUMMYFUNCTION("""COMPUTED_VALUE"""),"https://www.linkedin.com/posts/makaelacarter_hiring-financialreporting-payments-activity-7227773616405299202-hd04?utm_source=share&amp;utm_medium=member_desktop")</f>
        <v>https://www.linkedin.com/posts/makaelacarter_hiring-financialreporting-payments-activity-7227773616405299202-hd04?utm_source=share&amp;utm_medium=member_desktop</v>
      </c>
    </row>
    <row r="1060">
      <c r="A1060" s="2">
        <f>IFERROR(__xludf.DUMMYFUNCTION("""COMPUTED_VALUE"""),45513.0)</f>
        <v>45513</v>
      </c>
      <c r="B1060" s="1" t="str">
        <f>IFERROR(__xludf.DUMMYFUNCTION("""COMPUTED_VALUE"""),"Bank of Hawaii")</f>
        <v>Bank of Hawaii</v>
      </c>
      <c r="C1060" s="1" t="str">
        <f>IFERROR(__xludf.DUMMYFUNCTION("""COMPUTED_VALUE"""),"Financial Planning &amp; Analysis Analyst")</f>
        <v>Financial Planning &amp; Analysis Analyst</v>
      </c>
      <c r="D1060" s="1" t="str">
        <f>IFERROR(__xludf.DUMMYFUNCTION("""COMPUTED_VALUE"""),"On-Site")</f>
        <v>On-Site</v>
      </c>
      <c r="E1060" s="1" t="str">
        <f>IFERROR(__xludf.DUMMYFUNCTION("""COMPUTED_VALUE"""),"N/A")</f>
        <v>N/A</v>
      </c>
      <c r="F1060" s="1" t="str">
        <f>IFERROR(__xludf.DUMMYFUNCTION("""COMPUTED_VALUE"""),"0 - 2")</f>
        <v>0 - 2</v>
      </c>
      <c r="G1060" s="1" t="str">
        <f>IFERROR(__xludf.DUMMYFUNCTION("""COMPUTED_VALUE"""),"Honolulu, HI")</f>
        <v>Honolulu, HI</v>
      </c>
      <c r="H1060" s="4" t="str">
        <f>IFERROR(__xludf.DUMMYFUNCTION("""COMPUTED_VALUE"""),"https://www.linkedin.com/posts/jeanne-dressel-2a19a018_we-are-looking-for-an-fpa-analyst-activity-7227837586386345986-xOu_?utm_source=share&amp;utm_medium=member_desktop")</f>
        <v>https://www.linkedin.com/posts/jeanne-dressel-2a19a018_we-are-looking-for-an-fpa-analyst-activity-7227837586386345986-xOu_?utm_source=share&amp;utm_medium=member_desktop</v>
      </c>
    </row>
    <row r="1061">
      <c r="A1061" s="2">
        <f>IFERROR(__xludf.DUMMYFUNCTION("""COMPUTED_VALUE"""),45513.0)</f>
        <v>45513</v>
      </c>
      <c r="B1061" s="1" t="str">
        <f>IFERROR(__xludf.DUMMYFUNCTION("""COMPUTED_VALUE"""),"Ahold Delhaize USA")</f>
        <v>Ahold Delhaize USA</v>
      </c>
      <c r="C1061" s="1" t="str">
        <f>IFERROR(__xludf.DUMMYFUNCTION("""COMPUTED_VALUE"""),"Strategy Analyst")</f>
        <v>Strategy Analyst</v>
      </c>
      <c r="D1061" s="1" t="str">
        <f>IFERROR(__xludf.DUMMYFUNCTION("""COMPUTED_VALUE"""),"Hybrid")</f>
        <v>Hybrid</v>
      </c>
      <c r="E1061" s="1" t="str">
        <f>IFERROR(__xludf.DUMMYFUNCTION("""COMPUTED_VALUE"""),"N/A")</f>
        <v>N/A</v>
      </c>
      <c r="F1061" s="1" t="str">
        <f>IFERROR(__xludf.DUMMYFUNCTION("""COMPUTED_VALUE"""),"0 - 2")</f>
        <v>0 - 2</v>
      </c>
      <c r="G1061" s="1" t="str">
        <f>IFERROR(__xludf.DUMMYFUNCTION("""COMPUTED_VALUE"""),"Chicago, IL")</f>
        <v>Chicago, IL</v>
      </c>
      <c r="H1061" s="4" t="str">
        <f>IFERROR(__xludf.DUMMYFUNCTION("""COMPUTED_VALUE"""),"https://www.linkedin.com/posts/andjelapetrovic5_strategy-hiring-analyst-activity-7227457431839162370-wo7w?utm_source=share&amp;utm_medium=member_desktop")</f>
        <v>https://www.linkedin.com/posts/andjelapetrovic5_strategy-hiring-analyst-activity-7227457431839162370-wo7w?utm_source=share&amp;utm_medium=member_desktop</v>
      </c>
    </row>
    <row r="1062">
      <c r="A1062" s="2">
        <f>IFERROR(__xludf.DUMMYFUNCTION("""COMPUTED_VALUE"""),45513.0)</f>
        <v>45513</v>
      </c>
      <c r="B1062" s="1" t="str">
        <f>IFERROR(__xludf.DUMMYFUNCTION("""COMPUTED_VALUE"""),"Whereoware")</f>
        <v>Whereoware</v>
      </c>
      <c r="C1062" s="1" t="str">
        <f>IFERROR(__xludf.DUMMYFUNCTION("""COMPUTED_VALUE"""),"Search Marketing Analyst")</f>
        <v>Search Marketing Analyst</v>
      </c>
      <c r="D1062" s="1" t="str">
        <f>IFERROR(__xludf.DUMMYFUNCTION("""COMPUTED_VALUE"""),"Remote")</f>
        <v>Remote</v>
      </c>
      <c r="E1062" s="1" t="str">
        <f>IFERROR(__xludf.DUMMYFUNCTION("""COMPUTED_VALUE"""),"N/A")</f>
        <v>N/A</v>
      </c>
      <c r="F1062" s="1" t="str">
        <f>IFERROR(__xludf.DUMMYFUNCTION("""COMPUTED_VALUE"""),"0 - 2")</f>
        <v>0 - 2</v>
      </c>
      <c r="G1062" s="1" t="str">
        <f>IFERROR(__xludf.DUMMYFUNCTION("""COMPUTED_VALUE"""),"USA")</f>
        <v>USA</v>
      </c>
      <c r="H1062" s="4" t="str">
        <f>IFERROR(__xludf.DUMMYFUNCTION("""COMPUTED_VALUE"""),"https://www.linkedin.com/posts/tylerrosswentworth_whereoware-inc-is-looking-for-search-marketing-activity-7227649529544609793-yea1?utm_source=share&amp;utm_medium=member_desktop")</f>
        <v>https://www.linkedin.com/posts/tylerrosswentworth_whereoware-inc-is-looking-for-search-marketing-activity-7227649529544609793-yea1?utm_source=share&amp;utm_medium=member_desktop</v>
      </c>
    </row>
    <row r="1063">
      <c r="A1063" s="2">
        <f>IFERROR(__xludf.DUMMYFUNCTION("""COMPUTED_VALUE"""),45513.0)</f>
        <v>45513</v>
      </c>
      <c r="B1063" s="1" t="str">
        <f>IFERROR(__xludf.DUMMYFUNCTION("""COMPUTED_VALUE"""),"Corestaff Services")</f>
        <v>Corestaff Services</v>
      </c>
      <c r="C1063" s="1" t="str">
        <f>IFERROR(__xludf.DUMMYFUNCTION("""COMPUTED_VALUE"""),"Sr. Financial Analyst")</f>
        <v>Sr. Financial Analyst</v>
      </c>
      <c r="D1063" s="1" t="str">
        <f>IFERROR(__xludf.DUMMYFUNCTION("""COMPUTED_VALUE"""),"On-Site")</f>
        <v>On-Site</v>
      </c>
      <c r="E1063" s="1" t="str">
        <f>IFERROR(__xludf.DUMMYFUNCTION("""COMPUTED_VALUE"""),"$90k")</f>
        <v>$90k</v>
      </c>
      <c r="F1063" s="1" t="str">
        <f>IFERROR(__xludf.DUMMYFUNCTION("""COMPUTED_VALUE"""),"3 - 5")</f>
        <v>3 - 5</v>
      </c>
      <c r="G1063" s="1" t="str">
        <f>IFERROR(__xludf.DUMMYFUNCTION("""COMPUTED_VALUE"""),"Houston, TX")</f>
        <v>Houston, TX</v>
      </c>
      <c r="H1063" s="4" t="str">
        <f>IFERROR(__xludf.DUMMYFUNCTION("""COMPUTED_VALUE"""),"https://www.linkedin.com/posts/carmen-silguero-csp-1a8163a1_finance-accounting-hiring-activity-7227718802677886976-4AxN?utm_source=share&amp;utm_medium=member_desktop")</f>
        <v>https://www.linkedin.com/posts/carmen-silguero-csp-1a8163a1_finance-accounting-hiring-activity-7227718802677886976-4AxN?utm_source=share&amp;utm_medium=member_desktop</v>
      </c>
    </row>
    <row r="1064">
      <c r="A1064" s="2">
        <f>IFERROR(__xludf.DUMMYFUNCTION("""COMPUTED_VALUE"""),45513.0)</f>
        <v>45513</v>
      </c>
      <c r="B1064" s="1" t="str">
        <f>IFERROR(__xludf.DUMMYFUNCTION("""COMPUTED_VALUE"""),"Peloton Interactive")</f>
        <v>Peloton Interactive</v>
      </c>
      <c r="C1064" s="1" t="str">
        <f>IFERROR(__xludf.DUMMYFUNCTION("""COMPUTED_VALUE"""),"Trade Compliance Analyst")</f>
        <v>Trade Compliance Analyst</v>
      </c>
      <c r="D1064" s="1" t="str">
        <f>IFERROR(__xludf.DUMMYFUNCTION("""COMPUTED_VALUE"""),"Hybrid")</f>
        <v>Hybrid</v>
      </c>
      <c r="E1064" s="1" t="str">
        <f>IFERROR(__xludf.DUMMYFUNCTION("""COMPUTED_VALUE"""),"$70k - $90k")</f>
        <v>$70k - $90k</v>
      </c>
      <c r="F1064" s="1" t="str">
        <f>IFERROR(__xludf.DUMMYFUNCTION("""COMPUTED_VALUE"""),"3 - 5")</f>
        <v>3 - 5</v>
      </c>
      <c r="G1064" s="1" t="str">
        <f>IFERROR(__xludf.DUMMYFUNCTION("""COMPUTED_VALUE"""),"New York, NY")</f>
        <v>New York, NY</v>
      </c>
      <c r="H1064" s="4" t="str">
        <f>IFERROR(__xludf.DUMMYFUNCTION("""COMPUTED_VALUE"""),"https://www.linkedin.com/posts/michael-del-negro-a31a513_hiring-activity-7227733103429988353-kWtK?utm_source=share&amp;utm_medium=member_desktop")</f>
        <v>https://www.linkedin.com/posts/michael-del-negro-a31a513_hiring-activity-7227733103429988353-kWtK?utm_source=share&amp;utm_medium=member_desktop</v>
      </c>
    </row>
    <row r="1065">
      <c r="A1065" s="2">
        <f>IFERROR(__xludf.DUMMYFUNCTION("""COMPUTED_VALUE"""),45513.0)</f>
        <v>45513</v>
      </c>
      <c r="B1065" s="1" t="str">
        <f>IFERROR(__xludf.DUMMYFUNCTION("""COMPUTED_VALUE"""),"Vistage Worldwide, Inc.")</f>
        <v>Vistage Worldwide, Inc.</v>
      </c>
      <c r="C1065" s="1" t="str">
        <f>IFERROR(__xludf.DUMMYFUNCTION("""COMPUTED_VALUE"""),"Financial Analyst")</f>
        <v>Financial Analyst</v>
      </c>
      <c r="D1065" s="1" t="str">
        <f>IFERROR(__xludf.DUMMYFUNCTION("""COMPUTED_VALUE"""),"Hybrid")</f>
        <v>Hybrid</v>
      </c>
      <c r="E1065" s="1" t="str">
        <f>IFERROR(__xludf.DUMMYFUNCTION("""COMPUTED_VALUE"""),"$80k - $90k")</f>
        <v>$80k - $90k</v>
      </c>
      <c r="F1065" s="1" t="str">
        <f>IFERROR(__xludf.DUMMYFUNCTION("""COMPUTED_VALUE"""),"0 - 2")</f>
        <v>0 - 2</v>
      </c>
      <c r="G1065" s="1" t="str">
        <f>IFERROR(__xludf.DUMMYFUNCTION("""COMPUTED_VALUE"""),"San Diego, CA")</f>
        <v>San Diego, CA</v>
      </c>
      <c r="H1065" s="4" t="str">
        <f>IFERROR(__xludf.DUMMYFUNCTION("""COMPUTED_VALUE"""),"https://www.linkedin.com/posts/brandonzelones_we-are-looking-to-fill-an-exciting-financial-activity-7227810130719875072-_6ns?utm_source=share&amp;utm_medium=member_desktop")</f>
        <v>https://www.linkedin.com/posts/brandonzelones_we-are-looking-to-fill-an-exciting-financial-activity-7227810130719875072-_6ns?utm_source=share&amp;utm_medium=member_desktop</v>
      </c>
    </row>
    <row r="1066">
      <c r="A1066" s="2">
        <f>IFERROR(__xludf.DUMMYFUNCTION("""COMPUTED_VALUE"""),45513.0)</f>
        <v>45513</v>
      </c>
      <c r="B1066" s="1" t="str">
        <f>IFERROR(__xludf.DUMMYFUNCTION("""COMPUTED_VALUE"""),"Microsoft")</f>
        <v>Microsoft</v>
      </c>
      <c r="C1066" s="1" t="str">
        <f>IFERROR(__xludf.DUMMYFUNCTION("""COMPUTED_VALUE"""),"Human Resources Data Analyst")</f>
        <v>Human Resources Data Analyst</v>
      </c>
      <c r="D1066" s="1" t="str">
        <f>IFERROR(__xludf.DUMMYFUNCTION("""COMPUTED_VALUE"""),"Remote")</f>
        <v>Remote</v>
      </c>
      <c r="E1066" s="1" t="str">
        <f>IFERROR(__xludf.DUMMYFUNCTION("""COMPUTED_VALUE"""),"$83k - $183k")</f>
        <v>$83k - $183k</v>
      </c>
      <c r="F1066" s="1" t="str">
        <f>IFERROR(__xludf.DUMMYFUNCTION("""COMPUTED_VALUE"""),"0 - 2")</f>
        <v>0 - 2</v>
      </c>
      <c r="G1066" s="1" t="str">
        <f>IFERROR(__xludf.DUMMYFUNCTION("""COMPUTED_VALUE"""),"USA")</f>
        <v>USA</v>
      </c>
      <c r="H1066" s="4" t="str">
        <f>IFERROR(__xludf.DUMMYFUNCTION("""COMPUTED_VALUE"""),"https://www.linkedin.com/posts/royce-hart_microsoftcareers-hrdataanalyst-hiring-activity-7227814431005548544-Vjir?utm_source=share&amp;utm_medium=member_desktop")</f>
        <v>https://www.linkedin.com/posts/royce-hart_microsoftcareers-hrdataanalyst-hiring-activity-7227814431005548544-Vjir?utm_source=share&amp;utm_medium=member_desktop</v>
      </c>
    </row>
    <row r="1067">
      <c r="A1067" s="2">
        <f>IFERROR(__xludf.DUMMYFUNCTION("""COMPUTED_VALUE"""),45513.0)</f>
        <v>45513</v>
      </c>
      <c r="B1067" s="1" t="str">
        <f>IFERROR(__xludf.DUMMYFUNCTION("""COMPUTED_VALUE"""),"John Hopkins Medicine")</f>
        <v>John Hopkins Medicine</v>
      </c>
      <c r="C1067" s="1" t="str">
        <f>IFERROR(__xludf.DUMMYFUNCTION("""COMPUTED_VALUE"""),"Decision Support Senior Financial Analyst")</f>
        <v>Decision Support Senior Financial Analyst</v>
      </c>
      <c r="D1067" s="1" t="str">
        <f>IFERROR(__xludf.DUMMYFUNCTION("""COMPUTED_VALUE"""),"Remote")</f>
        <v>Remote</v>
      </c>
      <c r="E1067" s="1" t="str">
        <f>IFERROR(__xludf.DUMMYFUNCTION("""COMPUTED_VALUE"""),"N/A")</f>
        <v>N/A</v>
      </c>
      <c r="F1067" s="1" t="str">
        <f>IFERROR(__xludf.DUMMYFUNCTION("""COMPUTED_VALUE"""),"3 - 5")</f>
        <v>3 - 5</v>
      </c>
      <c r="G1067" s="1" t="str">
        <f>IFERROR(__xludf.DUMMYFUNCTION("""COMPUTED_VALUE"""),"USA")</f>
        <v>USA</v>
      </c>
      <c r="H1067" s="4" t="str">
        <f>IFERROR(__xludf.DUMMYFUNCTION("""COMPUTED_VALUE"""),"https://www.linkedin.com/posts/johnmckiel_decision-support-senior-financial-analyst-activity-7227728442736177152-Kv3K?utm_source=share&amp;utm_medium=member_desktop")</f>
        <v>https://www.linkedin.com/posts/johnmckiel_decision-support-senior-financial-analyst-activity-7227728442736177152-Kv3K?utm_source=share&amp;utm_medium=member_desktop</v>
      </c>
    </row>
    <row r="1068">
      <c r="A1068" s="2">
        <f>IFERROR(__xludf.DUMMYFUNCTION("""COMPUTED_VALUE"""),45513.0)</f>
        <v>45513</v>
      </c>
      <c r="B1068" s="1" t="str">
        <f>IFERROR(__xludf.DUMMYFUNCTION("""COMPUTED_VALUE"""),"IPG Health")</f>
        <v>IPG Health</v>
      </c>
      <c r="C1068" s="1" t="str">
        <f>IFERROR(__xludf.DUMMYFUNCTION("""COMPUTED_VALUE"""),"Client Finance Analyst")</f>
        <v>Client Finance Analyst</v>
      </c>
      <c r="D1068" s="1" t="str">
        <f>IFERROR(__xludf.DUMMYFUNCTION("""COMPUTED_VALUE"""),"Hybrid")</f>
        <v>Hybrid</v>
      </c>
      <c r="E1068" s="1" t="str">
        <f>IFERROR(__xludf.DUMMYFUNCTION("""COMPUTED_VALUE"""),"$50k - $57k")</f>
        <v>$50k - $57k</v>
      </c>
      <c r="F1068" s="1" t="str">
        <f>IFERROR(__xludf.DUMMYFUNCTION("""COMPUTED_VALUE"""),"0 - 2")</f>
        <v>0 - 2</v>
      </c>
      <c r="G1068" s="1" t="str">
        <f>IFERROR(__xludf.DUMMYFUNCTION("""COMPUTED_VALUE"""),"New York, NY")</f>
        <v>New York, NY</v>
      </c>
      <c r="H1068" s="4" t="str">
        <f>IFERROR(__xludf.DUMMYFUNCTION("""COMPUTED_VALUE"""),"https://www.linkedin.com/posts/emily-gross-a2638941_financejobs-agency-activity-7227678168617230338-f095?utm_source=share&amp;utm_medium=member_desktop")</f>
        <v>https://www.linkedin.com/posts/emily-gross-a2638941_financejobs-agency-activity-7227678168617230338-f095?utm_source=share&amp;utm_medium=member_desktop</v>
      </c>
    </row>
    <row r="1069">
      <c r="A1069" s="2">
        <f>IFERROR(__xludf.DUMMYFUNCTION("""COMPUTED_VALUE"""),45513.0)</f>
        <v>45513</v>
      </c>
      <c r="B1069" s="1" t="str">
        <f>IFERROR(__xludf.DUMMYFUNCTION("""COMPUTED_VALUE"""),"CoreSite")</f>
        <v>CoreSite</v>
      </c>
      <c r="C1069" s="1" t="str">
        <f>IFERROR(__xludf.DUMMYFUNCTION("""COMPUTED_VALUE"""),"Power Solutions Analyst")</f>
        <v>Power Solutions Analyst</v>
      </c>
      <c r="D1069" s="1" t="str">
        <f>IFERROR(__xludf.DUMMYFUNCTION("""COMPUTED_VALUE"""),"Hybrid")</f>
        <v>Hybrid</v>
      </c>
      <c r="E1069" s="1" t="str">
        <f>IFERROR(__xludf.DUMMYFUNCTION("""COMPUTED_VALUE"""),"$87k - $93k")</f>
        <v>$87k - $93k</v>
      </c>
      <c r="F1069" s="1" t="str">
        <f>IFERROR(__xludf.DUMMYFUNCTION("""COMPUTED_VALUE"""),"3 - 5")</f>
        <v>3 - 5</v>
      </c>
      <c r="G1069" s="1" t="str">
        <f>IFERROR(__xludf.DUMMYFUNCTION("""COMPUTED_VALUE"""),"Denver, CO")</f>
        <v>Denver, CO</v>
      </c>
      <c r="H1069" s="4" t="str">
        <f>IFERROR(__xludf.DUMMYFUNCTION("""COMPUTED_VALUE"""),"https://www.linkedin.com/posts/nick-l-2a2b608a_power-solutions-analyst-coresite-activity-7227675619373817856-w2kq?utm_source=share&amp;utm_medium=member_desktop")</f>
        <v>https://www.linkedin.com/posts/nick-l-2a2b608a_power-solutions-analyst-coresite-activity-7227675619373817856-w2kq?utm_source=share&amp;utm_medium=member_desktop</v>
      </c>
    </row>
    <row r="1070">
      <c r="A1070" s="2">
        <f>IFERROR(__xludf.DUMMYFUNCTION("""COMPUTED_VALUE"""),45513.0)</f>
        <v>45513</v>
      </c>
      <c r="B1070" s="1" t="str">
        <f>IFERROR(__xludf.DUMMYFUNCTION("""COMPUTED_VALUE"""),"Antares Capital LP")</f>
        <v>Antares Capital LP</v>
      </c>
      <c r="C1070" s="1" t="str">
        <f>IFERROR(__xludf.DUMMYFUNCTION("""COMPUTED_VALUE"""),"Analyst, Funding &amp; Settlement")</f>
        <v>Analyst, Funding &amp; Settlement</v>
      </c>
      <c r="D1070" s="1" t="str">
        <f>IFERROR(__xludf.DUMMYFUNCTION("""COMPUTED_VALUE"""),"Hybrid")</f>
        <v>Hybrid</v>
      </c>
      <c r="E1070" s="1" t="str">
        <f>IFERROR(__xludf.DUMMYFUNCTION("""COMPUTED_VALUE"""),"N/A")</f>
        <v>N/A</v>
      </c>
      <c r="F1070" s="1" t="str">
        <f>IFERROR(__xludf.DUMMYFUNCTION("""COMPUTED_VALUE"""),"0 - 2")</f>
        <v>0 - 2</v>
      </c>
      <c r="G1070" s="1" t="str">
        <f>IFERROR(__xludf.DUMMYFUNCTION("""COMPUTED_VALUE"""),"Chicago, IL")</f>
        <v>Chicago, IL</v>
      </c>
      <c r="H1070" s="4" t="str">
        <f>IFERROR(__xludf.DUMMYFUNCTION("""COMPUTED_VALUE"""),"https://www.linkedin.com/posts/tythompson31_hi-everyone-please-check-out-this-job-at-activity-7227689901649969152-PA9r?utm_source=share&amp;utm_medium=member_desktop")</f>
        <v>https://www.linkedin.com/posts/tythompson31_hi-everyone-please-check-out-this-job-at-activity-7227689901649969152-PA9r?utm_source=share&amp;utm_medium=member_desktop</v>
      </c>
    </row>
    <row r="1071">
      <c r="A1071" s="2">
        <f>IFERROR(__xludf.DUMMYFUNCTION("""COMPUTED_VALUE"""),45513.0)</f>
        <v>45513</v>
      </c>
      <c r="B1071" s="1" t="str">
        <f>IFERROR(__xludf.DUMMYFUNCTION("""COMPUTED_VALUE"""),"Best Buy")</f>
        <v>Best Buy</v>
      </c>
      <c r="C1071" s="1" t="str">
        <f>IFERROR(__xludf.DUMMYFUNCTION("""COMPUTED_VALUE"""),"Brand Advocate Analyst")</f>
        <v>Brand Advocate Analyst</v>
      </c>
      <c r="D1071" s="1" t="str">
        <f>IFERROR(__xludf.DUMMYFUNCTION("""COMPUTED_VALUE"""),"Hybrid")</f>
        <v>Hybrid</v>
      </c>
      <c r="E1071" s="1" t="str">
        <f>IFERROR(__xludf.DUMMYFUNCTION("""COMPUTED_VALUE"""),"$53k - $95k")</f>
        <v>$53k - $95k</v>
      </c>
      <c r="F1071" s="1" t="str">
        <f>IFERROR(__xludf.DUMMYFUNCTION("""COMPUTED_VALUE"""),"0 - 2")</f>
        <v>0 - 2</v>
      </c>
      <c r="G1071" s="1" t="str">
        <f>IFERROR(__xludf.DUMMYFUNCTION("""COMPUTED_VALUE"""),"Richfield, MN")</f>
        <v>Richfield, MN</v>
      </c>
      <c r="H1071" s="4" t="str">
        <f>IFERROR(__xludf.DUMMYFUNCTION("""COMPUTED_VALUE"""),"https://www.linkedin.com/posts/sorenhnyberg_brand-advocate-analyst-best-buy-job-details-activity-7227744262111576064-1jIc?utm_source=share&amp;utm_medium=member_desktop")</f>
        <v>https://www.linkedin.com/posts/sorenhnyberg_brand-advocate-analyst-best-buy-job-details-activity-7227744262111576064-1jIc?utm_source=share&amp;utm_medium=member_desktop</v>
      </c>
    </row>
    <row r="1072">
      <c r="A1072" s="2">
        <f>IFERROR(__xludf.DUMMYFUNCTION("""COMPUTED_VALUE"""),45513.0)</f>
        <v>45513</v>
      </c>
      <c r="B1072" s="1" t="str">
        <f>IFERROR(__xludf.DUMMYFUNCTION("""COMPUTED_VALUE"""),"LifeNet")</f>
        <v>LifeNet</v>
      </c>
      <c r="C1072" s="1" t="str">
        <f>IFERROR(__xludf.DUMMYFUNCTION("""COMPUTED_VALUE"""),"Associate Pricing Analyst")</f>
        <v>Associate Pricing Analyst</v>
      </c>
      <c r="D1072" s="1" t="str">
        <f>IFERROR(__xludf.DUMMYFUNCTION("""COMPUTED_VALUE"""),"On-Site")</f>
        <v>On-Site</v>
      </c>
      <c r="E1072" s="1" t="str">
        <f>IFERROR(__xludf.DUMMYFUNCTION("""COMPUTED_VALUE"""),"$55k - $65k")</f>
        <v>$55k - $65k</v>
      </c>
      <c r="F1072" s="1" t="str">
        <f>IFERROR(__xludf.DUMMYFUNCTION("""COMPUTED_VALUE"""),"0 - 2")</f>
        <v>0 - 2</v>
      </c>
      <c r="G1072" s="1" t="str">
        <f>IFERROR(__xludf.DUMMYFUNCTION("""COMPUTED_VALUE"""),"Virginia Beach, VA")</f>
        <v>Virginia Beach, VA</v>
      </c>
      <c r="H1072" s="4" t="str">
        <f>IFERROR(__xludf.DUMMYFUNCTION("""COMPUTED_VALUE"""),"https://www.linkedin.com/posts/alan-bortnick-9a4819_associate-pricing-analyst-activity-7227489679200169984-kn-T?utm_source=share&amp;utm_medium=member_desktop")</f>
        <v>https://www.linkedin.com/posts/alan-bortnick-9a4819_associate-pricing-analyst-activity-7227489679200169984-kn-T?utm_source=share&amp;utm_medium=member_desktop</v>
      </c>
    </row>
    <row r="1073">
      <c r="A1073" s="2">
        <f>IFERROR(__xludf.DUMMYFUNCTION("""COMPUTED_VALUE"""),45513.0)</f>
        <v>45513</v>
      </c>
      <c r="B1073" s="1" t="str">
        <f>IFERROR(__xludf.DUMMYFUNCTION("""COMPUTED_VALUE"""),"Ulta Beauty")</f>
        <v>Ulta Beauty</v>
      </c>
      <c r="C1073" s="1" t="str">
        <f>IFERROR(__xludf.DUMMYFUNCTION("""COMPUTED_VALUE"""),"Digital Operations Analyst II")</f>
        <v>Digital Operations Analyst II</v>
      </c>
      <c r="D1073" s="1" t="str">
        <f>IFERROR(__xludf.DUMMYFUNCTION("""COMPUTED_VALUE"""),"Hybrid")</f>
        <v>Hybrid</v>
      </c>
      <c r="E1073" s="1" t="str">
        <f>IFERROR(__xludf.DUMMYFUNCTION("""COMPUTED_VALUE"""),"N/A")</f>
        <v>N/A</v>
      </c>
      <c r="F1073" s="1" t="str">
        <f>IFERROR(__xludf.DUMMYFUNCTION("""COMPUTED_VALUE"""),"3 - 5")</f>
        <v>3 - 5</v>
      </c>
      <c r="G1073" s="1" t="str">
        <f>IFERROR(__xludf.DUMMYFUNCTION("""COMPUTED_VALUE"""),"Bolingbrook, IL")</f>
        <v>Bolingbrook, IL</v>
      </c>
      <c r="H1073" s="4" t="str">
        <f>IFERROR(__xludf.DUMMYFUNCTION("""COMPUTED_VALUE"""),"https://www.linkedin.com/posts/kellyepetermann_digital-operations-analyst-ii-hybrid-in-activity-7227683115530399744-24gc?utm_source=share&amp;utm_medium=member_desktop")</f>
        <v>https://www.linkedin.com/posts/kellyepetermann_digital-operations-analyst-ii-hybrid-in-activity-7227683115530399744-24gc?utm_source=share&amp;utm_medium=member_desktop</v>
      </c>
    </row>
    <row r="1074">
      <c r="A1074" s="2">
        <f>IFERROR(__xludf.DUMMYFUNCTION("""COMPUTED_VALUE"""),45513.0)</f>
        <v>45513</v>
      </c>
      <c r="B1074" s="1" t="str">
        <f>IFERROR(__xludf.DUMMYFUNCTION("""COMPUTED_VALUE"""),"Behavioral Health Link")</f>
        <v>Behavioral Health Link</v>
      </c>
      <c r="C1074" s="1" t="str">
        <f>IFERROR(__xludf.DUMMYFUNCTION("""COMPUTED_VALUE"""),"Power BI Developer and Data Analyst")</f>
        <v>Power BI Developer and Data Analyst</v>
      </c>
      <c r="D1074" s="1" t="str">
        <f>IFERROR(__xludf.DUMMYFUNCTION("""COMPUTED_VALUE"""),"Remote")</f>
        <v>Remote</v>
      </c>
      <c r="E1074" s="1" t="str">
        <f>IFERROR(__xludf.DUMMYFUNCTION("""COMPUTED_VALUE"""),"$70k - $80k")</f>
        <v>$70k - $80k</v>
      </c>
      <c r="F1074" s="1" t="str">
        <f>IFERROR(__xludf.DUMMYFUNCTION("""COMPUTED_VALUE"""),"3 - 5")</f>
        <v>3 - 5</v>
      </c>
      <c r="G1074" s="1" t="str">
        <f>IFERROR(__xludf.DUMMYFUNCTION("""COMPUTED_VALUE"""),"Certain Locations")</f>
        <v>Certain Locations</v>
      </c>
      <c r="H1074" s="4" t="str">
        <f>IFERROR(__xludf.DUMMYFUNCTION("""COMPUTED_VALUE"""),"https://www.linkedin.com/posts/nikki-gibbs-msw-3ab48916_hiring-activity-7227698136431951875-niAW?utm_source=share&amp;utm_medium=member_desktop")</f>
        <v>https://www.linkedin.com/posts/nikki-gibbs-msw-3ab48916_hiring-activity-7227698136431951875-niAW?utm_source=share&amp;utm_medium=member_desktop</v>
      </c>
    </row>
    <row r="1075">
      <c r="A1075" s="2">
        <f>IFERROR(__xludf.DUMMYFUNCTION("""COMPUTED_VALUE"""),45513.0)</f>
        <v>45513</v>
      </c>
      <c r="B1075" s="1" t="str">
        <f>IFERROR(__xludf.DUMMYFUNCTION("""COMPUTED_VALUE"""),"Highridge Medical")</f>
        <v>Highridge Medical</v>
      </c>
      <c r="C1075" s="1" t="str">
        <f>IFERROR(__xludf.DUMMYFUNCTION("""COMPUTED_VALUE"""),"Sr. Financial Analyst")</f>
        <v>Sr. Financial Analyst</v>
      </c>
      <c r="D1075" s="1" t="str">
        <f>IFERROR(__xludf.DUMMYFUNCTION("""COMPUTED_VALUE"""),"On-Site")</f>
        <v>On-Site</v>
      </c>
      <c r="E1075" s="1" t="str">
        <f>IFERROR(__xludf.DUMMYFUNCTION("""COMPUTED_VALUE"""),"$73k - $96k")</f>
        <v>$73k - $96k</v>
      </c>
      <c r="F1075" s="1" t="str">
        <f>IFERROR(__xludf.DUMMYFUNCTION("""COMPUTED_VALUE"""),"3 - 5")</f>
        <v>3 - 5</v>
      </c>
      <c r="G1075" s="1" t="str">
        <f>IFERROR(__xludf.DUMMYFUNCTION("""COMPUTED_VALUE"""),"Westminster, CO")</f>
        <v>Westminster, CO</v>
      </c>
      <c r="H1075" s="4" t="str">
        <f>IFERROR(__xludf.DUMMYFUNCTION("""COMPUTED_VALUE"""),"https://www.linkedin.com/posts/scott-steer-70170b1b_check-out-this-job-at-highridge-medical-activity-7227700227233693696-pszk?utm_source=share&amp;utm_medium=member_desktop")</f>
        <v>https://www.linkedin.com/posts/scott-steer-70170b1b_check-out-this-job-at-highridge-medical-activity-7227700227233693696-pszk?utm_source=share&amp;utm_medium=member_desktop</v>
      </c>
    </row>
    <row r="1076">
      <c r="A1076" s="2">
        <f>IFERROR(__xludf.DUMMYFUNCTION("""COMPUTED_VALUE"""),45513.0)</f>
        <v>45513</v>
      </c>
      <c r="B1076" s="1" t="str">
        <f>IFERROR(__xludf.DUMMYFUNCTION("""COMPUTED_VALUE"""),"VersiCare")</f>
        <v>VersiCare</v>
      </c>
      <c r="C1076" s="1" t="str">
        <f>IFERROR(__xludf.DUMMYFUNCTION("""COMPUTED_VALUE"""),"Senior Analyst")</f>
        <v>Senior Analyst</v>
      </c>
      <c r="D1076" s="1" t="str">
        <f>IFERROR(__xludf.DUMMYFUNCTION("""COMPUTED_VALUE"""),"Hybrid")</f>
        <v>Hybrid</v>
      </c>
      <c r="E1076" s="1" t="str">
        <f>IFERROR(__xludf.DUMMYFUNCTION("""COMPUTED_VALUE"""),"N/A")</f>
        <v>N/A</v>
      </c>
      <c r="F1076" s="1" t="str">
        <f>IFERROR(__xludf.DUMMYFUNCTION("""COMPUTED_VALUE"""),"3 - 5")</f>
        <v>3 - 5</v>
      </c>
      <c r="G1076" s="1" t="str">
        <f>IFERROR(__xludf.DUMMYFUNCTION("""COMPUTED_VALUE"""),"Nashville, TN/Detroit, MI")</f>
        <v>Nashville, TN/Detroit, MI</v>
      </c>
      <c r="H1076" s="4" t="str">
        <f>IFERROR(__xludf.DUMMYFUNCTION("""COMPUTED_VALUE"""),"https://www.linkedin.com/posts/blakedagenais_versicare-is-hiring-we-are-searching-for-activity-7227701572581924864-bSK-?utm_source=share&amp;utm_medium=member_desktop")</f>
        <v>https://www.linkedin.com/posts/blakedagenais_versicare-is-hiring-we-are-searching-for-activity-7227701572581924864-bSK-?utm_source=share&amp;utm_medium=member_desktop</v>
      </c>
    </row>
    <row r="1077">
      <c r="A1077" s="2">
        <f>IFERROR(__xludf.DUMMYFUNCTION("""COMPUTED_VALUE"""),45513.0)</f>
        <v>45513</v>
      </c>
      <c r="B1077" s="1" t="str">
        <f>IFERROR(__xludf.DUMMYFUNCTION("""COMPUTED_VALUE"""),"St. David's HealthCare")</f>
        <v>St. David's HealthCare</v>
      </c>
      <c r="C1077" s="1" t="str">
        <f>IFERROR(__xludf.DUMMYFUNCTION("""COMPUTED_VALUE"""),"Performance Analyst")</f>
        <v>Performance Analyst</v>
      </c>
      <c r="D1077" s="1" t="str">
        <f>IFERROR(__xludf.DUMMYFUNCTION("""COMPUTED_VALUE"""),"On-Site")</f>
        <v>On-Site</v>
      </c>
      <c r="E1077" s="1" t="str">
        <f>IFERROR(__xludf.DUMMYFUNCTION("""COMPUTED_VALUE"""),"N/A")</f>
        <v>N/A</v>
      </c>
      <c r="F1077" s="1" t="str">
        <f>IFERROR(__xludf.DUMMYFUNCTION("""COMPUTED_VALUE"""),"0 - 2")</f>
        <v>0 - 2</v>
      </c>
      <c r="G1077" s="1" t="str">
        <f>IFERROR(__xludf.DUMMYFUNCTION("""COMPUTED_VALUE"""),"Austin, TX")</f>
        <v>Austin, TX</v>
      </c>
      <c r="H1077" s="4" t="str">
        <f>IFERROR(__xludf.DUMMYFUNCTION("""COMPUTED_VALUE"""),"https://www.linkedin.com/posts/travis-vlantes-9951a7272_performance-analyst-activity-7227740921100967936-aEh9?utm_source=share&amp;utm_medium=member_desktop")</f>
        <v>https://www.linkedin.com/posts/travis-vlantes-9951a7272_performance-analyst-activity-7227740921100967936-aEh9?utm_source=share&amp;utm_medium=member_desktop</v>
      </c>
    </row>
    <row r="1078">
      <c r="A1078" s="2">
        <f>IFERROR(__xludf.DUMMYFUNCTION("""COMPUTED_VALUE"""),45513.0)</f>
        <v>45513</v>
      </c>
      <c r="B1078" s="1" t="str">
        <f>IFERROR(__xludf.DUMMYFUNCTION("""COMPUTED_VALUE"""),"Maxor National Pharmacy Services, LLC")</f>
        <v>Maxor National Pharmacy Services, LLC</v>
      </c>
      <c r="C1078" s="1" t="str">
        <f>IFERROR(__xludf.DUMMYFUNCTION("""COMPUTED_VALUE"""),"Sr. Business Analyst")</f>
        <v>Sr. Business Analyst</v>
      </c>
      <c r="D1078" s="1" t="str">
        <f>IFERROR(__xludf.DUMMYFUNCTION("""COMPUTED_VALUE"""),"Remote")</f>
        <v>Remote</v>
      </c>
      <c r="E1078" s="1" t="str">
        <f>IFERROR(__xludf.DUMMYFUNCTION("""COMPUTED_VALUE"""),"N/A")</f>
        <v>N/A</v>
      </c>
      <c r="F1078" s="1" t="str">
        <f>IFERROR(__xludf.DUMMYFUNCTION("""COMPUTED_VALUE"""),"3 - 5")</f>
        <v>3 - 5</v>
      </c>
      <c r="G1078" s="1" t="str">
        <f>IFERROR(__xludf.DUMMYFUNCTION("""COMPUTED_VALUE"""),"USA")</f>
        <v>USA</v>
      </c>
      <c r="H1078" s="4" t="str">
        <f>IFERROR(__xludf.DUMMYFUNCTION("""COMPUTED_VALUE"""),"https://www.linkedin.com/posts/robin-werner-cpp-phr-063b845a_check-out-this-job-at-maxor-national-pharmacy-activity-7227645377846337537-MWlS?utm_source=share&amp;utm_medium=member_desktop")</f>
        <v>https://www.linkedin.com/posts/robin-werner-cpp-phr-063b845a_check-out-this-job-at-maxor-national-pharmacy-activity-7227645377846337537-MWlS?utm_source=share&amp;utm_medium=member_desktop</v>
      </c>
    </row>
    <row r="1079">
      <c r="A1079" s="2">
        <f>IFERROR(__xludf.DUMMYFUNCTION("""COMPUTED_VALUE"""),45513.0)</f>
        <v>45513</v>
      </c>
      <c r="B1079" s="1" t="str">
        <f>IFERROR(__xludf.DUMMYFUNCTION("""COMPUTED_VALUE"""),"PatientPoint")</f>
        <v>PatientPoint</v>
      </c>
      <c r="C1079" s="1" t="str">
        <f>IFERROR(__xludf.DUMMYFUNCTION("""COMPUTED_VALUE"""),"Analyst, Decision Sciences, Strategy and Insights")</f>
        <v>Analyst, Decision Sciences, Strategy and Insights</v>
      </c>
      <c r="D1079" s="1" t="str">
        <f>IFERROR(__xludf.DUMMYFUNCTION("""COMPUTED_VALUE"""),"Hybrid")</f>
        <v>Hybrid</v>
      </c>
      <c r="E1079" s="1" t="str">
        <f>IFERROR(__xludf.DUMMYFUNCTION("""COMPUTED_VALUE"""),"N/A")</f>
        <v>N/A</v>
      </c>
      <c r="F1079" s="1" t="str">
        <f>IFERROR(__xludf.DUMMYFUNCTION("""COMPUTED_VALUE"""),"0 - 2")</f>
        <v>0 - 2</v>
      </c>
      <c r="G1079" s="1" t="str">
        <f>IFERROR(__xludf.DUMMYFUNCTION("""COMPUTED_VALUE"""),"Cincinnati, OH")</f>
        <v>Cincinnati, OH</v>
      </c>
      <c r="H1079" s="4" t="str">
        <f>IFERROR(__xludf.DUMMYFUNCTION("""COMPUTED_VALUE"""),"https://www.linkedin.com/posts/activity-7227697649364131840-iU0G?utm_source=share&amp;utm_medium=member_desktop")</f>
        <v>https://www.linkedin.com/posts/activity-7227697649364131840-iU0G?utm_source=share&amp;utm_medium=member_desktop</v>
      </c>
    </row>
    <row r="1080">
      <c r="A1080" s="2">
        <f>IFERROR(__xludf.DUMMYFUNCTION("""COMPUTED_VALUE"""),45513.0)</f>
        <v>45513</v>
      </c>
      <c r="B1080" s="1" t="str">
        <f>IFERROR(__xludf.DUMMYFUNCTION("""COMPUTED_VALUE"""),"Carvana")</f>
        <v>Carvana</v>
      </c>
      <c r="C1080" s="1" t="str">
        <f>IFERROR(__xludf.DUMMYFUNCTION("""COMPUTED_VALUE"""),"Analyst, Inspection Center Analytics")</f>
        <v>Analyst, Inspection Center Analytics</v>
      </c>
      <c r="D1080" s="1" t="str">
        <f>IFERROR(__xludf.DUMMYFUNCTION("""COMPUTED_VALUE"""),"Hybrid")</f>
        <v>Hybrid</v>
      </c>
      <c r="E1080" s="1" t="str">
        <f>IFERROR(__xludf.DUMMYFUNCTION("""COMPUTED_VALUE"""),"N/A")</f>
        <v>N/A</v>
      </c>
      <c r="F1080" s="1" t="str">
        <f>IFERROR(__xludf.DUMMYFUNCTION("""COMPUTED_VALUE"""),"0 - 2")</f>
        <v>0 - 2</v>
      </c>
      <c r="G1080" s="1" t="str">
        <f>IFERROR(__xludf.DUMMYFUNCTION("""COMPUTED_VALUE"""),"Tempe, AZ")</f>
        <v>Tempe, AZ</v>
      </c>
      <c r="H1080" s="4" t="str">
        <f>IFERROR(__xludf.DUMMYFUNCTION("""COMPUTED_VALUE"""),"https://www.linkedin.com/posts/ericihle_analyst-inspection-center-analytics-activity-7227700990932631552-QjsU?utm_source=share&amp;utm_medium=member_desktop")</f>
        <v>https://www.linkedin.com/posts/ericihle_analyst-inspection-center-analytics-activity-7227700990932631552-QjsU?utm_source=share&amp;utm_medium=member_desktop</v>
      </c>
    </row>
    <row r="1081">
      <c r="A1081" s="2">
        <f>IFERROR(__xludf.DUMMYFUNCTION("""COMPUTED_VALUE"""),45513.0)</f>
        <v>45513</v>
      </c>
      <c r="B1081" s="1" t="str">
        <f>IFERROR(__xludf.DUMMYFUNCTION("""COMPUTED_VALUE"""),"CVS Health")</f>
        <v>CVS Health</v>
      </c>
      <c r="C1081" s="1" t="str">
        <f>IFERROR(__xludf.DUMMYFUNCTION("""COMPUTED_VALUE"""),"Senior Product Manager for Data Analytics and Digital Product")</f>
        <v>Senior Product Manager for Data Analytics and Digital Product</v>
      </c>
      <c r="D1081" s="1" t="str">
        <f>IFERROR(__xludf.DUMMYFUNCTION("""COMPUTED_VALUE"""),"Hybrid")</f>
        <v>Hybrid</v>
      </c>
      <c r="E1081" s="1" t="str">
        <f>IFERROR(__xludf.DUMMYFUNCTION("""COMPUTED_VALUE"""),"$142k - $284k")</f>
        <v>$142k - $284k</v>
      </c>
      <c r="F1081" s="1" t="str">
        <f>IFERROR(__xludf.DUMMYFUNCTION("""COMPUTED_VALUE"""),"3 - 5")</f>
        <v>3 - 5</v>
      </c>
      <c r="G1081" s="1" t="str">
        <f>IFERROR(__xludf.DUMMYFUNCTION("""COMPUTED_VALUE"""),"New York, NY")</f>
        <v>New York, NY</v>
      </c>
      <c r="H1081" s="4" t="str">
        <f>IFERROR(__xludf.DUMMYFUNCTION("""COMPUTED_VALUE"""),"https://www.linkedin.com/posts/kateflamini_senior-product-manager-for-data-analytics-activity-7227299568864956416-tLE3?utm_source=share&amp;utm_medium=member_desktop")</f>
        <v>https://www.linkedin.com/posts/kateflamini_senior-product-manager-for-data-analytics-activity-7227299568864956416-tLE3?utm_source=share&amp;utm_medium=member_desktop</v>
      </c>
    </row>
    <row r="1082">
      <c r="A1082" s="2">
        <f>IFERROR(__xludf.DUMMYFUNCTION("""COMPUTED_VALUE"""),45513.0)</f>
        <v>45513</v>
      </c>
      <c r="B1082" s="1" t="str">
        <f>IFERROR(__xludf.DUMMYFUNCTION("""COMPUTED_VALUE"""),"CVS Health")</f>
        <v>CVS Health</v>
      </c>
      <c r="C1082" s="1" t="str">
        <f>IFERROR(__xludf.DUMMYFUNCTION("""COMPUTED_VALUE"""),"Data Engineer (Python and GCP) ")</f>
        <v>Data Engineer (Python and GCP) </v>
      </c>
      <c r="D1082" s="1" t="str">
        <f>IFERROR(__xludf.DUMMYFUNCTION("""COMPUTED_VALUE"""),"Hybrid")</f>
        <v>Hybrid</v>
      </c>
      <c r="E1082" s="1" t="str">
        <f>IFERROR(__xludf.DUMMYFUNCTION("""COMPUTED_VALUE"""),"$72k - $144k")</f>
        <v>$72k - $144k</v>
      </c>
      <c r="F1082" s="1" t="str">
        <f>IFERROR(__xludf.DUMMYFUNCTION("""COMPUTED_VALUE"""),"3 - 5")</f>
        <v>3 - 5</v>
      </c>
      <c r="G1082" s="1" t="str">
        <f>IFERROR(__xludf.DUMMYFUNCTION("""COMPUTED_VALUE"""),"Irving, TX")</f>
        <v>Irving, TX</v>
      </c>
      <c r="H1082" s="4" t="str">
        <f>IFERROR(__xludf.DUMMYFUNCTION("""COMPUTED_VALUE"""),"https://www.linkedin.com/posts/melyndageraghtydevelopmentrecruiter_data-engineer-python-and-gcp-irving-tx-activity-7227318918716010497-ryVR?utm_source=share&amp;utm_medium=member_desktop")</f>
        <v>https://www.linkedin.com/posts/melyndageraghtydevelopmentrecruiter_data-engineer-python-and-gcp-irving-tx-activity-7227318918716010497-ryVR?utm_source=share&amp;utm_medium=member_desktop</v>
      </c>
    </row>
    <row r="1083">
      <c r="A1083" s="2">
        <f>IFERROR(__xludf.DUMMYFUNCTION("""COMPUTED_VALUE"""),45513.0)</f>
        <v>45513</v>
      </c>
      <c r="B1083" s="1" t="str">
        <f>IFERROR(__xludf.DUMMYFUNCTION("""COMPUTED_VALUE"""),"Bestow")</f>
        <v>Bestow</v>
      </c>
      <c r="C1083" s="1" t="str">
        <f>IFERROR(__xludf.DUMMYFUNCTION("""COMPUTED_VALUE"""),"Data Analyst")</f>
        <v>Data Analyst</v>
      </c>
      <c r="D1083" s="1" t="str">
        <f>IFERROR(__xludf.DUMMYFUNCTION("""COMPUTED_VALUE"""),"Remote")</f>
        <v>Remote</v>
      </c>
      <c r="E1083" s="1" t="str">
        <f>IFERROR(__xludf.DUMMYFUNCTION("""COMPUTED_VALUE"""),"$95k - $110k")</f>
        <v>$95k - $110k</v>
      </c>
      <c r="F1083" s="1" t="str">
        <f>IFERROR(__xludf.DUMMYFUNCTION("""COMPUTED_VALUE"""),"0 - 2")</f>
        <v>0 - 2</v>
      </c>
      <c r="G1083" s="1" t="str">
        <f>IFERROR(__xludf.DUMMYFUNCTION("""COMPUTED_VALUE"""),"USA")</f>
        <v>USA</v>
      </c>
      <c r="H1083" s="4" t="str">
        <f>IFERROR(__xludf.DUMMYFUNCTION("""COMPUTED_VALUE"""),"https://www.linkedin.com/posts/pseliason_bestow-data-analyst-activity-7227320119125811200-FsK8?utm_source=share&amp;utm_medium=member_ios")</f>
        <v>https://www.linkedin.com/posts/pseliason_bestow-data-analyst-activity-7227320119125811200-FsK8?utm_source=share&amp;utm_medium=member_ios</v>
      </c>
    </row>
    <row r="1084">
      <c r="A1084" s="2">
        <f>IFERROR(__xludf.DUMMYFUNCTION("""COMPUTED_VALUE"""),45513.0)</f>
        <v>45513</v>
      </c>
      <c r="B1084" s="1" t="str">
        <f>IFERROR(__xludf.DUMMYFUNCTION("""COMPUTED_VALUE"""),"Shaw Industries")</f>
        <v>Shaw Industries</v>
      </c>
      <c r="C1084" s="1" t="str">
        <f>IFERROR(__xludf.DUMMYFUNCTION("""COMPUTED_VALUE"""),"Senior Pricing Analyst")</f>
        <v>Senior Pricing Analyst</v>
      </c>
      <c r="D1084" s="1" t="str">
        <f>IFERROR(__xludf.DUMMYFUNCTION("""COMPUTED_VALUE"""),"On-Site")</f>
        <v>On-Site</v>
      </c>
      <c r="E1084" s="1" t="str">
        <f>IFERROR(__xludf.DUMMYFUNCTION("""COMPUTED_VALUE"""),"N/A")</f>
        <v>N/A</v>
      </c>
      <c r="F1084" s="1" t="str">
        <f>IFERROR(__xludf.DUMMYFUNCTION("""COMPUTED_VALUE"""),"3 - 5")</f>
        <v>3 - 5</v>
      </c>
      <c r="G1084" s="1" t="str">
        <f>IFERROR(__xludf.DUMMYFUNCTION("""COMPUTED_VALUE"""),"Dalton, GA")</f>
        <v>Dalton, GA</v>
      </c>
      <c r="H1084" s="4" t="str">
        <f>IFERROR(__xludf.DUMMYFUNCTION("""COMPUTED_VALUE"""),"https://www.linkedin.com/posts/dylanmuise_if-you-are-looking-to-join-a-fast-paced-team-activity-7227736494591881216-HIGt?utm_source=share&amp;utm_medium=member_ios")</f>
        <v>https://www.linkedin.com/posts/dylanmuise_if-you-are-looking-to-join-a-fast-paced-team-activity-7227736494591881216-HIGt?utm_source=share&amp;utm_medium=member_ios</v>
      </c>
    </row>
    <row r="1085">
      <c r="A1085" s="2">
        <f>IFERROR(__xludf.DUMMYFUNCTION("""COMPUTED_VALUE"""),45513.0)</f>
        <v>45513</v>
      </c>
      <c r="B1085" s="1" t="str">
        <f>IFERROR(__xludf.DUMMYFUNCTION("""COMPUTED_VALUE"""),"Credit Karma")</f>
        <v>Credit Karma</v>
      </c>
      <c r="C1085" s="1" t="str">
        <f>IFERROR(__xludf.DUMMYFUNCTION("""COMPUTED_VALUE"""),"Senior FP&amp;A Analyst")</f>
        <v>Senior FP&amp;A Analyst</v>
      </c>
      <c r="D1085" s="1" t="str">
        <f>IFERROR(__xludf.DUMMYFUNCTION("""COMPUTED_VALUE"""),"Hybrid")</f>
        <v>Hybrid</v>
      </c>
      <c r="E1085" s="1" t="str">
        <f>IFERROR(__xludf.DUMMYFUNCTION("""COMPUTED_VALUE"""),"N/A")</f>
        <v>N/A</v>
      </c>
      <c r="F1085" s="1" t="str">
        <f>IFERROR(__xludf.DUMMYFUNCTION("""COMPUTED_VALUE"""),"3 - 5")</f>
        <v>3 - 5</v>
      </c>
      <c r="G1085" s="1" t="str">
        <f>IFERROR(__xludf.DUMMYFUNCTION("""COMPUTED_VALUE"""),"Charlotte, NC")</f>
        <v>Charlotte, NC</v>
      </c>
      <c r="H1085" s="4" t="str">
        <f>IFERROR(__xludf.DUMMYFUNCTION("""COMPUTED_VALUE"""),"https://www.linkedin.com/posts/slcook_hey-all-im-looking-to-hire-a-fpa-analyst-ugcPost-7227448079891750913-XOBg?utm_source=share&amp;utm_medium=member_desktop")</f>
        <v>https://www.linkedin.com/posts/slcook_hey-all-im-looking-to-hire-a-fpa-analyst-ugcPost-7227448079891750913-XOBg?utm_source=share&amp;utm_medium=member_desktop</v>
      </c>
    </row>
    <row r="1086">
      <c r="A1086" s="2">
        <f>IFERROR(__xludf.DUMMYFUNCTION("""COMPUTED_VALUE"""),45513.0)</f>
        <v>45513</v>
      </c>
      <c r="B1086" s="1" t="str">
        <f>IFERROR(__xludf.DUMMYFUNCTION("""COMPUTED_VALUE"""),"PayTrace")</f>
        <v>PayTrace</v>
      </c>
      <c r="C1086" s="1" t="str">
        <f>IFERROR(__xludf.DUMMYFUNCTION("""COMPUTED_VALUE"""),"Senior Product Analyst")</f>
        <v>Senior Product Analyst</v>
      </c>
      <c r="D1086" s="1" t="str">
        <f>IFERROR(__xludf.DUMMYFUNCTION("""COMPUTED_VALUE"""),"Remote")</f>
        <v>Remote</v>
      </c>
      <c r="E1086" s="1" t="str">
        <f>IFERROR(__xludf.DUMMYFUNCTION("""COMPUTED_VALUE"""),"$65k - $99k")</f>
        <v>$65k - $99k</v>
      </c>
      <c r="F1086" s="1" t="str">
        <f>IFERROR(__xludf.DUMMYFUNCTION("""COMPUTED_VALUE"""),"3 - 5")</f>
        <v>3 - 5</v>
      </c>
      <c r="G1086" s="1" t="str">
        <f>IFERROR(__xludf.DUMMYFUNCTION("""COMPUTED_VALUE"""),"USA")</f>
        <v>USA</v>
      </c>
      <c r="H1086" s="4" t="str">
        <f>IFERROR(__xludf.DUMMYFUNCTION("""COMPUTED_VALUE"""),"https://www.linkedin.com/posts/lindsaymowery_looking-for-a-talented-check-out-this-job-activity-7227298757275443200-dUxz?utm_source=share&amp;utm_medium=member_ios")</f>
        <v>https://www.linkedin.com/posts/lindsaymowery_looking-for-a-talented-check-out-this-job-activity-7227298757275443200-dUxz?utm_source=share&amp;utm_medium=member_ios</v>
      </c>
    </row>
    <row r="1087">
      <c r="A1087" s="2">
        <f>IFERROR(__xludf.DUMMYFUNCTION("""COMPUTED_VALUE"""),45513.0)</f>
        <v>45513</v>
      </c>
      <c r="B1087" s="1" t="str">
        <f>IFERROR(__xludf.DUMMYFUNCTION("""COMPUTED_VALUE"""),"HCSC")</f>
        <v>HCSC</v>
      </c>
      <c r="C1087" s="1" t="str">
        <f>IFERROR(__xludf.DUMMYFUNCTION("""COMPUTED_VALUE"""),"Sr Analytics &amp; Reporting Analyst")</f>
        <v>Sr Analytics &amp; Reporting Analyst</v>
      </c>
      <c r="D1087" s="1" t="str">
        <f>IFERROR(__xludf.DUMMYFUNCTION("""COMPUTED_VALUE"""),"Hybrid")</f>
        <v>Hybrid</v>
      </c>
      <c r="E1087" s="1" t="str">
        <f>IFERROR(__xludf.DUMMYFUNCTION("""COMPUTED_VALUE"""),"$59k - $130k")</f>
        <v>$59k - $130k</v>
      </c>
      <c r="F1087" s="1" t="str">
        <f>IFERROR(__xludf.DUMMYFUNCTION("""COMPUTED_VALUE"""),"0 - 2")</f>
        <v>0 - 2</v>
      </c>
      <c r="G1087" s="1" t="str">
        <f>IFERROR(__xludf.DUMMYFUNCTION("""COMPUTED_VALUE"""),"Chicago, IL/Dallas, TX")</f>
        <v>Chicago, IL/Dallas, TX</v>
      </c>
      <c r="H1087" s="4" t="str">
        <f>IFERROR(__xludf.DUMMYFUNCTION("""COMPUTED_VALUE"""),"https://www.linkedin.com/posts/annagolovtsova_sr-analytics-reporting-analyst-activity-7227448165380071424-it3N?utm_source=share&amp;utm_medium=member_ios")</f>
        <v>https://www.linkedin.com/posts/annagolovtsova_sr-analytics-reporting-analyst-activity-7227448165380071424-it3N?utm_source=share&amp;utm_medium=member_ios</v>
      </c>
    </row>
    <row r="1088">
      <c r="A1088" s="2">
        <f>IFERROR(__xludf.DUMMYFUNCTION("""COMPUTED_VALUE"""),45512.0)</f>
        <v>45512</v>
      </c>
      <c r="B1088" s="1" t="str">
        <f>IFERROR(__xludf.DUMMYFUNCTION("""COMPUTED_VALUE"""),"Dallas City Hall / City of Dallas")</f>
        <v>Dallas City Hall / City of Dallas</v>
      </c>
      <c r="C1088" s="1" t="str">
        <f>IFERROR(__xludf.DUMMYFUNCTION("""COMPUTED_VALUE"""),"Data Science Analyst II (Data Analytics &amp; Business Intelligence)")</f>
        <v>Data Science Analyst II (Data Analytics &amp; Business Intelligence)</v>
      </c>
      <c r="D1088" s="1" t="str">
        <f>IFERROR(__xludf.DUMMYFUNCTION("""COMPUTED_VALUE"""),"On-Site")</f>
        <v>On-Site</v>
      </c>
      <c r="E1088" s="1" t="str">
        <f>IFERROR(__xludf.DUMMYFUNCTION("""COMPUTED_VALUE"""),"$64k - $79k")</f>
        <v>$64k - $79k</v>
      </c>
      <c r="F1088" s="1" t="str">
        <f>IFERROR(__xludf.DUMMYFUNCTION("""COMPUTED_VALUE"""),"3 - 5")</f>
        <v>3 - 5</v>
      </c>
      <c r="G1088" s="1" t="str">
        <f>IFERROR(__xludf.DUMMYFUNCTION("""COMPUTED_VALUE"""),"Dallas, TX")</f>
        <v>Dallas, TX</v>
      </c>
      <c r="H1088" s="4" t="str">
        <f>IFERROR(__xludf.DUMMYFUNCTION("""COMPUTED_VALUE"""),"https://www.linkedin.com/posts/heather-murphy-54b7423_data-science-analyst-ii-data-analytics-activity-7227388632309886977-dSvR?utm_source=share&amp;utm_medium=member_desktop")</f>
        <v>https://www.linkedin.com/posts/heather-murphy-54b7423_data-science-analyst-ii-data-analytics-activity-7227388632309886977-dSvR?utm_source=share&amp;utm_medium=member_desktop</v>
      </c>
    </row>
    <row r="1089">
      <c r="A1089" s="2">
        <f>IFERROR(__xludf.DUMMYFUNCTION("""COMPUTED_VALUE"""),45512.0)</f>
        <v>45512</v>
      </c>
      <c r="B1089" s="1" t="str">
        <f>IFERROR(__xludf.DUMMYFUNCTION("""COMPUTED_VALUE"""),"Innovative Captive Strategies")</f>
        <v>Innovative Captive Strategies</v>
      </c>
      <c r="C1089" s="1" t="str">
        <f>IFERROR(__xludf.DUMMYFUNCTION("""COMPUTED_VALUE"""),"Population Health Analyst")</f>
        <v>Population Health Analyst</v>
      </c>
      <c r="D1089" s="1" t="str">
        <f>IFERROR(__xludf.DUMMYFUNCTION("""COMPUTED_VALUE"""),"On-Site")</f>
        <v>On-Site</v>
      </c>
      <c r="E1089" s="1" t="str">
        <f>IFERROR(__xludf.DUMMYFUNCTION("""COMPUTED_VALUE"""),"N/A")</f>
        <v>N/A</v>
      </c>
      <c r="F1089" s="1" t="str">
        <f>IFERROR(__xludf.DUMMYFUNCTION("""COMPUTED_VALUE"""),"0 - 2")</f>
        <v>0 - 2</v>
      </c>
      <c r="G1089" s="1" t="str">
        <f>IFERROR(__xludf.DUMMYFUNCTION("""COMPUTED_VALUE"""),"Waukee, IA")</f>
        <v>Waukee, IA</v>
      </c>
      <c r="H1089" s="4" t="str">
        <f>IFERROR(__xludf.DUMMYFUNCTION("""COMPUTED_VALUE"""),"https://www.linkedin.com/posts/ashley-nissen_careers-innovative-captive-strategies-activity-7227342582639443969-v0y-?utm_source=share&amp;utm_medium=member_desktop")</f>
        <v>https://www.linkedin.com/posts/ashley-nissen_careers-innovative-captive-strategies-activity-7227342582639443969-v0y-?utm_source=share&amp;utm_medium=member_desktop</v>
      </c>
    </row>
    <row r="1090">
      <c r="A1090" s="2">
        <f>IFERROR(__xludf.DUMMYFUNCTION("""COMPUTED_VALUE"""),45512.0)</f>
        <v>45512</v>
      </c>
      <c r="B1090" s="1" t="str">
        <f>IFERROR(__xludf.DUMMYFUNCTION("""COMPUTED_VALUE"""),"Pharmavite")</f>
        <v>Pharmavite</v>
      </c>
      <c r="C1090" s="1" t="str">
        <f>IFERROR(__xludf.DUMMYFUNCTION("""COMPUTED_VALUE"""),"PHV Analyst, Sr Compensation")</f>
        <v>PHV Analyst, Sr Compensation</v>
      </c>
      <c r="D1090" s="1" t="str">
        <f>IFERROR(__xludf.DUMMYFUNCTION("""COMPUTED_VALUE"""),"Remote")</f>
        <v>Remote</v>
      </c>
      <c r="E1090" s="1" t="str">
        <f>IFERROR(__xludf.DUMMYFUNCTION("""COMPUTED_VALUE"""),"$102k - $153k")</f>
        <v>$102k - $153k</v>
      </c>
      <c r="F1090" s="1" t="str">
        <f>IFERROR(__xludf.DUMMYFUNCTION("""COMPUTED_VALUE"""),"6 - 9")</f>
        <v>6 - 9</v>
      </c>
      <c r="G1090" s="1" t="str">
        <f>IFERROR(__xludf.DUMMYFUNCTION("""COMPUTED_VALUE"""),"USA")</f>
        <v>USA</v>
      </c>
      <c r="H1090" s="4" t="str">
        <f>IFERROR(__xludf.DUMMYFUNCTION("""COMPUTED_VALUE"""),"https://www.linkedin.com/posts/billgrover_were-looking-for-a-sr-compensation-analyst-activity-7227384138251522049-OeZm?utm_source=share&amp;utm_medium=member_desktop")</f>
        <v>https://www.linkedin.com/posts/billgrover_were-looking-for-a-sr-compensation-analyst-activity-7227384138251522049-OeZm?utm_source=share&amp;utm_medium=member_desktop</v>
      </c>
    </row>
    <row r="1091">
      <c r="A1091" s="2">
        <f>IFERROR(__xludf.DUMMYFUNCTION("""COMPUTED_VALUE"""),45512.0)</f>
        <v>45512</v>
      </c>
      <c r="B1091" s="1" t="str">
        <f>IFERROR(__xludf.DUMMYFUNCTION("""COMPUTED_VALUE"""),"Deltek, Inc.")</f>
        <v>Deltek, Inc.</v>
      </c>
      <c r="C1091" s="1" t="str">
        <f>IFERROR(__xludf.DUMMYFUNCTION("""COMPUTED_VALUE"""),"Principal Corporate Development Financial Analyst")</f>
        <v>Principal Corporate Development Financial Analyst</v>
      </c>
      <c r="D1091" s="1" t="str">
        <f>IFERROR(__xludf.DUMMYFUNCTION("""COMPUTED_VALUE"""),"Remote")</f>
        <v>Remote</v>
      </c>
      <c r="E1091" s="1" t="str">
        <f>IFERROR(__xludf.DUMMYFUNCTION("""COMPUTED_VALUE"""),"N/A")</f>
        <v>N/A</v>
      </c>
      <c r="F1091" s="1" t="str">
        <f>IFERROR(__xludf.DUMMYFUNCTION("""COMPUTED_VALUE"""),"3 - 5")</f>
        <v>3 - 5</v>
      </c>
      <c r="G1091" s="1" t="str">
        <f>IFERROR(__xludf.DUMMYFUNCTION("""COMPUTED_VALUE"""),"USA")</f>
        <v>USA</v>
      </c>
      <c r="H1091" s="4" t="str">
        <f>IFERROR(__xludf.DUMMYFUNCTION("""COMPUTED_VALUE"""),"https://www.linkedin.com/posts/bgreen1_principal-corporate-development-financial-activity-7227354552797122560-u8Fx?utm_source=share&amp;utm_medium=member_desktop")</f>
        <v>https://www.linkedin.com/posts/bgreen1_principal-corporate-development-financial-activity-7227354552797122560-u8Fx?utm_source=share&amp;utm_medium=member_desktop</v>
      </c>
    </row>
    <row r="1092">
      <c r="A1092" s="2">
        <f>IFERROR(__xludf.DUMMYFUNCTION("""COMPUTED_VALUE"""),45512.0)</f>
        <v>45512</v>
      </c>
      <c r="B1092" s="1" t="str">
        <f>IFERROR(__xludf.DUMMYFUNCTION("""COMPUTED_VALUE"""),"CarGurus")</f>
        <v>CarGurus</v>
      </c>
      <c r="C1092" s="1" t="str">
        <f>IFERROR(__xludf.DUMMYFUNCTION("""COMPUTED_VALUE"""),"Business Analytics Analyst")</f>
        <v>Business Analytics Analyst</v>
      </c>
      <c r="D1092" s="1" t="str">
        <f>IFERROR(__xludf.DUMMYFUNCTION("""COMPUTED_VALUE"""),"Hybrid")</f>
        <v>Hybrid</v>
      </c>
      <c r="E1092" s="1" t="str">
        <f>IFERROR(__xludf.DUMMYFUNCTION("""COMPUTED_VALUE"""),"N/A")</f>
        <v>N/A</v>
      </c>
      <c r="F1092" s="1" t="str">
        <f>IFERROR(__xludf.DUMMYFUNCTION("""COMPUTED_VALUE"""),"0 - 2")</f>
        <v>0 - 2</v>
      </c>
      <c r="G1092" s="1" t="str">
        <f>IFERROR(__xludf.DUMMYFUNCTION("""COMPUTED_VALUE"""),"Cambridge, MA")</f>
        <v>Cambridge, MA</v>
      </c>
      <c r="H1092" s="4" t="str">
        <f>IFERROR(__xludf.DUMMYFUNCTION("""COMPUTED_VALUE"""),"https://www.linkedin.com/posts/christopher-j-madsen_business-analytics-analyst-cargurus-jobs-activity-7227325657704267777-O4kW?utm_source=share&amp;utm_medium=member_desktop")</f>
        <v>https://www.linkedin.com/posts/christopher-j-madsen_business-analytics-analyst-cargurus-jobs-activity-7227325657704267777-O4kW?utm_source=share&amp;utm_medium=member_desktop</v>
      </c>
    </row>
    <row r="1093">
      <c r="A1093" s="2">
        <f>IFERROR(__xludf.DUMMYFUNCTION("""COMPUTED_VALUE"""),45512.0)</f>
        <v>45512</v>
      </c>
      <c r="B1093" s="1" t="str">
        <f>IFERROR(__xludf.DUMMYFUNCTION("""COMPUTED_VALUE"""),"Entegris")</f>
        <v>Entegris</v>
      </c>
      <c r="C1093" s="1" t="str">
        <f>IFERROR(__xludf.DUMMYFUNCTION("""COMPUTED_VALUE"""),"Senior Financial Analyst")</f>
        <v>Senior Financial Analyst</v>
      </c>
      <c r="D1093" s="1" t="str">
        <f>IFERROR(__xludf.DUMMYFUNCTION("""COMPUTED_VALUE"""),"Hybrid")</f>
        <v>Hybrid</v>
      </c>
      <c r="E1093" s="1" t="str">
        <f>IFERROR(__xludf.DUMMYFUNCTION("""COMPUTED_VALUE"""),"N/A")</f>
        <v>N/A</v>
      </c>
      <c r="F1093" s="1" t="str">
        <f>IFERROR(__xludf.DUMMYFUNCTION("""COMPUTED_VALUE"""),"3 - 5")</f>
        <v>3 - 5</v>
      </c>
      <c r="G1093" s="1" t="str">
        <f>IFERROR(__xludf.DUMMYFUNCTION("""COMPUTED_VALUE"""),"Billerica, MA")</f>
        <v>Billerica, MA</v>
      </c>
      <c r="H1093" s="4" t="str">
        <f>IFERROR(__xludf.DUMMYFUNCTION("""COMPUTED_VALUE"""),"https://www.linkedin.com/posts/dj-gustafson-mba-37650441_come-join-a-great-team-check-out-this-job-activity-7227379078385848320-IttF?utm_source=share&amp;utm_medium=member_desktop")</f>
        <v>https://www.linkedin.com/posts/dj-gustafson-mba-37650441_come-join-a-great-team-check-out-this-job-activity-7227379078385848320-IttF?utm_source=share&amp;utm_medium=member_desktop</v>
      </c>
    </row>
    <row r="1094">
      <c r="A1094" s="2">
        <f>IFERROR(__xludf.DUMMYFUNCTION("""COMPUTED_VALUE"""),45512.0)</f>
        <v>45512</v>
      </c>
      <c r="B1094" s="1" t="str">
        <f>IFERROR(__xludf.DUMMYFUNCTION("""COMPUTED_VALUE"""),"CSG Justice Center")</f>
        <v>CSG Justice Center</v>
      </c>
      <c r="C1094" s="1" t="str">
        <f>IFERROR(__xludf.DUMMYFUNCTION("""COMPUTED_VALUE"""),"Policy Analyst, Justice Counts")</f>
        <v>Policy Analyst, Justice Counts</v>
      </c>
      <c r="D1094" s="1" t="str">
        <f>IFERROR(__xludf.DUMMYFUNCTION("""COMPUTED_VALUE"""),"Remote")</f>
        <v>Remote</v>
      </c>
      <c r="E1094" s="1" t="str">
        <f>IFERROR(__xludf.DUMMYFUNCTION("""COMPUTED_VALUE"""),"$65k - $89k")</f>
        <v>$65k - $89k</v>
      </c>
      <c r="F1094" s="1" t="str">
        <f>IFERROR(__xludf.DUMMYFUNCTION("""COMPUTED_VALUE"""),"0 - 2")</f>
        <v>0 - 2</v>
      </c>
      <c r="G1094" s="1" t="str">
        <f>IFERROR(__xludf.DUMMYFUNCTION("""COMPUTED_VALUE"""),"USA")</f>
        <v>USA</v>
      </c>
      <c r="H1094" s="4" t="str">
        <f>IFERROR(__xludf.DUMMYFUNCTION("""COMPUTED_VALUE"""),"https://www.linkedin.com/posts/stephanie-villanueva-942280138_our-team-is-hiring-for-a-new-policy-analyst-activity-7227355577482448896-q8pD?utm_source=share&amp;utm_medium=member_desktop")</f>
        <v>https://www.linkedin.com/posts/stephanie-villanueva-942280138_our-team-is-hiring-for-a-new-policy-analyst-activity-7227355577482448896-q8pD?utm_source=share&amp;utm_medium=member_desktop</v>
      </c>
    </row>
    <row r="1095">
      <c r="A1095" s="2">
        <f>IFERROR(__xludf.DUMMYFUNCTION("""COMPUTED_VALUE"""),45512.0)</f>
        <v>45512</v>
      </c>
      <c r="B1095" s="1" t="str">
        <f>IFERROR(__xludf.DUMMYFUNCTION("""COMPUTED_VALUE"""),"IMA Medical Group")</f>
        <v>IMA Medical Group</v>
      </c>
      <c r="C1095" s="1" t="str">
        <f>IFERROR(__xludf.DUMMYFUNCTION("""COMPUTED_VALUE"""),"Senior Accounting Analyst")</f>
        <v>Senior Accounting Analyst</v>
      </c>
      <c r="D1095" s="1" t="str">
        <f>IFERROR(__xludf.DUMMYFUNCTION("""COMPUTED_VALUE"""),"Remote")</f>
        <v>Remote</v>
      </c>
      <c r="E1095" s="1" t="str">
        <f>IFERROR(__xludf.DUMMYFUNCTION("""COMPUTED_VALUE"""),"$80k")</f>
        <v>$80k</v>
      </c>
      <c r="F1095" s="1" t="str">
        <f>IFERROR(__xludf.DUMMYFUNCTION("""COMPUTED_VALUE"""),"3 - 5")</f>
        <v>3 - 5</v>
      </c>
      <c r="G1095" s="1" t="str">
        <f>IFERROR(__xludf.DUMMYFUNCTION("""COMPUTED_VALUE"""),"USA")</f>
        <v>USA</v>
      </c>
      <c r="H1095" s="4" t="str">
        <f>IFERROR(__xludf.DUMMYFUNCTION("""COMPUTED_VALUE"""),"https://www.linkedin.com/posts/breegroff_newly-created-position-and-exciting-opportunity-activity-7227338716661383168-qBiE?utm_source=share&amp;utm_medium=member_desktop")</f>
        <v>https://www.linkedin.com/posts/breegroff_newly-created-position-and-exciting-opportunity-activity-7227338716661383168-qBiE?utm_source=share&amp;utm_medium=member_desktop</v>
      </c>
    </row>
    <row r="1096">
      <c r="A1096" s="2">
        <f>IFERROR(__xludf.DUMMYFUNCTION("""COMPUTED_VALUE"""),45512.0)</f>
        <v>45512</v>
      </c>
      <c r="B1096" s="1" t="str">
        <f>IFERROR(__xludf.DUMMYFUNCTION("""COMPUTED_VALUE"""),"Academy Sports + Outdoors")</f>
        <v>Academy Sports + Outdoors</v>
      </c>
      <c r="C1096" s="1" t="str">
        <f>IFERROR(__xludf.DUMMYFUNCTION("""COMPUTED_VALUE"""),"Sr Analyst Customer Analytics")</f>
        <v>Sr Analyst Customer Analytics</v>
      </c>
      <c r="D1096" s="1" t="str">
        <f>IFERROR(__xludf.DUMMYFUNCTION("""COMPUTED_VALUE"""),"On-Site")</f>
        <v>On-Site</v>
      </c>
      <c r="E1096" s="1" t="str">
        <f>IFERROR(__xludf.DUMMYFUNCTION("""COMPUTED_VALUE"""),"N/A")</f>
        <v>N/A</v>
      </c>
      <c r="F1096" s="1" t="str">
        <f>IFERROR(__xludf.DUMMYFUNCTION("""COMPUTED_VALUE"""),"3 - 5")</f>
        <v>3 - 5</v>
      </c>
      <c r="G1096" s="1" t="str">
        <f>IFERROR(__xludf.DUMMYFUNCTION("""COMPUTED_VALUE"""),"Katy, TX")</f>
        <v>Katy, TX</v>
      </c>
      <c r="H1096" s="4" t="str">
        <f>IFERROR(__xludf.DUMMYFUNCTION("""COMPUTED_VALUE"""),"https://www.linkedin.com/posts/vickyyepes_sr-analyst-customer-analytics-in-katy-tx-activity-7227332230631538689-MYuN?utm_source=share&amp;utm_medium=member_desktop")</f>
        <v>https://www.linkedin.com/posts/vickyyepes_sr-analyst-customer-analytics-in-katy-tx-activity-7227332230631538689-MYuN?utm_source=share&amp;utm_medium=member_desktop</v>
      </c>
    </row>
    <row r="1097">
      <c r="A1097" s="2">
        <f>IFERROR(__xludf.DUMMYFUNCTION("""COMPUTED_VALUE"""),45512.0)</f>
        <v>45512</v>
      </c>
      <c r="B1097" s="1" t="str">
        <f>IFERROR(__xludf.DUMMYFUNCTION("""COMPUTED_VALUE"""),"Clean Power Research")</f>
        <v>Clean Power Research</v>
      </c>
      <c r="C1097" s="1" t="str">
        <f>IFERROR(__xludf.DUMMYFUNCTION("""COMPUTED_VALUE"""),"Sales Operations Analyst")</f>
        <v>Sales Operations Analyst</v>
      </c>
      <c r="D1097" s="1" t="str">
        <f>IFERROR(__xludf.DUMMYFUNCTION("""COMPUTED_VALUE"""),"Hybrid")</f>
        <v>Hybrid</v>
      </c>
      <c r="E1097" s="1" t="str">
        <f>IFERROR(__xludf.DUMMYFUNCTION("""COMPUTED_VALUE"""),"$75k - $100k")</f>
        <v>$75k - $100k</v>
      </c>
      <c r="F1097" s="1" t="str">
        <f>IFERROR(__xludf.DUMMYFUNCTION("""COMPUTED_VALUE"""),"3 - 5")</f>
        <v>3 - 5</v>
      </c>
      <c r="G1097" s="1" t="str">
        <f>IFERROR(__xludf.DUMMYFUNCTION("""COMPUTED_VALUE"""),"Bellevue, WA")</f>
        <v>Bellevue, WA</v>
      </c>
      <c r="H1097" s="4" t="str">
        <f>IFERROR(__xludf.DUMMYFUNCTION("""COMPUTED_VALUE"""),"https://www.linkedin.com/posts/lucie-briot-gautier_salesoperations-analyst-cleanpowerresearch-activity-7227343180705193987-qFzb?utm_source=share&amp;utm_medium=member_desktop")</f>
        <v>https://www.linkedin.com/posts/lucie-briot-gautier_salesoperations-analyst-cleanpowerresearch-activity-7227343180705193987-qFzb?utm_source=share&amp;utm_medium=member_desktop</v>
      </c>
    </row>
    <row r="1098">
      <c r="A1098" s="2">
        <f>IFERROR(__xludf.DUMMYFUNCTION("""COMPUTED_VALUE"""),45512.0)</f>
        <v>45512</v>
      </c>
      <c r="B1098" s="1" t="str">
        <f>IFERROR(__xludf.DUMMYFUNCTION("""COMPUTED_VALUE"""),"Molina Healthcare")</f>
        <v>Molina Healthcare</v>
      </c>
      <c r="C1098" s="1" t="str">
        <f>IFERROR(__xludf.DUMMYFUNCTION("""COMPUTED_VALUE"""),"Analyst, Encounters")</f>
        <v>Analyst, Encounters</v>
      </c>
      <c r="D1098" s="1" t="str">
        <f>IFERROR(__xludf.DUMMYFUNCTION("""COMPUTED_VALUE"""),"Remote")</f>
        <v>Remote</v>
      </c>
      <c r="E1098" s="1" t="str">
        <f>IFERROR(__xludf.DUMMYFUNCTION("""COMPUTED_VALUE"""),"$49k - $107k")</f>
        <v>$49k - $107k</v>
      </c>
      <c r="F1098" s="1" t="str">
        <f>IFERROR(__xludf.DUMMYFUNCTION("""COMPUTED_VALUE"""),"3 - 5")</f>
        <v>3 - 5</v>
      </c>
      <c r="G1098" s="1" t="str">
        <f>IFERROR(__xludf.DUMMYFUNCTION("""COMPUTED_VALUE"""),"USA")</f>
        <v>USA</v>
      </c>
      <c r="H1098" s="4" t="str">
        <f>IFERROR(__xludf.DUMMYFUNCTION("""COMPUTED_VALUE"""),"https://www.linkedin.com/posts/kevinbeltzman_riskadjustment-activity-7227321298081734656-qpIt?utm_source=share&amp;utm_medium=member_desktop")</f>
        <v>https://www.linkedin.com/posts/kevinbeltzman_riskadjustment-activity-7227321298081734656-qpIt?utm_source=share&amp;utm_medium=member_desktop</v>
      </c>
    </row>
    <row r="1099">
      <c r="A1099" s="2">
        <f>IFERROR(__xludf.DUMMYFUNCTION("""COMPUTED_VALUE"""),45512.0)</f>
        <v>45512</v>
      </c>
      <c r="B1099" s="1" t="str">
        <f>IFERROR(__xludf.DUMMYFUNCTION("""COMPUTED_VALUE"""),"Abarca Health")</f>
        <v>Abarca Health</v>
      </c>
      <c r="C1099" s="1" t="str">
        <f>IFERROR(__xludf.DUMMYFUNCTION("""COMPUTED_VALUE"""),"Service Level Analyst")</f>
        <v>Service Level Analyst</v>
      </c>
      <c r="D1099" s="1" t="str">
        <f>IFERROR(__xludf.DUMMYFUNCTION("""COMPUTED_VALUE"""),"Remote")</f>
        <v>Remote</v>
      </c>
      <c r="E1099" s="1" t="str">
        <f>IFERROR(__xludf.DUMMYFUNCTION("""COMPUTED_VALUE"""),"N/A")</f>
        <v>N/A</v>
      </c>
      <c r="F1099" s="1" t="str">
        <f>IFERROR(__xludf.DUMMYFUNCTION("""COMPUTED_VALUE"""),"3 - 5")</f>
        <v>3 - 5</v>
      </c>
      <c r="G1099" s="1" t="str">
        <f>IFERROR(__xludf.DUMMYFUNCTION("""COMPUTED_VALUE"""),"USA")</f>
        <v>USA</v>
      </c>
      <c r="H1099" s="4" t="str">
        <f>IFERROR(__xludf.DUMMYFUNCTION("""COMPUTED_VALUE"""),"https://www.linkedin.com/posts/stephanie-steph-eckstein-0a132969_hiring-activity-7227023374626025472-vX9j?utm_source=share&amp;utm_medium=member_desktop")</f>
        <v>https://www.linkedin.com/posts/stephanie-steph-eckstein-0a132969_hiring-activity-7227023374626025472-vX9j?utm_source=share&amp;utm_medium=member_desktop</v>
      </c>
    </row>
    <row r="1100">
      <c r="A1100" s="2">
        <f>IFERROR(__xludf.DUMMYFUNCTION("""COMPUTED_VALUE"""),45512.0)</f>
        <v>45512</v>
      </c>
      <c r="B1100" s="1" t="str">
        <f>IFERROR(__xludf.DUMMYFUNCTION("""COMPUTED_VALUE"""),"Nevada Health Centers")</f>
        <v>Nevada Health Centers</v>
      </c>
      <c r="C1100" s="1" t="str">
        <f>IFERROR(__xludf.DUMMYFUNCTION("""COMPUTED_VALUE"""),"Human Resources Analyst")</f>
        <v>Human Resources Analyst</v>
      </c>
      <c r="D1100" s="1" t="str">
        <f>IFERROR(__xludf.DUMMYFUNCTION("""COMPUTED_VALUE"""),"Hybrid")</f>
        <v>Hybrid</v>
      </c>
      <c r="E1100" s="1" t="str">
        <f>IFERROR(__xludf.DUMMYFUNCTION("""COMPUTED_VALUE"""),"N/A")</f>
        <v>N/A</v>
      </c>
      <c r="F1100" s="1" t="str">
        <f>IFERROR(__xludf.DUMMYFUNCTION("""COMPUTED_VALUE"""),"0 - 2")</f>
        <v>0 - 2</v>
      </c>
      <c r="G1100" s="1" t="str">
        <f>IFERROR(__xludf.DUMMYFUNCTION("""COMPUTED_VALUE"""),"Carson City, NV")</f>
        <v>Carson City, NV</v>
      </c>
      <c r="H1100" s="4" t="str">
        <f>IFERROR(__xludf.DUMMYFUNCTION("""COMPUTED_VALUE"""),"https://www.linkedin.com/posts/branden-sparks-mba-10568818_hranalyst-nevadahealthcenters-joinourteam-activity-7227002996490919936-giBi?utm_source=share&amp;utm_medium=member_desktop")</f>
        <v>https://www.linkedin.com/posts/branden-sparks-mba-10568818_hranalyst-nevadahealthcenters-joinourteam-activity-7227002996490919936-giBi?utm_source=share&amp;utm_medium=member_desktop</v>
      </c>
    </row>
    <row r="1101">
      <c r="A1101" s="2">
        <f>IFERROR(__xludf.DUMMYFUNCTION("""COMPUTED_VALUE"""),45512.0)</f>
        <v>45512</v>
      </c>
      <c r="B1101" s="1" t="str">
        <f>IFERROR(__xludf.DUMMYFUNCTION("""COMPUTED_VALUE"""),"City of Waterloo Iowa")</f>
        <v>City of Waterloo Iowa</v>
      </c>
      <c r="C1101" s="1" t="str">
        <f>IFERROR(__xludf.DUMMYFUNCTION("""COMPUTED_VALUE"""),"Financial Analyst")</f>
        <v>Financial Analyst</v>
      </c>
      <c r="D1101" s="1" t="str">
        <f>IFERROR(__xludf.DUMMYFUNCTION("""COMPUTED_VALUE"""),"On-Site")</f>
        <v>On-Site</v>
      </c>
      <c r="E1101" s="1" t="str">
        <f>IFERROR(__xludf.DUMMYFUNCTION("""COMPUTED_VALUE"""),"$59k - $82k")</f>
        <v>$59k - $82k</v>
      </c>
      <c r="F1101" s="1" t="str">
        <f>IFERROR(__xludf.DUMMYFUNCTION("""COMPUTED_VALUE"""),"3 - 5")</f>
        <v>3 - 5</v>
      </c>
      <c r="G1101" s="1" t="str">
        <f>IFERROR(__xludf.DUMMYFUNCTION("""COMPUTED_VALUE"""),"Waterloo, IA")</f>
        <v>Waterloo, IA</v>
      </c>
      <c r="H1101" s="4" t="str">
        <f>IFERROR(__xludf.DUMMYFUNCTION("""COMPUTED_VALUE"""),"https://www.linkedin.com/posts/bridgettwood_financial-analyst-activity-7227301848016117761-kZbB?utm_source=share&amp;utm_medium=member_desktop")</f>
        <v>https://www.linkedin.com/posts/bridgettwood_financial-analyst-activity-7227301848016117761-kZbB?utm_source=share&amp;utm_medium=member_desktop</v>
      </c>
    </row>
    <row r="1102">
      <c r="A1102" s="2">
        <f>IFERROR(__xludf.DUMMYFUNCTION("""COMPUTED_VALUE"""),45512.0)</f>
        <v>45512</v>
      </c>
      <c r="B1102" s="1" t="str">
        <f>IFERROR(__xludf.DUMMYFUNCTION("""COMPUTED_VALUE"""),"University of Colorado Boulder")</f>
        <v>University of Colorado Boulder</v>
      </c>
      <c r="C1102" s="1" t="str">
        <f>IFERROR(__xludf.DUMMYFUNCTION("""COMPUTED_VALUE"""),"Business Intelligence Analyst II")</f>
        <v>Business Intelligence Analyst II</v>
      </c>
      <c r="D1102" s="1" t="str">
        <f>IFERROR(__xludf.DUMMYFUNCTION("""COMPUTED_VALUE"""),"On-Site")</f>
        <v>On-Site</v>
      </c>
      <c r="E1102" s="1" t="str">
        <f>IFERROR(__xludf.DUMMYFUNCTION("""COMPUTED_VALUE"""),"$78k - $102k")</f>
        <v>$78k - $102k</v>
      </c>
      <c r="F1102" s="1" t="str">
        <f>IFERROR(__xludf.DUMMYFUNCTION("""COMPUTED_VALUE"""),"3 - 5")</f>
        <v>3 - 5</v>
      </c>
      <c r="G1102" s="1" t="str">
        <f>IFERROR(__xludf.DUMMYFUNCTION("""COMPUTED_VALUE"""),"Boulder, CO")</f>
        <v>Boulder, CO</v>
      </c>
      <c r="H1102" s="4" t="str">
        <f>IFERROR(__xludf.DUMMYFUNCTION("""COMPUTED_VALUE"""),"https://www.linkedin.com/posts/gusvillines_business-intelligence-analyst-ii-activity-7227292746284158976-ukrC?utm_source=share&amp;utm_medium=member_desktop")</f>
        <v>https://www.linkedin.com/posts/gusvillines_business-intelligence-analyst-ii-activity-7227292746284158976-ukrC?utm_source=share&amp;utm_medium=member_desktop</v>
      </c>
    </row>
    <row r="1103">
      <c r="A1103" s="2">
        <f>IFERROR(__xludf.DUMMYFUNCTION("""COMPUTED_VALUE"""),45512.0)</f>
        <v>45512</v>
      </c>
      <c r="B1103" s="1" t="str">
        <f>IFERROR(__xludf.DUMMYFUNCTION("""COMPUTED_VALUE"""),"LHH")</f>
        <v>LHH</v>
      </c>
      <c r="C1103" s="1" t="str">
        <f>IFERROR(__xludf.DUMMYFUNCTION("""COMPUTED_VALUE"""),"Senior Financial Analyst")</f>
        <v>Senior Financial Analyst</v>
      </c>
      <c r="D1103" s="1" t="str">
        <f>IFERROR(__xludf.DUMMYFUNCTION("""COMPUTED_VALUE"""),"Hybrid")</f>
        <v>Hybrid</v>
      </c>
      <c r="E1103" s="1" t="str">
        <f>IFERROR(__xludf.DUMMYFUNCTION("""COMPUTED_VALUE"""),"$120k - $125k")</f>
        <v>$120k - $125k</v>
      </c>
      <c r="F1103" s="1" t="str">
        <f>IFERROR(__xludf.DUMMYFUNCTION("""COMPUTED_VALUE"""),"6 - 9")</f>
        <v>6 - 9</v>
      </c>
      <c r="G1103" s="1" t="str">
        <f>IFERROR(__xludf.DUMMYFUNCTION("""COMPUTED_VALUE"""),"Irving, TX")</f>
        <v>Irving, TX</v>
      </c>
      <c r="H1103" s="4" t="str">
        <f>IFERROR(__xludf.DUMMYFUNCTION("""COMPUTED_VALUE"""),"https://www.linkedin.com/posts/rmuhanna_i-am-looking-to-fill-a-senior-financial-analyst-activity-7227277123244150784-_pfR?utm_source=share&amp;utm_medium=member_desktop")</f>
        <v>https://www.linkedin.com/posts/rmuhanna_i-am-looking-to-fill-a-senior-financial-analyst-activity-7227277123244150784-_pfR?utm_source=share&amp;utm_medium=member_desktop</v>
      </c>
    </row>
    <row r="1104">
      <c r="A1104" s="2">
        <f>IFERROR(__xludf.DUMMYFUNCTION("""COMPUTED_VALUE"""),45512.0)</f>
        <v>45512</v>
      </c>
      <c r="B1104" s="1" t="str">
        <f>IFERROR(__xludf.DUMMYFUNCTION("""COMPUTED_VALUE"""),"Disney")</f>
        <v>Disney</v>
      </c>
      <c r="C1104" s="1" t="str">
        <f>IFERROR(__xludf.DUMMYFUNCTION("""COMPUTED_VALUE"""),"Sr Financial Analyst")</f>
        <v>Sr Financial Analyst</v>
      </c>
      <c r="D1104" s="1" t="str">
        <f>IFERROR(__xludf.DUMMYFUNCTION("""COMPUTED_VALUE"""),"Hybrid")</f>
        <v>Hybrid</v>
      </c>
      <c r="E1104" s="1" t="str">
        <f>IFERROR(__xludf.DUMMYFUNCTION("""COMPUTED_VALUE"""),"N/A")</f>
        <v>N/A</v>
      </c>
      <c r="F1104" s="1" t="str">
        <f>IFERROR(__xludf.DUMMYFUNCTION("""COMPUTED_VALUE"""),"0 - 2")</f>
        <v>0 - 2</v>
      </c>
      <c r="G1104" s="1" t="str">
        <f>IFERROR(__xludf.DUMMYFUNCTION("""COMPUTED_VALUE"""),"Lake Buena Vista, FL")</f>
        <v>Lake Buena Vista, FL</v>
      </c>
      <c r="H1104" s="4" t="str">
        <f>IFERROR(__xludf.DUMMYFUNCTION("""COMPUTED_VALUE"""),"https://www.linkedin.com/posts/lauwyna-newsome-1467162_sr-financial-analyst-activity-7227304123715497985-0BR0?utm_source=share&amp;utm_medium=member_desktop")</f>
        <v>https://www.linkedin.com/posts/lauwyna-newsome-1467162_sr-financial-analyst-activity-7227304123715497985-0BR0?utm_source=share&amp;utm_medium=member_desktop</v>
      </c>
    </row>
    <row r="1105">
      <c r="A1105" s="2">
        <f>IFERROR(__xludf.DUMMYFUNCTION("""COMPUTED_VALUE"""),45512.0)</f>
        <v>45512</v>
      </c>
      <c r="B1105" s="1" t="str">
        <f>IFERROR(__xludf.DUMMYFUNCTION("""COMPUTED_VALUE"""),"Storck USA, L.P.")</f>
        <v>Storck USA, L.P.</v>
      </c>
      <c r="C1105" s="1" t="str">
        <f>IFERROR(__xludf.DUMMYFUNCTION("""COMPUTED_VALUE"""),"Trade Marketing Analyst")</f>
        <v>Trade Marketing Analyst</v>
      </c>
      <c r="D1105" s="1" t="str">
        <f>IFERROR(__xludf.DUMMYFUNCTION("""COMPUTED_VALUE"""),"Hybrid")</f>
        <v>Hybrid</v>
      </c>
      <c r="E1105" s="1" t="str">
        <f>IFERROR(__xludf.DUMMYFUNCTION("""COMPUTED_VALUE"""),"N/A")</f>
        <v>N/A</v>
      </c>
      <c r="F1105" s="1" t="str">
        <f>IFERROR(__xludf.DUMMYFUNCTION("""COMPUTED_VALUE"""),"3 - 5")</f>
        <v>3 - 5</v>
      </c>
      <c r="G1105" s="1" t="str">
        <f>IFERROR(__xludf.DUMMYFUNCTION("""COMPUTED_VALUE"""),"Chicago, IL")</f>
        <v>Chicago, IL</v>
      </c>
      <c r="H1105" s="4" t="str">
        <f>IFERROR(__xludf.DUMMYFUNCTION("""COMPUTED_VALUE"""),"https://www.linkedin.com/posts/isabel-cot%C3%A9-9a66414b_check-out-this-job-at-storck-usa-lp-trade-activity-7227306837073649664-aUag?utm_source=share&amp;utm_medium=member_desktop")</f>
        <v>https://www.linkedin.com/posts/isabel-cot%C3%A9-9a66414b_check-out-this-job-at-storck-usa-lp-trade-activity-7227306837073649664-aUag?utm_source=share&amp;utm_medium=member_desktop</v>
      </c>
    </row>
    <row r="1106">
      <c r="A1106" s="2">
        <f>IFERROR(__xludf.DUMMYFUNCTION("""COMPUTED_VALUE"""),45512.0)</f>
        <v>45512</v>
      </c>
      <c r="B1106" s="1" t="str">
        <f>IFERROR(__xludf.DUMMYFUNCTION("""COMPUTED_VALUE"""),"Shoes for Crews")</f>
        <v>Shoes for Crews</v>
      </c>
      <c r="C1106" s="1" t="str">
        <f>IFERROR(__xludf.DUMMYFUNCTION("""COMPUTED_VALUE"""),"Analyst, Marketing")</f>
        <v>Analyst, Marketing</v>
      </c>
      <c r="D1106" s="1" t="str">
        <f>IFERROR(__xludf.DUMMYFUNCTION("""COMPUTED_VALUE"""),"Remote")</f>
        <v>Remote</v>
      </c>
      <c r="E1106" s="1" t="str">
        <f>IFERROR(__xludf.DUMMYFUNCTION("""COMPUTED_VALUE"""),"N/A")</f>
        <v>N/A</v>
      </c>
      <c r="F1106" s="1" t="str">
        <f>IFERROR(__xludf.DUMMYFUNCTION("""COMPUTED_VALUE"""),"3 - 5")</f>
        <v>3 - 5</v>
      </c>
      <c r="G1106" s="1" t="str">
        <f>IFERROR(__xludf.DUMMYFUNCTION("""COMPUTED_VALUE"""),"USA")</f>
        <v>USA</v>
      </c>
      <c r="H1106" s="4" t="str">
        <f>IFERROR(__xludf.DUMMYFUNCTION("""COMPUTED_VALUE"""),"https://www.linkedin.com/posts/troykachurka_come-join-our-team-seeking-data-driven-activity-7227264755059597312-uqHQ?utm_source=share&amp;utm_medium=member_desktop")</f>
        <v>https://www.linkedin.com/posts/troykachurka_come-join-our-team-seeking-data-driven-activity-7227264755059597312-uqHQ?utm_source=share&amp;utm_medium=member_desktop</v>
      </c>
    </row>
    <row r="1107">
      <c r="A1107" s="2">
        <f>IFERROR(__xludf.DUMMYFUNCTION("""COMPUTED_VALUE"""),45512.0)</f>
        <v>45512</v>
      </c>
      <c r="B1107" s="1" t="str">
        <f>IFERROR(__xludf.DUMMYFUNCTION("""COMPUTED_VALUE"""),"PepsiCo")</f>
        <v>PepsiCo</v>
      </c>
      <c r="C1107" s="1" t="str">
        <f>IFERROR(__xludf.DUMMYFUNCTION("""COMPUTED_VALUE"""),"R&amp;D Data Analyst")</f>
        <v>R&amp;D Data Analyst</v>
      </c>
      <c r="D1107" s="1" t="str">
        <f>IFERROR(__xludf.DUMMYFUNCTION("""COMPUTED_VALUE"""),"Hybrid")</f>
        <v>Hybrid</v>
      </c>
      <c r="E1107" s="1" t="str">
        <f>IFERROR(__xludf.DUMMYFUNCTION("""COMPUTED_VALUE"""),"$73k - $138k")</f>
        <v>$73k - $138k</v>
      </c>
      <c r="F1107" s="1" t="str">
        <f>IFERROR(__xludf.DUMMYFUNCTION("""COMPUTED_VALUE"""),"3 - 5")</f>
        <v>3 - 5</v>
      </c>
      <c r="G1107" s="1" t="str">
        <f>IFERROR(__xludf.DUMMYFUNCTION("""COMPUTED_VALUE"""),"Plano, TX/St. Paul, MN")</f>
        <v>Plano, TX/St. Paul, MN</v>
      </c>
      <c r="H1107" s="4" t="str">
        <f>IFERROR(__xludf.DUMMYFUNCTION("""COMPUTED_VALUE"""),"https://www.linkedin.com/posts/bala-pudota-phd_rd-data-analyst-in-multiple-locations-activity-7227270678020775936-wek6?utm_source=share&amp;utm_medium=member_desktop")</f>
        <v>https://www.linkedin.com/posts/bala-pudota-phd_rd-data-analyst-in-multiple-locations-activity-7227270678020775936-wek6?utm_source=share&amp;utm_medium=member_desktop</v>
      </c>
    </row>
    <row r="1108">
      <c r="A1108" s="2">
        <f>IFERROR(__xludf.DUMMYFUNCTION("""COMPUTED_VALUE"""),45512.0)</f>
        <v>45512</v>
      </c>
      <c r="B1108" s="1" t="str">
        <f>IFERROR(__xludf.DUMMYFUNCTION("""COMPUTED_VALUE"""),"GrubHub")</f>
        <v>GrubHub</v>
      </c>
      <c r="C1108" s="1" t="str">
        <f>IFERROR(__xludf.DUMMYFUNCTION("""COMPUTED_VALUE"""),"Senior Data Engineer")</f>
        <v>Senior Data Engineer</v>
      </c>
      <c r="D1108" s="1" t="str">
        <f>IFERROR(__xludf.DUMMYFUNCTION("""COMPUTED_VALUE"""),"Hybrid")</f>
        <v>Hybrid</v>
      </c>
      <c r="E1108" s="1" t="str">
        <f>IFERROR(__xludf.DUMMYFUNCTION("""COMPUTED_VALUE"""),"$165k - $206k")</f>
        <v>$165k - $206k</v>
      </c>
      <c r="F1108" s="1" t="str">
        <f>IFERROR(__xludf.DUMMYFUNCTION("""COMPUTED_VALUE"""),"3 - 5")</f>
        <v>3 - 5</v>
      </c>
      <c r="G1108" s="1" t="str">
        <f>IFERROR(__xludf.DUMMYFUNCTION("""COMPUTED_VALUE"""),"New York, NY")</f>
        <v>New York, NY</v>
      </c>
      <c r="H1108" s="4" t="str">
        <f>IFERROR(__xludf.DUMMYFUNCTION("""COMPUTED_VALUE"""),"https://www.linkedin.com/posts/leilaniraedanigelis_hiring-activity-7226984347260588033-zmsy?utm_source=share&amp;utm_medium=member_ios")</f>
        <v>https://www.linkedin.com/posts/leilaniraedanigelis_hiring-activity-7226984347260588033-zmsy?utm_source=share&amp;utm_medium=member_ios</v>
      </c>
    </row>
    <row r="1109">
      <c r="A1109" s="2">
        <f>IFERROR(__xludf.DUMMYFUNCTION("""COMPUTED_VALUE"""),45512.0)</f>
        <v>45512</v>
      </c>
      <c r="B1109" s="1" t="str">
        <f>IFERROR(__xludf.DUMMYFUNCTION("""COMPUTED_VALUE"""),"Data Driven Partners")</f>
        <v>Data Driven Partners</v>
      </c>
      <c r="C1109" s="1" t="str">
        <f>IFERROR(__xludf.DUMMYFUNCTION("""COMPUTED_VALUE"""),"Data Quality Project Manager")</f>
        <v>Data Quality Project Manager</v>
      </c>
      <c r="D1109" s="1" t="str">
        <f>IFERROR(__xludf.DUMMYFUNCTION("""COMPUTED_VALUE"""),"Remote")</f>
        <v>Remote</v>
      </c>
      <c r="E1109" s="1" t="str">
        <f>IFERROR(__xludf.DUMMYFUNCTION("""COMPUTED_VALUE"""),"$60k")</f>
        <v>$60k</v>
      </c>
      <c r="F1109" s="1" t="str">
        <f>IFERROR(__xludf.DUMMYFUNCTION("""COMPUTED_VALUE"""),"0 - 2")</f>
        <v>0 - 2</v>
      </c>
      <c r="G1109" s="1" t="str">
        <f>IFERROR(__xludf.DUMMYFUNCTION("""COMPUTED_VALUE"""),"USA")</f>
        <v>USA</v>
      </c>
      <c r="H1109" s="4" t="str">
        <f>IFERROR(__xludf.DUMMYFUNCTION("""COMPUTED_VALUE"""),"https://www.linkedin.com/posts/activity-7226951195871862785-6VSc?utm_source=share&amp;utm_medium=member_ios")</f>
        <v>https://www.linkedin.com/posts/activity-7226951195871862785-6VSc?utm_source=share&amp;utm_medium=member_ios</v>
      </c>
    </row>
    <row r="1110">
      <c r="A1110" s="2">
        <f>IFERROR(__xludf.DUMMYFUNCTION("""COMPUTED_VALUE"""),45512.0)</f>
        <v>45512</v>
      </c>
      <c r="B1110" s="1" t="str">
        <f>IFERROR(__xludf.DUMMYFUNCTION("""COMPUTED_VALUE"""),"Ultra Maritime")</f>
        <v>Ultra Maritime</v>
      </c>
      <c r="C1110" s="1" t="str">
        <f>IFERROR(__xludf.DUMMYFUNCTION("""COMPUTED_VALUE"""),"Senior FP&amp;A Analyst")</f>
        <v>Senior FP&amp;A Analyst</v>
      </c>
      <c r="D1110" s="1" t="str">
        <f>IFERROR(__xludf.DUMMYFUNCTION("""COMPUTED_VALUE"""),"On-Site")</f>
        <v>On-Site</v>
      </c>
      <c r="E1110" s="1" t="str">
        <f>IFERROR(__xludf.DUMMYFUNCTION("""COMPUTED_VALUE"""),"N/A")</f>
        <v>N/A</v>
      </c>
      <c r="F1110" s="1" t="str">
        <f>IFERROR(__xludf.DUMMYFUNCTION("""COMPUTED_VALUE"""),"3 - 5")</f>
        <v>3 - 5</v>
      </c>
      <c r="G1110" s="1" t="str">
        <f>IFERROR(__xludf.DUMMYFUNCTION("""COMPUTED_VALUE"""),"Columbia City, IN")</f>
        <v>Columbia City, IN</v>
      </c>
      <c r="H1110" s="4" t="str">
        <f>IFERROR(__xludf.DUMMYFUNCTION("""COMPUTED_VALUE"""),"https://www.linkedin.com/posts/jarod-opheim_check-out-this-job-at-ultra-maritime-senior-activity-7227083119890235392-Cw23?utm_source=share&amp;utm_medium=member_desktop")</f>
        <v>https://www.linkedin.com/posts/jarod-opheim_check-out-this-job-at-ultra-maritime-senior-activity-7227083119890235392-Cw23?utm_source=share&amp;utm_medium=member_desktop</v>
      </c>
    </row>
    <row r="1111">
      <c r="A1111" s="2">
        <f>IFERROR(__xludf.DUMMYFUNCTION("""COMPUTED_VALUE"""),45512.0)</f>
        <v>45512</v>
      </c>
      <c r="B1111" s="1" t="str">
        <f>IFERROR(__xludf.DUMMYFUNCTION("""COMPUTED_VALUE"""),"The Standard")</f>
        <v>The Standard</v>
      </c>
      <c r="C1111" s="1" t="str">
        <f>IFERROR(__xludf.DUMMYFUNCTION("""COMPUTED_VALUE"""),"Data Scientist ")</f>
        <v>Data Scientist </v>
      </c>
      <c r="D1111" s="1" t="str">
        <f>IFERROR(__xludf.DUMMYFUNCTION("""COMPUTED_VALUE"""),"Remote")</f>
        <v>Remote</v>
      </c>
      <c r="E1111" s="1" t="str">
        <f>IFERROR(__xludf.DUMMYFUNCTION("""COMPUTED_VALUE"""),"$108k - $184k")</f>
        <v>$108k - $184k</v>
      </c>
      <c r="F1111" s="1" t="str">
        <f>IFERROR(__xludf.DUMMYFUNCTION("""COMPUTED_VALUE"""),"6 - 9")</f>
        <v>6 - 9</v>
      </c>
      <c r="G1111" s="1" t="str">
        <f>IFERROR(__xludf.DUMMYFUNCTION("""COMPUTED_VALUE"""),"Portland, OR")</f>
        <v>Portland, OR</v>
      </c>
      <c r="H1111" s="4" t="str">
        <f>IFERROR(__xludf.DUMMYFUNCTION("""COMPUTED_VALUE"""),"https://www.linkedin.com/posts/porterorr01_excited-to-be-growing-our-data-science-team-activity-7226796721387790336-CczI?utm_source=share&amp;utm_medium=member_desktop")</f>
        <v>https://www.linkedin.com/posts/porterorr01_excited-to-be-growing-our-data-science-team-activity-7226796721387790336-CczI?utm_source=share&amp;utm_medium=member_desktop</v>
      </c>
    </row>
    <row r="1112">
      <c r="A1112" s="2">
        <f>IFERROR(__xludf.DUMMYFUNCTION("""COMPUTED_VALUE"""),45512.0)</f>
        <v>45512</v>
      </c>
      <c r="B1112" s="1" t="str">
        <f>IFERROR(__xludf.DUMMYFUNCTION("""COMPUTED_VALUE"""),"The Ritz-Carlton Yacht Collection")</f>
        <v>The Ritz-Carlton Yacht Collection</v>
      </c>
      <c r="C1112" s="1" t="str">
        <f>IFERROR(__xludf.DUMMYFUNCTION("""COMPUTED_VALUE"""),"Risk Management Analyst")</f>
        <v>Risk Management Analyst</v>
      </c>
      <c r="D1112" s="1" t="str">
        <f>IFERROR(__xludf.DUMMYFUNCTION("""COMPUTED_VALUE"""),"Hybrid")</f>
        <v>Hybrid</v>
      </c>
      <c r="E1112" s="1" t="str">
        <f>IFERROR(__xludf.DUMMYFUNCTION("""COMPUTED_VALUE"""),"N/A")</f>
        <v>N/A</v>
      </c>
      <c r="F1112" s="1" t="str">
        <f>IFERROR(__xludf.DUMMYFUNCTION("""COMPUTED_VALUE"""),"0 - 2")</f>
        <v>0 - 2</v>
      </c>
      <c r="G1112" s="1" t="str">
        <f>IFERROR(__xludf.DUMMYFUNCTION("""COMPUTED_VALUE"""),"Fort Lauderdale, FL")</f>
        <v>Fort Lauderdale, FL</v>
      </c>
      <c r="H1112" s="4" t="str">
        <f>IFERROR(__xludf.DUMMYFUNCTION("""COMPUTED_VALUE"""),"https://www.linkedin.com/posts/activity-7226985264303263745-c6A4?utm_source=share&amp;utm_medium=member_desktop")</f>
        <v>https://www.linkedin.com/posts/activity-7226985264303263745-c6A4?utm_source=share&amp;utm_medium=member_desktop</v>
      </c>
    </row>
    <row r="1113">
      <c r="A1113" s="2">
        <f>IFERROR(__xludf.DUMMYFUNCTION("""COMPUTED_VALUE"""),45512.0)</f>
        <v>45512</v>
      </c>
      <c r="B1113" s="1" t="str">
        <f>IFERROR(__xludf.DUMMYFUNCTION("""COMPUTED_VALUE"""),"PDI Technologies")</f>
        <v>PDI Technologies</v>
      </c>
      <c r="C1113" s="1" t="str">
        <f>IFERROR(__xludf.DUMMYFUNCTION("""COMPUTED_VALUE"""),"Senior Financial Analyst")</f>
        <v>Senior Financial Analyst</v>
      </c>
      <c r="D1113" s="1" t="str">
        <f>IFERROR(__xludf.DUMMYFUNCTION("""COMPUTED_VALUE"""),"Remote")</f>
        <v>Remote</v>
      </c>
      <c r="E1113" s="1" t="str">
        <f>IFERROR(__xludf.DUMMYFUNCTION("""COMPUTED_VALUE"""),"N/A")</f>
        <v>N/A</v>
      </c>
      <c r="F1113" s="1" t="str">
        <f>IFERROR(__xludf.DUMMYFUNCTION("""COMPUTED_VALUE"""),"3 - 5")</f>
        <v>3 - 5</v>
      </c>
      <c r="G1113" s="1" t="str">
        <f>IFERROR(__xludf.DUMMYFUNCTION("""COMPUTED_VALUE"""),"USA")</f>
        <v>USA</v>
      </c>
      <c r="H1113" s="4" t="str">
        <f>IFERROR(__xludf.DUMMYFUNCTION("""COMPUTED_VALUE"""),"https://www.linkedin.com/posts/activity-7227036402503356416-FqQL?utm_source=share&amp;utm_medium=member_desktop")</f>
        <v>https://www.linkedin.com/posts/activity-7227036402503356416-FqQL?utm_source=share&amp;utm_medium=member_desktop</v>
      </c>
    </row>
    <row r="1114">
      <c r="A1114" s="2">
        <f>IFERROR(__xludf.DUMMYFUNCTION("""COMPUTED_VALUE"""),45512.0)</f>
        <v>45512</v>
      </c>
      <c r="B1114" s="1" t="str">
        <f>IFERROR(__xludf.DUMMYFUNCTION("""COMPUTED_VALUE"""),"Ferrara")</f>
        <v>Ferrara</v>
      </c>
      <c r="C1114" s="1" t="str">
        <f>IFERROR(__xludf.DUMMYFUNCTION("""COMPUTED_VALUE"""),"Analyst, Consumer Insights")</f>
        <v>Analyst, Consumer Insights</v>
      </c>
      <c r="D1114" s="1" t="str">
        <f>IFERROR(__xludf.DUMMYFUNCTION("""COMPUTED_VALUE"""),"On-Site")</f>
        <v>On-Site</v>
      </c>
      <c r="E1114" s="1" t="str">
        <f>IFERROR(__xludf.DUMMYFUNCTION("""COMPUTED_VALUE"""),"N/A")</f>
        <v>N/A</v>
      </c>
      <c r="F1114" s="1" t="str">
        <f>IFERROR(__xludf.DUMMYFUNCTION("""COMPUTED_VALUE"""),"0 - 2")</f>
        <v>0 - 2</v>
      </c>
      <c r="G1114" s="1" t="str">
        <f>IFERROR(__xludf.DUMMYFUNCTION("""COMPUTED_VALUE"""),"Chicago, IL")</f>
        <v>Chicago, IL</v>
      </c>
      <c r="H1114" s="4" t="str">
        <f>IFERROR(__xludf.DUMMYFUNCTION("""COMPUTED_VALUE"""),"https://www.linkedin.com/posts/maiachang_i-have-an-opening-for-an-insights-analyst-activity-7226670216645165056-ytFA?utm_source=share&amp;utm_medium=member_desktop")</f>
        <v>https://www.linkedin.com/posts/maiachang_i-have-an-opening-for-an-insights-analyst-activity-7226670216645165056-ytFA?utm_source=share&amp;utm_medium=member_desktop</v>
      </c>
    </row>
    <row r="1115">
      <c r="A1115" s="2">
        <f>IFERROR(__xludf.DUMMYFUNCTION("""COMPUTED_VALUE"""),45512.0)</f>
        <v>45512</v>
      </c>
      <c r="B1115" s="1" t="str">
        <f>IFERROR(__xludf.DUMMYFUNCTION("""COMPUTED_VALUE"""),"LPL Financial")</f>
        <v>LPL Financial</v>
      </c>
      <c r="C1115" s="1" t="str">
        <f>IFERROR(__xludf.DUMMYFUNCTION("""COMPUTED_VALUE"""),"Associate Analyst Client Reporting")</f>
        <v>Associate Analyst Client Reporting</v>
      </c>
      <c r="D1115" s="1" t="str">
        <f>IFERROR(__xludf.DUMMYFUNCTION("""COMPUTED_VALUE"""),"Hybrid")</f>
        <v>Hybrid</v>
      </c>
      <c r="E1115" s="1" t="str">
        <f>IFERROR(__xludf.DUMMYFUNCTION("""COMPUTED_VALUE"""),"$20 - $34/hr")</f>
        <v>$20 - $34/hr</v>
      </c>
      <c r="F1115" s="1" t="str">
        <f>IFERROR(__xludf.DUMMYFUNCTION("""COMPUTED_VALUE"""),"0 - 2")</f>
        <v>0 - 2</v>
      </c>
      <c r="G1115" s="1" t="str">
        <f>IFERROR(__xludf.DUMMYFUNCTION("""COMPUTED_VALUE"""),"Tempe, AZ")</f>
        <v>Tempe, AZ</v>
      </c>
      <c r="H1115" s="4" t="str">
        <f>IFERROR(__xludf.DUMMYFUNCTION("""COMPUTED_VALUE"""),"https://www.linkedin.com/posts/activity-7227019519322394624-YBYz?utm_source=share&amp;utm_medium=member_desktop")</f>
        <v>https://www.linkedin.com/posts/activity-7227019519322394624-YBYz?utm_source=share&amp;utm_medium=member_desktop</v>
      </c>
    </row>
    <row r="1116">
      <c r="A1116" s="2">
        <f>IFERROR(__xludf.DUMMYFUNCTION("""COMPUTED_VALUE"""),45512.0)</f>
        <v>45512</v>
      </c>
      <c r="B1116" s="1" t="str">
        <f>IFERROR(__xludf.DUMMYFUNCTION("""COMPUTED_VALUE"""),"Techead")</f>
        <v>Techead</v>
      </c>
      <c r="C1116" s="1" t="str">
        <f>IFERROR(__xludf.DUMMYFUNCTION("""COMPUTED_VALUE"""),"Senior Data Analyst")</f>
        <v>Senior Data Analyst</v>
      </c>
      <c r="D1116" s="1" t="str">
        <f>IFERROR(__xludf.DUMMYFUNCTION("""COMPUTED_VALUE"""),"Hybrid")</f>
        <v>Hybrid</v>
      </c>
      <c r="E1116" s="1" t="str">
        <f>IFERROR(__xludf.DUMMYFUNCTION("""COMPUTED_VALUE"""),"N/A")</f>
        <v>N/A</v>
      </c>
      <c r="F1116" s="1" t="str">
        <f>IFERROR(__xludf.DUMMYFUNCTION("""COMPUTED_VALUE"""),"6 - 9")</f>
        <v>6 - 9</v>
      </c>
      <c r="G1116" s="1" t="str">
        <f>IFERROR(__xludf.DUMMYFUNCTION("""COMPUTED_VALUE"""),"Richmond, VA")</f>
        <v>Richmond, VA</v>
      </c>
      <c r="H1116" s="4" t="str">
        <f>IFERROR(__xludf.DUMMYFUNCTION("""COMPUTED_VALUE"""),"https://www.linkedin.com/posts/kimoliver_hiring-rva-senior-activity-7227043614575525889-pa8x?utm_source=share&amp;utm_medium=member_desktop")</f>
        <v>https://www.linkedin.com/posts/kimoliver_hiring-rva-senior-activity-7227043614575525889-pa8x?utm_source=share&amp;utm_medium=member_desktop</v>
      </c>
    </row>
    <row r="1117">
      <c r="A1117" s="2">
        <f>IFERROR(__xludf.DUMMYFUNCTION("""COMPUTED_VALUE"""),45512.0)</f>
        <v>45512</v>
      </c>
      <c r="B1117" s="1" t="str">
        <f>IFERROR(__xludf.DUMMYFUNCTION("""COMPUTED_VALUE"""),"Banner Solutions")</f>
        <v>Banner Solutions</v>
      </c>
      <c r="C1117" s="1" t="str">
        <f>IFERROR(__xludf.DUMMYFUNCTION("""COMPUTED_VALUE"""),"Marketing Data Analyst")</f>
        <v>Marketing Data Analyst</v>
      </c>
      <c r="D1117" s="1" t="str">
        <f>IFERROR(__xludf.DUMMYFUNCTION("""COMPUTED_VALUE"""),"On-Site")</f>
        <v>On-Site</v>
      </c>
      <c r="E1117" s="1" t="str">
        <f>IFERROR(__xludf.DUMMYFUNCTION("""COMPUTED_VALUE"""),"N/A")</f>
        <v>N/A</v>
      </c>
      <c r="F1117" s="1" t="str">
        <f>IFERROR(__xludf.DUMMYFUNCTION("""COMPUTED_VALUE"""),"3 - 5")</f>
        <v>3 - 5</v>
      </c>
      <c r="G1117" s="1" t="str">
        <f>IFERROR(__xludf.DUMMYFUNCTION("""COMPUTED_VALUE"""),"Chicago, IL")</f>
        <v>Chicago, IL</v>
      </c>
      <c r="H1117" s="4" t="str">
        <f>IFERROR(__xludf.DUMMYFUNCTION("""COMPUTED_VALUE"""),"https://www.linkedin.com/posts/johnjamesontalent_im-hiringwe-are-in-search-of-a-marketing-activity-7227053659124068352-MYae?utm_source=share&amp;utm_medium=member_desktop")</f>
        <v>https://www.linkedin.com/posts/johnjamesontalent_im-hiringwe-are-in-search-of-a-marketing-activity-7227053659124068352-MYae?utm_source=share&amp;utm_medium=member_desktop</v>
      </c>
    </row>
    <row r="1118">
      <c r="A1118" s="2">
        <f>IFERROR(__xludf.DUMMYFUNCTION("""COMPUTED_VALUE"""),45512.0)</f>
        <v>45512</v>
      </c>
      <c r="B1118" s="1" t="str">
        <f>IFERROR(__xludf.DUMMYFUNCTION("""COMPUTED_VALUE"""),"Siemens")</f>
        <v>Siemens</v>
      </c>
      <c r="C1118" s="1" t="str">
        <f>IFERROR(__xludf.DUMMYFUNCTION("""COMPUTED_VALUE"""),"Senior Financial Analyst")</f>
        <v>Senior Financial Analyst</v>
      </c>
      <c r="D1118" s="1" t="str">
        <f>IFERROR(__xludf.DUMMYFUNCTION("""COMPUTED_VALUE"""),"Remote")</f>
        <v>Remote</v>
      </c>
      <c r="E1118" s="1" t="str">
        <f>IFERROR(__xludf.DUMMYFUNCTION("""COMPUTED_VALUE"""),"$134k - $182k")</f>
        <v>$134k - $182k</v>
      </c>
      <c r="F1118" s="1" t="str">
        <f>IFERROR(__xludf.DUMMYFUNCTION("""COMPUTED_VALUE"""),"6 - 9")</f>
        <v>6 - 9</v>
      </c>
      <c r="G1118" s="1" t="str">
        <f>IFERROR(__xludf.DUMMYFUNCTION("""COMPUTED_VALUE"""),"Certain Locations")</f>
        <v>Certain Locations</v>
      </c>
      <c r="H1118" s="4" t="str">
        <f>IFERROR(__xludf.DUMMYFUNCTION("""COMPUTED_VALUE"""),"https://www.linkedin.com/posts/mahua-dandekar-05371b2_senior-financial-analyst-remote-within-the-activity-7226756025150779392-kktT?utm_source=share&amp;utm_medium=member_desktop")</f>
        <v>https://www.linkedin.com/posts/mahua-dandekar-05371b2_senior-financial-analyst-remote-within-the-activity-7226756025150779392-kktT?utm_source=share&amp;utm_medium=member_desktop</v>
      </c>
    </row>
    <row r="1119">
      <c r="A1119" s="2">
        <f>IFERROR(__xludf.DUMMYFUNCTION("""COMPUTED_VALUE"""),45512.0)</f>
        <v>45512</v>
      </c>
      <c r="B1119" s="1" t="str">
        <f>IFERROR(__xludf.DUMMYFUNCTION("""COMPUTED_VALUE"""),"Upwork")</f>
        <v>Upwork</v>
      </c>
      <c r="C1119" s="1" t="str">
        <f>IFERROR(__xludf.DUMMYFUNCTION("""COMPUTED_VALUE"""),"Sr. Data Analyst, Marketing")</f>
        <v>Sr. Data Analyst, Marketing</v>
      </c>
      <c r="D1119" s="1" t="str">
        <f>IFERROR(__xludf.DUMMYFUNCTION("""COMPUTED_VALUE"""),"Remote")</f>
        <v>Remote</v>
      </c>
      <c r="E1119" s="1" t="str">
        <f>IFERROR(__xludf.DUMMYFUNCTION("""COMPUTED_VALUE"""),"$130k - $160k")</f>
        <v>$130k - $160k</v>
      </c>
      <c r="F1119" s="1" t="str">
        <f>IFERROR(__xludf.DUMMYFUNCTION("""COMPUTED_VALUE"""),"3 - 5")</f>
        <v>3 - 5</v>
      </c>
      <c r="G1119" s="1" t="str">
        <f>IFERROR(__xludf.DUMMYFUNCTION("""COMPUTED_VALUE"""),"USA")</f>
        <v>USA</v>
      </c>
      <c r="H1119" s="4" t="str">
        <f>IFERROR(__xludf.DUMMYFUNCTION("""COMPUTED_VALUE"""),"https://www.linkedin.com/posts/katelyntzavelis_sr-data-analyst-marketing-activity-7226959137299935232-QVov?utm_source=share&amp;utm_medium=member_desktop")</f>
        <v>https://www.linkedin.com/posts/katelyntzavelis_sr-data-analyst-marketing-activity-7226959137299935232-QVov?utm_source=share&amp;utm_medium=member_desktop</v>
      </c>
    </row>
    <row r="1120">
      <c r="A1120" s="2">
        <f>IFERROR(__xludf.DUMMYFUNCTION("""COMPUTED_VALUE"""),45512.0)</f>
        <v>45512</v>
      </c>
      <c r="B1120" s="1" t="str">
        <f>IFERROR(__xludf.DUMMYFUNCTION("""COMPUTED_VALUE"""),"Third Street Digital")</f>
        <v>Third Street Digital</v>
      </c>
      <c r="C1120" s="1" t="str">
        <f>IFERROR(__xludf.DUMMYFUNCTION("""COMPUTED_VALUE"""),"Marketing Data Analyst")</f>
        <v>Marketing Data Analyst</v>
      </c>
      <c r="D1120" s="1" t="str">
        <f>IFERROR(__xludf.DUMMYFUNCTION("""COMPUTED_VALUE"""),"Hybrid")</f>
        <v>Hybrid</v>
      </c>
      <c r="E1120" s="1" t="str">
        <f>IFERROR(__xludf.DUMMYFUNCTION("""COMPUTED_VALUE"""),"N/A")</f>
        <v>N/A</v>
      </c>
      <c r="F1120" s="1" t="str">
        <f>IFERROR(__xludf.DUMMYFUNCTION("""COMPUTED_VALUE"""),"3 - 5")</f>
        <v>3 - 5</v>
      </c>
      <c r="G1120" s="1" t="str">
        <f>IFERROR(__xludf.DUMMYFUNCTION("""COMPUTED_VALUE"""),"Columbus, OH")</f>
        <v>Columbus, OH</v>
      </c>
      <c r="H1120" s="4" t="str">
        <f>IFERROR(__xludf.DUMMYFUNCTION("""COMPUTED_VALUE"""),"https://www.linkedin.com/posts/mallorykhan_are-you-passionate-about-digging-deep-into-activity-7226955441908408320-fvUm?utm_source=share&amp;utm_medium=member_desktop")</f>
        <v>https://www.linkedin.com/posts/mallorykhan_are-you-passionate-about-digging-deep-into-activity-7226955441908408320-fvUm?utm_source=share&amp;utm_medium=member_desktop</v>
      </c>
    </row>
    <row r="1121">
      <c r="A1121" s="2">
        <f>IFERROR(__xludf.DUMMYFUNCTION("""COMPUTED_VALUE"""),45512.0)</f>
        <v>45512</v>
      </c>
      <c r="B1121" s="1" t="str">
        <f>IFERROR(__xludf.DUMMYFUNCTION("""COMPUTED_VALUE"""),"Progressive Leasing")</f>
        <v>Progressive Leasing</v>
      </c>
      <c r="C1121" s="1" t="str">
        <f>IFERROR(__xludf.DUMMYFUNCTION("""COMPUTED_VALUE"""),"Senior Compensation Analyst")</f>
        <v>Senior Compensation Analyst</v>
      </c>
      <c r="D1121" s="1" t="str">
        <f>IFERROR(__xludf.DUMMYFUNCTION("""COMPUTED_VALUE"""),"Remote")</f>
        <v>Remote</v>
      </c>
      <c r="E1121" s="1" t="str">
        <f>IFERROR(__xludf.DUMMYFUNCTION("""COMPUTED_VALUE"""),"N/A")</f>
        <v>N/A</v>
      </c>
      <c r="F1121" s="1" t="str">
        <f>IFERROR(__xludf.DUMMYFUNCTION("""COMPUTED_VALUE"""),"3 - 5")</f>
        <v>3 - 5</v>
      </c>
      <c r="G1121" s="1" t="str">
        <f>IFERROR(__xludf.DUMMYFUNCTION("""COMPUTED_VALUE"""),"USA")</f>
        <v>USA</v>
      </c>
      <c r="H1121" s="4" t="str">
        <f>IFERROR(__xludf.DUMMYFUNCTION("""COMPUTED_VALUE"""),"https://www.linkedin.com/posts/activity-7226719367969824768-qVt7?utm_source=share&amp;utm_medium=member_desktop")</f>
        <v>https://www.linkedin.com/posts/activity-7226719367969824768-qVt7?utm_source=share&amp;utm_medium=member_desktop</v>
      </c>
    </row>
    <row r="1122">
      <c r="A1122" s="2">
        <f>IFERROR(__xludf.DUMMYFUNCTION("""COMPUTED_VALUE"""),45512.0)</f>
        <v>45512</v>
      </c>
      <c r="B1122" s="1" t="str">
        <f>IFERROR(__xludf.DUMMYFUNCTION("""COMPUTED_VALUE"""),"Tiger Analytics")</f>
        <v>Tiger Analytics</v>
      </c>
      <c r="C1122" s="1" t="str">
        <f>IFERROR(__xludf.DUMMYFUNCTION("""COMPUTED_VALUE"""),"Data Scientist - Healthcare")</f>
        <v>Data Scientist - Healthcare</v>
      </c>
      <c r="D1122" s="1" t="str">
        <f>IFERROR(__xludf.DUMMYFUNCTION("""COMPUTED_VALUE"""),"Remote")</f>
        <v>Remote</v>
      </c>
      <c r="E1122" s="1" t="str">
        <f>IFERROR(__xludf.DUMMYFUNCTION("""COMPUTED_VALUE"""),"N/A")</f>
        <v>N/A</v>
      </c>
      <c r="F1122" s="1" t="str">
        <f>IFERROR(__xludf.DUMMYFUNCTION("""COMPUTED_VALUE"""),"3 - 5")</f>
        <v>3 - 5</v>
      </c>
      <c r="G1122" s="1" t="str">
        <f>IFERROR(__xludf.DUMMYFUNCTION("""COMPUTED_VALUE"""),"USA")</f>
        <v>USA</v>
      </c>
      <c r="H1122" s="4" t="str">
        <f>IFERROR(__xludf.DUMMYFUNCTION("""COMPUTED_VALUE"""),"https://www.linkedin.com/posts/aparnakhannajain_data-scientist-healthcare-tiger-analytics-activity-7227033334437044226-Xf5t?utm_source=share&amp;utm_medium=member_desktop")</f>
        <v>https://www.linkedin.com/posts/aparnakhannajain_data-scientist-healthcare-tiger-analytics-activity-7227033334437044226-Xf5t?utm_source=share&amp;utm_medium=member_desktop</v>
      </c>
    </row>
    <row r="1123">
      <c r="A1123" s="2">
        <f>IFERROR(__xludf.DUMMYFUNCTION("""COMPUTED_VALUE"""),45512.0)</f>
        <v>45512</v>
      </c>
      <c r="B1123" s="1" t="str">
        <f>IFERROR(__xludf.DUMMYFUNCTION("""COMPUTED_VALUE"""),"Northstar Cafe")</f>
        <v>Northstar Cafe</v>
      </c>
      <c r="C1123" s="1" t="str">
        <f>IFERROR(__xludf.DUMMYFUNCTION("""COMPUTED_VALUE"""),"Senior Financial Analyst")</f>
        <v>Senior Financial Analyst</v>
      </c>
      <c r="D1123" s="1" t="str">
        <f>IFERROR(__xludf.DUMMYFUNCTION("""COMPUTED_VALUE"""),"On-Site")</f>
        <v>On-Site</v>
      </c>
      <c r="E1123" s="1" t="str">
        <f>IFERROR(__xludf.DUMMYFUNCTION("""COMPUTED_VALUE"""),"$83k - $113k")</f>
        <v>$83k - $113k</v>
      </c>
      <c r="F1123" s="1" t="str">
        <f>IFERROR(__xludf.DUMMYFUNCTION("""COMPUTED_VALUE"""),"3 - 5")</f>
        <v>3 - 5</v>
      </c>
      <c r="G1123" s="1" t="str">
        <f>IFERROR(__xludf.DUMMYFUNCTION("""COMPUTED_VALUE"""),"Columbus, OH")</f>
        <v>Columbus, OH</v>
      </c>
      <c r="H1123" s="4" t="str">
        <f>IFERROR(__xludf.DUMMYFUNCTION("""COMPUTED_VALUE"""),"https://www.linkedin.com/posts/meredith-flury_joinourteam-hiring-financialanalyst-activity-7227039784517480448-8GVe?utm_source=share&amp;utm_medium=member_ios")</f>
        <v>https://www.linkedin.com/posts/meredith-flury_joinourteam-hiring-financialanalyst-activity-7227039784517480448-8GVe?utm_source=share&amp;utm_medium=member_ios</v>
      </c>
    </row>
    <row r="1124">
      <c r="A1124" s="2">
        <f>IFERROR(__xludf.DUMMYFUNCTION("""COMPUTED_VALUE"""),45512.0)</f>
        <v>45512</v>
      </c>
      <c r="B1124" s="1" t="str">
        <f>IFERROR(__xludf.DUMMYFUNCTION("""COMPUTED_VALUE"""),"TheKey")</f>
        <v>TheKey</v>
      </c>
      <c r="C1124" s="1" t="str">
        <f>IFERROR(__xludf.DUMMYFUNCTION("""COMPUTED_VALUE"""),"Sr. Analyst, Financial Analysis &amp; Reporting")</f>
        <v>Sr. Analyst, Financial Analysis &amp; Reporting</v>
      </c>
      <c r="D1124" s="1" t="str">
        <f>IFERROR(__xludf.DUMMYFUNCTION("""COMPUTED_VALUE"""),"Remote")</f>
        <v>Remote</v>
      </c>
      <c r="E1124" s="1" t="str">
        <f>IFERROR(__xludf.DUMMYFUNCTION("""COMPUTED_VALUE"""),"N/A")</f>
        <v>N/A</v>
      </c>
      <c r="F1124" s="1" t="str">
        <f>IFERROR(__xludf.DUMMYFUNCTION("""COMPUTED_VALUE"""),"6 - 9")</f>
        <v>6 - 9</v>
      </c>
      <c r="G1124" s="1" t="str">
        <f>IFERROR(__xludf.DUMMYFUNCTION("""COMPUTED_VALUE"""),"USA")</f>
        <v>USA</v>
      </c>
      <c r="H1124" s="4" t="str">
        <f>IFERROR(__xludf.DUMMYFUNCTION("""COMPUTED_VALUE"""),"https://www.linkedin.com/posts/elizabeth-clark-b09571272_sr-analyst-financial-analysis-reporting-activity-7226995538263519232-0YFx?utm_source=share&amp;utm_medium=member_ios")</f>
        <v>https://www.linkedin.com/posts/elizabeth-clark-b09571272_sr-analyst-financial-analysis-reporting-activity-7226995538263519232-0YFx?utm_source=share&amp;utm_medium=member_ios</v>
      </c>
    </row>
    <row r="1125">
      <c r="A1125" s="2">
        <f>IFERROR(__xludf.DUMMYFUNCTION("""COMPUTED_VALUE"""),45512.0)</f>
        <v>45512</v>
      </c>
      <c r="B1125" s="1" t="str">
        <f>IFERROR(__xludf.DUMMYFUNCTION("""COMPUTED_VALUE"""),"Briljent")</f>
        <v>Briljent</v>
      </c>
      <c r="C1125" s="1" t="str">
        <f>IFERROR(__xludf.DUMMYFUNCTION("""COMPUTED_VALUE"""),"Business Analyst")</f>
        <v>Business Analyst</v>
      </c>
      <c r="D1125" s="1" t="str">
        <f>IFERROR(__xludf.DUMMYFUNCTION("""COMPUTED_VALUE"""),"Remote")</f>
        <v>Remote</v>
      </c>
      <c r="E1125" s="1" t="str">
        <f>IFERROR(__xludf.DUMMYFUNCTION("""COMPUTED_VALUE"""),"N/A")</f>
        <v>N/A</v>
      </c>
      <c r="F1125" s="1" t="str">
        <f>IFERROR(__xludf.DUMMYFUNCTION("""COMPUTED_VALUE"""),"6 - 9")</f>
        <v>6 - 9</v>
      </c>
      <c r="G1125" s="1" t="str">
        <f>IFERROR(__xludf.DUMMYFUNCTION("""COMPUTED_VALUE"""),"USA")</f>
        <v>USA</v>
      </c>
      <c r="H1125" s="4" t="str">
        <f>IFERROR(__xludf.DUMMYFUNCTION("""COMPUTED_VALUE"""),"https://www.linkedin.com/posts/activity-7227022807589605377--yYO?utm_source=share&amp;utm_medium=member_ios")</f>
        <v>https://www.linkedin.com/posts/activity-7227022807589605377--yYO?utm_source=share&amp;utm_medium=member_ios</v>
      </c>
    </row>
    <row r="1126">
      <c r="A1126" s="2">
        <f>IFERROR(__xludf.DUMMYFUNCTION("""COMPUTED_VALUE"""),45512.0)</f>
        <v>45512</v>
      </c>
      <c r="B1126" s="1" t="str">
        <f>IFERROR(__xludf.DUMMYFUNCTION("""COMPUTED_VALUE"""),"Zenon")</f>
        <v>Zenon</v>
      </c>
      <c r="C1126" s="1" t="str">
        <f>IFERROR(__xludf.DUMMYFUNCTION("""COMPUTED_VALUE"""),"Senior Analytics Associate ")</f>
        <v>Senior Analytics Associate </v>
      </c>
      <c r="D1126" s="1" t="str">
        <f>IFERROR(__xludf.DUMMYFUNCTION("""COMPUTED_VALUE"""),"Remote")</f>
        <v>Remote</v>
      </c>
      <c r="E1126" s="1" t="str">
        <f>IFERROR(__xludf.DUMMYFUNCTION("""COMPUTED_VALUE"""),"$115k - $140k")</f>
        <v>$115k - $140k</v>
      </c>
      <c r="F1126" s="1" t="str">
        <f>IFERROR(__xludf.DUMMYFUNCTION("""COMPUTED_VALUE"""),"6 - 9")</f>
        <v>6 - 9</v>
      </c>
      <c r="G1126" s="1" t="str">
        <f>IFERROR(__xludf.DUMMYFUNCTION("""COMPUTED_VALUE"""),"USA")</f>
        <v>USA</v>
      </c>
      <c r="H1126" s="4" t="str">
        <f>IFERROR(__xludf.DUMMYFUNCTION("""COMPUTED_VALUE"""),"https://www.linkedin.com/posts/rianna-greenfield_hiring-for-senior-analytics-associate-remote-activity-7227050912668676097-uWsh?utm_source=share&amp;utm_medium=member_ios")</f>
        <v>https://www.linkedin.com/posts/rianna-greenfield_hiring-for-senior-analytics-associate-remote-activity-7227050912668676097-uWsh?utm_source=share&amp;utm_medium=member_ios</v>
      </c>
    </row>
    <row r="1127">
      <c r="A1127" s="2">
        <f>IFERROR(__xludf.DUMMYFUNCTION("""COMPUTED_VALUE"""),45512.0)</f>
        <v>45512</v>
      </c>
      <c r="B1127" s="1" t="str">
        <f>IFERROR(__xludf.DUMMYFUNCTION("""COMPUTED_VALUE"""),"DeleteMe")</f>
        <v>DeleteMe</v>
      </c>
      <c r="C1127" s="1" t="str">
        <f>IFERROR(__xludf.DUMMYFUNCTION("""COMPUTED_VALUE"""),"Manager, Analytics Engineering")</f>
        <v>Manager, Analytics Engineering</v>
      </c>
      <c r="D1127" s="1" t="str">
        <f>IFERROR(__xludf.DUMMYFUNCTION("""COMPUTED_VALUE"""),"Remote")</f>
        <v>Remote</v>
      </c>
      <c r="E1127" s="1" t="str">
        <f>IFERROR(__xludf.DUMMYFUNCTION("""COMPUTED_VALUE"""),"N/A")</f>
        <v>N/A</v>
      </c>
      <c r="F1127" s="1" t="str">
        <f>IFERROR(__xludf.DUMMYFUNCTION("""COMPUTED_VALUE"""),"6 - 9")</f>
        <v>6 - 9</v>
      </c>
      <c r="G1127" s="1" t="str">
        <f>IFERROR(__xludf.DUMMYFUNCTION("""COMPUTED_VALUE"""),"USA")</f>
        <v>USA</v>
      </c>
      <c r="H1127" s="4" t="str">
        <f>IFERROR(__xludf.DUMMYFUNCTION("""COMPUTED_VALUE"""),"https://www.linkedin.com/posts/erinssumner_deleteme-manager-analytics-engineering-activity-7227103207771049984-Ku6W?utm_source=share&amp;utm_medium=member_ios")</f>
        <v>https://www.linkedin.com/posts/erinssumner_deleteme-manager-analytics-engineering-activity-7227103207771049984-Ku6W?utm_source=share&amp;utm_medium=member_ios</v>
      </c>
    </row>
    <row r="1128">
      <c r="A1128" s="2">
        <f>IFERROR(__xludf.DUMMYFUNCTION("""COMPUTED_VALUE"""),45512.0)</f>
        <v>45512</v>
      </c>
      <c r="B1128" s="1" t="str">
        <f>IFERROR(__xludf.DUMMYFUNCTION("""COMPUTED_VALUE"""),"Getaround")</f>
        <v>Getaround</v>
      </c>
      <c r="C1128" s="1" t="str">
        <f>IFERROR(__xludf.DUMMYFUNCTION("""COMPUTED_VALUE"""),"Senior Data Analyst")</f>
        <v>Senior Data Analyst</v>
      </c>
      <c r="D1128" s="1" t="str">
        <f>IFERROR(__xludf.DUMMYFUNCTION("""COMPUTED_VALUE"""),"Remote")</f>
        <v>Remote</v>
      </c>
      <c r="E1128" s="1" t="str">
        <f>IFERROR(__xludf.DUMMYFUNCTION("""COMPUTED_VALUE"""),"$95k - $105k")</f>
        <v>$95k - $105k</v>
      </c>
      <c r="F1128" s="1" t="str">
        <f>IFERROR(__xludf.DUMMYFUNCTION("""COMPUTED_VALUE"""),"3 - 5")</f>
        <v>3 - 5</v>
      </c>
      <c r="G1128" s="1" t="str">
        <f>IFERROR(__xludf.DUMMYFUNCTION("""COMPUTED_VALUE"""),"USA")</f>
        <v>USA</v>
      </c>
      <c r="H1128" s="4" t="str">
        <f>IFERROR(__xludf.DUMMYFUNCTION("""COMPUTED_VALUE"""),"https://www.linkedin.com/posts/nikita-urunkar_hiring-dataanalytics-bi-activity-7227406710179549185-PAWn?utm_source=share&amp;utm_medium=member_ios")</f>
        <v>https://www.linkedin.com/posts/nikita-urunkar_hiring-dataanalytics-bi-activity-7227406710179549185-PAWn?utm_source=share&amp;utm_medium=member_ios</v>
      </c>
    </row>
    <row r="1129">
      <c r="A1129" s="2">
        <f>IFERROR(__xludf.DUMMYFUNCTION("""COMPUTED_VALUE"""),45512.0)</f>
        <v>45512</v>
      </c>
      <c r="B1129" s="1" t="str">
        <f>IFERROR(__xludf.DUMMYFUNCTION("""COMPUTED_VALUE"""),"CalAmp")</f>
        <v>CalAmp</v>
      </c>
      <c r="C1129" s="1" t="str">
        <f>IFERROR(__xludf.DUMMYFUNCTION("""COMPUTED_VALUE"""),"Analyst, Finance")</f>
        <v>Analyst, Finance</v>
      </c>
      <c r="D1129" s="1" t="str">
        <f>IFERROR(__xludf.DUMMYFUNCTION("""COMPUTED_VALUE"""),"On-Site")</f>
        <v>On-Site</v>
      </c>
      <c r="E1129" s="1" t="str">
        <f>IFERROR(__xludf.DUMMYFUNCTION("""COMPUTED_VALUE"""),"$60k - $103k")</f>
        <v>$60k - $103k</v>
      </c>
      <c r="F1129" s="1" t="str">
        <f>IFERROR(__xludf.DUMMYFUNCTION("""COMPUTED_VALUE"""),"0 - 2")</f>
        <v>0 - 2</v>
      </c>
      <c r="G1129" s="1" t="str">
        <f>IFERROR(__xludf.DUMMYFUNCTION("""COMPUTED_VALUE"""),"Irvine, CA")</f>
        <v>Irvine, CA</v>
      </c>
      <c r="H1129" s="4" t="str">
        <f>IFERROR(__xludf.DUMMYFUNCTION("""COMPUTED_VALUE"""),"https://www.linkedin.com/posts/-annie-yang719_were-looking-for-talented-financial-analyst-activity-7226997986969444354-2v8k?utm_source=share&amp;utm_medium=member_desktop")</f>
        <v>https://www.linkedin.com/posts/-annie-yang719_were-looking-for-talented-financial-analyst-activity-7226997986969444354-2v8k?utm_source=share&amp;utm_medium=member_desktop</v>
      </c>
    </row>
    <row r="1130">
      <c r="A1130" s="2">
        <f>IFERROR(__xludf.DUMMYFUNCTION("""COMPUTED_VALUE"""),45512.0)</f>
        <v>45512</v>
      </c>
      <c r="B1130" s="1" t="str">
        <f>IFERROR(__xludf.DUMMYFUNCTION("""COMPUTED_VALUE"""),"Reserv")</f>
        <v>Reserv</v>
      </c>
      <c r="C1130" s="1" t="str">
        <f>IFERROR(__xludf.DUMMYFUNCTION("""COMPUTED_VALUE"""),"Senior Data Analyst - Operations")</f>
        <v>Senior Data Analyst - Operations</v>
      </c>
      <c r="D1130" s="1" t="str">
        <f>IFERROR(__xludf.DUMMYFUNCTION("""COMPUTED_VALUE"""),"Remote")</f>
        <v>Remote</v>
      </c>
      <c r="E1130" s="1" t="str">
        <f>IFERROR(__xludf.DUMMYFUNCTION("""COMPUTED_VALUE"""),"N/A")</f>
        <v>N/A</v>
      </c>
      <c r="F1130" s="1" t="str">
        <f>IFERROR(__xludf.DUMMYFUNCTION("""COMPUTED_VALUE"""),"6 - 9")</f>
        <v>6 - 9</v>
      </c>
      <c r="G1130" s="1" t="str">
        <f>IFERROR(__xludf.DUMMYFUNCTION("""COMPUTED_VALUE"""),"USA")</f>
        <v>USA</v>
      </c>
      <c r="H1130" s="4" t="str">
        <f>IFERROR(__xludf.DUMMYFUNCTION("""COMPUTED_VALUE"""),"https://www.linkedin.com/posts/nikhil-phadnis-84598721_senior-data-analyst-operations-activity-7227095265424392192-3uJN?utm_source=share&amp;utm_medium=member_desktop")</f>
        <v>https://www.linkedin.com/posts/nikhil-phadnis-84598721_senior-data-analyst-operations-activity-7227095265424392192-3uJN?utm_source=share&amp;utm_medium=member_desktop</v>
      </c>
    </row>
    <row r="1131">
      <c r="A1131" s="2">
        <f>IFERROR(__xludf.DUMMYFUNCTION("""COMPUTED_VALUE"""),45511.0)</f>
        <v>45511</v>
      </c>
      <c r="B1131" s="1" t="str">
        <f>IFERROR(__xludf.DUMMYFUNCTION("""COMPUTED_VALUE"""),"Flynn Group")</f>
        <v>Flynn Group</v>
      </c>
      <c r="C1131" s="1" t="str">
        <f>IFERROR(__xludf.DUMMYFUNCTION("""COMPUTED_VALUE"""),"Director of Business Intelligence and Reporting")</f>
        <v>Director of Business Intelligence and Reporting</v>
      </c>
      <c r="D1131" s="1" t="str">
        <f>IFERROR(__xludf.DUMMYFUNCTION("""COMPUTED_VALUE"""),"Hybrid")</f>
        <v>Hybrid</v>
      </c>
      <c r="E1131" s="1" t="str">
        <f>IFERROR(__xludf.DUMMYFUNCTION("""COMPUTED_VALUE"""),"$160k - $190k")</f>
        <v>$160k - $190k</v>
      </c>
      <c r="F1131" s="1" t="str">
        <f>IFERROR(__xludf.DUMMYFUNCTION("""COMPUTED_VALUE"""),"10 +")</f>
        <v>10 +</v>
      </c>
      <c r="G1131" s="1" t="str">
        <f>IFERROR(__xludf.DUMMYFUNCTION("""COMPUTED_VALUE"""),"Independence, OH")</f>
        <v>Independence, OH</v>
      </c>
      <c r="H1131" s="4" t="str">
        <f>IFERROR(__xludf.DUMMYFUNCTION("""COMPUTED_VALUE"""),"https://www.linkedin.com/posts/amfenn_my-team-is-growingagain-looking-for-a-activity-7226929060906496001-uL0B?utm_source=share&amp;utm_medium=member_desktop")</f>
        <v>https://www.linkedin.com/posts/amfenn_my-team-is-growingagain-looking-for-a-activity-7226929060906496001-uL0B?utm_source=share&amp;utm_medium=member_desktop</v>
      </c>
    </row>
    <row r="1132">
      <c r="A1132" s="2">
        <f>IFERROR(__xludf.DUMMYFUNCTION("""COMPUTED_VALUE"""),45511.0)</f>
        <v>45511</v>
      </c>
      <c r="B1132" s="1" t="str">
        <f>IFERROR(__xludf.DUMMYFUNCTION("""COMPUTED_VALUE"""),"iRobot")</f>
        <v>iRobot</v>
      </c>
      <c r="C1132" s="1" t="str">
        <f>IFERROR(__xludf.DUMMYFUNCTION("""COMPUTED_VALUE"""),"Sr. Global Planning Analyst")</f>
        <v>Sr. Global Planning Analyst</v>
      </c>
      <c r="D1132" s="1" t="str">
        <f>IFERROR(__xludf.DUMMYFUNCTION("""COMPUTED_VALUE"""),"Hybrid")</f>
        <v>Hybrid</v>
      </c>
      <c r="E1132" s="1" t="str">
        <f>IFERROR(__xludf.DUMMYFUNCTION("""COMPUTED_VALUE"""),"N/A")</f>
        <v>N/A</v>
      </c>
      <c r="F1132" s="1" t="str">
        <f>IFERROR(__xludf.DUMMYFUNCTION("""COMPUTED_VALUE"""),"6 - 9")</f>
        <v>6 - 9</v>
      </c>
      <c r="G1132" s="1" t="str">
        <f>IFERROR(__xludf.DUMMYFUNCTION("""COMPUTED_VALUE"""),"Bedford, MA")</f>
        <v>Bedford, MA</v>
      </c>
      <c r="H1132" s="4" t="str">
        <f>IFERROR(__xludf.DUMMYFUNCTION("""COMPUTED_VALUE"""),"https://www.linkedin.com/posts/samanthascarlett_sr-global-supply-planning-analyst-activity-7226617784103817216-Y-Rb?utm_source=share&amp;utm_medium=member_ios")</f>
        <v>https://www.linkedin.com/posts/samanthascarlett_sr-global-supply-planning-analyst-activity-7226617784103817216-Y-Rb?utm_source=share&amp;utm_medium=member_ios</v>
      </c>
    </row>
    <row r="1133">
      <c r="A1133" s="2">
        <f>IFERROR(__xludf.DUMMYFUNCTION("""COMPUTED_VALUE"""),45511.0)</f>
        <v>45511</v>
      </c>
      <c r="B1133" s="1" t="str">
        <f>IFERROR(__xludf.DUMMYFUNCTION("""COMPUTED_VALUE"""),"Axon")</f>
        <v>Axon</v>
      </c>
      <c r="C1133" s="1" t="str">
        <f>IFERROR(__xludf.DUMMYFUNCTION("""COMPUTED_VALUE"""),"Sales Analyst &amp; Reporting Specialist")</f>
        <v>Sales Analyst &amp; Reporting Specialist</v>
      </c>
      <c r="D1133" s="1" t="str">
        <f>IFERROR(__xludf.DUMMYFUNCTION("""COMPUTED_VALUE"""),"Remote")</f>
        <v>Remote</v>
      </c>
      <c r="E1133" s="1" t="str">
        <f>IFERROR(__xludf.DUMMYFUNCTION("""COMPUTED_VALUE"""),"$72k - $108k")</f>
        <v>$72k - $108k</v>
      </c>
      <c r="F1133" s="1" t="str">
        <f>IFERROR(__xludf.DUMMYFUNCTION("""COMPUTED_VALUE"""),"0 - 2")</f>
        <v>0 - 2</v>
      </c>
      <c r="G1133" s="1" t="str">
        <f>IFERROR(__xludf.DUMMYFUNCTION("""COMPUTED_VALUE"""),"USA")</f>
        <v>USA</v>
      </c>
      <c r="H1133" s="4" t="str">
        <f>IFERROR(__xludf.DUMMYFUNCTION("""COMPUTED_VALUE"""),"https://www.linkedin.com/posts/austinemberlin_sales-analyst-reporting-specialist-remote-activity-7226689014139863040-XH-h?utm_source=share&amp;utm_medium=member_ios")</f>
        <v>https://www.linkedin.com/posts/austinemberlin_sales-analyst-reporting-specialist-remote-activity-7226689014139863040-XH-h?utm_source=share&amp;utm_medium=member_ios</v>
      </c>
    </row>
    <row r="1134">
      <c r="A1134" s="2">
        <f>IFERROR(__xludf.DUMMYFUNCTION("""COMPUTED_VALUE"""),45511.0)</f>
        <v>45511</v>
      </c>
      <c r="B1134" s="1" t="str">
        <f>IFERROR(__xludf.DUMMYFUNCTION("""COMPUTED_VALUE"""),"KFF")</f>
        <v>KFF</v>
      </c>
      <c r="C1134" s="1" t="str">
        <f>IFERROR(__xludf.DUMMYFUNCTION("""COMPUTED_VALUE"""),"Data Analyst")</f>
        <v>Data Analyst</v>
      </c>
      <c r="D1134" s="1" t="str">
        <f>IFERROR(__xludf.DUMMYFUNCTION("""COMPUTED_VALUE"""),"Hybrid")</f>
        <v>Hybrid</v>
      </c>
      <c r="E1134" s="1" t="str">
        <f>IFERROR(__xludf.DUMMYFUNCTION("""COMPUTED_VALUE"""),"$83k - $92k")</f>
        <v>$83k - $92k</v>
      </c>
      <c r="F1134" s="1" t="str">
        <f>IFERROR(__xludf.DUMMYFUNCTION("""COMPUTED_VALUE"""),"0 - 2")</f>
        <v>0 - 2</v>
      </c>
      <c r="G1134" s="1" t="str">
        <f>IFERROR(__xludf.DUMMYFUNCTION("""COMPUTED_VALUE"""),"San Francisco, CA/Washington, DC")</f>
        <v>San Francisco, CA/Washington, DC</v>
      </c>
      <c r="H1134" s="4" t="str">
        <f>IFERROR(__xludf.DUMMYFUNCTION("""COMPUTED_VALUE"""),"https://www.linkedin.com/posts/brittni-frederiksen-95903b73_womens-health-policy-data-analyst-activity-7226710942934294528-eye4?utm_source=share&amp;utm_medium=member_ios")</f>
        <v>https://www.linkedin.com/posts/brittni-frederiksen-95903b73_womens-health-policy-data-analyst-activity-7226710942934294528-eye4?utm_source=share&amp;utm_medium=member_ios</v>
      </c>
    </row>
    <row r="1135">
      <c r="A1135" s="2">
        <f>IFERROR(__xludf.DUMMYFUNCTION("""COMPUTED_VALUE"""),45511.0)</f>
        <v>45511</v>
      </c>
      <c r="B1135" s="1" t="str">
        <f>IFERROR(__xludf.DUMMYFUNCTION("""COMPUTED_VALUE"""),"Comcast")</f>
        <v>Comcast</v>
      </c>
      <c r="C1135" s="1" t="str">
        <f>IFERROR(__xludf.DUMMYFUNCTION("""COMPUTED_VALUE"""),"Analyst 3, Dialer Administrator")</f>
        <v>Analyst 3, Dialer Administrator</v>
      </c>
      <c r="D1135" s="1" t="str">
        <f>IFERROR(__xludf.DUMMYFUNCTION("""COMPUTED_VALUE"""),"Remote")</f>
        <v>Remote</v>
      </c>
      <c r="E1135" s="1" t="str">
        <f>IFERROR(__xludf.DUMMYFUNCTION("""COMPUTED_VALUE"""),"N/A")</f>
        <v>N/A</v>
      </c>
      <c r="F1135" s="1" t="str">
        <f>IFERROR(__xludf.DUMMYFUNCTION("""COMPUTED_VALUE"""),"3 - 5")</f>
        <v>3 - 5</v>
      </c>
      <c r="G1135" s="1" t="str">
        <f>IFERROR(__xludf.DUMMYFUNCTION("""COMPUTED_VALUE"""),"Certain Locations")</f>
        <v>Certain Locations</v>
      </c>
      <c r="H1135" s="4" t="str">
        <f>IFERROR(__xludf.DUMMYFUNCTION("""COMPUTED_VALUE"""),"https://www.linkedin.com/posts/brandonhilten_analyst-3-dialer-administrator-job-at-comcast-activity-7226648049668816896-XJ7W?utm_source=share&amp;utm_medium=member_ios")</f>
        <v>https://www.linkedin.com/posts/brandonhilten_analyst-3-dialer-administrator-job-at-comcast-activity-7226648049668816896-XJ7W?utm_source=share&amp;utm_medium=member_ios</v>
      </c>
    </row>
    <row r="1136">
      <c r="A1136" s="2">
        <f>IFERROR(__xludf.DUMMYFUNCTION("""COMPUTED_VALUE"""),45511.0)</f>
        <v>45511</v>
      </c>
      <c r="B1136" s="1" t="str">
        <f>IFERROR(__xludf.DUMMYFUNCTION("""COMPUTED_VALUE"""),"PPM")</f>
        <v>PPM</v>
      </c>
      <c r="C1136" s="1" t="str">
        <f>IFERROR(__xludf.DUMMYFUNCTION("""COMPUTED_VALUE"""),"Data Analyst I")</f>
        <v>Data Analyst I</v>
      </c>
      <c r="D1136" s="1" t="str">
        <f>IFERROR(__xludf.DUMMYFUNCTION("""COMPUTED_VALUE"""),"On-Site")</f>
        <v>On-Site</v>
      </c>
      <c r="E1136" s="1" t="str">
        <f>IFERROR(__xludf.DUMMYFUNCTION("""COMPUTED_VALUE"""),"$75k - $80k")</f>
        <v>$75k - $80k</v>
      </c>
      <c r="F1136" s="1" t="str">
        <f>IFERROR(__xludf.DUMMYFUNCTION("""COMPUTED_VALUE"""),"3 - 5")</f>
        <v>3 - 5</v>
      </c>
      <c r="G1136" s="1" t="str">
        <f>IFERROR(__xludf.DUMMYFUNCTION("""COMPUTED_VALUE"""),"Seattle, WA")</f>
        <v>Seattle, WA</v>
      </c>
      <c r="H1136" s="4" t="str">
        <f>IFERROR(__xludf.DUMMYFUNCTION("""COMPUTED_VALUE"""),"https://www.linkedin.com/posts/aiko-mizumori_my-team-is-hiring-join-the-best-team-for-activity-7226991998413500420-gyII?utm_source=share&amp;utm_medium=member_desktop")</f>
        <v>https://www.linkedin.com/posts/aiko-mizumori_my-team-is-hiring-join-the-best-team-for-activity-7226991998413500420-gyII?utm_source=share&amp;utm_medium=member_desktop</v>
      </c>
    </row>
    <row r="1137">
      <c r="A1137" s="2">
        <f>IFERROR(__xludf.DUMMYFUNCTION("""COMPUTED_VALUE"""),45511.0)</f>
        <v>45511</v>
      </c>
      <c r="B1137" s="1" t="str">
        <f>IFERROR(__xludf.DUMMYFUNCTION("""COMPUTED_VALUE"""),"Workday")</f>
        <v>Workday</v>
      </c>
      <c r="C1137" s="1" t="str">
        <f>IFERROR(__xludf.DUMMYFUNCTION("""COMPUTED_VALUE"""),"Sr. Business Intelligence Analyst")</f>
        <v>Sr. Business Intelligence Analyst</v>
      </c>
      <c r="D1137" s="1" t="str">
        <f>IFERROR(__xludf.DUMMYFUNCTION("""COMPUTED_VALUE"""),"Hybrid")</f>
        <v>Hybrid</v>
      </c>
      <c r="E1137" s="1" t="str">
        <f>IFERROR(__xludf.DUMMYFUNCTION("""COMPUTED_VALUE"""),"$132k - $198k")</f>
        <v>$132k - $198k</v>
      </c>
      <c r="F1137" s="1" t="str">
        <f>IFERROR(__xludf.DUMMYFUNCTION("""COMPUTED_VALUE"""),"6 - 9")</f>
        <v>6 - 9</v>
      </c>
      <c r="G1137" s="1" t="str">
        <f>IFERROR(__xludf.DUMMYFUNCTION("""COMPUTED_VALUE"""),"Certain Locations")</f>
        <v>Certain Locations</v>
      </c>
      <c r="H1137" s="4" t="str">
        <f>IFERROR(__xludf.DUMMYFUNCTION("""COMPUTED_VALUE"""),"https://www.linkedin.com/posts/nvrana_sr-business-intelligence-analyst-activity-7226983494881533952-ejqE?utm_source=share&amp;utm_medium=member_desktop")</f>
        <v>https://www.linkedin.com/posts/nvrana_sr-business-intelligence-analyst-activity-7226983494881533952-ejqE?utm_source=share&amp;utm_medium=member_desktop</v>
      </c>
    </row>
    <row r="1138">
      <c r="A1138" s="2">
        <f>IFERROR(__xludf.DUMMYFUNCTION("""COMPUTED_VALUE"""),45511.0)</f>
        <v>45511</v>
      </c>
      <c r="B1138" s="1" t="str">
        <f>IFERROR(__xludf.DUMMYFUNCTION("""COMPUTED_VALUE"""),"University of Minnesota")</f>
        <v>University of Minnesota</v>
      </c>
      <c r="C1138" s="1" t="str">
        <f>IFERROR(__xludf.DUMMYFUNCTION("""COMPUTED_VALUE"""),"Data Analyst / Business Intelligence Developer 2")</f>
        <v>Data Analyst / Business Intelligence Developer 2</v>
      </c>
      <c r="D1138" s="1" t="str">
        <f>IFERROR(__xludf.DUMMYFUNCTION("""COMPUTED_VALUE"""),"Hybrid")</f>
        <v>Hybrid</v>
      </c>
      <c r="E1138" s="1" t="str">
        <f>IFERROR(__xludf.DUMMYFUNCTION("""COMPUTED_VALUE"""),"$65k - $69k")</f>
        <v>$65k - $69k</v>
      </c>
      <c r="F1138" s="1" t="str">
        <f>IFERROR(__xludf.DUMMYFUNCTION("""COMPUTED_VALUE"""),"0 - 2")</f>
        <v>0 - 2</v>
      </c>
      <c r="G1138" s="1" t="str">
        <f>IFERROR(__xludf.DUMMYFUNCTION("""COMPUTED_VALUE"""),"Minneapolis, MN")</f>
        <v>Minneapolis, MN</v>
      </c>
      <c r="H1138" s="4" t="str">
        <f>IFERROR(__xludf.DUMMYFUNCTION("""COMPUTED_VALUE"""),"https://www.linkedin.com/posts/activity-7227056438911623169-5lp1?utm_source=share&amp;utm_medium=member_desktop")</f>
        <v>https://www.linkedin.com/posts/activity-7227056438911623169-5lp1?utm_source=share&amp;utm_medium=member_desktop</v>
      </c>
    </row>
    <row r="1139">
      <c r="A1139" s="2">
        <f>IFERROR(__xludf.DUMMYFUNCTION("""COMPUTED_VALUE"""),45511.0)</f>
        <v>45511</v>
      </c>
      <c r="B1139" s="1" t="str">
        <f>IFERROR(__xludf.DUMMYFUNCTION("""COMPUTED_VALUE"""),"Ibotta")</f>
        <v>Ibotta</v>
      </c>
      <c r="C1139" s="1" t="str">
        <f>IFERROR(__xludf.DUMMYFUNCTION("""COMPUTED_VALUE"""),"Staff Product Manager, Data")</f>
        <v>Staff Product Manager, Data</v>
      </c>
      <c r="D1139" s="1" t="str">
        <f>IFERROR(__xludf.DUMMYFUNCTION("""COMPUTED_VALUE"""),"Hybrid")</f>
        <v>Hybrid</v>
      </c>
      <c r="E1139" s="1" t="str">
        <f>IFERROR(__xludf.DUMMYFUNCTION("""COMPUTED_VALUE"""),"$140k - $170k")</f>
        <v>$140k - $170k</v>
      </c>
      <c r="F1139" s="1" t="str">
        <f>IFERROR(__xludf.DUMMYFUNCTION("""COMPUTED_VALUE"""),"6 - 9")</f>
        <v>6 - 9</v>
      </c>
      <c r="G1139" s="1" t="str">
        <f>IFERROR(__xludf.DUMMYFUNCTION("""COMPUTED_VALUE"""),"Denver, CO")</f>
        <v>Denver, CO</v>
      </c>
      <c r="H1139" s="4" t="str">
        <f>IFERROR(__xludf.DUMMYFUNCTION("""COMPUTED_VALUE"""),"https://www.linkedin.com/posts/steffitanner_staff-product-manager-data-activity-7226960407142264833-tr42?utm_source=share&amp;utm_medium=member_desktop")</f>
        <v>https://www.linkedin.com/posts/steffitanner_staff-product-manager-data-activity-7226960407142264833-tr42?utm_source=share&amp;utm_medium=member_desktop</v>
      </c>
    </row>
    <row r="1140">
      <c r="A1140" s="2">
        <f>IFERROR(__xludf.DUMMYFUNCTION("""COMPUTED_VALUE"""),45511.0)</f>
        <v>45511</v>
      </c>
      <c r="B1140" s="1" t="str">
        <f>IFERROR(__xludf.DUMMYFUNCTION("""COMPUTED_VALUE"""),"CRH")</f>
        <v>CRH</v>
      </c>
      <c r="C1140" s="1" t="str">
        <f>IFERROR(__xludf.DUMMYFUNCTION("""COMPUTED_VALUE"""),"Recruiting (HRIS) Operations Analyst")</f>
        <v>Recruiting (HRIS) Operations Analyst</v>
      </c>
      <c r="D1140" s="1" t="str">
        <f>IFERROR(__xludf.DUMMYFUNCTION("""COMPUTED_VALUE"""),"Hybrid")</f>
        <v>Hybrid</v>
      </c>
      <c r="E1140" s="1" t="str">
        <f>IFERROR(__xludf.DUMMYFUNCTION("""COMPUTED_VALUE"""),"$67k - $72k")</f>
        <v>$67k - $72k</v>
      </c>
      <c r="F1140" s="1" t="str">
        <f>IFERROR(__xludf.DUMMYFUNCTION("""COMPUTED_VALUE"""),"0 - 2")</f>
        <v>0 - 2</v>
      </c>
      <c r="G1140" s="1" t="str">
        <f>IFERROR(__xludf.DUMMYFUNCTION("""COMPUTED_VALUE"""),"Rochester, NY")</f>
        <v>Rochester, NY</v>
      </c>
      <c r="H1140" s="4" t="str">
        <f>IFERROR(__xludf.DUMMYFUNCTION("""COMPUTED_VALUE"""),"https://www.linkedin.com/posts/coreylistar_recruiting-hris-operations-analyst-rochester-activity-7226582947988934657-p75n/?utm_source=share&amp;utm_medium=member_desktop")</f>
        <v>https://www.linkedin.com/posts/coreylistar_recruiting-hris-operations-analyst-rochester-activity-7226582947988934657-p75n/?utm_source=share&amp;utm_medium=member_desktop</v>
      </c>
    </row>
    <row r="1141">
      <c r="A1141" s="2">
        <f>IFERROR(__xludf.DUMMYFUNCTION("""COMPUTED_VALUE"""),45511.0)</f>
        <v>45511</v>
      </c>
      <c r="B1141" s="1" t="str">
        <f>IFERROR(__xludf.DUMMYFUNCTION("""COMPUTED_VALUE"""),"Minnesota Department of Human Services")</f>
        <v>Minnesota Department of Human Services</v>
      </c>
      <c r="C1141" s="1" t="str">
        <f>IFERROR(__xludf.DUMMYFUNCTION("""COMPUTED_VALUE"""),"Operations Analyst")</f>
        <v>Operations Analyst</v>
      </c>
      <c r="D1141" s="1" t="str">
        <f>IFERROR(__xludf.DUMMYFUNCTION("""COMPUTED_VALUE"""),"Remote")</f>
        <v>Remote</v>
      </c>
      <c r="E1141" s="1" t="str">
        <f>IFERROR(__xludf.DUMMYFUNCTION("""COMPUTED_VALUE"""),"$53k - $77k")</f>
        <v>$53k - $77k</v>
      </c>
      <c r="F1141" s="1" t="str">
        <f>IFERROR(__xludf.DUMMYFUNCTION("""COMPUTED_VALUE"""),"0 - 2")</f>
        <v>0 - 2</v>
      </c>
      <c r="G1141" s="1" t="str">
        <f>IFERROR(__xludf.DUMMYFUNCTION("""COMPUTED_VALUE"""),"Certain Locations")</f>
        <v>Certain Locations</v>
      </c>
      <c r="H1141" s="4" t="str">
        <f>IFERROR(__xludf.DUMMYFUNCTION("""COMPUTED_VALUE"""),"https://www.linkedin.com/posts/ejmccool_hiring-operations-operationsanalyst-activity-7226583897642262528-yf2Q/?utm_source=share&amp;utm_medium=member_desktop")</f>
        <v>https://www.linkedin.com/posts/ejmccool_hiring-operations-operationsanalyst-activity-7226583897642262528-yf2Q/?utm_source=share&amp;utm_medium=member_desktop</v>
      </c>
    </row>
    <row r="1142">
      <c r="A1142" s="2">
        <f>IFERROR(__xludf.DUMMYFUNCTION("""COMPUTED_VALUE"""),45511.0)</f>
        <v>45511</v>
      </c>
      <c r="B1142" s="1" t="str">
        <f>IFERROR(__xludf.DUMMYFUNCTION("""COMPUTED_VALUE"""),"Southwest Gas Corporation")</f>
        <v>Southwest Gas Corporation</v>
      </c>
      <c r="C1142" s="1" t="str">
        <f>IFERROR(__xludf.DUMMYFUNCTION("""COMPUTED_VALUE"""),"Analyst II, Customer Solutions/Operations")</f>
        <v>Analyst II, Customer Solutions/Operations</v>
      </c>
      <c r="D1142" s="1" t="str">
        <f>IFERROR(__xludf.DUMMYFUNCTION("""COMPUTED_VALUE"""),"Hybrid")</f>
        <v>Hybrid</v>
      </c>
      <c r="E1142" s="1" t="str">
        <f>IFERROR(__xludf.DUMMYFUNCTION("""COMPUTED_VALUE"""),"$62k - $95k")</f>
        <v>$62k - $95k</v>
      </c>
      <c r="F1142" s="1" t="str">
        <f>IFERROR(__xludf.DUMMYFUNCTION("""COMPUTED_VALUE"""),"0 - 2")</f>
        <v>0 - 2</v>
      </c>
      <c r="G1142" s="1" t="str">
        <f>IFERROR(__xludf.DUMMYFUNCTION("""COMPUTED_VALUE"""),"Tucson, AZ")</f>
        <v>Tucson, AZ</v>
      </c>
      <c r="H1142" s="4" t="str">
        <f>IFERROR(__xludf.DUMMYFUNCTION("""COMPUTED_VALUE"""),"https://www.linkedin.com/posts/sarahfriesaz_data-powerbi-helpingpeople-activity-7226735565180649472-Me1r?utm_source=share&amp;utm_medium=member_desktop")</f>
        <v>https://www.linkedin.com/posts/sarahfriesaz_data-powerbi-helpingpeople-activity-7226735565180649472-Me1r?utm_source=share&amp;utm_medium=member_desktop</v>
      </c>
    </row>
    <row r="1143">
      <c r="A1143" s="2">
        <f>IFERROR(__xludf.DUMMYFUNCTION("""COMPUTED_VALUE"""),45511.0)</f>
        <v>45511</v>
      </c>
      <c r="B1143" s="1" t="str">
        <f>IFERROR(__xludf.DUMMYFUNCTION("""COMPUTED_VALUE"""),"Walmart")</f>
        <v>Walmart</v>
      </c>
      <c r="C1143" s="1" t="str">
        <f>IFERROR(__xludf.DUMMYFUNCTION("""COMPUTED_VALUE"""),"Senior Crime Data Analyst - Investigate Risk and Operational Compliance Center (IROCC)")</f>
        <v>Senior Crime Data Analyst - Investigate Risk and Operational Compliance Center (IROCC)</v>
      </c>
      <c r="D1143" s="1" t="str">
        <f>IFERROR(__xludf.DUMMYFUNCTION("""COMPUTED_VALUE"""),"On-Site")</f>
        <v>On-Site</v>
      </c>
      <c r="E1143" s="1" t="str">
        <f>IFERROR(__xludf.DUMMYFUNCTION("""COMPUTED_VALUE"""),"$80k - $155k")</f>
        <v>$80k - $155k</v>
      </c>
      <c r="F1143" s="1" t="str">
        <f>IFERROR(__xludf.DUMMYFUNCTION("""COMPUTED_VALUE"""),"3 - 5")</f>
        <v>3 - 5</v>
      </c>
      <c r="G1143" s="1" t="str">
        <f>IFERROR(__xludf.DUMMYFUNCTION("""COMPUTED_VALUE"""),"Bentonville, AR")</f>
        <v>Bentonville, AR</v>
      </c>
      <c r="H1143" s="4" t="str">
        <f>IFERROR(__xludf.DUMMYFUNCTION("""COMPUTED_VALUE"""),"https://www.linkedin.com/posts/kara-wills-07732619b_senior-crime-data-analyst-investigative-risk-activity-7226648122473467904-KBGQ/?utm_source=share&amp;utm_medium=member_desktop")</f>
        <v>https://www.linkedin.com/posts/kara-wills-07732619b_senior-crime-data-analyst-investigative-risk-activity-7226648122473467904-KBGQ/?utm_source=share&amp;utm_medium=member_desktop</v>
      </c>
    </row>
    <row r="1144">
      <c r="A1144" s="2">
        <f>IFERROR(__xludf.DUMMYFUNCTION("""COMPUTED_VALUE"""),45511.0)</f>
        <v>45511</v>
      </c>
      <c r="B1144" s="1" t="str">
        <f>IFERROR(__xludf.DUMMYFUNCTION("""COMPUTED_VALUE"""),"Austin Peay State University")</f>
        <v>Austin Peay State University</v>
      </c>
      <c r="C1144" s="1" t="str">
        <f>IFERROR(__xludf.DUMMYFUNCTION("""COMPUTED_VALUE"""),"Assessment Analyst")</f>
        <v>Assessment Analyst</v>
      </c>
      <c r="D1144" s="1" t="str">
        <f>IFERROR(__xludf.DUMMYFUNCTION("""COMPUTED_VALUE"""),"On-Site")</f>
        <v>On-Site</v>
      </c>
      <c r="E1144" s="1" t="str">
        <f>IFERROR(__xludf.DUMMYFUNCTION("""COMPUTED_VALUE"""),"N/A")</f>
        <v>N/A</v>
      </c>
      <c r="F1144" s="1" t="str">
        <f>IFERROR(__xludf.DUMMYFUNCTION("""COMPUTED_VALUE"""),"0 - 2")</f>
        <v>0 - 2</v>
      </c>
      <c r="G1144" s="1" t="str">
        <f>IFERROR(__xludf.DUMMYFUNCTION("""COMPUTED_VALUE"""),"Clarksville, TN")</f>
        <v>Clarksville, TN</v>
      </c>
      <c r="H1144" s="4" t="str">
        <f>IFERROR(__xludf.DUMMYFUNCTION("""COMPUTED_VALUE"""),"https://www.linkedin.com/posts/troy-priest-4851571b9_assessment-analyst-activity-7226688745243090944-l7G3/?utm_source=share&amp;utm_medium=member_desktop")</f>
        <v>https://www.linkedin.com/posts/troy-priest-4851571b9_assessment-analyst-activity-7226688745243090944-l7G3/?utm_source=share&amp;utm_medium=member_desktop</v>
      </c>
    </row>
    <row r="1145">
      <c r="A1145" s="2">
        <f>IFERROR(__xludf.DUMMYFUNCTION("""COMPUTED_VALUE"""),45511.0)</f>
        <v>45511</v>
      </c>
      <c r="B1145" s="1" t="str">
        <f>IFERROR(__xludf.DUMMYFUNCTION("""COMPUTED_VALUE"""),"Neurberger Berman")</f>
        <v>Neurberger Berman</v>
      </c>
      <c r="C1145" s="1" t="str">
        <f>IFERROR(__xludf.DUMMYFUNCTION("""COMPUTED_VALUE"""),"Private Markets Data Strategy, Senior Analyst")</f>
        <v>Private Markets Data Strategy, Senior Analyst</v>
      </c>
      <c r="D1145" s="1" t="str">
        <f>IFERROR(__xludf.DUMMYFUNCTION("""COMPUTED_VALUE"""),"Hybrid")</f>
        <v>Hybrid</v>
      </c>
      <c r="E1145" s="1" t="str">
        <f>IFERROR(__xludf.DUMMYFUNCTION("""COMPUTED_VALUE"""),"$125k - $160k")</f>
        <v>$125k - $160k</v>
      </c>
      <c r="F1145" s="1" t="str">
        <f>IFERROR(__xludf.DUMMYFUNCTION("""COMPUTED_VALUE"""),"6 - 9")</f>
        <v>6 - 9</v>
      </c>
      <c r="G1145" s="1" t="str">
        <f>IFERROR(__xludf.DUMMYFUNCTION("""COMPUTED_VALUE"""),"New York, NY")</f>
        <v>New York, NY</v>
      </c>
      <c r="H1145" s="4" t="str">
        <f>IFERROR(__xludf.DUMMYFUNCTION("""COMPUTED_VALUE"""),"https://www.linkedin.com/jobs/view/3984935282/?refId=Xb6KBxOxSqK%2BOedJza9WsQ%3D%3D&amp;trackingId=Xb6KBxOxSqK%2BOedJza9WsQ%3D%3D")</f>
        <v>https://www.linkedin.com/jobs/view/3984935282/?refId=Xb6KBxOxSqK%2BOedJza9WsQ%3D%3D&amp;trackingId=Xb6KBxOxSqK%2BOedJza9WsQ%3D%3D</v>
      </c>
    </row>
    <row r="1146">
      <c r="A1146" s="2">
        <f>IFERROR(__xludf.DUMMYFUNCTION("""COMPUTED_VALUE"""),45511.0)</f>
        <v>45511</v>
      </c>
      <c r="B1146" s="1" t="str">
        <f>IFERROR(__xludf.DUMMYFUNCTION("""COMPUTED_VALUE"""),"United Systems &amp; Software")</f>
        <v>United Systems &amp; Software</v>
      </c>
      <c r="C1146" s="1" t="str">
        <f>IFERROR(__xludf.DUMMYFUNCTION("""COMPUTED_VALUE"""),"Data Conversion Analyst/Engineer")</f>
        <v>Data Conversion Analyst/Engineer</v>
      </c>
      <c r="D1146" s="1" t="str">
        <f>IFERROR(__xludf.DUMMYFUNCTION("""COMPUTED_VALUE"""),"On-Site")</f>
        <v>On-Site</v>
      </c>
      <c r="E1146" s="1" t="str">
        <f>IFERROR(__xludf.DUMMYFUNCTION("""COMPUTED_VALUE"""),"$80k - $100k")</f>
        <v>$80k - $100k</v>
      </c>
      <c r="F1146" s="1" t="str">
        <f>IFERROR(__xludf.DUMMYFUNCTION("""COMPUTED_VALUE"""),"3 - 5")</f>
        <v>3 - 5</v>
      </c>
      <c r="G1146" s="1" t="str">
        <f>IFERROR(__xludf.DUMMYFUNCTION("""COMPUTED_VALUE"""),"Benton, KY")</f>
        <v>Benton, KY</v>
      </c>
      <c r="H1146" s="4" t="str">
        <f>IFERROR(__xludf.DUMMYFUNCTION("""COMPUTED_VALUE"""),"https://www.linkedin.com/posts/natesmith270_nowhiring-jobopportunity-dataconversion-activity-7226989016817025024-RAZR/?utm_source=share&amp;utm_medium=member_desktop")</f>
        <v>https://www.linkedin.com/posts/natesmith270_nowhiring-jobopportunity-dataconversion-activity-7226989016817025024-RAZR/?utm_source=share&amp;utm_medium=member_desktop</v>
      </c>
    </row>
    <row r="1147">
      <c r="A1147" s="2">
        <f>IFERROR(__xludf.DUMMYFUNCTION("""COMPUTED_VALUE"""),45511.0)</f>
        <v>45511</v>
      </c>
      <c r="B1147" s="1" t="str">
        <f>IFERROR(__xludf.DUMMYFUNCTION("""COMPUTED_VALUE"""),"Banner Health")</f>
        <v>Banner Health</v>
      </c>
      <c r="C1147" s="1" t="str">
        <f>IFERROR(__xludf.DUMMYFUNCTION("""COMPUTED_VALUE"""),"Medicare STARS Senior Data Analyst")</f>
        <v>Medicare STARS Senior Data Analyst</v>
      </c>
      <c r="D1147" s="1" t="str">
        <f>IFERROR(__xludf.DUMMYFUNCTION("""COMPUTED_VALUE"""),"Remote")</f>
        <v>Remote</v>
      </c>
      <c r="E1147" s="1" t="str">
        <f>IFERROR(__xludf.DUMMYFUNCTION("""COMPUTED_VALUE"""),"$35 - $58/hr")</f>
        <v>$35 - $58/hr</v>
      </c>
      <c r="F1147" s="1" t="str">
        <f>IFERROR(__xludf.DUMMYFUNCTION("""COMPUTED_VALUE"""),"3 - 5")</f>
        <v>3 - 5</v>
      </c>
      <c r="G1147" s="1" t="str">
        <f>IFERROR(__xludf.DUMMYFUNCTION("""COMPUTED_VALUE"""),"Certain Locations")</f>
        <v>Certain Locations</v>
      </c>
      <c r="H1147" s="4" t="str">
        <f>IFERROR(__xludf.DUMMYFUNCTION("""COMPUTED_VALUE"""),"https://www.linkedin.com/posts/kelly-armour-59482739_medicare-stars-senior-data-analyst-in-colorado-activity-7226963354911694848-1zVJ/?utm_source=share&amp;utm_medium=member_desktop")</f>
        <v>https://www.linkedin.com/posts/kelly-armour-59482739_medicare-stars-senior-data-analyst-in-colorado-activity-7226963354911694848-1zVJ/?utm_source=share&amp;utm_medium=member_desktop</v>
      </c>
    </row>
    <row r="1148">
      <c r="A1148" s="2">
        <f>IFERROR(__xludf.DUMMYFUNCTION("""COMPUTED_VALUE"""),45511.0)</f>
        <v>45511</v>
      </c>
      <c r="B1148" s="1" t="str">
        <f>IFERROR(__xludf.DUMMYFUNCTION("""COMPUTED_VALUE"""),"Carvana")</f>
        <v>Carvana</v>
      </c>
      <c r="C1148" s="1" t="str">
        <f>IFERROR(__xludf.DUMMYFUNCTION("""COMPUTED_VALUE"""),"Analyst, IC Performance Analytics")</f>
        <v>Analyst, IC Performance Analytics</v>
      </c>
      <c r="D1148" s="1" t="str">
        <f>IFERROR(__xludf.DUMMYFUNCTION("""COMPUTED_VALUE"""),"Hybrid")</f>
        <v>Hybrid</v>
      </c>
      <c r="E1148" s="1" t="str">
        <f>IFERROR(__xludf.DUMMYFUNCTION("""COMPUTED_VALUE"""),"N/A")</f>
        <v>N/A</v>
      </c>
      <c r="F1148" s="1" t="str">
        <f>IFERROR(__xludf.DUMMYFUNCTION("""COMPUTED_VALUE"""),"0 - 2")</f>
        <v>0 - 2</v>
      </c>
      <c r="G1148" s="1" t="str">
        <f>IFERROR(__xludf.DUMMYFUNCTION("""COMPUTED_VALUE"""),"Tempe, AZ")</f>
        <v>Tempe, AZ</v>
      </c>
      <c r="H1148" s="4" t="str">
        <f>IFERROR(__xludf.DUMMYFUNCTION("""COMPUTED_VALUE"""),"https://www.linkedin.com/posts/mmuztar_linkedin-activity-7226294799476178944-Gsc0/?utm_source=share&amp;utm_medium=member_desktop")</f>
        <v>https://www.linkedin.com/posts/mmuztar_linkedin-activity-7226294799476178944-Gsc0/?utm_source=share&amp;utm_medium=member_desktop</v>
      </c>
    </row>
    <row r="1149">
      <c r="A1149" s="2">
        <f>IFERROR(__xludf.DUMMYFUNCTION("""COMPUTED_VALUE"""),45511.0)</f>
        <v>45511</v>
      </c>
      <c r="B1149" s="1" t="str">
        <f>IFERROR(__xludf.DUMMYFUNCTION("""COMPUTED_VALUE"""),"Mazda Toyota Manufacturing")</f>
        <v>Mazda Toyota Manufacturing</v>
      </c>
      <c r="C1149" s="1" t="str">
        <f>IFERROR(__xludf.DUMMYFUNCTION("""COMPUTED_VALUE"""),"Data Analyst Assistant Manager (Center for Innovation)")</f>
        <v>Data Analyst Assistant Manager (Center for Innovation)</v>
      </c>
      <c r="D1149" s="1" t="str">
        <f>IFERROR(__xludf.DUMMYFUNCTION("""COMPUTED_VALUE"""),"On-Site")</f>
        <v>On-Site</v>
      </c>
      <c r="E1149" s="1" t="str">
        <f>IFERROR(__xludf.DUMMYFUNCTION("""COMPUTED_VALUE"""),"N/A")</f>
        <v>N/A</v>
      </c>
      <c r="F1149" s="1" t="str">
        <f>IFERROR(__xludf.DUMMYFUNCTION("""COMPUTED_VALUE"""),"3 - 5")</f>
        <v>3 - 5</v>
      </c>
      <c r="G1149" s="1" t="str">
        <f>IFERROR(__xludf.DUMMYFUNCTION("""COMPUTED_VALUE"""),"Madison, AL")</f>
        <v>Madison, AL</v>
      </c>
      <c r="H1149" s="4" t="str">
        <f>IFERROR(__xludf.DUMMYFUNCTION("""COMPUTED_VALUE"""),"https://www.linkedin.com/jobs/view/3977324913/?refId=9qaUBQZFRQaeYujkPHMhEA%3D%3D&amp;trackingId=9qaUBQZFRQaeYujkPHMhEA%3D%3D")</f>
        <v>https://www.linkedin.com/jobs/view/3977324913/?refId=9qaUBQZFRQaeYujkPHMhEA%3D%3D&amp;trackingId=9qaUBQZFRQaeYujkPHMhEA%3D%3D</v>
      </c>
    </row>
    <row r="1150">
      <c r="A1150" s="2">
        <f>IFERROR(__xludf.DUMMYFUNCTION("""COMPUTED_VALUE"""),45511.0)</f>
        <v>45511</v>
      </c>
      <c r="B1150" s="1" t="str">
        <f>IFERROR(__xludf.DUMMYFUNCTION("""COMPUTED_VALUE"""),"A&amp;W Restaurants Inc")</f>
        <v>A&amp;W Restaurants Inc</v>
      </c>
      <c r="C1150" s="1" t="str">
        <f>IFERROR(__xludf.DUMMYFUNCTION("""COMPUTED_VALUE"""),"Data Analyst")</f>
        <v>Data Analyst</v>
      </c>
      <c r="D1150" s="1" t="str">
        <f>IFERROR(__xludf.DUMMYFUNCTION("""COMPUTED_VALUE"""),"Hybrid")</f>
        <v>Hybrid</v>
      </c>
      <c r="E1150" s="1" t="str">
        <f>IFERROR(__xludf.DUMMYFUNCTION("""COMPUTED_VALUE"""),"N/A")</f>
        <v>N/A</v>
      </c>
      <c r="F1150" s="1" t="str">
        <f>IFERROR(__xludf.DUMMYFUNCTION("""COMPUTED_VALUE"""),"0 - 2")</f>
        <v>0 - 2</v>
      </c>
      <c r="G1150" s="1" t="str">
        <f>IFERROR(__xludf.DUMMYFUNCTION("""COMPUTED_VALUE"""),"Lexington, KY")</f>
        <v>Lexington, KY</v>
      </c>
      <c r="H1150" s="4" t="str">
        <f>IFERROR(__xludf.DUMMYFUNCTION("""COMPUTED_VALUE"""),"https://www.linkedin.com/posts/liz-bazner-61277745_aw-restaurants-inc-data-analyst-activity-7226962695785189376--fha/?utm_source=share&amp;utm_medium=member_desktop")</f>
        <v>https://www.linkedin.com/posts/liz-bazner-61277745_aw-restaurants-inc-data-analyst-activity-7226962695785189376--fha/?utm_source=share&amp;utm_medium=member_desktop</v>
      </c>
    </row>
    <row r="1151">
      <c r="A1151" s="2">
        <f>IFERROR(__xludf.DUMMYFUNCTION("""COMPUTED_VALUE"""),45511.0)</f>
        <v>45511</v>
      </c>
      <c r="B1151" s="1" t="str">
        <f>IFERROR(__xludf.DUMMYFUNCTION("""COMPUTED_VALUE"""),"Whatnot")</f>
        <v>Whatnot</v>
      </c>
      <c r="C1151" s="1" t="str">
        <f>IFERROR(__xludf.DUMMYFUNCTION("""COMPUTED_VALUE"""),"Data Scientist, Discovery Ecosystem")</f>
        <v>Data Scientist, Discovery Ecosystem</v>
      </c>
      <c r="D1151" s="1" t="str">
        <f>IFERROR(__xludf.DUMMYFUNCTION("""COMPUTED_VALUE"""),"Remote")</f>
        <v>Remote</v>
      </c>
      <c r="E1151" s="1" t="str">
        <f>IFERROR(__xludf.DUMMYFUNCTION("""COMPUTED_VALUE"""),"$180k - $275k")</f>
        <v>$180k - $275k</v>
      </c>
      <c r="F1151" s="1" t="str">
        <f>IFERROR(__xludf.DUMMYFUNCTION("""COMPUTED_VALUE"""),"3 - 5")</f>
        <v>3 - 5</v>
      </c>
      <c r="G1151" s="1" t="str">
        <f>IFERROR(__xludf.DUMMYFUNCTION("""COMPUTED_VALUE"""),"Certain Locations")</f>
        <v>Certain Locations</v>
      </c>
      <c r="H1151" s="4" t="str">
        <f>IFERROR(__xludf.DUMMYFUNCTION("""COMPUTED_VALUE"""),"https://www.linkedin.com/posts/toddrudak_data-scientist-discovery-ecosystem-activity-7226993571160109057-pwAk?utm_source=share&amp;utm_medium=member_desktop")</f>
        <v>https://www.linkedin.com/posts/toddrudak_data-scientist-discovery-ecosystem-activity-7226993571160109057-pwAk?utm_source=share&amp;utm_medium=member_desktop</v>
      </c>
    </row>
    <row r="1152">
      <c r="A1152" s="2">
        <f>IFERROR(__xludf.DUMMYFUNCTION("""COMPUTED_VALUE"""),45511.0)</f>
        <v>45511</v>
      </c>
      <c r="B1152" s="1" t="str">
        <f>IFERROR(__xludf.DUMMYFUNCTION("""COMPUTED_VALUE"""),"Norfolk Southern Corporation")</f>
        <v>Norfolk Southern Corporation</v>
      </c>
      <c r="C1152" s="1" t="str">
        <f>IFERROR(__xludf.DUMMYFUNCTION("""COMPUTED_VALUE"""),"Senior Financial Analyst")</f>
        <v>Senior Financial Analyst</v>
      </c>
      <c r="D1152" s="1" t="str">
        <f>IFERROR(__xludf.DUMMYFUNCTION("""COMPUTED_VALUE"""),"On-Site")</f>
        <v>On-Site</v>
      </c>
      <c r="E1152" s="1" t="str">
        <f>IFERROR(__xludf.DUMMYFUNCTION("""COMPUTED_VALUE"""),"N/A")</f>
        <v>N/A</v>
      </c>
      <c r="F1152" s="1" t="str">
        <f>IFERROR(__xludf.DUMMYFUNCTION("""COMPUTED_VALUE"""),"3 - 5")</f>
        <v>3 - 5</v>
      </c>
      <c r="G1152" s="1" t="str">
        <f>IFERROR(__xludf.DUMMYFUNCTION("""COMPUTED_VALUE"""),"Atlanta, GA")</f>
        <v>Atlanta, GA</v>
      </c>
      <c r="H1152" s="4" t="str">
        <f>IFERROR(__xludf.DUMMYFUNCTION("""COMPUTED_VALUE"""),"https://www.linkedin.com/posts/victoriasmith09_senior-financial-analyst-in-atlanta-ga-activity-7226967522535747584-wrDx?utm_source=share&amp;utm_medium=member_desktop")</f>
        <v>https://www.linkedin.com/posts/victoriasmith09_senior-financial-analyst-in-atlanta-ga-activity-7226967522535747584-wrDx?utm_source=share&amp;utm_medium=member_desktop</v>
      </c>
    </row>
    <row r="1153">
      <c r="A1153" s="2">
        <f>IFERROR(__xludf.DUMMYFUNCTION("""COMPUTED_VALUE"""),45511.0)</f>
        <v>45511</v>
      </c>
      <c r="B1153" s="1" t="str">
        <f>IFERROR(__xludf.DUMMYFUNCTION("""COMPUTED_VALUE"""),"Sidley")</f>
        <v>Sidley</v>
      </c>
      <c r="C1153" s="1" t="str">
        <f>IFERROR(__xludf.DUMMYFUNCTION("""COMPUTED_VALUE"""),"IT Portfolio Analyst")</f>
        <v>IT Portfolio Analyst</v>
      </c>
      <c r="D1153" s="1" t="str">
        <f>IFERROR(__xludf.DUMMYFUNCTION("""COMPUTED_VALUE"""),"On-Site")</f>
        <v>On-Site</v>
      </c>
      <c r="E1153" s="1" t="str">
        <f>IFERROR(__xludf.DUMMYFUNCTION("""COMPUTED_VALUE"""),"N/A")</f>
        <v>N/A</v>
      </c>
      <c r="F1153" s="1" t="str">
        <f>IFERROR(__xludf.DUMMYFUNCTION("""COMPUTED_VALUE"""),"0 - 2")</f>
        <v>0 - 2</v>
      </c>
      <c r="G1153" s="1" t="str">
        <f>IFERROR(__xludf.DUMMYFUNCTION("""COMPUTED_VALUE"""),"Chicago, IL")</f>
        <v>Chicago, IL</v>
      </c>
      <c r="H1153" s="4" t="str">
        <f>IFERROR(__xludf.DUMMYFUNCTION("""COMPUTED_VALUE"""),"https://www.linkedin.com/posts/karihaley_it-portfolio-analyst-in-chicago-illinois-activity-7226962967626493952-_1tn?utm_source=share&amp;utm_medium=member_desktop")</f>
        <v>https://www.linkedin.com/posts/karihaley_it-portfolio-analyst-in-chicago-illinois-activity-7226962967626493952-_1tn?utm_source=share&amp;utm_medium=member_desktop</v>
      </c>
    </row>
    <row r="1154">
      <c r="A1154" s="2">
        <f>IFERROR(__xludf.DUMMYFUNCTION("""COMPUTED_VALUE"""),45511.0)</f>
        <v>45511</v>
      </c>
      <c r="B1154" s="1" t="str">
        <f>IFERROR(__xludf.DUMMYFUNCTION("""COMPUTED_VALUE"""),"VEIC")</f>
        <v>VEIC</v>
      </c>
      <c r="C1154" s="1" t="str">
        <f>IFERROR(__xludf.DUMMYFUNCTION("""COMPUTED_VALUE"""),"Consulting Analyst")</f>
        <v>Consulting Analyst</v>
      </c>
      <c r="D1154" s="1" t="str">
        <f>IFERROR(__xludf.DUMMYFUNCTION("""COMPUTED_VALUE"""),"Remote")</f>
        <v>Remote</v>
      </c>
      <c r="E1154" s="1" t="str">
        <f>IFERROR(__xludf.DUMMYFUNCTION("""COMPUTED_VALUE"""),"N/A")</f>
        <v>N/A</v>
      </c>
      <c r="F1154" s="1" t="str">
        <f>IFERROR(__xludf.DUMMYFUNCTION("""COMPUTED_VALUE"""),"0 - 2")</f>
        <v>0 - 2</v>
      </c>
      <c r="G1154" s="1" t="str">
        <f>IFERROR(__xludf.DUMMYFUNCTION("""COMPUTED_VALUE"""),"Certain Locations")</f>
        <v>Certain Locations</v>
      </c>
      <c r="H1154" s="4" t="str">
        <f>IFERROR(__xludf.DUMMYFUNCTION("""COMPUTED_VALUE"""),"https://www.linkedin.com/posts/kellyshin1_consulting-analyst-in-wisconsin-careers-activity-7227008655433330691-xRFh?utm_source=share&amp;utm_medium=member_desktop")</f>
        <v>https://www.linkedin.com/posts/kellyshin1_consulting-analyst-in-wisconsin-careers-activity-7227008655433330691-xRFh?utm_source=share&amp;utm_medium=member_desktop</v>
      </c>
    </row>
    <row r="1155">
      <c r="A1155" s="2">
        <f>IFERROR(__xludf.DUMMYFUNCTION("""COMPUTED_VALUE"""),45511.0)</f>
        <v>45511</v>
      </c>
      <c r="B1155" s="1" t="str">
        <f>IFERROR(__xludf.DUMMYFUNCTION("""COMPUTED_VALUE"""),"UnitedHealthCare")</f>
        <v>UnitedHealthCare</v>
      </c>
      <c r="C1155" s="1" t="str">
        <f>IFERROR(__xludf.DUMMYFUNCTION("""COMPUTED_VALUE"""),"Actuarial Analyst")</f>
        <v>Actuarial Analyst</v>
      </c>
      <c r="D1155" s="1" t="str">
        <f>IFERROR(__xludf.DUMMYFUNCTION("""COMPUTED_VALUE"""),"Hybrid")</f>
        <v>Hybrid</v>
      </c>
      <c r="E1155" s="1" t="str">
        <f>IFERROR(__xludf.DUMMYFUNCTION("""COMPUTED_VALUE"""),"$58k - $114k")</f>
        <v>$58k - $114k</v>
      </c>
      <c r="F1155" s="1" t="str">
        <f>IFERROR(__xludf.DUMMYFUNCTION("""COMPUTED_VALUE"""),"0 - 2")</f>
        <v>0 - 2</v>
      </c>
      <c r="G1155" s="1" t="str">
        <f>IFERROR(__xludf.DUMMYFUNCTION("""COMPUTED_VALUE"""),"Minnetonka, MN")</f>
        <v>Minnetonka, MN</v>
      </c>
      <c r="H1155" s="4" t="str">
        <f>IFERROR(__xludf.DUMMYFUNCTION("""COMPUTED_VALUE"""),"https://www.linkedin.com/posts/tanisaltizer_actuarial-analyst-minnetonka-mn-in-minnetonka-activity-7227008758197968896-hG7j?utm_source=share&amp;utm_medium=member_desktop")</f>
        <v>https://www.linkedin.com/posts/tanisaltizer_actuarial-analyst-minnetonka-mn-in-minnetonka-activity-7227008758197968896-hG7j?utm_source=share&amp;utm_medium=member_desktop</v>
      </c>
    </row>
    <row r="1156">
      <c r="A1156" s="2">
        <f>IFERROR(__xludf.DUMMYFUNCTION("""COMPUTED_VALUE"""),45511.0)</f>
        <v>45511</v>
      </c>
      <c r="B1156" s="1" t="str">
        <f>IFERROR(__xludf.DUMMYFUNCTION("""COMPUTED_VALUE"""),"D.W. Simpson")</f>
        <v>D.W. Simpson</v>
      </c>
      <c r="C1156" s="1" t="str">
        <f>IFERROR(__xludf.DUMMYFUNCTION("""COMPUTED_VALUE"""),"Actuarial Analyst Analytic Insights-Remote")</f>
        <v>Actuarial Analyst Analytic Insights-Remote</v>
      </c>
      <c r="D1156" s="1" t="str">
        <f>IFERROR(__xludf.DUMMYFUNCTION("""COMPUTED_VALUE"""),"Remote")</f>
        <v>Remote</v>
      </c>
      <c r="E1156" s="1" t="str">
        <f>IFERROR(__xludf.DUMMYFUNCTION("""COMPUTED_VALUE"""),"$131k - $191k")</f>
        <v>$131k - $191k</v>
      </c>
      <c r="F1156" s="1" t="str">
        <f>IFERROR(__xludf.DUMMYFUNCTION("""COMPUTED_VALUE"""),"6 - 9")</f>
        <v>6 - 9</v>
      </c>
      <c r="G1156" s="1" t="str">
        <f>IFERROR(__xludf.DUMMYFUNCTION("""COMPUTED_VALUE"""),"Certain Locations")</f>
        <v>Certain Locations</v>
      </c>
      <c r="H1156" s="4" t="str">
        <f>IFERROR(__xludf.DUMMYFUNCTION("""COMPUTED_VALUE"""),"https://www.linkedin.com/posts/mimi-fritz-0a42a018_looking-for-a-job-activity-7227007533549260801-6qkV?utm_source=share&amp;utm_medium=member_desktop")</f>
        <v>https://www.linkedin.com/posts/mimi-fritz-0a42a018_looking-for-a-job-activity-7227007533549260801-6qkV?utm_source=share&amp;utm_medium=member_desktop</v>
      </c>
    </row>
    <row r="1157">
      <c r="A1157" s="2">
        <f>IFERROR(__xludf.DUMMYFUNCTION("""COMPUTED_VALUE"""),45511.0)</f>
        <v>45511</v>
      </c>
      <c r="B1157" s="1" t="str">
        <f>IFERROR(__xludf.DUMMYFUNCTION("""COMPUTED_VALUE"""),"AMAROK Security")</f>
        <v>AMAROK Security</v>
      </c>
      <c r="C1157" s="1" t="str">
        <f>IFERROR(__xludf.DUMMYFUNCTION("""COMPUTED_VALUE"""),"Financial Analyst")</f>
        <v>Financial Analyst</v>
      </c>
      <c r="D1157" s="1" t="str">
        <f>IFERROR(__xludf.DUMMYFUNCTION("""COMPUTED_VALUE"""),"On-Site")</f>
        <v>On-Site</v>
      </c>
      <c r="E1157" s="1" t="str">
        <f>IFERROR(__xludf.DUMMYFUNCTION("""COMPUTED_VALUE"""),"N/A")</f>
        <v>N/A</v>
      </c>
      <c r="F1157" s="1" t="str">
        <f>IFERROR(__xludf.DUMMYFUNCTION("""COMPUTED_VALUE"""),"3 - 5")</f>
        <v>3 - 5</v>
      </c>
      <c r="G1157" s="1" t="str">
        <f>IFERROR(__xludf.DUMMYFUNCTION("""COMPUTED_VALUE"""),"Columbia, SC")</f>
        <v>Columbia, SC</v>
      </c>
      <c r="H1157" s="4" t="str">
        <f>IFERROR(__xludf.DUMMYFUNCTION("""COMPUTED_VALUE"""),"https://www.linkedin.com/posts/gina-fryer-97a6b03_check-out-this-job-at-amarok-security-financial-activity-7226972209389412352-6l1Z?utm_source=share&amp;utm_medium=member_desktop")</f>
        <v>https://www.linkedin.com/posts/gina-fryer-97a6b03_check-out-this-job-at-amarok-security-financial-activity-7226972209389412352-6l1Z?utm_source=share&amp;utm_medium=member_desktop</v>
      </c>
    </row>
    <row r="1158">
      <c r="A1158" s="2">
        <f>IFERROR(__xludf.DUMMYFUNCTION("""COMPUTED_VALUE"""),45511.0)</f>
        <v>45511</v>
      </c>
      <c r="B1158" s="1" t="str">
        <f>IFERROR(__xludf.DUMMYFUNCTION("""COMPUTED_VALUE"""),"MacArthur Foundation")</f>
        <v>MacArthur Foundation</v>
      </c>
      <c r="C1158" s="1" t="str">
        <f>IFERROR(__xludf.DUMMYFUNCTION("""COMPUTED_VALUE"""),"Senior Analyst, Alpha Analytics and Portfolio Risk")</f>
        <v>Senior Analyst, Alpha Analytics and Portfolio Risk</v>
      </c>
      <c r="D1158" s="1" t="str">
        <f>IFERROR(__xludf.DUMMYFUNCTION("""COMPUTED_VALUE"""),"Hybrid")</f>
        <v>Hybrid</v>
      </c>
      <c r="E1158" s="1" t="str">
        <f>IFERROR(__xludf.DUMMYFUNCTION("""COMPUTED_VALUE"""),"$100k")</f>
        <v>$100k</v>
      </c>
      <c r="F1158" s="1" t="str">
        <f>IFERROR(__xludf.DUMMYFUNCTION("""COMPUTED_VALUE"""),"3 - 5")</f>
        <v>3 - 5</v>
      </c>
      <c r="G1158" s="1" t="str">
        <f>IFERROR(__xludf.DUMMYFUNCTION("""COMPUTED_VALUE"""),"Chicago, IL")</f>
        <v>Chicago, IL</v>
      </c>
      <c r="H1158" s="4" t="str">
        <f>IFERROR(__xludf.DUMMYFUNCTION("""COMPUTED_VALUE"""),"https://www.linkedin.com/posts/buck-betten-442a038_the-macarthur-foundation-investment-team-activity-7227006319235362816-p5iP?utm_source=share&amp;utm_medium=member_desktop")</f>
        <v>https://www.linkedin.com/posts/buck-betten-442a038_the-macarthur-foundation-investment-team-activity-7227006319235362816-p5iP?utm_source=share&amp;utm_medium=member_desktop</v>
      </c>
    </row>
    <row r="1159">
      <c r="A1159" s="2">
        <f>IFERROR(__xludf.DUMMYFUNCTION("""COMPUTED_VALUE"""),45511.0)</f>
        <v>45511</v>
      </c>
      <c r="B1159" s="1" t="str">
        <f>IFERROR(__xludf.DUMMYFUNCTION("""COMPUTED_VALUE"""),"Horizon Media")</f>
        <v>Horizon Media</v>
      </c>
      <c r="C1159" s="1" t="str">
        <f>IFERROR(__xludf.DUMMYFUNCTION("""COMPUTED_VALUE"""),"Senior Analyst, Advanced Analytics")</f>
        <v>Senior Analyst, Advanced Analytics</v>
      </c>
      <c r="D1159" s="1" t="str">
        <f>IFERROR(__xludf.DUMMYFUNCTION("""COMPUTED_VALUE"""),"Hybrid")</f>
        <v>Hybrid</v>
      </c>
      <c r="E1159" s="1" t="str">
        <f>IFERROR(__xludf.DUMMYFUNCTION("""COMPUTED_VALUE"""),"$100k - $120k")</f>
        <v>$100k - $120k</v>
      </c>
      <c r="F1159" s="1" t="str">
        <f>IFERROR(__xludf.DUMMYFUNCTION("""COMPUTED_VALUE"""),"0 - 2")</f>
        <v>0 - 2</v>
      </c>
      <c r="G1159" s="1" t="str">
        <f>IFERROR(__xludf.DUMMYFUNCTION("""COMPUTED_VALUE"""),"New York, NY")</f>
        <v>New York, NY</v>
      </c>
      <c r="H1159" s="4" t="str">
        <f>IFERROR(__xludf.DUMMYFUNCTION("""COMPUTED_VALUE"""),"https://www.linkedin.com/posts/kasper-garlicki-492b239a_datascience-datasciencejobs-activity-7226973934351458304-pLkp?utm_source=share&amp;utm_medium=member_desktop")</f>
        <v>https://www.linkedin.com/posts/kasper-garlicki-492b239a_datascience-datasciencejobs-activity-7226973934351458304-pLkp?utm_source=share&amp;utm_medium=member_desktop</v>
      </c>
    </row>
    <row r="1160">
      <c r="A1160" s="2">
        <f>IFERROR(__xludf.DUMMYFUNCTION("""COMPUTED_VALUE"""),45511.0)</f>
        <v>45511</v>
      </c>
      <c r="B1160" s="1" t="str">
        <f>IFERROR(__xludf.DUMMYFUNCTION("""COMPUTED_VALUE"""),"Arvest Bank")</f>
        <v>Arvest Bank</v>
      </c>
      <c r="C1160" s="1" t="str">
        <f>IFERROR(__xludf.DUMMYFUNCTION("""COMPUTED_VALUE"""),"Division Business Analyst 2")</f>
        <v>Division Business Analyst 2</v>
      </c>
      <c r="D1160" s="1" t="str">
        <f>IFERROR(__xludf.DUMMYFUNCTION("""COMPUTED_VALUE"""),"Remote")</f>
        <v>Remote</v>
      </c>
      <c r="E1160" s="1" t="str">
        <f>IFERROR(__xludf.DUMMYFUNCTION("""COMPUTED_VALUE"""),"$59k - $71k")</f>
        <v>$59k - $71k</v>
      </c>
      <c r="F1160" s="1" t="str">
        <f>IFERROR(__xludf.DUMMYFUNCTION("""COMPUTED_VALUE"""),"3 - 5")</f>
        <v>3 - 5</v>
      </c>
      <c r="G1160" s="1" t="str">
        <f>IFERROR(__xludf.DUMMYFUNCTION("""COMPUTED_VALUE"""),"Certain Locations")</f>
        <v>Certain Locations</v>
      </c>
      <c r="H1160" s="4" t="str">
        <f>IFERROR(__xludf.DUMMYFUNCTION("""COMPUTED_VALUE"""),"https://www.linkedin.com/posts/talialambert_exciting-opportunity-alert-are-you-activity-7226964725148827648-PTru?utm_source=share&amp;utm_medium=member_desktop")</f>
        <v>https://www.linkedin.com/posts/talialambert_exciting-opportunity-alert-are-you-activity-7226964725148827648-PTru?utm_source=share&amp;utm_medium=member_desktop</v>
      </c>
    </row>
    <row r="1161">
      <c r="A1161" s="2">
        <f>IFERROR(__xludf.DUMMYFUNCTION("""COMPUTED_VALUE"""),45511.0)</f>
        <v>45511</v>
      </c>
      <c r="B1161" s="1" t="str">
        <f>IFERROR(__xludf.DUMMYFUNCTION("""COMPUTED_VALUE"""),"Ascendient Healthcare Advisors")</f>
        <v>Ascendient Healthcare Advisors</v>
      </c>
      <c r="C1161" s="1" t="str">
        <f>IFERROR(__xludf.DUMMYFUNCTION("""COMPUTED_VALUE"""),"Healthcare Strategy Analyst")</f>
        <v>Healthcare Strategy Analyst</v>
      </c>
      <c r="D1161" s="1" t="str">
        <f>IFERROR(__xludf.DUMMYFUNCTION("""COMPUTED_VALUE"""),"Remote")</f>
        <v>Remote</v>
      </c>
      <c r="E1161" s="1" t="str">
        <f>IFERROR(__xludf.DUMMYFUNCTION("""COMPUTED_VALUE"""),"$71k - $93k")</f>
        <v>$71k - $93k</v>
      </c>
      <c r="F1161" s="1" t="str">
        <f>IFERROR(__xludf.DUMMYFUNCTION("""COMPUTED_VALUE"""),"3 - 5")</f>
        <v>3 - 5</v>
      </c>
      <c r="G1161" s="1" t="str">
        <f>IFERROR(__xludf.DUMMYFUNCTION("""COMPUTED_VALUE"""),"Certain Locations")</f>
        <v>Certain Locations</v>
      </c>
      <c r="H1161" s="4" t="str">
        <f>IFERROR(__xludf.DUMMYFUNCTION("""COMPUTED_VALUE"""),"https://www.linkedin.com/posts/gregoryflicek_healthcare-strategy-analyst-activity-7226924365185994753-mppY?utm_source=share&amp;utm_medium=member_desktop")</f>
        <v>https://www.linkedin.com/posts/gregoryflicek_healthcare-strategy-analyst-activity-7226924365185994753-mppY?utm_source=share&amp;utm_medium=member_desktop</v>
      </c>
    </row>
    <row r="1162">
      <c r="A1162" s="2">
        <f>IFERROR(__xludf.DUMMYFUNCTION("""COMPUTED_VALUE"""),45511.0)</f>
        <v>45511</v>
      </c>
      <c r="B1162" s="1" t="str">
        <f>IFERROR(__xludf.DUMMYFUNCTION("""COMPUTED_VALUE"""),"Shiseido")</f>
        <v>Shiseido</v>
      </c>
      <c r="C1162" s="1" t="str">
        <f>IFERROR(__xludf.DUMMYFUNCTION("""COMPUTED_VALUE"""),"Sales Analyst, LATAM")</f>
        <v>Sales Analyst, LATAM</v>
      </c>
      <c r="D1162" s="1" t="str">
        <f>IFERROR(__xludf.DUMMYFUNCTION("""COMPUTED_VALUE"""),"Hybrid")</f>
        <v>Hybrid</v>
      </c>
      <c r="E1162" s="1" t="str">
        <f>IFERROR(__xludf.DUMMYFUNCTION("""COMPUTED_VALUE"""),"N/A")</f>
        <v>N/A</v>
      </c>
      <c r="F1162" s="1" t="str">
        <f>IFERROR(__xludf.DUMMYFUNCTION("""COMPUTED_VALUE"""),"3 - 5")</f>
        <v>3 - 5</v>
      </c>
      <c r="G1162" s="1" t="str">
        <f>IFERROR(__xludf.DUMMYFUNCTION("""COMPUTED_VALUE"""),"Miami, FL")</f>
        <v>Miami, FL</v>
      </c>
      <c r="H1162" s="4" t="str">
        <f>IFERROR(__xludf.DUMMYFUNCTION("""COMPUTED_VALUE"""),"https://www.linkedin.com/posts/gabrielarodriguezv_we-are-hiring-for-a-sales-analyst-latam-activity-7226975887420723201-wTpZ?utm_source=share&amp;utm_medium=member_desktop")</f>
        <v>https://www.linkedin.com/posts/gabrielarodriguezv_we-are-hiring-for-a-sales-analyst-latam-activity-7226975887420723201-wTpZ?utm_source=share&amp;utm_medium=member_desktop</v>
      </c>
    </row>
    <row r="1163">
      <c r="A1163" s="2">
        <f>IFERROR(__xludf.DUMMYFUNCTION("""COMPUTED_VALUE"""),45511.0)</f>
        <v>45511</v>
      </c>
      <c r="B1163" s="1" t="str">
        <f>IFERROR(__xludf.DUMMYFUNCTION("""COMPUTED_VALUE"""),"ThredUp")</f>
        <v>ThredUp</v>
      </c>
      <c r="C1163" s="1" t="str">
        <f>IFERROR(__xludf.DUMMYFUNCTION("""COMPUTED_VALUE"""),"People Analytics and Insights Sr Analyst")</f>
        <v>People Analytics and Insights Sr Analyst</v>
      </c>
      <c r="D1163" s="1" t="str">
        <f>IFERROR(__xludf.DUMMYFUNCTION("""COMPUTED_VALUE"""),"Hybrid")</f>
        <v>Hybrid</v>
      </c>
      <c r="E1163" s="1" t="str">
        <f>IFERROR(__xludf.DUMMYFUNCTION("""COMPUTED_VALUE"""),"$120k - $155k")</f>
        <v>$120k - $155k</v>
      </c>
      <c r="F1163" s="1" t="str">
        <f>IFERROR(__xludf.DUMMYFUNCTION("""COMPUTED_VALUE"""),"3 - 5")</f>
        <v>3 - 5</v>
      </c>
      <c r="G1163" s="1" t="str">
        <f>IFERROR(__xludf.DUMMYFUNCTION("""COMPUTED_VALUE"""),"Scottsdale, AZ")</f>
        <v>Scottsdale, AZ</v>
      </c>
      <c r="H1163" s="4" t="str">
        <f>IFERROR(__xludf.DUMMYFUNCTION("""COMPUTED_VALUE"""),"https://www.linkedin.com/posts/jenni-dunlap-85958715_hiring-activity-7226968014468923394-fBeH?utm_source=share&amp;utm_medium=member_desktop")</f>
        <v>https://www.linkedin.com/posts/jenni-dunlap-85958715_hiring-activity-7226968014468923394-fBeH?utm_source=share&amp;utm_medium=member_desktop</v>
      </c>
    </row>
    <row r="1164">
      <c r="A1164" s="2">
        <f>IFERROR(__xludf.DUMMYFUNCTION("""COMPUTED_VALUE"""),45511.0)</f>
        <v>45511</v>
      </c>
      <c r="B1164" s="1" t="str">
        <f>IFERROR(__xludf.DUMMYFUNCTION("""COMPUTED_VALUE"""),"Microsoft")</f>
        <v>Microsoft</v>
      </c>
      <c r="C1164" s="1" t="str">
        <f>IFERROR(__xludf.DUMMYFUNCTION("""COMPUTED_VALUE"""),"Senior Data Scientist")</f>
        <v>Senior Data Scientist</v>
      </c>
      <c r="D1164" s="1" t="str">
        <f>IFERROR(__xludf.DUMMYFUNCTION("""COMPUTED_VALUE"""),"Hybrid")</f>
        <v>Hybrid</v>
      </c>
      <c r="E1164" s="1" t="str">
        <f>IFERROR(__xludf.DUMMYFUNCTION("""COMPUTED_VALUE"""),"$117k - $229k")</f>
        <v>$117k - $229k</v>
      </c>
      <c r="F1164" s="1" t="str">
        <f>IFERROR(__xludf.DUMMYFUNCTION("""COMPUTED_VALUE"""),"3 - 5")</f>
        <v>3 - 5</v>
      </c>
      <c r="G1164" s="1" t="str">
        <f>IFERROR(__xludf.DUMMYFUNCTION("""COMPUTED_VALUE"""),"Certain Locations")</f>
        <v>Certain Locations</v>
      </c>
      <c r="H1164" s="4" t="str">
        <f>IFERROR(__xludf.DUMMYFUNCTION("""COMPUTED_VALUE"""),"https://www.linkedin.com/posts/barbara-stortz_were-hiring-senior-and-principal-data-activity-7226993849934528512-ubf2?utm_source=share&amp;utm_medium=member_desktop")</f>
        <v>https://www.linkedin.com/posts/barbara-stortz_were-hiring-senior-and-principal-data-activity-7226993849934528512-ubf2?utm_source=share&amp;utm_medium=member_desktop</v>
      </c>
    </row>
    <row r="1165">
      <c r="A1165" s="2">
        <f>IFERROR(__xludf.DUMMYFUNCTION("""COMPUTED_VALUE"""),45511.0)</f>
        <v>45511</v>
      </c>
      <c r="B1165" s="1" t="str">
        <f>IFERROR(__xludf.DUMMYFUNCTION("""COMPUTED_VALUE"""),"ConvenientMD")</f>
        <v>ConvenientMD</v>
      </c>
      <c r="C1165" s="1" t="str">
        <f>IFERROR(__xludf.DUMMYFUNCTION("""COMPUTED_VALUE"""),"BI Developer")</f>
        <v>BI Developer</v>
      </c>
      <c r="D1165" s="1" t="str">
        <f>IFERROR(__xludf.DUMMYFUNCTION("""COMPUTED_VALUE"""),"On-Site")</f>
        <v>On-Site</v>
      </c>
      <c r="E1165" s="1" t="str">
        <f>IFERROR(__xludf.DUMMYFUNCTION("""COMPUTED_VALUE"""),"N/A")</f>
        <v>N/A</v>
      </c>
      <c r="F1165" s="1" t="str">
        <f>IFERROR(__xludf.DUMMYFUNCTION("""COMPUTED_VALUE"""),"3 - 5")</f>
        <v>3 - 5</v>
      </c>
      <c r="G1165" s="1" t="str">
        <f>IFERROR(__xludf.DUMMYFUNCTION("""COMPUTED_VALUE"""),"Portsmouth, NH")</f>
        <v>Portsmouth, NH</v>
      </c>
      <c r="H1165" s="4" t="str">
        <f>IFERROR(__xludf.DUMMYFUNCTION("""COMPUTED_VALUE"""),"https://www.linkedin.com/posts/jacob-strock-data-science_come-join-the-cmd-team-experienced-data-activity-7226943945203744772--NSY?utm_source=share&amp;utm_medium=member_desktop")</f>
        <v>https://www.linkedin.com/posts/jacob-strock-data-science_come-join-the-cmd-team-experienced-data-activity-7226943945203744772--NSY?utm_source=share&amp;utm_medium=member_desktop</v>
      </c>
    </row>
    <row r="1166">
      <c r="A1166" s="2">
        <f>IFERROR(__xludf.DUMMYFUNCTION("""COMPUTED_VALUE"""),45511.0)</f>
        <v>45511</v>
      </c>
      <c r="B1166" s="1" t="str">
        <f>IFERROR(__xludf.DUMMYFUNCTION("""COMPUTED_VALUE"""),"Dodge Construction Network")</f>
        <v>Dodge Construction Network</v>
      </c>
      <c r="C1166" s="1" t="str">
        <f>IFERROR(__xludf.DUMMYFUNCTION("""COMPUTED_VALUE"""),"Industry Analyst")</f>
        <v>Industry Analyst</v>
      </c>
      <c r="D1166" s="1" t="str">
        <f>IFERROR(__xludf.DUMMYFUNCTION("""COMPUTED_VALUE"""),"Remote")</f>
        <v>Remote</v>
      </c>
      <c r="E1166" s="1" t="str">
        <f>IFERROR(__xludf.DUMMYFUNCTION("""COMPUTED_VALUE"""),"N/A")</f>
        <v>N/A</v>
      </c>
      <c r="F1166" s="1" t="str">
        <f>IFERROR(__xludf.DUMMYFUNCTION("""COMPUTED_VALUE"""),"6 - 9")</f>
        <v>6 - 9</v>
      </c>
      <c r="G1166" s="1" t="str">
        <f>IFERROR(__xludf.DUMMYFUNCTION("""COMPUTED_VALUE"""),"Certain Locations")</f>
        <v>Certain Locations</v>
      </c>
      <c r="H1166" s="4" t="str">
        <f>IFERROR(__xludf.DUMMYFUNCTION("""COMPUTED_VALUE"""),"https://www.linkedin.com/posts/rebecca-brady-shrm-cp-3b138943_industry-analyst-activity-7226863323592425472-ds9s?utm_source=share&amp;utm_medium=member_desktop")</f>
        <v>https://www.linkedin.com/posts/rebecca-brady-shrm-cp-3b138943_industry-analyst-activity-7226863323592425472-ds9s?utm_source=share&amp;utm_medium=member_desktop</v>
      </c>
    </row>
    <row r="1167">
      <c r="A1167" s="2">
        <f>IFERROR(__xludf.DUMMYFUNCTION("""COMPUTED_VALUE"""),45511.0)</f>
        <v>45511</v>
      </c>
      <c r="B1167" s="1" t="str">
        <f>IFERROR(__xludf.DUMMYFUNCTION("""COMPUTED_VALUE"""),"Thibaut Design")</f>
        <v>Thibaut Design</v>
      </c>
      <c r="C1167" s="1" t="str">
        <f>IFERROR(__xludf.DUMMYFUNCTION("""COMPUTED_VALUE"""),"Senior Data Analyst")</f>
        <v>Senior Data Analyst</v>
      </c>
      <c r="D1167" s="1" t="str">
        <f>IFERROR(__xludf.DUMMYFUNCTION("""COMPUTED_VALUE"""),"On-Site")</f>
        <v>On-Site</v>
      </c>
      <c r="E1167" s="1" t="str">
        <f>IFERROR(__xludf.DUMMYFUNCTION("""COMPUTED_VALUE"""),"N/A")</f>
        <v>N/A</v>
      </c>
      <c r="F1167" s="1" t="str">
        <f>IFERROR(__xludf.DUMMYFUNCTION("""COMPUTED_VALUE"""),"3 - 5")</f>
        <v>3 - 5</v>
      </c>
      <c r="G1167" s="1" t="str">
        <f>IFERROR(__xludf.DUMMYFUNCTION("""COMPUTED_VALUE"""),"Union, NJ")</f>
        <v>Union, NJ</v>
      </c>
      <c r="H1167" s="4" t="str">
        <f>IFERROR(__xludf.DUMMYFUNCTION("""COMPUTED_VALUE"""),"https://www.linkedin.com/posts/mike-fechter-cscp-42521b3_join-our-team-we-are-searching-for-an-experienced-activity-7226904462575992833-4mTD?utm_source=share&amp;utm_medium=member_desktop")</f>
        <v>https://www.linkedin.com/posts/mike-fechter-cscp-42521b3_join-our-team-we-are-searching-for-an-experienced-activity-7226904462575992833-4mTD?utm_source=share&amp;utm_medium=member_desktop</v>
      </c>
    </row>
    <row r="1168">
      <c r="A1168" s="2">
        <f>IFERROR(__xludf.DUMMYFUNCTION("""COMPUTED_VALUE"""),45511.0)</f>
        <v>45511</v>
      </c>
      <c r="B1168" s="1" t="str">
        <f>IFERROR(__xludf.DUMMYFUNCTION("""COMPUTED_VALUE"""),"DaVita Kidney Care")</f>
        <v>DaVita Kidney Care</v>
      </c>
      <c r="C1168" s="1" t="str">
        <f>IFERROR(__xludf.DUMMYFUNCTION("""COMPUTED_VALUE"""),"Sr. Analyst, Transplant")</f>
        <v>Sr. Analyst, Transplant</v>
      </c>
      <c r="D1168" s="1" t="str">
        <f>IFERROR(__xludf.DUMMYFUNCTION("""COMPUTED_VALUE"""),"Remote")</f>
        <v>Remote</v>
      </c>
      <c r="E1168" s="1" t="str">
        <f>IFERROR(__xludf.DUMMYFUNCTION("""COMPUTED_VALUE"""),"$57k - $83k")</f>
        <v>$57k - $83k</v>
      </c>
      <c r="F1168" s="1" t="str">
        <f>IFERROR(__xludf.DUMMYFUNCTION("""COMPUTED_VALUE"""),"0 - 2")</f>
        <v>0 - 2</v>
      </c>
      <c r="G1168" s="1" t="str">
        <f>IFERROR(__xludf.DUMMYFUNCTION("""COMPUTED_VALUE"""),"Denver, CO")</f>
        <v>Denver, CO</v>
      </c>
      <c r="H1168" s="4" t="str">
        <f>IFERROR(__xludf.DUMMYFUNCTION("""COMPUTED_VALUE"""),"https://www.linkedin.com/posts/ileanapoole_sr-analyst-transplant-activity-7226942930047946753-hDcA?utm_source=share&amp;utm_medium=member_desktop")</f>
        <v>https://www.linkedin.com/posts/ileanapoole_sr-analyst-transplant-activity-7226942930047946753-hDcA?utm_source=share&amp;utm_medium=member_desktop</v>
      </c>
    </row>
    <row r="1169">
      <c r="A1169" s="2">
        <f>IFERROR(__xludf.DUMMYFUNCTION("""COMPUTED_VALUE"""),45511.0)</f>
        <v>45511</v>
      </c>
      <c r="B1169" s="1" t="str">
        <f>IFERROR(__xludf.DUMMYFUNCTION("""COMPUTED_VALUE"""),"Boston Scientific")</f>
        <v>Boston Scientific</v>
      </c>
      <c r="C1169" s="1" t="str">
        <f>IFERROR(__xludf.DUMMYFUNCTION("""COMPUTED_VALUE"""),"Principal Business Analyst, Finance")</f>
        <v>Principal Business Analyst, Finance</v>
      </c>
      <c r="D1169" s="1" t="str">
        <f>IFERROR(__xludf.DUMMYFUNCTION("""COMPUTED_VALUE"""),"Hybrid")</f>
        <v>Hybrid</v>
      </c>
      <c r="E1169" s="1" t="str">
        <f>IFERROR(__xludf.DUMMYFUNCTION("""COMPUTED_VALUE"""),"N/A")</f>
        <v>N/A</v>
      </c>
      <c r="F1169" s="1" t="str">
        <f>IFERROR(__xludf.DUMMYFUNCTION("""COMPUTED_VALUE"""),"6 - 9")</f>
        <v>6 - 9</v>
      </c>
      <c r="G1169" s="1" t="str">
        <f>IFERROR(__xludf.DUMMYFUNCTION("""COMPUTED_VALUE"""),"Marlborough, MA")</f>
        <v>Marlborough, MA</v>
      </c>
      <c r="H1169" s="4" t="str">
        <f>IFERROR(__xludf.DUMMYFUNCTION("""COMPUTED_VALUE"""),"https://www.linkedin.com/posts/melanie-mccormick-6399a725_hello-linkedin-network-are-you-passionate-activity-7226926483523485696-k17J?utm_source=share&amp;utm_medium=member_desktop")</f>
        <v>https://www.linkedin.com/posts/melanie-mccormick-6399a725_hello-linkedin-network-are-you-passionate-activity-7226926483523485696-k17J?utm_source=share&amp;utm_medium=member_desktop</v>
      </c>
    </row>
    <row r="1170">
      <c r="A1170" s="2">
        <f>IFERROR(__xludf.DUMMYFUNCTION("""COMPUTED_VALUE"""),45511.0)</f>
        <v>45511</v>
      </c>
      <c r="B1170" s="1" t="str">
        <f>IFERROR(__xludf.DUMMYFUNCTION("""COMPUTED_VALUE"""),"Boston Scientific")</f>
        <v>Boston Scientific</v>
      </c>
      <c r="C1170" s="1" t="str">
        <f>IFERROR(__xludf.DUMMYFUNCTION("""COMPUTED_VALUE"""),"Business Intelligence Analyst II, Finance")</f>
        <v>Business Intelligence Analyst II, Finance</v>
      </c>
      <c r="D1170" s="1" t="str">
        <f>IFERROR(__xludf.DUMMYFUNCTION("""COMPUTED_VALUE"""),"Hybrid")</f>
        <v>Hybrid</v>
      </c>
      <c r="E1170" s="1" t="str">
        <f>IFERROR(__xludf.DUMMYFUNCTION("""COMPUTED_VALUE"""),"N/A")</f>
        <v>N/A</v>
      </c>
      <c r="F1170" s="1" t="str">
        <f>IFERROR(__xludf.DUMMYFUNCTION("""COMPUTED_VALUE"""),"3 - 5")</f>
        <v>3 - 5</v>
      </c>
      <c r="G1170" s="1" t="str">
        <f>IFERROR(__xludf.DUMMYFUNCTION("""COMPUTED_VALUE"""),"Marlborough, MA")</f>
        <v>Marlborough, MA</v>
      </c>
      <c r="H1170" s="4" t="str">
        <f>IFERROR(__xludf.DUMMYFUNCTION("""COMPUTED_VALUE"""),"https://www.linkedin.com/posts/melanie-mccormick-6399a725_hello-linkedin-network-are-you-passionate-activity-7226926483523485696-k17J?utm_source=share&amp;utm_medium=member_desktop")</f>
        <v>https://www.linkedin.com/posts/melanie-mccormick-6399a725_hello-linkedin-network-are-you-passionate-activity-7226926483523485696-k17J?utm_source=share&amp;utm_medium=member_desktop</v>
      </c>
    </row>
    <row r="1171">
      <c r="A1171" s="2">
        <f>IFERROR(__xludf.DUMMYFUNCTION("""COMPUTED_VALUE"""),45511.0)</f>
        <v>45511</v>
      </c>
      <c r="B1171" s="1" t="str">
        <f>IFERROR(__xludf.DUMMYFUNCTION("""COMPUTED_VALUE"""),"Boston Scientific")</f>
        <v>Boston Scientific</v>
      </c>
      <c r="C1171" s="1" t="str">
        <f>IFERROR(__xludf.DUMMYFUNCTION("""COMPUTED_VALUE"""),"Senior Business Intelligence Analyst, Finance")</f>
        <v>Senior Business Intelligence Analyst, Finance</v>
      </c>
      <c r="D1171" s="1" t="str">
        <f>IFERROR(__xludf.DUMMYFUNCTION("""COMPUTED_VALUE"""),"Hybrid")</f>
        <v>Hybrid</v>
      </c>
      <c r="E1171" s="1" t="str">
        <f>IFERROR(__xludf.DUMMYFUNCTION("""COMPUTED_VALUE"""),"N/A")</f>
        <v>N/A</v>
      </c>
      <c r="F1171" s="1" t="str">
        <f>IFERROR(__xludf.DUMMYFUNCTION("""COMPUTED_VALUE"""),"6 - 9")</f>
        <v>6 - 9</v>
      </c>
      <c r="G1171" s="1" t="str">
        <f>IFERROR(__xludf.DUMMYFUNCTION("""COMPUTED_VALUE"""),"Marlborough, MA")</f>
        <v>Marlborough, MA</v>
      </c>
      <c r="H1171" s="4" t="str">
        <f>IFERROR(__xludf.DUMMYFUNCTION("""COMPUTED_VALUE"""),"https://www.linkedin.com/posts/melanie-mccormick-6399a725_hello-linkedin-network-are-you-passionate-activity-7226926483523485696-k17J?utm_source=share&amp;utm_medium=member_desktop")</f>
        <v>https://www.linkedin.com/posts/melanie-mccormick-6399a725_hello-linkedin-network-are-you-passionate-activity-7226926483523485696-k17J?utm_source=share&amp;utm_medium=member_desktop</v>
      </c>
    </row>
    <row r="1172">
      <c r="A1172" s="2">
        <f>IFERROR(__xludf.DUMMYFUNCTION("""COMPUTED_VALUE"""),45511.0)</f>
        <v>45511</v>
      </c>
      <c r="B1172" s="1" t="str">
        <f>IFERROR(__xludf.DUMMYFUNCTION("""COMPUTED_VALUE"""),"CostQuest Associates")</f>
        <v>CostQuest Associates</v>
      </c>
      <c r="C1172" s="1" t="str">
        <f>IFERROR(__xludf.DUMMYFUNCTION("""COMPUTED_VALUE"""),"Business Analyst, Consulting Services")</f>
        <v>Business Analyst, Consulting Services</v>
      </c>
      <c r="D1172" s="1" t="str">
        <f>IFERROR(__xludf.DUMMYFUNCTION("""COMPUTED_VALUE"""),"Hybrid")</f>
        <v>Hybrid</v>
      </c>
      <c r="E1172" s="1" t="str">
        <f>IFERROR(__xludf.DUMMYFUNCTION("""COMPUTED_VALUE"""),"$65k - $75k")</f>
        <v>$65k - $75k</v>
      </c>
      <c r="F1172" s="1" t="str">
        <f>IFERROR(__xludf.DUMMYFUNCTION("""COMPUTED_VALUE"""),"0 - 2")</f>
        <v>0 - 2</v>
      </c>
      <c r="G1172" s="1" t="str">
        <f>IFERROR(__xludf.DUMMYFUNCTION("""COMPUTED_VALUE"""),"Cincinnati, OH")</f>
        <v>Cincinnati, OH</v>
      </c>
      <c r="H1172" s="4" t="str">
        <f>IFERROR(__xludf.DUMMYFUNCTION("""COMPUTED_VALUE"""),"https://www.linkedin.com/posts/danielle-taylor-a241ba66_were-hiring-a-business-analyst-please-reach-activity-7226926473645805568-zUYE?utm_source=share&amp;utm_medium=member_desktop")</f>
        <v>https://www.linkedin.com/posts/danielle-taylor-a241ba66_were-hiring-a-business-analyst-please-reach-activity-7226926473645805568-zUYE?utm_source=share&amp;utm_medium=member_desktop</v>
      </c>
    </row>
    <row r="1173">
      <c r="A1173" s="2">
        <f>IFERROR(__xludf.DUMMYFUNCTION("""COMPUTED_VALUE"""),45511.0)</f>
        <v>45511</v>
      </c>
      <c r="B1173" s="1" t="str">
        <f>IFERROR(__xludf.DUMMYFUNCTION("""COMPUTED_VALUE"""),"Anywhere Real Estate Inc.")</f>
        <v>Anywhere Real Estate Inc.</v>
      </c>
      <c r="C1173" s="1" t="str">
        <f>IFERROR(__xludf.DUMMYFUNCTION("""COMPUTED_VALUE"""),"Sr Analyst People Analytics")</f>
        <v>Sr Analyst People Analytics</v>
      </c>
      <c r="D1173" s="1" t="str">
        <f>IFERROR(__xludf.DUMMYFUNCTION("""COMPUTED_VALUE"""),"Remote")</f>
        <v>Remote</v>
      </c>
      <c r="E1173" s="1" t="str">
        <f>IFERROR(__xludf.DUMMYFUNCTION("""COMPUTED_VALUE"""),"$75k - $105k")</f>
        <v>$75k - $105k</v>
      </c>
      <c r="F1173" s="1" t="str">
        <f>IFERROR(__xludf.DUMMYFUNCTION("""COMPUTED_VALUE"""),"3 - 5")</f>
        <v>3 - 5</v>
      </c>
      <c r="G1173" s="1" t="str">
        <f>IFERROR(__xludf.DUMMYFUNCTION("""COMPUTED_VALUE"""),"USA")</f>
        <v>USA</v>
      </c>
      <c r="H1173" s="4" t="str">
        <f>IFERROR(__xludf.DUMMYFUNCTION("""COMPUTED_VALUE"""),"https://www.linkedin.com/posts/derek-haas-4bb69028_sr-analyst-people-analytics-activity-7226936856771203072-QD_a?utm_source=share&amp;utm_medium=member_desktop")</f>
        <v>https://www.linkedin.com/posts/derek-haas-4bb69028_sr-analyst-people-analytics-activity-7226936856771203072-QD_a?utm_source=share&amp;utm_medium=member_desktop</v>
      </c>
    </row>
    <row r="1174">
      <c r="A1174" s="2">
        <f>IFERROR(__xludf.DUMMYFUNCTION("""COMPUTED_VALUE"""),45510.0)</f>
        <v>45510</v>
      </c>
      <c r="B1174" s="1" t="str">
        <f>IFERROR(__xludf.DUMMYFUNCTION("""COMPUTED_VALUE"""),"commercetools")</f>
        <v>commercetools</v>
      </c>
      <c r="C1174" s="1" t="str">
        <f>IFERROR(__xludf.DUMMYFUNCTION("""COMPUTED_VALUE"""),"Senior Sales Operations Analyst")</f>
        <v>Senior Sales Operations Analyst</v>
      </c>
      <c r="D1174" s="1" t="str">
        <f>IFERROR(__xludf.DUMMYFUNCTION("""COMPUTED_VALUE"""),"Remote")</f>
        <v>Remote</v>
      </c>
      <c r="E1174" s="1" t="str">
        <f>IFERROR(__xludf.DUMMYFUNCTION("""COMPUTED_VALUE"""),"$125k - $150k")</f>
        <v>$125k - $150k</v>
      </c>
      <c r="F1174" s="1" t="str">
        <f>IFERROR(__xludf.DUMMYFUNCTION("""COMPUTED_VALUE"""),"3 - 5")</f>
        <v>3 - 5</v>
      </c>
      <c r="G1174" s="1" t="str">
        <f>IFERROR(__xludf.DUMMYFUNCTION("""COMPUTED_VALUE"""),"Boston, MA")</f>
        <v>Boston, MA</v>
      </c>
      <c r="H1174" s="4" t="str">
        <f>IFERROR(__xludf.DUMMYFUNCTION("""COMPUTED_VALUE"""),"https://www.linkedin.com/posts/anukrishnakumar_im-on-the-lookout-for-a-sales-operations-ugcPost-7226685397089554433-dUV9?utm_source=share&amp;utm_medium=member_desktop")</f>
        <v>https://www.linkedin.com/posts/anukrishnakumar_im-on-the-lookout-for-a-sales-operations-ugcPost-7226685397089554433-dUV9?utm_source=share&amp;utm_medium=member_desktop</v>
      </c>
    </row>
    <row r="1175">
      <c r="A1175" s="2">
        <f>IFERROR(__xludf.DUMMYFUNCTION("""COMPUTED_VALUE"""),45510.0)</f>
        <v>45510</v>
      </c>
      <c r="B1175" s="1" t="str">
        <f>IFERROR(__xludf.DUMMYFUNCTION("""COMPUTED_VALUE"""),"HealthEquity")</f>
        <v>HealthEquity</v>
      </c>
      <c r="C1175" s="1" t="str">
        <f>IFERROR(__xludf.DUMMYFUNCTION("""COMPUTED_VALUE"""),"Sr Data Platform Business Analyst")</f>
        <v>Sr Data Platform Business Analyst</v>
      </c>
      <c r="D1175" s="1" t="str">
        <f>IFERROR(__xludf.DUMMYFUNCTION("""COMPUTED_VALUE"""),"Remote")</f>
        <v>Remote</v>
      </c>
      <c r="E1175" s="1" t="str">
        <f>IFERROR(__xludf.DUMMYFUNCTION("""COMPUTED_VALUE"""),"$84k - $125k")</f>
        <v>$84k - $125k</v>
      </c>
      <c r="F1175" s="1" t="str">
        <f>IFERROR(__xludf.DUMMYFUNCTION("""COMPUTED_VALUE"""),"3 - 5")</f>
        <v>3 - 5</v>
      </c>
      <c r="G1175" s="1" t="str">
        <f>IFERROR(__xludf.DUMMYFUNCTION("""COMPUTED_VALUE"""),"USA")</f>
        <v>USA</v>
      </c>
      <c r="H1175" s="4" t="str">
        <f>IFERROR(__xludf.DUMMYFUNCTION("""COMPUTED_VALUE"""),"https://www.linkedin.com/posts/sabrina-pickering-91321068_sr-data-platform-business-analyst-in-remote-activity-7226717081390440448-Dw7s?utm_source=share&amp;utm_medium=member_desktop")</f>
        <v>https://www.linkedin.com/posts/sabrina-pickering-91321068_sr-data-platform-business-analyst-in-remote-activity-7226717081390440448-Dw7s?utm_source=share&amp;utm_medium=member_desktop</v>
      </c>
    </row>
    <row r="1176">
      <c r="A1176" s="2">
        <f>IFERROR(__xludf.DUMMYFUNCTION("""COMPUTED_VALUE"""),45510.0)</f>
        <v>45510</v>
      </c>
      <c r="B1176" s="1" t="str">
        <f>IFERROR(__xludf.DUMMYFUNCTION("""COMPUTED_VALUE"""),"Magnite")</f>
        <v>Magnite</v>
      </c>
      <c r="C1176" s="1" t="str">
        <f>IFERROR(__xludf.DUMMYFUNCTION("""COMPUTED_VALUE"""),"Senior Analyst, Business Intelligence")</f>
        <v>Senior Analyst, Business Intelligence</v>
      </c>
      <c r="D1176" s="1" t="str">
        <f>IFERROR(__xludf.DUMMYFUNCTION("""COMPUTED_VALUE"""),"Hybrid")</f>
        <v>Hybrid</v>
      </c>
      <c r="E1176" s="1" t="str">
        <f>IFERROR(__xludf.DUMMYFUNCTION("""COMPUTED_VALUE"""),"$100k - $112k")</f>
        <v>$100k - $112k</v>
      </c>
      <c r="F1176" s="1" t="str">
        <f>IFERROR(__xludf.DUMMYFUNCTION("""COMPUTED_VALUE"""),"3 - 5")</f>
        <v>3 - 5</v>
      </c>
      <c r="G1176" s="1" t="str">
        <f>IFERROR(__xludf.DUMMYFUNCTION("""COMPUTED_VALUE"""),"New York, NY")</f>
        <v>New York, NY</v>
      </c>
      <c r="H1176" s="4" t="str">
        <f>IFERROR(__xludf.DUMMYFUNCTION("""COMPUTED_VALUE"""),"https://www.linkedin.com/posts/lindsey-acheson-46b09a5_im-looking-for-a-hungry-math-loving-data-curious-activity-7226315348260646912-r3Kg?utm_source=share&amp;utm_medium=member_desktop")</f>
        <v>https://www.linkedin.com/posts/lindsey-acheson-46b09a5_im-looking-for-a-hungry-math-loving-data-curious-activity-7226315348260646912-r3Kg?utm_source=share&amp;utm_medium=member_desktop</v>
      </c>
    </row>
    <row r="1177">
      <c r="A1177" s="2">
        <f>IFERROR(__xludf.DUMMYFUNCTION("""COMPUTED_VALUE"""),45510.0)</f>
        <v>45510</v>
      </c>
      <c r="B1177" s="1" t="str">
        <f>IFERROR(__xludf.DUMMYFUNCTION("""COMPUTED_VALUE"""),"H.W. Kaufman Group")</f>
        <v>H.W. Kaufman Group</v>
      </c>
      <c r="C1177" s="1" t="str">
        <f>IFERROR(__xludf.DUMMYFUNCTION("""COMPUTED_VALUE"""),"Senior Technical Data Analyst")</f>
        <v>Senior Technical Data Analyst</v>
      </c>
      <c r="D1177" s="1" t="str">
        <f>IFERROR(__xludf.DUMMYFUNCTION("""COMPUTED_VALUE"""),"Remote")</f>
        <v>Remote</v>
      </c>
      <c r="E1177" s="1" t="str">
        <f>IFERROR(__xludf.DUMMYFUNCTION("""COMPUTED_VALUE"""),"N/A")</f>
        <v>N/A</v>
      </c>
      <c r="F1177" s="1" t="str">
        <f>IFERROR(__xludf.DUMMYFUNCTION("""COMPUTED_VALUE"""),"6 - 9")</f>
        <v>6 - 9</v>
      </c>
      <c r="G1177" s="1" t="str">
        <f>IFERROR(__xludf.DUMMYFUNCTION("""COMPUTED_VALUE"""),"USA")</f>
        <v>USA</v>
      </c>
      <c r="H1177" s="4" t="str">
        <f>IFERROR(__xludf.DUMMYFUNCTION("""COMPUTED_VALUE"""),"https://www.linkedin.com/posts/mgrace123_looking-for-talented-senior-technical-data-activity-7226234740511498241-3KLQ?utm_source=share&amp;utm_medium=member_desktop")</f>
        <v>https://www.linkedin.com/posts/mgrace123_looking-for-talented-senior-technical-data-activity-7226234740511498241-3KLQ?utm_source=share&amp;utm_medium=member_desktop</v>
      </c>
    </row>
    <row r="1178">
      <c r="A1178" s="2">
        <f>IFERROR(__xludf.DUMMYFUNCTION("""COMPUTED_VALUE"""),45510.0)</f>
        <v>45510</v>
      </c>
      <c r="B1178" s="1" t="str">
        <f>IFERROR(__xludf.DUMMYFUNCTION("""COMPUTED_VALUE"""),"Petco")</f>
        <v>Petco</v>
      </c>
      <c r="C1178" s="1" t="str">
        <f>IFERROR(__xludf.DUMMYFUNCTION("""COMPUTED_VALUE"""),"Senior Financial Analyst")</f>
        <v>Senior Financial Analyst</v>
      </c>
      <c r="D1178" s="1" t="str">
        <f>IFERROR(__xludf.DUMMYFUNCTION("""COMPUTED_VALUE"""),"On-Site")</f>
        <v>On-Site</v>
      </c>
      <c r="E1178" s="1" t="str">
        <f>IFERROR(__xludf.DUMMYFUNCTION("""COMPUTED_VALUE"""),"$87k - $130k")</f>
        <v>$87k - $130k</v>
      </c>
      <c r="F1178" s="1" t="str">
        <f>IFERROR(__xludf.DUMMYFUNCTION("""COMPUTED_VALUE"""),"6 - 9")</f>
        <v>6 - 9</v>
      </c>
      <c r="G1178" s="1" t="str">
        <f>IFERROR(__xludf.DUMMYFUNCTION("""COMPUTED_VALUE"""),"San Diego, CA")</f>
        <v>San Diego, CA</v>
      </c>
      <c r="H1178" s="4" t="str">
        <f>IFERROR(__xludf.DUMMYFUNCTION("""COMPUTED_VALUE"""),"https://www.linkedin.com/posts/miguelgtz_hiring-ugcPost-7226376743891206144-i5yz?utm_source=share&amp;utm_medium=member_desktop")</f>
        <v>https://www.linkedin.com/posts/miguelgtz_hiring-ugcPost-7226376743891206144-i5yz?utm_source=share&amp;utm_medium=member_desktop</v>
      </c>
    </row>
    <row r="1179">
      <c r="A1179" s="2">
        <f>IFERROR(__xludf.DUMMYFUNCTION("""COMPUTED_VALUE"""),45510.0)</f>
        <v>45510</v>
      </c>
      <c r="B1179" s="1" t="str">
        <f>IFERROR(__xludf.DUMMYFUNCTION("""COMPUTED_VALUE"""),"The Intersect Group")</f>
        <v>The Intersect Group</v>
      </c>
      <c r="C1179" s="1" t="str">
        <f>IFERROR(__xludf.DUMMYFUNCTION("""COMPUTED_VALUE"""),"Financial Analyst")</f>
        <v>Financial Analyst</v>
      </c>
      <c r="D1179" s="1" t="str">
        <f>IFERROR(__xludf.DUMMYFUNCTION("""COMPUTED_VALUE"""),"Hybrid")</f>
        <v>Hybrid</v>
      </c>
      <c r="E1179" s="1" t="str">
        <f>IFERROR(__xludf.DUMMYFUNCTION("""COMPUTED_VALUE"""),"$120k")</f>
        <v>$120k</v>
      </c>
      <c r="F1179" s="1" t="str">
        <f>IFERROR(__xludf.DUMMYFUNCTION("""COMPUTED_VALUE"""),"3 - 5")</f>
        <v>3 - 5</v>
      </c>
      <c r="G1179" s="1" t="str">
        <f>IFERROR(__xludf.DUMMYFUNCTION("""COMPUTED_VALUE"""),"Atlanta, GA")</f>
        <v>Atlanta, GA</v>
      </c>
      <c r="H1179" s="4" t="str">
        <f>IFERROR(__xludf.DUMMYFUNCTION("""COMPUTED_VALUE"""),"https://www.linkedin.com/posts/kinley-bays_jobopportunity-financialanalyst-atlantajobs-activity-7226318270012805120-mqRq?utm_source=share&amp;utm_medium=member_desktop")</f>
        <v>https://www.linkedin.com/posts/kinley-bays_jobopportunity-financialanalyst-atlantajobs-activity-7226318270012805120-mqRq?utm_source=share&amp;utm_medium=member_desktop</v>
      </c>
    </row>
    <row r="1180">
      <c r="A1180" s="2">
        <f>IFERROR(__xludf.DUMMYFUNCTION("""COMPUTED_VALUE"""),45510.0)</f>
        <v>45510</v>
      </c>
      <c r="B1180" s="1" t="str">
        <f>IFERROR(__xludf.DUMMYFUNCTION("""COMPUTED_VALUE"""),"Quantum Health")</f>
        <v>Quantum Health</v>
      </c>
      <c r="C1180" s="1" t="str">
        <f>IFERROR(__xludf.DUMMYFUNCTION("""COMPUTED_VALUE"""),"Sr. Financial Analyst")</f>
        <v>Sr. Financial Analyst</v>
      </c>
      <c r="D1180" s="1" t="str">
        <f>IFERROR(__xludf.DUMMYFUNCTION("""COMPUTED_VALUE"""),"Hybrid")</f>
        <v>Hybrid</v>
      </c>
      <c r="E1180" s="1" t="str">
        <f>IFERROR(__xludf.DUMMYFUNCTION("""COMPUTED_VALUE"""),"N/A")</f>
        <v>N/A</v>
      </c>
      <c r="F1180" s="1" t="str">
        <f>IFERROR(__xludf.DUMMYFUNCTION("""COMPUTED_VALUE"""),"3 - 5")</f>
        <v>3 - 5</v>
      </c>
      <c r="G1180" s="1" t="str">
        <f>IFERROR(__xludf.DUMMYFUNCTION("""COMPUTED_VALUE"""),"Dublin, OH")</f>
        <v>Dublin, OH</v>
      </c>
      <c r="H1180" s="4" t="str">
        <f>IFERROR(__xludf.DUMMYFUNCTION("""COMPUTED_VALUE"""),"https://www.linkedin.com/posts/kendell-whitington-74a6627_sr-financial-analyst-activity-7226323929714319360-Ja13?utm_source=share&amp;utm_medium=member_desktop")</f>
        <v>https://www.linkedin.com/posts/kendell-whitington-74a6627_sr-financial-analyst-activity-7226323929714319360-Ja13?utm_source=share&amp;utm_medium=member_desktop</v>
      </c>
    </row>
    <row r="1181">
      <c r="A1181" s="2">
        <f>IFERROR(__xludf.DUMMYFUNCTION("""COMPUTED_VALUE"""),45510.0)</f>
        <v>45510</v>
      </c>
      <c r="B1181" s="1" t="str">
        <f>IFERROR(__xludf.DUMMYFUNCTION("""COMPUTED_VALUE"""),"The North Face")</f>
        <v>The North Face</v>
      </c>
      <c r="C1181" s="1" t="str">
        <f>IFERROR(__xludf.DUMMYFUNCTION("""COMPUTED_VALUE"""),"Senior Analyst, Merchandise Analytics (Global TNF)")</f>
        <v>Senior Analyst, Merchandise Analytics (Global TNF)</v>
      </c>
      <c r="D1181" s="1" t="str">
        <f>IFERROR(__xludf.DUMMYFUNCTION("""COMPUTED_VALUE"""),"Hybrid")</f>
        <v>Hybrid</v>
      </c>
      <c r="E1181" s="1" t="str">
        <f>IFERROR(__xludf.DUMMYFUNCTION("""COMPUTED_VALUE"""),"$73k - $92k")</f>
        <v>$73k - $92k</v>
      </c>
      <c r="F1181" s="1" t="str">
        <f>IFERROR(__xludf.DUMMYFUNCTION("""COMPUTED_VALUE"""),"3 - 5")</f>
        <v>3 - 5</v>
      </c>
      <c r="G1181" s="1" t="str">
        <f>IFERROR(__xludf.DUMMYFUNCTION("""COMPUTED_VALUE"""),"Denver, CO")</f>
        <v>Denver, CO</v>
      </c>
      <c r="H1181" s="4" t="str">
        <f>IFERROR(__xludf.DUMMYFUNCTION("""COMPUTED_VALUE"""),"https://www.linkedin.com/posts/wade-honeyfield-769b066_my-team-is-hiring-looking-for-a-sr-analyst-activity-7226247037195837442-MWqg?utm_source=share&amp;utm_medium=member_desktop")</f>
        <v>https://www.linkedin.com/posts/wade-honeyfield-769b066_my-team-is-hiring-looking-for-a-sr-analyst-activity-7226247037195837442-MWqg?utm_source=share&amp;utm_medium=member_desktop</v>
      </c>
    </row>
    <row r="1182">
      <c r="A1182" s="2">
        <f>IFERROR(__xludf.DUMMYFUNCTION("""COMPUTED_VALUE"""),45510.0)</f>
        <v>45510</v>
      </c>
      <c r="B1182" s="1" t="str">
        <f>IFERROR(__xludf.DUMMYFUNCTION("""COMPUTED_VALUE"""),"Hyster-Yale Materials Handling")</f>
        <v>Hyster-Yale Materials Handling</v>
      </c>
      <c r="C1182" s="1" t="str">
        <f>IFERROR(__xludf.DUMMYFUNCTION("""COMPUTED_VALUE"""),"Compensation Analyst")</f>
        <v>Compensation Analyst</v>
      </c>
      <c r="D1182" s="1" t="str">
        <f>IFERROR(__xludf.DUMMYFUNCTION("""COMPUTED_VALUE"""),"Hybrid")</f>
        <v>Hybrid</v>
      </c>
      <c r="E1182" s="1" t="str">
        <f>IFERROR(__xludf.DUMMYFUNCTION("""COMPUTED_VALUE"""),"N/A")</f>
        <v>N/A</v>
      </c>
      <c r="F1182" s="1" t="str">
        <f>IFERROR(__xludf.DUMMYFUNCTION("""COMPUTED_VALUE"""),"3 - 5")</f>
        <v>3 - 5</v>
      </c>
      <c r="G1182" s="1" t="str">
        <f>IFERROR(__xludf.DUMMYFUNCTION("""COMPUTED_VALUE"""),"Greenville, NC")</f>
        <v>Greenville, NC</v>
      </c>
      <c r="H1182" s="4" t="str">
        <f>IFERROR(__xludf.DUMMYFUNCTION("""COMPUTED_VALUE"""),"https://www.linkedin.com/posts/tekedlia-everett-195b1368_here-we-grow-again-we-have-an-opening-for-activity-7226381817161879553-o4XH?utm_source=share&amp;utm_medium=member_desktop")</f>
        <v>https://www.linkedin.com/posts/tekedlia-everett-195b1368_here-we-grow-again-we-have-an-opening-for-activity-7226381817161879553-o4XH?utm_source=share&amp;utm_medium=member_desktop</v>
      </c>
    </row>
    <row r="1183">
      <c r="A1183" s="2">
        <f>IFERROR(__xludf.DUMMYFUNCTION("""COMPUTED_VALUE"""),45510.0)</f>
        <v>45510</v>
      </c>
      <c r="B1183" s="1" t="str">
        <f>IFERROR(__xludf.DUMMYFUNCTION("""COMPUTED_VALUE"""),"Amgen")</f>
        <v>Amgen</v>
      </c>
      <c r="C1183" s="1" t="str">
        <f>IFERROR(__xludf.DUMMYFUNCTION("""COMPUTED_VALUE"""),"Digital Product Analyst")</f>
        <v>Digital Product Analyst</v>
      </c>
      <c r="D1183" s="1" t="str">
        <f>IFERROR(__xludf.DUMMYFUNCTION("""COMPUTED_VALUE"""),"Remote")</f>
        <v>Remote</v>
      </c>
      <c r="E1183" s="1" t="str">
        <f>IFERROR(__xludf.DUMMYFUNCTION("""COMPUTED_VALUE"""),"$84k - $101k")</f>
        <v>$84k - $101k</v>
      </c>
      <c r="F1183" s="1" t="str">
        <f>IFERROR(__xludf.DUMMYFUNCTION("""COMPUTED_VALUE"""),"0 - 2")</f>
        <v>0 - 2</v>
      </c>
      <c r="G1183" s="1" t="str">
        <f>IFERROR(__xludf.DUMMYFUNCTION("""COMPUTED_VALUE"""),"USA")</f>
        <v>USA</v>
      </c>
      <c r="H1183" s="4" t="str">
        <f>IFERROR(__xludf.DUMMYFUNCTION("""COMPUTED_VALUE"""),"https://www.linkedin.com/posts/activity-7226335636788592640-GPAx?utm_source=share&amp;utm_medium=member_desktop")</f>
        <v>https://www.linkedin.com/posts/activity-7226335636788592640-GPAx?utm_source=share&amp;utm_medium=member_desktop</v>
      </c>
    </row>
    <row r="1184">
      <c r="A1184" s="2">
        <f>IFERROR(__xludf.DUMMYFUNCTION("""COMPUTED_VALUE"""),45510.0)</f>
        <v>45510</v>
      </c>
      <c r="B1184" s="1" t="str">
        <f>IFERROR(__xludf.DUMMYFUNCTION("""COMPUTED_VALUE"""),"Nirvana Insurance")</f>
        <v>Nirvana Insurance</v>
      </c>
      <c r="C1184" s="1" t="str">
        <f>IFERROR(__xludf.DUMMYFUNCTION("""COMPUTED_VALUE"""),"Senior Compliance Analyst")</f>
        <v>Senior Compliance Analyst</v>
      </c>
      <c r="D1184" s="1" t="str">
        <f>IFERROR(__xludf.DUMMYFUNCTION("""COMPUTED_VALUE"""),"Remote")</f>
        <v>Remote</v>
      </c>
      <c r="E1184" s="1" t="str">
        <f>IFERROR(__xludf.DUMMYFUNCTION("""COMPUTED_VALUE"""),"N/A")</f>
        <v>N/A</v>
      </c>
      <c r="F1184" s="1" t="str">
        <f>IFERROR(__xludf.DUMMYFUNCTION("""COMPUTED_VALUE"""),"3 - 5")</f>
        <v>3 - 5</v>
      </c>
      <c r="G1184" s="1" t="str">
        <f>IFERROR(__xludf.DUMMYFUNCTION("""COMPUTED_VALUE"""),"USA")</f>
        <v>USA</v>
      </c>
      <c r="H1184" s="4" t="str">
        <f>IFERROR(__xludf.DUMMYFUNCTION("""COMPUTED_VALUE"""),"https://www.linkedin.com/posts/activity-7226294357677477889-JiKZ?utm_source=share&amp;utm_medium=member_desktop")</f>
        <v>https://www.linkedin.com/posts/activity-7226294357677477889-JiKZ?utm_source=share&amp;utm_medium=member_desktop</v>
      </c>
    </row>
    <row r="1185">
      <c r="A1185" s="2">
        <f>IFERROR(__xludf.DUMMYFUNCTION("""COMPUTED_VALUE"""),45510.0)</f>
        <v>45510</v>
      </c>
      <c r="B1185" s="1" t="str">
        <f>IFERROR(__xludf.DUMMYFUNCTION("""COMPUTED_VALUE"""),"Golden Hippo")</f>
        <v>Golden Hippo</v>
      </c>
      <c r="C1185" s="1" t="str">
        <f>IFERROR(__xludf.DUMMYFUNCTION("""COMPUTED_VALUE"""),"Financial Planning &amp; Analysis Analyst")</f>
        <v>Financial Planning &amp; Analysis Analyst</v>
      </c>
      <c r="D1185" s="1" t="str">
        <f>IFERROR(__xludf.DUMMYFUNCTION("""COMPUTED_VALUE"""),"Hybrid")</f>
        <v>Hybrid</v>
      </c>
      <c r="E1185" s="1" t="str">
        <f>IFERROR(__xludf.DUMMYFUNCTION("""COMPUTED_VALUE"""),"$61k - $85k")</f>
        <v>$61k - $85k</v>
      </c>
      <c r="F1185" s="1" t="str">
        <f>IFERROR(__xludf.DUMMYFUNCTION("""COMPUTED_VALUE"""),"3 - 5")</f>
        <v>3 - 5</v>
      </c>
      <c r="G1185" s="1" t="str">
        <f>IFERROR(__xludf.DUMMYFUNCTION("""COMPUTED_VALUE"""),"Woodland Hills, CA")</f>
        <v>Woodland Hills, CA</v>
      </c>
      <c r="H1185" s="4" t="str">
        <f>IFERROR(__xludf.DUMMYFUNCTION("""COMPUTED_VALUE"""),"https://www.linkedin.com/posts/romarico-perez_financial-planning-analysis-analyst-activity-7226202792195952640-Lupd?utm_source=share&amp;utm_medium=member_desktop")</f>
        <v>https://www.linkedin.com/posts/romarico-perez_financial-planning-analysis-analyst-activity-7226202792195952640-Lupd?utm_source=share&amp;utm_medium=member_desktop</v>
      </c>
    </row>
    <row r="1186">
      <c r="A1186" s="2">
        <f>IFERROR(__xludf.DUMMYFUNCTION("""COMPUTED_VALUE"""),45510.0)</f>
        <v>45510</v>
      </c>
      <c r="B1186" s="1" t="str">
        <f>IFERROR(__xludf.DUMMYFUNCTION("""COMPUTED_VALUE"""),"First Citizens Bank")</f>
        <v>First Citizens Bank</v>
      </c>
      <c r="C1186" s="1" t="str">
        <f>IFERROR(__xludf.DUMMYFUNCTION("""COMPUTED_VALUE"""),"Portfolio Analyst")</f>
        <v>Portfolio Analyst</v>
      </c>
      <c r="D1186" s="1" t="str">
        <f>IFERROR(__xludf.DUMMYFUNCTION("""COMPUTED_VALUE"""),"Remote")</f>
        <v>Remote</v>
      </c>
      <c r="E1186" s="1" t="str">
        <f>IFERROR(__xludf.DUMMYFUNCTION("""COMPUTED_VALUE"""),"N/A")</f>
        <v>N/A</v>
      </c>
      <c r="F1186" s="1" t="str">
        <f>IFERROR(__xludf.DUMMYFUNCTION("""COMPUTED_VALUE"""),"3 - 5")</f>
        <v>3 - 5</v>
      </c>
      <c r="G1186" s="1" t="str">
        <f>IFERROR(__xludf.DUMMYFUNCTION("""COMPUTED_VALUE"""),"Certain Locations")</f>
        <v>Certain Locations</v>
      </c>
      <c r="H1186" s="4" t="str">
        <f>IFERROR(__xludf.DUMMYFUNCTION("""COMPUTED_VALUE"""),"https://www.linkedin.com/posts/activity-7226324791794774016--MT8?utm_source=share&amp;utm_medium=member_desktop")</f>
        <v>https://www.linkedin.com/posts/activity-7226324791794774016--MT8?utm_source=share&amp;utm_medium=member_desktop</v>
      </c>
    </row>
    <row r="1187">
      <c r="A1187" s="2">
        <f>IFERROR(__xludf.DUMMYFUNCTION("""COMPUTED_VALUE"""),45510.0)</f>
        <v>45510</v>
      </c>
      <c r="B1187" s="1" t="str">
        <f>IFERROR(__xludf.DUMMYFUNCTION("""COMPUTED_VALUE"""),"EVgo")</f>
        <v>EVgo</v>
      </c>
      <c r="C1187" s="1" t="str">
        <f>IFERROR(__xludf.DUMMYFUNCTION("""COMPUTED_VALUE"""),"Senior Analyst, Business Intelligence")</f>
        <v>Senior Analyst, Business Intelligence</v>
      </c>
      <c r="D1187" s="1" t="str">
        <f>IFERROR(__xludf.DUMMYFUNCTION("""COMPUTED_VALUE"""),"Remote")</f>
        <v>Remote</v>
      </c>
      <c r="E1187" s="1" t="str">
        <f>IFERROR(__xludf.DUMMYFUNCTION("""COMPUTED_VALUE"""),"$130k - $160k")</f>
        <v>$130k - $160k</v>
      </c>
      <c r="F1187" s="1" t="str">
        <f>IFERROR(__xludf.DUMMYFUNCTION("""COMPUTED_VALUE"""),"3 - 5")</f>
        <v>3 - 5</v>
      </c>
      <c r="G1187" s="1" t="str">
        <f>IFERROR(__xludf.DUMMYFUNCTION("""COMPUTED_VALUE"""),"USA")</f>
        <v>USA</v>
      </c>
      <c r="H1187" s="4" t="str">
        <f>IFERROR(__xludf.DUMMYFUNCTION("""COMPUTED_VALUE"""),"https://www.linkedin.com/posts/idakim_evgo-is-looking-for-senior-analyst-business-activity-7225911793020194817-SEIU?utm_source=share&amp;utm_medium=member_desktop")</f>
        <v>https://www.linkedin.com/posts/idakim_evgo-is-looking-for-senior-analyst-business-activity-7225911793020194817-SEIU?utm_source=share&amp;utm_medium=member_desktop</v>
      </c>
    </row>
    <row r="1188">
      <c r="A1188" s="2">
        <f>IFERROR(__xludf.DUMMYFUNCTION("""COMPUTED_VALUE"""),45510.0)</f>
        <v>45510</v>
      </c>
      <c r="B1188" s="1" t="str">
        <f>IFERROR(__xludf.DUMMYFUNCTION("""COMPUTED_VALUE"""),"AlphaSense")</f>
        <v>AlphaSense</v>
      </c>
      <c r="C1188" s="1" t="str">
        <f>IFERROR(__xludf.DUMMYFUNCTION("""COMPUTED_VALUE"""),"Product Analyst, Broker Research")</f>
        <v>Product Analyst, Broker Research</v>
      </c>
      <c r="D1188" s="1" t="str">
        <f>IFERROR(__xludf.DUMMYFUNCTION("""COMPUTED_VALUE"""),"Remote")</f>
        <v>Remote</v>
      </c>
      <c r="E1188" s="1" t="str">
        <f>IFERROR(__xludf.DUMMYFUNCTION("""COMPUTED_VALUE"""),"$85k - $105k")</f>
        <v>$85k - $105k</v>
      </c>
      <c r="F1188" s="1" t="str">
        <f>IFERROR(__xludf.DUMMYFUNCTION("""COMPUTED_VALUE"""),"3 - 5")</f>
        <v>3 - 5</v>
      </c>
      <c r="G1188" s="1" t="str">
        <f>IFERROR(__xludf.DUMMYFUNCTION("""COMPUTED_VALUE"""),"New York, NY")</f>
        <v>New York, NY</v>
      </c>
      <c r="H1188" s="4" t="str">
        <f>IFERROR(__xludf.DUMMYFUNCTION("""COMPUTED_VALUE"""),"https://www.linkedin.com/posts/cleewilliams_product-analyst-broker-research-activity-7225203912784388096-zKwF?utm_source=share&amp;utm_medium=member_desktop")</f>
        <v>https://www.linkedin.com/posts/cleewilliams_product-analyst-broker-research-activity-7225203912784388096-zKwF?utm_source=share&amp;utm_medium=member_desktop</v>
      </c>
    </row>
    <row r="1189">
      <c r="A1189" s="2">
        <f>IFERROR(__xludf.DUMMYFUNCTION("""COMPUTED_VALUE"""),45510.0)</f>
        <v>45510</v>
      </c>
      <c r="B1189" s="1" t="str">
        <f>IFERROR(__xludf.DUMMYFUNCTION("""COMPUTED_VALUE"""),"LA Care")</f>
        <v>LA Care</v>
      </c>
      <c r="C1189" s="1" t="str">
        <f>IFERROR(__xludf.DUMMYFUNCTION("""COMPUTED_VALUE"""),"Revenue Financial Analyst III")</f>
        <v>Revenue Financial Analyst III</v>
      </c>
      <c r="D1189" s="1" t="str">
        <f>IFERROR(__xludf.DUMMYFUNCTION("""COMPUTED_VALUE"""),"Hybrid")</f>
        <v>Hybrid</v>
      </c>
      <c r="E1189" s="1" t="str">
        <f>IFERROR(__xludf.DUMMYFUNCTION("""COMPUTED_VALUE"""),"$89k - $142k")</f>
        <v>$89k - $142k</v>
      </c>
      <c r="F1189" s="1" t="str">
        <f>IFERROR(__xludf.DUMMYFUNCTION("""COMPUTED_VALUE"""),"3 - 5")</f>
        <v>3 - 5</v>
      </c>
      <c r="G1189" s="1" t="str">
        <f>IFERROR(__xludf.DUMMYFUNCTION("""COMPUTED_VALUE"""),"Los Angeles, CA")</f>
        <v>Los Angeles, CA</v>
      </c>
      <c r="H1189" s="4" t="str">
        <f>IFERROR(__xludf.DUMMYFUNCTION("""COMPUTED_VALUE"""),"https://www.linkedin.com/posts/lourdes-rocha-cir-certified-8b40591a_revenue-financial-analyst-iii-in-los-angeles-activity-7226321811238445057-_HGN?utm_source=share&amp;utm_medium=member_desktop")</f>
        <v>https://www.linkedin.com/posts/lourdes-rocha-cir-certified-8b40591a_revenue-financial-analyst-iii-in-los-angeles-activity-7226321811238445057-_HGN?utm_source=share&amp;utm_medium=member_desktop</v>
      </c>
    </row>
    <row r="1190">
      <c r="A1190" s="2">
        <f>IFERROR(__xludf.DUMMYFUNCTION("""COMPUTED_VALUE"""),45510.0)</f>
        <v>45510</v>
      </c>
      <c r="B1190" s="1" t="str">
        <f>IFERROR(__xludf.DUMMYFUNCTION("""COMPUTED_VALUE"""),"Age of Learning ")</f>
        <v>Age of Learning </v>
      </c>
      <c r="C1190" s="1" t="str">
        <f>IFERROR(__xludf.DUMMYFUNCTION("""COMPUTED_VALUE"""),"Product Analyst")</f>
        <v>Product Analyst</v>
      </c>
      <c r="D1190" s="1" t="str">
        <f>IFERROR(__xludf.DUMMYFUNCTION("""COMPUTED_VALUE"""),"Remote")</f>
        <v>Remote</v>
      </c>
      <c r="E1190" s="1" t="str">
        <f>IFERROR(__xludf.DUMMYFUNCTION("""COMPUTED_VALUE"""),"$140k - $170k")</f>
        <v>$140k - $170k</v>
      </c>
      <c r="F1190" s="1" t="str">
        <f>IFERROR(__xludf.DUMMYFUNCTION("""COMPUTED_VALUE"""),"6 - 9")</f>
        <v>6 - 9</v>
      </c>
      <c r="G1190" s="1" t="str">
        <f>IFERROR(__xludf.DUMMYFUNCTION("""COMPUTED_VALUE"""),"USA")</f>
        <v>USA</v>
      </c>
      <c r="H1190" s="4" t="str">
        <f>IFERROR(__xludf.DUMMYFUNCTION("""COMPUTED_VALUE"""),"https://www.linkedin.com/posts/dianahughes_looking-for-a-thought-leader-in-f2p-product-ugcPost-7226397512247517184-QvCE?utm_source=share&amp;utm_medium=member_desktop")</f>
        <v>https://www.linkedin.com/posts/dianahughes_looking-for-a-thought-leader-in-f2p-product-ugcPost-7226397512247517184-QvCE?utm_source=share&amp;utm_medium=member_desktop</v>
      </c>
    </row>
    <row r="1191">
      <c r="A1191" s="2">
        <f>IFERROR(__xludf.DUMMYFUNCTION("""COMPUTED_VALUE"""),45510.0)</f>
        <v>45510</v>
      </c>
      <c r="B1191" s="1" t="str">
        <f>IFERROR(__xludf.DUMMYFUNCTION("""COMPUTED_VALUE"""),"Lowe's")</f>
        <v>Lowe's</v>
      </c>
      <c r="C1191" s="1" t="str">
        <f>IFERROR(__xludf.DUMMYFUNCTION("""COMPUTED_VALUE"""),"Customer Insights Sr Analyst")</f>
        <v>Customer Insights Sr Analyst</v>
      </c>
      <c r="D1191" s="1" t="str">
        <f>IFERROR(__xludf.DUMMYFUNCTION("""COMPUTED_VALUE"""),"Hybrid")</f>
        <v>Hybrid</v>
      </c>
      <c r="E1191" s="1" t="str">
        <f>IFERROR(__xludf.DUMMYFUNCTION("""COMPUTED_VALUE"""),"N/A")</f>
        <v>N/A</v>
      </c>
      <c r="F1191" s="1" t="str">
        <f>IFERROR(__xludf.DUMMYFUNCTION("""COMPUTED_VALUE"""),"3 - 5")</f>
        <v>3 - 5</v>
      </c>
      <c r="G1191" s="1" t="str">
        <f>IFERROR(__xludf.DUMMYFUNCTION("""COMPUTED_VALUE"""),"Mooresville, NC")</f>
        <v>Mooresville, NC</v>
      </c>
      <c r="H1191" s="4" t="str">
        <f>IFERROR(__xludf.DUMMYFUNCTION("""COMPUTED_VALUE"""),"https://www.linkedin.com/posts/daniellebrandon_customer-insights-sr-analyst-in-mooresville-activity-7226297855982907393-hL5i?utm_source=share&amp;utm_medium=member_desktop")</f>
        <v>https://www.linkedin.com/posts/daniellebrandon_customer-insights-sr-analyst-in-mooresville-activity-7226297855982907393-hL5i?utm_source=share&amp;utm_medium=member_desktop</v>
      </c>
    </row>
    <row r="1192">
      <c r="A1192" s="2">
        <f>IFERROR(__xludf.DUMMYFUNCTION("""COMPUTED_VALUE"""),45510.0)</f>
        <v>45510</v>
      </c>
      <c r="B1192" s="1" t="str">
        <f>IFERROR(__xludf.DUMMYFUNCTION("""COMPUTED_VALUE"""),"Federal Reserve Bank of Dallas")</f>
        <v>Federal Reserve Bank of Dallas</v>
      </c>
      <c r="C1192" s="1" t="str">
        <f>IFERROR(__xludf.DUMMYFUNCTION("""COMPUTED_VALUE"""),"Credit Risk Analyst")</f>
        <v>Credit Risk Analyst</v>
      </c>
      <c r="D1192" s="1" t="str">
        <f>IFERROR(__xludf.DUMMYFUNCTION("""COMPUTED_VALUE"""),"Hybrid")</f>
        <v>Hybrid</v>
      </c>
      <c r="E1192" s="1" t="str">
        <f>IFERROR(__xludf.DUMMYFUNCTION("""COMPUTED_VALUE"""),"N/A")</f>
        <v>N/A</v>
      </c>
      <c r="F1192" s="1" t="str">
        <f>IFERROR(__xludf.DUMMYFUNCTION("""COMPUTED_VALUE"""),"0 - 2")</f>
        <v>0 - 2</v>
      </c>
      <c r="G1192" s="1" t="str">
        <f>IFERROR(__xludf.DUMMYFUNCTION("""COMPUTED_VALUE"""),"Dallas, TX")</f>
        <v>Dallas, TX</v>
      </c>
      <c r="H1192" s="4" t="str">
        <f>IFERROR(__xludf.DUMMYFUNCTION("""COMPUTED_VALUE"""),"https://www.linkedin.com/posts/juan-marquez-69410a15_we-are-looking-to-hire-an-experienced-credit-activity-7226639260697735168-g69q?utm_source=share&amp;utm_medium=member_desktop")</f>
        <v>https://www.linkedin.com/posts/juan-marquez-69410a15_we-are-looking-to-hire-an-experienced-credit-activity-7226639260697735168-g69q?utm_source=share&amp;utm_medium=member_desktop</v>
      </c>
    </row>
    <row r="1193">
      <c r="A1193" s="2">
        <f>IFERROR(__xludf.DUMMYFUNCTION("""COMPUTED_VALUE"""),45510.0)</f>
        <v>45510</v>
      </c>
      <c r="B1193" s="1" t="str">
        <f>IFERROR(__xludf.DUMMYFUNCTION("""COMPUTED_VALUE"""),"Platform Accounting Group")</f>
        <v>Platform Accounting Group</v>
      </c>
      <c r="C1193" s="1" t="str">
        <f>IFERROR(__xludf.DUMMYFUNCTION("""COMPUTED_VALUE"""),"Senior Financial Analyst")</f>
        <v>Senior Financial Analyst</v>
      </c>
      <c r="D1193" s="1" t="str">
        <f>IFERROR(__xludf.DUMMYFUNCTION("""COMPUTED_VALUE"""),"On-Site")</f>
        <v>On-Site</v>
      </c>
      <c r="E1193" s="1" t="str">
        <f>IFERROR(__xludf.DUMMYFUNCTION("""COMPUTED_VALUE"""),"N/A")</f>
        <v>N/A</v>
      </c>
      <c r="F1193" s="1" t="str">
        <f>IFERROR(__xludf.DUMMYFUNCTION("""COMPUTED_VALUE"""),"3 - 5")</f>
        <v>3 - 5</v>
      </c>
      <c r="G1193" s="1" t="str">
        <f>IFERROR(__xludf.DUMMYFUNCTION("""COMPUTED_VALUE"""),"Holladay, UT")</f>
        <v>Holladay, UT</v>
      </c>
      <c r="H1193" s="4" t="str">
        <f>IFERROR(__xludf.DUMMYFUNCTION("""COMPUTED_VALUE"""),"https://www.linkedin.com/posts/ben-rollins-ut_hiring-activity-7226457354953797633-Gnoc?utm_source=share&amp;utm_medium=member_desktop")</f>
        <v>https://www.linkedin.com/posts/ben-rollins-ut_hiring-activity-7226457354953797633-Gnoc?utm_source=share&amp;utm_medium=member_desktop</v>
      </c>
    </row>
    <row r="1194">
      <c r="A1194" s="2">
        <f>IFERROR(__xludf.DUMMYFUNCTION("""COMPUTED_VALUE"""),45510.0)</f>
        <v>45510</v>
      </c>
      <c r="B1194" s="1" t="str">
        <f>IFERROR(__xludf.DUMMYFUNCTION("""COMPUTED_VALUE"""),"CMI Media Group")</f>
        <v>CMI Media Group</v>
      </c>
      <c r="C1194" s="1" t="str">
        <f>IFERROR(__xludf.DUMMYFUNCTION("""COMPUTED_VALUE"""),"Analyst, Social Intelligence")</f>
        <v>Analyst, Social Intelligence</v>
      </c>
      <c r="D1194" s="1" t="str">
        <f>IFERROR(__xludf.DUMMYFUNCTION("""COMPUTED_VALUE"""),"Hybrid")</f>
        <v>Hybrid</v>
      </c>
      <c r="E1194" s="1" t="str">
        <f>IFERROR(__xludf.DUMMYFUNCTION("""COMPUTED_VALUE"""),"N/A")</f>
        <v>N/A</v>
      </c>
      <c r="F1194" s="1" t="str">
        <f>IFERROR(__xludf.DUMMYFUNCTION("""COMPUTED_VALUE"""),"0 - 2")</f>
        <v>0 - 2</v>
      </c>
      <c r="G1194" s="1" t="str">
        <f>IFERROR(__xludf.DUMMYFUNCTION("""COMPUTED_VALUE"""),"Certain Locations")</f>
        <v>Certain Locations</v>
      </c>
      <c r="H1194" s="4" t="str">
        <f>IFERROR(__xludf.DUMMYFUNCTION("""COMPUTED_VALUE"""),"https://www.linkedin.com/posts/lou-greisiger-72bb368_analyst-social-intelligence-activity-7226544717415489536-i9qG?utm_source=share&amp;utm_medium=member_desktop")</f>
        <v>https://www.linkedin.com/posts/lou-greisiger-72bb368_analyst-social-intelligence-activity-7226544717415489536-i9qG?utm_source=share&amp;utm_medium=member_desktop</v>
      </c>
    </row>
    <row r="1195">
      <c r="A1195" s="2">
        <f>IFERROR(__xludf.DUMMYFUNCTION("""COMPUTED_VALUE"""),45510.0)</f>
        <v>45510</v>
      </c>
      <c r="B1195" s="1" t="str">
        <f>IFERROR(__xludf.DUMMYFUNCTION("""COMPUTED_VALUE"""),"Ford Motor Company")</f>
        <v>Ford Motor Company</v>
      </c>
      <c r="C1195" s="1" t="str">
        <f>IFERROR(__xludf.DUMMYFUNCTION("""COMPUTED_VALUE"""),"Campaign Measurements Analyst")</f>
        <v>Campaign Measurements Analyst</v>
      </c>
      <c r="D1195" s="1" t="str">
        <f>IFERROR(__xludf.DUMMYFUNCTION("""COMPUTED_VALUE"""),"Remote")</f>
        <v>Remote</v>
      </c>
      <c r="E1195" s="1" t="str">
        <f>IFERROR(__xludf.DUMMYFUNCTION("""COMPUTED_VALUE"""),"N/A")</f>
        <v>N/A</v>
      </c>
      <c r="F1195" s="1" t="str">
        <f>IFERROR(__xludf.DUMMYFUNCTION("""COMPUTED_VALUE"""),"3 - 5")</f>
        <v>3 - 5</v>
      </c>
      <c r="G1195" s="1" t="str">
        <f>IFERROR(__xludf.DUMMYFUNCTION("""COMPUTED_VALUE"""),"USA")</f>
        <v>USA</v>
      </c>
      <c r="H1195" s="4" t="str">
        <f>IFERROR(__xludf.DUMMYFUNCTION("""COMPUTED_VALUE"""),"https://www.linkedin.com/posts/molly-seymour-19b57764_join-my-team-i-am-looking-for-a-campaign-activity-7226631694651383809-91nn?utm_source=share&amp;utm_medium=member_desktop")</f>
        <v>https://www.linkedin.com/posts/molly-seymour-19b57764_join-my-team-i-am-looking-for-a-campaign-activity-7226631694651383809-91nn?utm_source=share&amp;utm_medium=member_desktop</v>
      </c>
    </row>
    <row r="1196">
      <c r="A1196" s="2">
        <f>IFERROR(__xludf.DUMMYFUNCTION("""COMPUTED_VALUE"""),45510.0)</f>
        <v>45510</v>
      </c>
      <c r="B1196" s="1" t="str">
        <f>IFERROR(__xludf.DUMMYFUNCTION("""COMPUTED_VALUE"""),"ENGIE Impact")</f>
        <v>ENGIE Impact</v>
      </c>
      <c r="C1196" s="1" t="str">
        <f>IFERROR(__xludf.DUMMYFUNCTION("""COMPUTED_VALUE"""),"Energy Procurement Analyst")</f>
        <v>Energy Procurement Analyst</v>
      </c>
      <c r="D1196" s="1" t="str">
        <f>IFERROR(__xludf.DUMMYFUNCTION("""COMPUTED_VALUE"""),"Remote")</f>
        <v>Remote</v>
      </c>
      <c r="E1196" s="1" t="str">
        <f>IFERROR(__xludf.DUMMYFUNCTION("""COMPUTED_VALUE"""),"$63k - $96k")</f>
        <v>$63k - $96k</v>
      </c>
      <c r="F1196" s="1" t="str">
        <f>IFERROR(__xludf.DUMMYFUNCTION("""COMPUTED_VALUE"""),"3 - 5")</f>
        <v>3 - 5</v>
      </c>
      <c r="G1196" s="1" t="str">
        <f>IFERROR(__xludf.DUMMYFUNCTION("""COMPUTED_VALUE"""),"USA")</f>
        <v>USA</v>
      </c>
      <c r="H1196" s="4" t="str">
        <f>IFERROR(__xludf.DUMMYFUNCTION("""COMPUTED_VALUE"""),"https://www.linkedin.com/posts/activity-7226622374173888513-u5Qb?utm_source=share&amp;utm_medium=member_desktop")</f>
        <v>https://www.linkedin.com/posts/activity-7226622374173888513-u5Qb?utm_source=share&amp;utm_medium=member_desktop</v>
      </c>
    </row>
    <row r="1197">
      <c r="A1197" s="2">
        <f>IFERROR(__xludf.DUMMYFUNCTION("""COMPUTED_VALUE"""),45510.0)</f>
        <v>45510</v>
      </c>
      <c r="B1197" s="1" t="str">
        <f>IFERROR(__xludf.DUMMYFUNCTION("""COMPUTED_VALUE"""),"Axle Logistics")</f>
        <v>Axle Logistics</v>
      </c>
      <c r="C1197" s="1" t="str">
        <f>IFERROR(__xludf.DUMMYFUNCTION("""COMPUTED_VALUE"""),"Customer Credit Analyst")</f>
        <v>Customer Credit Analyst</v>
      </c>
      <c r="D1197" s="1" t="str">
        <f>IFERROR(__xludf.DUMMYFUNCTION("""COMPUTED_VALUE"""),"On-Site")</f>
        <v>On-Site</v>
      </c>
      <c r="E1197" s="1" t="str">
        <f>IFERROR(__xludf.DUMMYFUNCTION("""COMPUTED_VALUE"""),"$45k - $60k")</f>
        <v>$45k - $60k</v>
      </c>
      <c r="F1197" s="1" t="str">
        <f>IFERROR(__xludf.DUMMYFUNCTION("""COMPUTED_VALUE"""),"0 - 2")</f>
        <v>0 - 2</v>
      </c>
      <c r="G1197" s="1" t="str">
        <f>IFERROR(__xludf.DUMMYFUNCTION("""COMPUTED_VALUE"""),"Knoxville, TN")</f>
        <v>Knoxville, TN</v>
      </c>
      <c r="H1197" s="4" t="str">
        <f>IFERROR(__xludf.DUMMYFUNCTION("""COMPUTED_VALUE"""),"https://www.linkedin.com/posts/hunterduncantn_jobopening-creditanalyst-logistics-activity-7226564653491900418-p2BT?utm_source=share&amp;utm_medium=member_desktop")</f>
        <v>https://www.linkedin.com/posts/hunterduncantn_jobopening-creditanalyst-logistics-activity-7226564653491900418-p2BT?utm_source=share&amp;utm_medium=member_desktop</v>
      </c>
    </row>
    <row r="1198">
      <c r="A1198" s="2">
        <f>IFERROR(__xludf.DUMMYFUNCTION("""COMPUTED_VALUE"""),45510.0)</f>
        <v>45510</v>
      </c>
      <c r="B1198" s="1" t="str">
        <f>IFERROR(__xludf.DUMMYFUNCTION("""COMPUTED_VALUE"""),"Jamf")</f>
        <v>Jamf</v>
      </c>
      <c r="C1198" s="1" t="str">
        <f>IFERROR(__xludf.DUMMYFUNCTION("""COMPUTED_VALUE"""),"Customer Success Data Analyst")</f>
        <v>Customer Success Data Analyst</v>
      </c>
      <c r="D1198" s="1" t="str">
        <f>IFERROR(__xludf.DUMMYFUNCTION("""COMPUTED_VALUE"""),"Hybrid")</f>
        <v>Hybrid</v>
      </c>
      <c r="E1198" s="1" t="str">
        <f>IFERROR(__xludf.DUMMYFUNCTION("""COMPUTED_VALUE"""),"N/A")</f>
        <v>N/A</v>
      </c>
      <c r="F1198" s="1" t="str">
        <f>IFERROR(__xludf.DUMMYFUNCTION("""COMPUTED_VALUE"""),"3 - 5")</f>
        <v>3 - 5</v>
      </c>
      <c r="G1198" s="1" t="str">
        <f>IFERROR(__xludf.DUMMYFUNCTION("""COMPUTED_VALUE"""),"Minneapolis, MN")</f>
        <v>Minneapolis, MN</v>
      </c>
      <c r="H1198" s="4" t="str">
        <f>IFERROR(__xludf.DUMMYFUNCTION("""COMPUTED_VALUE"""),"https://www.linkedin.com/posts/jesse-brandenburg-12873525_hiringnow-analyst-activity-7226593752172179457-6Fk7?utm_source=share&amp;utm_medium=member_desktop")</f>
        <v>https://www.linkedin.com/posts/jesse-brandenburg-12873525_hiringnow-analyst-activity-7226593752172179457-6Fk7?utm_source=share&amp;utm_medium=member_desktop</v>
      </c>
    </row>
    <row r="1199">
      <c r="A1199" s="2">
        <f>IFERROR(__xludf.DUMMYFUNCTION("""COMPUTED_VALUE"""),45510.0)</f>
        <v>45510</v>
      </c>
      <c r="B1199" s="1" t="str">
        <f>IFERROR(__xludf.DUMMYFUNCTION("""COMPUTED_VALUE"""),"CMI Media Group")</f>
        <v>CMI Media Group</v>
      </c>
      <c r="C1199" s="1" t="str">
        <f>IFERROR(__xludf.DUMMYFUNCTION("""COMPUTED_VALUE"""),"Senior Analyst, Client Finance")</f>
        <v>Senior Analyst, Client Finance</v>
      </c>
      <c r="D1199" s="1" t="str">
        <f>IFERROR(__xludf.DUMMYFUNCTION("""COMPUTED_VALUE"""),"Hybrid")</f>
        <v>Hybrid</v>
      </c>
      <c r="E1199" s="1" t="str">
        <f>IFERROR(__xludf.DUMMYFUNCTION("""COMPUTED_VALUE"""),"N/A")</f>
        <v>N/A</v>
      </c>
      <c r="F1199" s="1" t="str">
        <f>IFERROR(__xludf.DUMMYFUNCTION("""COMPUTED_VALUE"""),"3 - 5")</f>
        <v>3 - 5</v>
      </c>
      <c r="G1199" s="1" t="str">
        <f>IFERROR(__xludf.DUMMYFUNCTION("""COMPUTED_VALUE"""),"Certain Locations")</f>
        <v>Certain Locations</v>
      </c>
      <c r="H1199" s="4" t="str">
        <f>IFERROR(__xludf.DUMMYFUNCTION("""COMPUTED_VALUE"""),"https://www.linkedin.com/posts/christina-iannetta_senior-analyst-client-finance-activity-7226571328407949313-VUBe?utm_source=share&amp;utm_medium=member_desktop")</f>
        <v>https://www.linkedin.com/posts/christina-iannetta_senior-analyst-client-finance-activity-7226571328407949313-VUBe?utm_source=share&amp;utm_medium=member_desktop</v>
      </c>
    </row>
    <row r="1200">
      <c r="A1200" s="2">
        <f>IFERROR(__xludf.DUMMYFUNCTION("""COMPUTED_VALUE"""),45510.0)</f>
        <v>45510</v>
      </c>
      <c r="B1200" s="1" t="str">
        <f>IFERROR(__xludf.DUMMYFUNCTION("""COMPUTED_VALUE"""),"Dekko")</f>
        <v>Dekko</v>
      </c>
      <c r="C1200" s="1" t="str">
        <f>IFERROR(__xludf.DUMMYFUNCTION("""COMPUTED_VALUE"""),"Financial Reporting Analyst")</f>
        <v>Financial Reporting Analyst</v>
      </c>
      <c r="D1200" s="1" t="str">
        <f>IFERROR(__xludf.DUMMYFUNCTION("""COMPUTED_VALUE"""),"On-Site")</f>
        <v>On-Site</v>
      </c>
      <c r="E1200" s="1" t="str">
        <f>IFERROR(__xludf.DUMMYFUNCTION("""COMPUTED_VALUE"""),"N/A")</f>
        <v>N/A</v>
      </c>
      <c r="F1200" s="1" t="str">
        <f>IFERROR(__xludf.DUMMYFUNCTION("""COMPUTED_VALUE"""),"0 - 2")</f>
        <v>0 - 2</v>
      </c>
      <c r="G1200" s="1" t="str">
        <f>IFERROR(__xludf.DUMMYFUNCTION("""COMPUTED_VALUE"""),"Fort Wayne, IN")</f>
        <v>Fort Wayne, IN</v>
      </c>
      <c r="H1200" s="4" t="str">
        <f>IFERROR(__xludf.DUMMYFUNCTION("""COMPUTED_VALUE"""),"https://www.linkedin.com/posts/samantha-binning_join-our-team-as-a-financial-reporting-analyst-activity-7226619951606902784-AxUw?utm_source=share&amp;utm_medium=member_desktop")</f>
        <v>https://www.linkedin.com/posts/samantha-binning_join-our-team-as-a-financial-reporting-analyst-activity-7226619951606902784-AxUw?utm_source=share&amp;utm_medium=member_desktop</v>
      </c>
    </row>
    <row r="1201">
      <c r="A1201" s="2">
        <f>IFERROR(__xludf.DUMMYFUNCTION("""COMPUTED_VALUE"""),45510.0)</f>
        <v>45510</v>
      </c>
      <c r="B1201" s="1" t="str">
        <f>IFERROR(__xludf.DUMMYFUNCTION("""COMPUTED_VALUE"""),"Orion Group (Agency)")</f>
        <v>Orion Group (Agency)</v>
      </c>
      <c r="C1201" s="1" t="str">
        <f>IFERROR(__xludf.DUMMYFUNCTION("""COMPUTED_VALUE"""),"Financial Analyst")</f>
        <v>Financial Analyst</v>
      </c>
      <c r="D1201" s="1" t="str">
        <f>IFERROR(__xludf.DUMMYFUNCTION("""COMPUTED_VALUE"""),"Hybrid")</f>
        <v>Hybrid</v>
      </c>
      <c r="E1201" s="1" t="str">
        <f>IFERROR(__xludf.DUMMYFUNCTION("""COMPUTED_VALUE"""),"$30/hr")</f>
        <v>$30/hr</v>
      </c>
      <c r="F1201" s="1" t="str">
        <f>IFERROR(__xludf.DUMMYFUNCTION("""COMPUTED_VALUE"""),"0 - 2")</f>
        <v>0 - 2</v>
      </c>
      <c r="G1201" s="1" t="str">
        <f>IFERROR(__xludf.DUMMYFUNCTION("""COMPUTED_VALUE"""),"Chicago, IL")</f>
        <v>Chicago, IL</v>
      </c>
      <c r="H1201" s="4" t="str">
        <f>IFERROR(__xludf.DUMMYFUNCTION("""COMPUTED_VALUE"""),"https://www.linkedin.com/posts/daniellestgeorge_orionlifesciencesusa-accountspayable-financeanalyst-activity-7226625460586135552-KTh5?utm_source=share&amp;utm_medium=member_desktop")</f>
        <v>https://www.linkedin.com/posts/daniellestgeorge_orionlifesciencesusa-accountspayable-financeanalyst-activity-7226625460586135552-KTh5?utm_source=share&amp;utm_medium=member_desktop</v>
      </c>
    </row>
    <row r="1202">
      <c r="A1202" s="2">
        <f>IFERROR(__xludf.DUMMYFUNCTION("""COMPUTED_VALUE"""),45510.0)</f>
        <v>45510</v>
      </c>
      <c r="B1202" s="1" t="str">
        <f>IFERROR(__xludf.DUMMYFUNCTION("""COMPUTED_VALUE"""),"Draper")</f>
        <v>Draper</v>
      </c>
      <c r="C1202" s="1" t="str">
        <f>IFERROR(__xludf.DUMMYFUNCTION("""COMPUTED_VALUE"""),"Financial Analyst")</f>
        <v>Financial Analyst</v>
      </c>
      <c r="D1202" s="1" t="str">
        <f>IFERROR(__xludf.DUMMYFUNCTION("""COMPUTED_VALUE"""),"Hybrid")</f>
        <v>Hybrid</v>
      </c>
      <c r="E1202" s="1" t="str">
        <f>IFERROR(__xludf.DUMMYFUNCTION("""COMPUTED_VALUE"""),"N/A")</f>
        <v>N/A</v>
      </c>
      <c r="F1202" s="1" t="str">
        <f>IFERROR(__xludf.DUMMYFUNCTION("""COMPUTED_VALUE"""),"3 - 5")</f>
        <v>3 - 5</v>
      </c>
      <c r="G1202" s="1" t="str">
        <f>IFERROR(__xludf.DUMMYFUNCTION("""COMPUTED_VALUE"""),"Cambridge, MA")</f>
        <v>Cambridge, MA</v>
      </c>
      <c r="H1202" s="4" t="str">
        <f>IFERROR(__xludf.DUMMYFUNCTION("""COMPUTED_VALUE"""),"https://www.linkedin.com/posts/brendan-clifford-692a1b18_financial-analyst-activity-7226557052226015233-sQSV?utm_source=share&amp;utm_medium=member_desktop")</f>
        <v>https://www.linkedin.com/posts/brendan-clifford-692a1b18_financial-analyst-activity-7226557052226015233-sQSV?utm_source=share&amp;utm_medium=member_desktop</v>
      </c>
    </row>
    <row r="1203">
      <c r="A1203" s="2">
        <f>IFERROR(__xludf.DUMMYFUNCTION("""COMPUTED_VALUE"""),45510.0)</f>
        <v>45510</v>
      </c>
      <c r="B1203" s="1" t="str">
        <f>IFERROR(__xludf.DUMMYFUNCTION("""COMPUTED_VALUE"""),"CVS Health")</f>
        <v>CVS Health</v>
      </c>
      <c r="C1203" s="1" t="str">
        <f>IFERROR(__xludf.DUMMYFUNCTION("""COMPUTED_VALUE"""),"Data Engineer")</f>
        <v>Data Engineer</v>
      </c>
      <c r="D1203" s="1" t="str">
        <f>IFERROR(__xludf.DUMMYFUNCTION("""COMPUTED_VALUE"""),"Hybrid")</f>
        <v>Hybrid</v>
      </c>
      <c r="E1203" s="1" t="str">
        <f>IFERROR(__xludf.DUMMYFUNCTION("""COMPUTED_VALUE"""),"$72k - $159k")</f>
        <v>$72k - $159k</v>
      </c>
      <c r="F1203" s="1" t="str">
        <f>IFERROR(__xludf.DUMMYFUNCTION("""COMPUTED_VALUE"""),"0 - 2")</f>
        <v>0 - 2</v>
      </c>
      <c r="G1203" s="1" t="str">
        <f>IFERROR(__xludf.DUMMYFUNCTION("""COMPUTED_VALUE"""),"Certain Locations")</f>
        <v>Certain Locations</v>
      </c>
      <c r="H1203" s="4" t="str">
        <f>IFERROR(__xludf.DUMMYFUNCTION("""COMPUTED_VALUE"""),"https://www.linkedin.com/posts/melyndageraghtydevelopmentrecruiter_data-engineer-python-activity-7226578866176225281-uTlZ?utm_source=share&amp;utm_medium=member_desktop")</f>
        <v>https://www.linkedin.com/posts/melyndageraghtydevelopmentrecruiter_data-engineer-python-activity-7226578866176225281-uTlZ?utm_source=share&amp;utm_medium=member_desktop</v>
      </c>
    </row>
    <row r="1204">
      <c r="A1204" s="2">
        <f>IFERROR(__xludf.DUMMYFUNCTION("""COMPUTED_VALUE"""),45510.0)</f>
        <v>45510</v>
      </c>
      <c r="B1204" s="1" t="str">
        <f>IFERROR(__xludf.DUMMYFUNCTION("""COMPUTED_VALUE"""),"Coinbase")</f>
        <v>Coinbase</v>
      </c>
      <c r="C1204" s="1" t="str">
        <f>IFERROR(__xludf.DUMMYFUNCTION("""COMPUTED_VALUE"""),"FP&amp;A Analyst, Base &amp; Developer")</f>
        <v>FP&amp;A Analyst, Base &amp; Developer</v>
      </c>
      <c r="D1204" s="1" t="str">
        <f>IFERROR(__xludf.DUMMYFUNCTION("""COMPUTED_VALUE"""),"Hybrid")</f>
        <v>Hybrid</v>
      </c>
      <c r="E1204" s="1" t="str">
        <f>IFERROR(__xludf.DUMMYFUNCTION("""COMPUTED_VALUE"""),"$105k - $124k")</f>
        <v>$105k - $124k</v>
      </c>
      <c r="F1204" s="1" t="str">
        <f>IFERROR(__xludf.DUMMYFUNCTION("""COMPUTED_VALUE"""),"0 - 2")</f>
        <v>0 - 2</v>
      </c>
      <c r="G1204" s="1" t="str">
        <f>IFERROR(__xludf.DUMMYFUNCTION("""COMPUTED_VALUE"""),"San Francisco, CA")</f>
        <v>San Francisco, CA</v>
      </c>
      <c r="H1204" s="4" t="str">
        <f>IFERROR(__xludf.DUMMYFUNCTION("""COMPUTED_VALUE"""),"https://www.linkedin.com/posts/samlongair_if-you-are-passionate-about-advancing-our-activity-7226570294109331457-fg-B?utm_source=share&amp;utm_medium=member_desktop")</f>
        <v>https://www.linkedin.com/posts/samlongair_if-you-are-passionate-about-advancing-our-activity-7226570294109331457-fg-B?utm_source=share&amp;utm_medium=member_desktop</v>
      </c>
    </row>
    <row r="1205">
      <c r="A1205" s="2">
        <f>IFERROR(__xludf.DUMMYFUNCTION("""COMPUTED_VALUE"""),45510.0)</f>
        <v>45510</v>
      </c>
      <c r="B1205" s="1" t="str">
        <f>IFERROR(__xludf.DUMMYFUNCTION("""COMPUTED_VALUE"""),"Nexxen")</f>
        <v>Nexxen</v>
      </c>
      <c r="C1205" s="1" t="str">
        <f>IFERROR(__xludf.DUMMYFUNCTION("""COMPUTED_VALUE"""),"Senior Analyst, Consumer Insights and Data Solutions")</f>
        <v>Senior Analyst, Consumer Insights and Data Solutions</v>
      </c>
      <c r="D1205" s="1" t="str">
        <f>IFERROR(__xludf.DUMMYFUNCTION("""COMPUTED_VALUE"""),"Hybrid")</f>
        <v>Hybrid</v>
      </c>
      <c r="E1205" s="1" t="str">
        <f>IFERROR(__xludf.DUMMYFUNCTION("""COMPUTED_VALUE"""),"$90k - $110k")</f>
        <v>$90k - $110k</v>
      </c>
      <c r="F1205" s="1" t="str">
        <f>IFERROR(__xludf.DUMMYFUNCTION("""COMPUTED_VALUE"""),"3 - 5")</f>
        <v>3 - 5</v>
      </c>
      <c r="G1205" s="1" t="str">
        <f>IFERROR(__xludf.DUMMYFUNCTION("""COMPUTED_VALUE"""),"Chicago, IL")</f>
        <v>Chicago, IL</v>
      </c>
      <c r="H1205" s="4" t="str">
        <f>IFERROR(__xludf.DUMMYFUNCTION("""COMPUTED_VALUE"""),"https://www.linkedin.com/posts/katie-cole-70724361_hiring-activity-7226664434373419008-Muhr?utm_source=share&amp;utm_medium=member_desktop")</f>
        <v>https://www.linkedin.com/posts/katie-cole-70724361_hiring-activity-7226664434373419008-Muhr?utm_source=share&amp;utm_medium=member_desktop</v>
      </c>
    </row>
    <row r="1206">
      <c r="A1206" s="2">
        <f>IFERROR(__xludf.DUMMYFUNCTION("""COMPUTED_VALUE"""),45510.0)</f>
        <v>45510</v>
      </c>
      <c r="B1206" s="1" t="str">
        <f>IFERROR(__xludf.DUMMYFUNCTION("""COMPUTED_VALUE"""),"Publix Super Markets")</f>
        <v>Publix Super Markets</v>
      </c>
      <c r="C1206" s="1" t="str">
        <f>IFERROR(__xludf.DUMMYFUNCTION("""COMPUTED_VALUE"""),"Lead Data Engineer - Supply Chain")</f>
        <v>Lead Data Engineer - Supply Chain</v>
      </c>
      <c r="D1206" s="1" t="str">
        <f>IFERROR(__xludf.DUMMYFUNCTION("""COMPUTED_VALUE"""),"Hybrid")</f>
        <v>Hybrid</v>
      </c>
      <c r="E1206" s="1" t="str">
        <f>IFERROR(__xludf.DUMMYFUNCTION("""COMPUTED_VALUE"""),"$130k - $195k")</f>
        <v>$130k - $195k</v>
      </c>
      <c r="F1206" s="1" t="str">
        <f>IFERROR(__xludf.DUMMYFUNCTION("""COMPUTED_VALUE"""),"6 - 9")</f>
        <v>6 - 9</v>
      </c>
      <c r="G1206" s="1" t="str">
        <f>IFERROR(__xludf.DUMMYFUNCTION("""COMPUTED_VALUE"""),"Lakeland, FL")</f>
        <v>Lakeland, FL</v>
      </c>
      <c r="H1206" s="4" t="str">
        <f>IFERROR(__xludf.DUMMYFUNCTION("""COMPUTED_VALUE"""),"https://www.linkedin.com/posts/jenny-mckay_publix-publixtechnology-activity-7226596007109685250-gNfg?utm_source=share&amp;utm_medium=member_desktop")</f>
        <v>https://www.linkedin.com/posts/jenny-mckay_publix-publixtechnology-activity-7226596007109685250-gNfg?utm_source=share&amp;utm_medium=member_desktop</v>
      </c>
    </row>
    <row r="1207">
      <c r="A1207" s="2">
        <f>IFERROR(__xludf.DUMMYFUNCTION("""COMPUTED_VALUE"""),45510.0)</f>
        <v>45510</v>
      </c>
      <c r="B1207" s="1" t="str">
        <f>IFERROR(__xludf.DUMMYFUNCTION("""COMPUTED_VALUE"""),"Vistar Media")</f>
        <v>Vistar Media</v>
      </c>
      <c r="C1207" s="1" t="str">
        <f>IFERROR(__xludf.DUMMYFUNCTION("""COMPUTED_VALUE"""),"Analytics Associate")</f>
        <v>Analytics Associate</v>
      </c>
      <c r="D1207" s="1" t="str">
        <f>IFERROR(__xludf.DUMMYFUNCTION("""COMPUTED_VALUE"""),"Hybrid")</f>
        <v>Hybrid</v>
      </c>
      <c r="E1207" s="1" t="str">
        <f>IFERROR(__xludf.DUMMYFUNCTION("""COMPUTED_VALUE"""),"$57k - $62k")</f>
        <v>$57k - $62k</v>
      </c>
      <c r="F1207" s="1" t="str">
        <f>IFERROR(__xludf.DUMMYFUNCTION("""COMPUTED_VALUE"""),"0 - 2")</f>
        <v>0 - 2</v>
      </c>
      <c r="G1207" s="1" t="str">
        <f>IFERROR(__xludf.DUMMYFUNCTION("""COMPUTED_VALUE"""),"New York, NY")</f>
        <v>New York, NY</v>
      </c>
      <c r="H1207" s="4" t="str">
        <f>IFERROR(__xludf.DUMMYFUNCTION("""COMPUTED_VALUE"""),"https://www.linkedin.com/posts/activity-7226628134274486272-u8Xo?utm_source=share&amp;utm_medium=member_desktop")</f>
        <v>https://www.linkedin.com/posts/activity-7226628134274486272-u8Xo?utm_source=share&amp;utm_medium=member_desktop</v>
      </c>
    </row>
    <row r="1208">
      <c r="A1208" s="2">
        <f>IFERROR(__xludf.DUMMYFUNCTION("""COMPUTED_VALUE"""),45510.0)</f>
        <v>45510</v>
      </c>
      <c r="B1208" s="1" t="str">
        <f>IFERROR(__xludf.DUMMYFUNCTION("""COMPUTED_VALUE"""),"Kaleida Health")</f>
        <v>Kaleida Health</v>
      </c>
      <c r="C1208" s="1" t="str">
        <f>IFERROR(__xludf.DUMMYFUNCTION("""COMPUTED_VALUE"""),"Integration Analyst")</f>
        <v>Integration Analyst</v>
      </c>
      <c r="D1208" s="1" t="str">
        <f>IFERROR(__xludf.DUMMYFUNCTION("""COMPUTED_VALUE"""),"On-Site")</f>
        <v>On-Site</v>
      </c>
      <c r="E1208" s="1" t="str">
        <f>IFERROR(__xludf.DUMMYFUNCTION("""COMPUTED_VALUE"""),"$65k - $100k")</f>
        <v>$65k - $100k</v>
      </c>
      <c r="F1208" s="1" t="str">
        <f>IFERROR(__xludf.DUMMYFUNCTION("""COMPUTED_VALUE"""),"0 - 2")</f>
        <v>0 - 2</v>
      </c>
      <c r="G1208" s="1" t="str">
        <f>IFERROR(__xludf.DUMMYFUNCTION("""COMPUTED_VALUE"""),"Buffalo, NY")</f>
        <v>Buffalo, NY</v>
      </c>
      <c r="H1208" s="4" t="str">
        <f>IFERROR(__xludf.DUMMYFUNCTION("""COMPUTED_VALUE"""),"https://www.linkedin.com/posts/bvdecicco_im-looking-for-an-energetic-and-driven-person-activity-7226583464928571392-t5tF?utm_source=share&amp;utm_medium=member_desktop")</f>
        <v>https://www.linkedin.com/posts/bvdecicco_im-looking-for-an-energetic-and-driven-person-activity-7226583464928571392-t5tF?utm_source=share&amp;utm_medium=member_desktop</v>
      </c>
    </row>
    <row r="1209">
      <c r="A1209" s="2">
        <f>IFERROR(__xludf.DUMMYFUNCTION("""COMPUTED_VALUE"""),45510.0)</f>
        <v>45510</v>
      </c>
      <c r="B1209" s="1" t="str">
        <f>IFERROR(__xludf.DUMMYFUNCTION("""COMPUTED_VALUE"""),"Select Health")</f>
        <v>Select Health</v>
      </c>
      <c r="C1209" s="1" t="str">
        <f>IFERROR(__xludf.DUMMYFUNCTION("""COMPUTED_VALUE"""),"Technical Data Analyst")</f>
        <v>Technical Data Analyst</v>
      </c>
      <c r="D1209" s="1" t="str">
        <f>IFERROR(__xludf.DUMMYFUNCTION("""COMPUTED_VALUE"""),"Remote")</f>
        <v>Remote</v>
      </c>
      <c r="E1209" s="1" t="str">
        <f>IFERROR(__xludf.DUMMYFUNCTION("""COMPUTED_VALUE"""),"$43 - $69/hr")</f>
        <v>$43 - $69/hr</v>
      </c>
      <c r="F1209" s="1" t="str">
        <f>IFERROR(__xludf.DUMMYFUNCTION("""COMPUTED_VALUE"""),"3 - 5")</f>
        <v>3 - 5</v>
      </c>
      <c r="G1209" s="1" t="str">
        <f>IFERROR(__xludf.DUMMYFUNCTION("""COMPUTED_VALUE"""),"USA")</f>
        <v>USA</v>
      </c>
      <c r="H1209" s="4" t="str">
        <f>IFERROR(__xludf.DUMMYFUNCTION("""COMPUTED_VALUE"""),"https://www.linkedin.com/posts/taylornortonwhite_data-analyst-technical-senior-activity-7226614020059844608-IeUj?utm_source=share&amp;utm_medium=member_desktop")</f>
        <v>https://www.linkedin.com/posts/taylornortonwhite_data-analyst-technical-senior-activity-7226614020059844608-IeUj?utm_source=share&amp;utm_medium=member_desktop</v>
      </c>
    </row>
    <row r="1210">
      <c r="A1210" s="2">
        <f>IFERROR(__xludf.DUMMYFUNCTION("""COMPUTED_VALUE"""),45510.0)</f>
        <v>45510</v>
      </c>
      <c r="B1210" s="1" t="str">
        <f>IFERROR(__xludf.DUMMYFUNCTION("""COMPUTED_VALUE"""),"Human Rights Campaign")</f>
        <v>Human Rights Campaign</v>
      </c>
      <c r="C1210" s="1" t="str">
        <f>IFERROR(__xludf.DUMMYFUNCTION("""COMPUTED_VALUE"""),"Senior Data Manager")</f>
        <v>Senior Data Manager</v>
      </c>
      <c r="D1210" s="1" t="str">
        <f>IFERROR(__xludf.DUMMYFUNCTION("""COMPUTED_VALUE"""),"Hybrid")</f>
        <v>Hybrid</v>
      </c>
      <c r="E1210" s="1" t="str">
        <f>IFERROR(__xludf.DUMMYFUNCTION("""COMPUTED_VALUE"""),"$75k - $94k")</f>
        <v>$75k - $94k</v>
      </c>
      <c r="F1210" s="1" t="str">
        <f>IFERROR(__xludf.DUMMYFUNCTION("""COMPUTED_VALUE"""),"3 - 5")</f>
        <v>3 - 5</v>
      </c>
      <c r="G1210" s="1" t="str">
        <f>IFERROR(__xludf.DUMMYFUNCTION("""COMPUTED_VALUE"""),"Washington, DC")</f>
        <v>Washington, DC</v>
      </c>
      <c r="H1210" s="4" t="str">
        <f>IFERROR(__xludf.DUMMYFUNCTION("""COMPUTED_VALUE"""),"https://www.linkedin.com/posts/nicholas-winchester_nonprofit-data-dataanalysis-activity-7226689633214984192-r0Nj?utm_source=share&amp;utm_medium=member_desktop")</f>
        <v>https://www.linkedin.com/posts/nicholas-winchester_nonprofit-data-dataanalysis-activity-7226689633214984192-r0Nj?utm_source=share&amp;utm_medium=member_desktop</v>
      </c>
    </row>
    <row r="1211">
      <c r="A1211" s="2">
        <f>IFERROR(__xludf.DUMMYFUNCTION("""COMPUTED_VALUE"""),45509.0)</f>
        <v>45509</v>
      </c>
      <c r="B1211" s="1" t="str">
        <f>IFERROR(__xludf.DUMMYFUNCTION("""COMPUTED_VALUE"""),"BILL")</f>
        <v>BILL</v>
      </c>
      <c r="C1211" s="1" t="str">
        <f>IFERROR(__xludf.DUMMYFUNCTION("""COMPUTED_VALUE"""),"Staff Product Data Analyst")</f>
        <v>Staff Product Data Analyst</v>
      </c>
      <c r="D1211" s="1" t="str">
        <f>IFERROR(__xludf.DUMMYFUNCTION("""COMPUTED_VALUE"""),"Hybrid")</f>
        <v>Hybrid</v>
      </c>
      <c r="E1211" s="1" t="str">
        <f>IFERROR(__xludf.DUMMYFUNCTION("""COMPUTED_VALUE"""),"$146k - $175k")</f>
        <v>$146k - $175k</v>
      </c>
      <c r="F1211" s="1" t="str">
        <f>IFERROR(__xludf.DUMMYFUNCTION("""COMPUTED_VALUE"""),"6 - 9")</f>
        <v>6 - 9</v>
      </c>
      <c r="G1211" s="1" t="str">
        <f>IFERROR(__xludf.DUMMYFUNCTION("""COMPUTED_VALUE"""),"San Jose, CA")</f>
        <v>San Jose, CA</v>
      </c>
      <c r="H1211" s="4" t="str">
        <f>IFERROR(__xludf.DUMMYFUNCTION("""COMPUTED_VALUE"""),"https://www.linkedin.com/posts/dtoddyoung_jobs-at-bill-bill-activity-7226371299286142977-qzmg?utm_source=share&amp;utm_medium=member_desktop")</f>
        <v>https://www.linkedin.com/posts/dtoddyoung_jobs-at-bill-bill-activity-7226371299286142977-qzmg?utm_source=share&amp;utm_medium=member_desktop</v>
      </c>
    </row>
    <row r="1212">
      <c r="A1212" s="2">
        <f>IFERROR(__xludf.DUMMYFUNCTION("""COMPUTED_VALUE"""),45509.0)</f>
        <v>45509</v>
      </c>
      <c r="B1212" s="1" t="str">
        <f>IFERROR(__xludf.DUMMYFUNCTION("""COMPUTED_VALUE"""),"Alberici Constructors")</f>
        <v>Alberici Constructors</v>
      </c>
      <c r="C1212" s="1" t="str">
        <f>IFERROR(__xludf.DUMMYFUNCTION("""COMPUTED_VALUE"""),"Strategy Analyst")</f>
        <v>Strategy Analyst</v>
      </c>
      <c r="D1212" s="1" t="str">
        <f>IFERROR(__xludf.DUMMYFUNCTION("""COMPUTED_VALUE"""),"On-Site")</f>
        <v>On-Site</v>
      </c>
      <c r="E1212" s="1" t="str">
        <f>IFERROR(__xludf.DUMMYFUNCTION("""COMPUTED_VALUE"""),"N/A")</f>
        <v>N/A</v>
      </c>
      <c r="F1212" s="1" t="str">
        <f>IFERROR(__xludf.DUMMYFUNCTION("""COMPUTED_VALUE"""),"0 - 2")</f>
        <v>0 - 2</v>
      </c>
      <c r="G1212" s="1" t="str">
        <f>IFERROR(__xludf.DUMMYFUNCTION("""COMPUTED_VALUE"""),"St. Louis, MO")</f>
        <v>St. Louis, MO</v>
      </c>
      <c r="H1212" s="4" t="str">
        <f>IFERROR(__xludf.DUMMYFUNCTION("""COMPUTED_VALUE"""),"https://www.linkedin.com/posts/lancecage_i-am-hiring-a-strategy-analyst-who-will-work-activity-7226231332484308992-IYQE?utm_source=share&amp;utm_medium=member_desktop")</f>
        <v>https://www.linkedin.com/posts/lancecage_i-am-hiring-a-strategy-analyst-who-will-work-activity-7226231332484308992-IYQE?utm_source=share&amp;utm_medium=member_desktop</v>
      </c>
    </row>
    <row r="1213">
      <c r="A1213" s="2">
        <f>IFERROR(__xludf.DUMMYFUNCTION("""COMPUTED_VALUE"""),45509.0)</f>
        <v>45509</v>
      </c>
      <c r="B1213" s="1" t="str">
        <f>IFERROR(__xludf.DUMMYFUNCTION("""COMPUTED_VALUE"""),"IMS Legal Strategies")</f>
        <v>IMS Legal Strategies</v>
      </c>
      <c r="C1213" s="1" t="str">
        <f>IFERROR(__xludf.DUMMYFUNCTION("""COMPUTED_VALUE"""),"Business Analyst")</f>
        <v>Business Analyst</v>
      </c>
      <c r="D1213" s="1" t="str">
        <f>IFERROR(__xludf.DUMMYFUNCTION("""COMPUTED_VALUE"""),"Remote")</f>
        <v>Remote</v>
      </c>
      <c r="E1213" s="1" t="str">
        <f>IFERROR(__xludf.DUMMYFUNCTION("""COMPUTED_VALUE"""),"N/A")</f>
        <v>N/A</v>
      </c>
      <c r="F1213" s="1" t="str">
        <f>IFERROR(__xludf.DUMMYFUNCTION("""COMPUTED_VALUE"""),"3 - 5")</f>
        <v>3 - 5</v>
      </c>
      <c r="G1213" s="1" t="str">
        <f>IFERROR(__xludf.DUMMYFUNCTION("""COMPUTED_VALUE"""),"Certain Locations")</f>
        <v>Certain Locations</v>
      </c>
      <c r="H1213" s="4" t="str">
        <f>IFERROR(__xludf.DUMMYFUNCTION("""COMPUTED_VALUE"""),"https://www.linkedin.com/posts/activity-7225154999146700801-buue?utm_source=share&amp;utm_medium=member_desktop")</f>
        <v>https://www.linkedin.com/posts/activity-7225154999146700801-buue?utm_source=share&amp;utm_medium=member_desktop</v>
      </c>
    </row>
    <row r="1214">
      <c r="A1214" s="2">
        <f>IFERROR(__xludf.DUMMYFUNCTION("""COMPUTED_VALUE"""),45509.0)</f>
        <v>45509</v>
      </c>
      <c r="B1214" s="1" t="str">
        <f>IFERROR(__xludf.DUMMYFUNCTION("""COMPUTED_VALUE"""),"Con Edison")</f>
        <v>Con Edison</v>
      </c>
      <c r="C1214" s="1" t="str">
        <f>IFERROR(__xludf.DUMMYFUNCTION("""COMPUTED_VALUE"""),"Sr Planning Analyst, Customer Ops")</f>
        <v>Sr Planning Analyst, Customer Ops</v>
      </c>
      <c r="D1214" s="1" t="str">
        <f>IFERROR(__xludf.DUMMYFUNCTION("""COMPUTED_VALUE"""),"Hybrid")</f>
        <v>Hybrid</v>
      </c>
      <c r="E1214" s="1" t="str">
        <f>IFERROR(__xludf.DUMMYFUNCTION("""COMPUTED_VALUE"""),"$105k - $145k")</f>
        <v>$105k - $145k</v>
      </c>
      <c r="F1214" s="1" t="str">
        <f>IFERROR(__xludf.DUMMYFUNCTION("""COMPUTED_VALUE"""),"3 - 5")</f>
        <v>3 - 5</v>
      </c>
      <c r="G1214" s="1" t="str">
        <f>IFERROR(__xludf.DUMMYFUNCTION("""COMPUTED_VALUE"""),"New York, NY")</f>
        <v>New York, NY</v>
      </c>
      <c r="H1214" s="4" t="str">
        <f>IFERROR(__xludf.DUMMYFUNCTION("""COMPUTED_VALUE"""),"https://www.linkedin.com/posts/melanie-mangone-609a053a_my-former-team-is-hiring-a-sr-planning-analyst-activity-7225141107993575424-24wm?utm_source=share&amp;utm_medium=member_desktop")</f>
        <v>https://www.linkedin.com/posts/melanie-mangone-609a053a_my-former-team-is-hiring-a-sr-planning-analyst-activity-7225141107993575424-24wm?utm_source=share&amp;utm_medium=member_desktop</v>
      </c>
    </row>
    <row r="1215">
      <c r="A1215" s="2">
        <f>IFERROR(__xludf.DUMMYFUNCTION("""COMPUTED_VALUE"""),45509.0)</f>
        <v>45509</v>
      </c>
      <c r="B1215" s="1" t="str">
        <f>IFERROR(__xludf.DUMMYFUNCTION("""COMPUTED_VALUE"""),"Aldi")</f>
        <v>Aldi</v>
      </c>
      <c r="C1215" s="1" t="str">
        <f>IFERROR(__xludf.DUMMYFUNCTION("""COMPUTED_VALUE"""),"Merchandising Analyst")</f>
        <v>Merchandising Analyst</v>
      </c>
      <c r="D1215" s="1" t="str">
        <f>IFERROR(__xludf.DUMMYFUNCTION("""COMPUTED_VALUE"""),"Hybrid")</f>
        <v>Hybrid</v>
      </c>
      <c r="E1215" s="1" t="str">
        <f>IFERROR(__xludf.DUMMYFUNCTION("""COMPUTED_VALUE"""),"N/A")</f>
        <v>N/A</v>
      </c>
      <c r="F1215" s="1" t="str">
        <f>IFERROR(__xludf.DUMMYFUNCTION("""COMPUTED_VALUE"""),"3 - 5")</f>
        <v>3 - 5</v>
      </c>
      <c r="G1215" s="1" t="str">
        <f>IFERROR(__xludf.DUMMYFUNCTION("""COMPUTED_VALUE"""),"Batavia, IL")</f>
        <v>Batavia, IL</v>
      </c>
      <c r="H1215" s="4" t="str">
        <f>IFERROR(__xludf.DUMMYFUNCTION("""COMPUTED_VALUE"""),"https://www.linkedin.com/posts/megan-marsh-cdr-11b9415_merchandising-analyst-in-batavia-il-activity-7226228008401952768-fz06?utm_source=share&amp;utm_medium=member_desktop")</f>
        <v>https://www.linkedin.com/posts/megan-marsh-cdr-11b9415_merchandising-analyst-in-batavia-il-activity-7226228008401952768-fz06?utm_source=share&amp;utm_medium=member_desktop</v>
      </c>
    </row>
    <row r="1216">
      <c r="A1216" s="2">
        <f>IFERROR(__xludf.DUMMYFUNCTION("""COMPUTED_VALUE"""),45509.0)</f>
        <v>45509</v>
      </c>
      <c r="B1216" s="1" t="str">
        <f>IFERROR(__xludf.DUMMYFUNCTION("""COMPUTED_VALUE"""),"Truist")</f>
        <v>Truist</v>
      </c>
      <c r="C1216" s="1" t="str">
        <f>IFERROR(__xludf.DUMMYFUNCTION("""COMPUTED_VALUE"""),"Compensation Analyst I")</f>
        <v>Compensation Analyst I</v>
      </c>
      <c r="D1216" s="1" t="str">
        <f>IFERROR(__xludf.DUMMYFUNCTION("""COMPUTED_VALUE"""),"Hybrid")</f>
        <v>Hybrid</v>
      </c>
      <c r="E1216" s="1" t="str">
        <f>IFERROR(__xludf.DUMMYFUNCTION("""COMPUTED_VALUE"""),"N/A")</f>
        <v>N/A</v>
      </c>
      <c r="F1216" s="1" t="str">
        <f>IFERROR(__xludf.DUMMYFUNCTION("""COMPUTED_VALUE"""),"0 - 2")</f>
        <v>0 - 2</v>
      </c>
      <c r="G1216" s="1" t="str">
        <f>IFERROR(__xludf.DUMMYFUNCTION("""COMPUTED_VALUE"""),"Charlotte, NC")</f>
        <v>Charlotte, NC</v>
      </c>
      <c r="H1216" s="4" t="str">
        <f>IFERROR(__xludf.DUMMYFUNCTION("""COMPUTED_VALUE"""),"https://www.linkedin.com/posts/matthew-t-rusnak_compensation-analyst-1-in-charlotte-north-activity-7225161571797250049-mrI3?utm_source=share&amp;utm_medium=member_desktop")</f>
        <v>https://www.linkedin.com/posts/matthew-t-rusnak_compensation-analyst-1-in-charlotte-north-activity-7225161571797250049-mrI3?utm_source=share&amp;utm_medium=member_desktop</v>
      </c>
    </row>
    <row r="1217">
      <c r="A1217" s="2">
        <f>IFERROR(__xludf.DUMMYFUNCTION("""COMPUTED_VALUE"""),45509.0)</f>
        <v>45509</v>
      </c>
      <c r="B1217" s="1" t="str">
        <f>IFERROR(__xludf.DUMMYFUNCTION("""COMPUTED_VALUE"""),"Ascendient Healthcare Advisors")</f>
        <v>Ascendient Healthcare Advisors</v>
      </c>
      <c r="C1217" s="1" t="str">
        <f>IFERROR(__xludf.DUMMYFUNCTION("""COMPUTED_VALUE"""),"Senior Financial Analyst")</f>
        <v>Senior Financial Analyst</v>
      </c>
      <c r="D1217" s="1" t="str">
        <f>IFERROR(__xludf.DUMMYFUNCTION("""COMPUTED_VALUE"""),"Remote")</f>
        <v>Remote</v>
      </c>
      <c r="E1217" s="1" t="str">
        <f>IFERROR(__xludf.DUMMYFUNCTION("""COMPUTED_VALUE"""),"$86k - $117k")</f>
        <v>$86k - $117k</v>
      </c>
      <c r="F1217" s="1" t="str">
        <f>IFERROR(__xludf.DUMMYFUNCTION("""COMPUTED_VALUE"""),"3 - 5")</f>
        <v>3 - 5</v>
      </c>
      <c r="G1217" s="1" t="str">
        <f>IFERROR(__xludf.DUMMYFUNCTION("""COMPUTED_VALUE"""),"USA")</f>
        <v>USA</v>
      </c>
      <c r="H1217" s="4" t="str">
        <f>IFERROR(__xludf.DUMMYFUNCTION("""COMPUTED_VALUE"""),"https://www.linkedin.com/posts/gregoryflicek_senior-financial-analyst-healthcare-consulting-activity-7226211280880054273-W2cx?utm_source=share&amp;utm_medium=member_desktop")</f>
        <v>https://www.linkedin.com/posts/gregoryflicek_senior-financial-analyst-healthcare-consulting-activity-7226211280880054273-W2cx?utm_source=share&amp;utm_medium=member_desktop</v>
      </c>
    </row>
    <row r="1218">
      <c r="A1218" s="2">
        <f>IFERROR(__xludf.DUMMYFUNCTION("""COMPUTED_VALUE"""),45509.0)</f>
        <v>45509</v>
      </c>
      <c r="B1218" s="1" t="str">
        <f>IFERROR(__xludf.DUMMYFUNCTION("""COMPUTED_VALUE"""),"Myriad Genetics")</f>
        <v>Myriad Genetics</v>
      </c>
      <c r="C1218" s="1" t="str">
        <f>IFERROR(__xludf.DUMMYFUNCTION("""COMPUTED_VALUE"""),"Revenue Cycle Analyst")</f>
        <v>Revenue Cycle Analyst</v>
      </c>
      <c r="D1218" s="1" t="str">
        <f>IFERROR(__xludf.DUMMYFUNCTION("""COMPUTED_VALUE"""),"Remote")</f>
        <v>Remote</v>
      </c>
      <c r="E1218" s="1" t="str">
        <f>IFERROR(__xludf.DUMMYFUNCTION("""COMPUTED_VALUE"""),"$60k - $70k")</f>
        <v>$60k - $70k</v>
      </c>
      <c r="F1218" s="1" t="str">
        <f>IFERROR(__xludf.DUMMYFUNCTION("""COMPUTED_VALUE"""),"0 - 2")</f>
        <v>0 - 2</v>
      </c>
      <c r="G1218" s="1" t="str">
        <f>IFERROR(__xludf.DUMMYFUNCTION("""COMPUTED_VALUE"""),"USA")</f>
        <v>USA</v>
      </c>
      <c r="H1218" s="4" t="str">
        <f>IFERROR(__xludf.DUMMYFUNCTION("""COMPUTED_VALUE"""),"https://www.linkedin.com/posts/miquelle-askew-223a17b6_if-youre-looking-for-an-analytics-role-activity-7226253111412080640-6hk3?utm_source=share&amp;utm_medium=member_desktop")</f>
        <v>https://www.linkedin.com/posts/miquelle-askew-223a17b6_if-youre-looking-for-an-analytics-role-activity-7226253111412080640-6hk3?utm_source=share&amp;utm_medium=member_desktop</v>
      </c>
    </row>
    <row r="1219">
      <c r="A1219" s="2">
        <f>IFERROR(__xludf.DUMMYFUNCTION("""COMPUTED_VALUE"""),45509.0)</f>
        <v>45509</v>
      </c>
      <c r="B1219" s="1" t="str">
        <f>IFERROR(__xludf.DUMMYFUNCTION("""COMPUTED_VALUE"""),"American Express")</f>
        <v>American Express</v>
      </c>
      <c r="C1219" s="1" t="str">
        <f>IFERROR(__xludf.DUMMYFUNCTION("""COMPUTED_VALUE"""),"Senior Analyst - Marketing Analytics")</f>
        <v>Senior Analyst - Marketing Analytics</v>
      </c>
      <c r="D1219" s="1" t="str">
        <f>IFERROR(__xludf.DUMMYFUNCTION("""COMPUTED_VALUE"""),"Hybrid")</f>
        <v>Hybrid</v>
      </c>
      <c r="E1219" s="1" t="str">
        <f>IFERROR(__xludf.DUMMYFUNCTION("""COMPUTED_VALUE"""),"$55k - $105k")</f>
        <v>$55k - $105k</v>
      </c>
      <c r="F1219" s="1" t="str">
        <f>IFERROR(__xludf.DUMMYFUNCTION("""COMPUTED_VALUE"""),"0 - 2")</f>
        <v>0 - 2</v>
      </c>
      <c r="G1219" s="1" t="str">
        <f>IFERROR(__xludf.DUMMYFUNCTION("""COMPUTED_VALUE"""),"New York, NY")</f>
        <v>New York, NY</v>
      </c>
      <c r="H1219" s="4" t="str">
        <f>IFERROR(__xludf.DUMMYFUNCTION("""COMPUTED_VALUE"""),"https://www.linkedin.com/posts/jessica-koenig-86a04078_senior-analyst-marketing-performance-activity-7226245073200390144-i0Qi?utm_source=share&amp;utm_medium=member_desktop")</f>
        <v>https://www.linkedin.com/posts/jessica-koenig-86a04078_senior-analyst-marketing-performance-activity-7226245073200390144-i0Qi?utm_source=share&amp;utm_medium=member_desktop</v>
      </c>
    </row>
    <row r="1220">
      <c r="A1220" s="2">
        <f>IFERROR(__xludf.DUMMYFUNCTION("""COMPUTED_VALUE"""),45509.0)</f>
        <v>45509</v>
      </c>
      <c r="B1220" s="1" t="str">
        <f>IFERROR(__xludf.DUMMYFUNCTION("""COMPUTED_VALUE"""),"Mulligan Funding")</f>
        <v>Mulligan Funding</v>
      </c>
      <c r="C1220" s="1" t="str">
        <f>IFERROR(__xludf.DUMMYFUNCTION("""COMPUTED_VALUE"""),"Credit Analyst I")</f>
        <v>Credit Analyst I</v>
      </c>
      <c r="D1220" s="1" t="str">
        <f>IFERROR(__xludf.DUMMYFUNCTION("""COMPUTED_VALUE"""),"Hybrid")</f>
        <v>Hybrid</v>
      </c>
      <c r="E1220" s="1" t="str">
        <f>IFERROR(__xludf.DUMMYFUNCTION("""COMPUTED_VALUE"""),"$65k - $75k")</f>
        <v>$65k - $75k</v>
      </c>
      <c r="F1220" s="1" t="str">
        <f>IFERROR(__xludf.DUMMYFUNCTION("""COMPUTED_VALUE"""),"0 - 2")</f>
        <v>0 - 2</v>
      </c>
      <c r="G1220" s="1" t="str">
        <f>IFERROR(__xludf.DUMMYFUNCTION("""COMPUTED_VALUE"""),"San Diego, CA")</f>
        <v>San Diego, CA</v>
      </c>
      <c r="H1220" s="4" t="str">
        <f>IFERROR(__xludf.DUMMYFUNCTION("""COMPUTED_VALUE"""),"https://www.linkedin.com/posts/camerontugwell_hiring-creditanalyst-financejobs-activity-7226262565377519618-44dH?utm_source=share&amp;utm_medium=member_desktop")</f>
        <v>https://www.linkedin.com/posts/camerontugwell_hiring-creditanalyst-financejobs-activity-7226262565377519618-44dH?utm_source=share&amp;utm_medium=member_desktop</v>
      </c>
    </row>
    <row r="1221">
      <c r="A1221" s="2">
        <f>IFERROR(__xludf.DUMMYFUNCTION("""COMPUTED_VALUE"""),45509.0)</f>
        <v>45509</v>
      </c>
      <c r="B1221" s="1" t="str">
        <f>IFERROR(__xludf.DUMMYFUNCTION("""COMPUTED_VALUE"""),"Abercrombie &amp; Fitch")</f>
        <v>Abercrombie &amp; Fitch</v>
      </c>
      <c r="C1221" s="1" t="str">
        <f>IFERROR(__xludf.DUMMYFUNCTION("""COMPUTED_VALUE"""),"Research Analyst")</f>
        <v>Research Analyst</v>
      </c>
      <c r="D1221" s="1" t="str">
        <f>IFERROR(__xludf.DUMMYFUNCTION("""COMPUTED_VALUE"""),"Remote")</f>
        <v>Remote</v>
      </c>
      <c r="E1221" s="1" t="str">
        <f>IFERROR(__xludf.DUMMYFUNCTION("""COMPUTED_VALUE"""),"$85k - $95k")</f>
        <v>$85k - $95k</v>
      </c>
      <c r="F1221" s="1" t="str">
        <f>IFERROR(__xludf.DUMMYFUNCTION("""COMPUTED_VALUE"""),"3 - 5")</f>
        <v>3 - 5</v>
      </c>
      <c r="G1221" s="1" t="str">
        <f>IFERROR(__xludf.DUMMYFUNCTION("""COMPUTED_VALUE"""),"USA")</f>
        <v>USA</v>
      </c>
      <c r="H1221" s="4" t="str">
        <f>IFERROR(__xludf.DUMMYFUNCTION("""COMPUTED_VALUE"""),"https://www.linkedin.com/posts/joellecann_research-analyst-voice-of-customer-remote-activity-7226240319938314241-ETbJ?utm_source=share&amp;utm_medium=member_desktop")</f>
        <v>https://www.linkedin.com/posts/joellecann_research-analyst-voice-of-customer-remote-activity-7226240319938314241-ETbJ?utm_source=share&amp;utm_medium=member_desktop</v>
      </c>
    </row>
    <row r="1222">
      <c r="A1222" s="2">
        <f>IFERROR(__xludf.DUMMYFUNCTION("""COMPUTED_VALUE"""),45509.0)</f>
        <v>45509</v>
      </c>
      <c r="B1222" s="1" t="str">
        <f>IFERROR(__xludf.DUMMYFUNCTION("""COMPUTED_VALUE"""),"Boston Scientific")</f>
        <v>Boston Scientific</v>
      </c>
      <c r="C1222" s="1" t="str">
        <f>IFERROR(__xludf.DUMMYFUNCTION("""COMPUTED_VALUE"""),"Data Scientist III")</f>
        <v>Data Scientist III</v>
      </c>
      <c r="D1222" s="1" t="str">
        <f>IFERROR(__xludf.DUMMYFUNCTION("""COMPUTED_VALUE"""),"Hybrid")</f>
        <v>Hybrid</v>
      </c>
      <c r="E1222" s="1" t="str">
        <f>IFERROR(__xludf.DUMMYFUNCTION("""COMPUTED_VALUE"""),"N/A")</f>
        <v>N/A</v>
      </c>
      <c r="F1222" s="1" t="str">
        <f>IFERROR(__xludf.DUMMYFUNCTION("""COMPUTED_VALUE"""),"0 - 2")</f>
        <v>0 - 2</v>
      </c>
      <c r="G1222" s="1" t="str">
        <f>IFERROR(__xludf.DUMMYFUNCTION("""COMPUTED_VALUE"""),"Marlborough, MA")</f>
        <v>Marlborough, MA</v>
      </c>
      <c r="H1222" s="4" t="str">
        <f>IFERROR(__xludf.DUMMYFUNCTION("""COMPUTED_VALUE"""),"https://www.linkedin.com/posts/activity-7226267675709087744-sXKK?utm_source=share&amp;utm_medium=member_desktop")</f>
        <v>https://www.linkedin.com/posts/activity-7226267675709087744-sXKK?utm_source=share&amp;utm_medium=member_desktop</v>
      </c>
    </row>
    <row r="1223">
      <c r="A1223" s="2">
        <f>IFERROR(__xludf.DUMMYFUNCTION("""COMPUTED_VALUE"""),45509.0)</f>
        <v>45509</v>
      </c>
      <c r="B1223" s="1" t="str">
        <f>IFERROR(__xludf.DUMMYFUNCTION("""COMPUTED_VALUE"""),"Tripadvisor")</f>
        <v>Tripadvisor</v>
      </c>
      <c r="C1223" s="1" t="str">
        <f>IFERROR(__xludf.DUMMYFUNCTION("""COMPUTED_VALUE"""),"Lead Client Strategy Analyst")</f>
        <v>Lead Client Strategy Analyst</v>
      </c>
      <c r="D1223" s="1" t="str">
        <f>IFERROR(__xludf.DUMMYFUNCTION("""COMPUTED_VALUE"""),"On-Site")</f>
        <v>On-Site</v>
      </c>
      <c r="E1223" s="1" t="str">
        <f>IFERROR(__xludf.DUMMYFUNCTION("""COMPUTED_VALUE"""),"N/A")</f>
        <v>N/A</v>
      </c>
      <c r="F1223" s="1" t="str">
        <f>IFERROR(__xludf.DUMMYFUNCTION("""COMPUTED_VALUE"""),"6 - 9")</f>
        <v>6 - 9</v>
      </c>
      <c r="G1223" s="1" t="str">
        <f>IFERROR(__xludf.DUMMYFUNCTION("""COMPUTED_VALUE"""),"Needham, MA")</f>
        <v>Needham, MA</v>
      </c>
      <c r="H1223" s="4" t="str">
        <f>IFERROR(__xludf.DUMMYFUNCTION("""COMPUTED_VALUE"""),"https://www.linkedin.com/posts/brynazhao_were-hiring-join-our-amazing-team-at-tripadvisor-activity-7226293558763237376-8YEj?utm_source=share&amp;utm_medium=member_desktop")</f>
        <v>https://www.linkedin.com/posts/brynazhao_were-hiring-join-our-amazing-team-at-tripadvisor-activity-7226293558763237376-8YEj?utm_source=share&amp;utm_medium=member_desktop</v>
      </c>
    </row>
    <row r="1224">
      <c r="A1224" s="2">
        <f>IFERROR(__xludf.DUMMYFUNCTION("""COMPUTED_VALUE"""),45509.0)</f>
        <v>45509</v>
      </c>
      <c r="B1224" s="1" t="str">
        <f>IFERROR(__xludf.DUMMYFUNCTION("""COMPUTED_VALUE"""),"Mayo Clinic")</f>
        <v>Mayo Clinic</v>
      </c>
      <c r="C1224" s="1" t="str">
        <f>IFERROR(__xludf.DUMMYFUNCTION("""COMPUTED_VALUE"""),"Analytics Visualization Developer")</f>
        <v>Analytics Visualization Developer</v>
      </c>
      <c r="D1224" s="1" t="str">
        <f>IFERROR(__xludf.DUMMYFUNCTION("""COMPUTED_VALUE"""),"Remote")</f>
        <v>Remote</v>
      </c>
      <c r="E1224" s="1" t="str">
        <f>IFERROR(__xludf.DUMMYFUNCTION("""COMPUTED_VALUE"""),"$81k - $113k")</f>
        <v>$81k - $113k</v>
      </c>
      <c r="F1224" s="1" t="str">
        <f>IFERROR(__xludf.DUMMYFUNCTION("""COMPUTED_VALUE"""),"0 - 2")</f>
        <v>0 - 2</v>
      </c>
      <c r="G1224" s="1" t="str">
        <f>IFERROR(__xludf.DUMMYFUNCTION("""COMPUTED_VALUE"""),"USA")</f>
        <v>USA</v>
      </c>
      <c r="H1224" s="4" t="str">
        <f>IFERROR(__xludf.DUMMYFUNCTION("""COMPUTED_VALUE"""),"https://www.linkedin.com/posts/amandawelt_analytics-visualization-developer-cdh-activity-7226313797475479552-aBaF?utm_source=share&amp;utm_medium=member_desktop")</f>
        <v>https://www.linkedin.com/posts/amandawelt_analytics-visualization-developer-cdh-activity-7226313797475479552-aBaF?utm_source=share&amp;utm_medium=member_desktop</v>
      </c>
    </row>
    <row r="1225">
      <c r="A1225" s="2">
        <f>IFERROR(__xludf.DUMMYFUNCTION("""COMPUTED_VALUE"""),45509.0)</f>
        <v>45509</v>
      </c>
      <c r="B1225" s="1" t="str">
        <f>IFERROR(__xludf.DUMMYFUNCTION("""COMPUTED_VALUE"""),"Prestige Staffing (Agency)")</f>
        <v>Prestige Staffing (Agency)</v>
      </c>
      <c r="C1225" s="1" t="str">
        <f>IFERROR(__xludf.DUMMYFUNCTION("""COMPUTED_VALUE"""),"Financial Analyst")</f>
        <v>Financial Analyst</v>
      </c>
      <c r="D1225" s="1" t="str">
        <f>IFERROR(__xludf.DUMMYFUNCTION("""COMPUTED_VALUE"""),"Hybrid")</f>
        <v>Hybrid</v>
      </c>
      <c r="E1225" s="1" t="str">
        <f>IFERROR(__xludf.DUMMYFUNCTION("""COMPUTED_VALUE"""),"$65k - $80k")</f>
        <v>$65k - $80k</v>
      </c>
      <c r="F1225" s="1" t="str">
        <f>IFERROR(__xludf.DUMMYFUNCTION("""COMPUTED_VALUE"""),"0 - 2")</f>
        <v>0 - 2</v>
      </c>
      <c r="G1225" s="1" t="str">
        <f>IFERROR(__xludf.DUMMYFUNCTION("""COMPUTED_VALUE"""),"Indian Trial, NC")</f>
        <v>Indian Trial, NC</v>
      </c>
      <c r="H1225" s="4" t="str">
        <f>IFERROR(__xludf.DUMMYFUNCTION("""COMPUTED_VALUE"""),"https://www.linkedin.com/posts/angelinanovik_i-am-looking-for-a-financial-analyst-in-the-activity-7226306773849153536-SbFS?utm_source=share&amp;utm_medium=member_desktop")</f>
        <v>https://www.linkedin.com/posts/angelinanovik_i-am-looking-for-a-financial-analyst-in-the-activity-7226306773849153536-SbFS?utm_source=share&amp;utm_medium=member_desktop</v>
      </c>
    </row>
    <row r="1226">
      <c r="A1226" s="2">
        <f>IFERROR(__xludf.DUMMYFUNCTION("""COMPUTED_VALUE"""),45509.0)</f>
        <v>45509</v>
      </c>
      <c r="B1226" s="1" t="str">
        <f>IFERROR(__xludf.DUMMYFUNCTION("""COMPUTED_VALUE"""),"firstPRO")</f>
        <v>firstPRO</v>
      </c>
      <c r="C1226" s="1" t="str">
        <f>IFERROR(__xludf.DUMMYFUNCTION("""COMPUTED_VALUE"""),"Senior Financial Analyst")</f>
        <v>Senior Financial Analyst</v>
      </c>
      <c r="D1226" s="1" t="str">
        <f>IFERROR(__xludf.DUMMYFUNCTION("""COMPUTED_VALUE"""),"Hybrid")</f>
        <v>Hybrid</v>
      </c>
      <c r="E1226" s="1" t="str">
        <f>IFERROR(__xludf.DUMMYFUNCTION("""COMPUTED_VALUE"""),"$100k - $125k")</f>
        <v>$100k - $125k</v>
      </c>
      <c r="F1226" s="1" t="str">
        <f>IFERROR(__xludf.DUMMYFUNCTION("""COMPUTED_VALUE"""),"3 - 5")</f>
        <v>3 - 5</v>
      </c>
      <c r="G1226" s="1" t="str">
        <f>IFERROR(__xludf.DUMMYFUNCTION("""COMPUTED_VALUE"""),"Bensalem, PA")</f>
        <v>Bensalem, PA</v>
      </c>
      <c r="H1226" s="4" t="str">
        <f>IFERROR(__xludf.DUMMYFUNCTION("""COMPUTED_VALUE"""),"https://www.linkedin.com/posts/jason-charney-3888b31b_we-are-working-with-a-fast-growing-pe-backed-activity-7226220878408093696-hYkP?utm_source=share&amp;utm_medium=member_desktop")</f>
        <v>https://www.linkedin.com/posts/jason-charney-3888b31b_we-are-working-with-a-fast-growing-pe-backed-activity-7226220878408093696-hYkP?utm_source=share&amp;utm_medium=member_desktop</v>
      </c>
    </row>
    <row r="1227">
      <c r="A1227" s="2">
        <f>IFERROR(__xludf.DUMMYFUNCTION("""COMPUTED_VALUE"""),45509.0)</f>
        <v>45509</v>
      </c>
      <c r="B1227" s="1" t="str">
        <f>IFERROR(__xludf.DUMMYFUNCTION("""COMPUTED_VALUE"""),"CoStar Group")</f>
        <v>CoStar Group</v>
      </c>
      <c r="C1227" s="1" t="str">
        <f>IFERROR(__xludf.DUMMYFUNCTION("""COMPUTED_VALUE"""),"Senior Marketing Analyst")</f>
        <v>Senior Marketing Analyst</v>
      </c>
      <c r="D1227" s="1" t="str">
        <f>IFERROR(__xludf.DUMMYFUNCTION("""COMPUTED_VALUE"""),"Hybrid")</f>
        <v>Hybrid</v>
      </c>
      <c r="E1227" s="1" t="str">
        <f>IFERROR(__xludf.DUMMYFUNCTION("""COMPUTED_VALUE"""),"$76k - $137k")</f>
        <v>$76k - $137k</v>
      </c>
      <c r="F1227" s="1" t="str">
        <f>IFERROR(__xludf.DUMMYFUNCTION("""COMPUTED_VALUE"""),"3 - 5")</f>
        <v>3 - 5</v>
      </c>
      <c r="G1227" s="1" t="str">
        <f>IFERROR(__xludf.DUMMYFUNCTION("""COMPUTED_VALUE"""),"Washington, DC")</f>
        <v>Washington, DC</v>
      </c>
      <c r="H1227" s="4" t="str">
        <f>IFERROR(__xludf.DUMMYFUNCTION("""COMPUTED_VALUE"""),"https://www.linkedin.com/posts/adrian-lewis-lipes-shrm-cp-9476098b_costar-is-hiring-a-senior-marketing-analyst-activity-7226294139502366721-lJtw?utm_source=share&amp;utm_medium=member_desktop")</f>
        <v>https://www.linkedin.com/posts/adrian-lewis-lipes-shrm-cp-9476098b_costar-is-hiring-a-senior-marketing-analyst-activity-7226294139502366721-lJtw?utm_source=share&amp;utm_medium=member_desktop</v>
      </c>
    </row>
    <row r="1228">
      <c r="A1228" s="2">
        <f>IFERROR(__xludf.DUMMYFUNCTION("""COMPUTED_VALUE"""),45509.0)</f>
        <v>45509</v>
      </c>
      <c r="B1228" s="1" t="str">
        <f>IFERROR(__xludf.DUMMYFUNCTION("""COMPUTED_VALUE"""),"Growing Community Bank")</f>
        <v>Growing Community Bank</v>
      </c>
      <c r="C1228" s="1" t="str">
        <f>IFERROR(__xludf.DUMMYFUNCTION("""COMPUTED_VALUE"""),"Commercial Credit Analyst")</f>
        <v>Commercial Credit Analyst</v>
      </c>
      <c r="D1228" s="1" t="str">
        <f>IFERROR(__xludf.DUMMYFUNCTION("""COMPUTED_VALUE"""),"On-Site")</f>
        <v>On-Site</v>
      </c>
      <c r="E1228" s="1" t="str">
        <f>IFERROR(__xludf.DUMMYFUNCTION("""COMPUTED_VALUE"""),"$50k - $100k")</f>
        <v>$50k - $100k</v>
      </c>
      <c r="F1228" s="1" t="str">
        <f>IFERROR(__xludf.DUMMYFUNCTION("""COMPUTED_VALUE"""),"3 - 5")</f>
        <v>3 - 5</v>
      </c>
      <c r="G1228" s="1" t="str">
        <f>IFERROR(__xludf.DUMMYFUNCTION("""COMPUTED_VALUE"""),"Scranton, PA")</f>
        <v>Scranton, PA</v>
      </c>
      <c r="H1228" s="4" t="str">
        <f>IFERROR(__xludf.DUMMYFUNCTION("""COMPUTED_VALUE"""),"https://www.linkedin.com/posts/brendahoek_commercial-credit-analyst-scranton-50k-activity-7226311868972195841-Ctc3?utm_source=share&amp;utm_medium=member_desktop")</f>
        <v>https://www.linkedin.com/posts/brendahoek_commercial-credit-analyst-scranton-50k-activity-7226311868972195841-Ctc3?utm_source=share&amp;utm_medium=member_desktop</v>
      </c>
    </row>
    <row r="1229">
      <c r="A1229" s="2">
        <f>IFERROR(__xludf.DUMMYFUNCTION("""COMPUTED_VALUE"""),45509.0)</f>
        <v>45509</v>
      </c>
      <c r="B1229" s="1" t="str">
        <f>IFERROR(__xludf.DUMMYFUNCTION("""COMPUTED_VALUE"""),"Harnham (Agency)")</f>
        <v>Harnham (Agency)</v>
      </c>
      <c r="C1229" s="1" t="str">
        <f>IFERROR(__xludf.DUMMYFUNCTION("""COMPUTED_VALUE"""),"Senior Business Analyst")</f>
        <v>Senior Business Analyst</v>
      </c>
      <c r="D1229" s="1" t="str">
        <f>IFERROR(__xludf.DUMMYFUNCTION("""COMPUTED_VALUE"""),"Hybrid")</f>
        <v>Hybrid</v>
      </c>
      <c r="E1229" s="1" t="str">
        <f>IFERROR(__xludf.DUMMYFUNCTION("""COMPUTED_VALUE"""),"$100k - $125k")</f>
        <v>$100k - $125k</v>
      </c>
      <c r="F1229" s="1" t="str">
        <f>IFERROR(__xludf.DUMMYFUNCTION("""COMPUTED_VALUE"""),"3 - 5")</f>
        <v>3 - 5</v>
      </c>
      <c r="G1229" s="1" t="str">
        <f>IFERROR(__xludf.DUMMYFUNCTION("""COMPUTED_VALUE"""),"Chicago, IL")</f>
        <v>Chicago, IL</v>
      </c>
      <c r="H1229" s="4" t="str">
        <f>IFERROR(__xludf.DUMMYFUNCTION("""COMPUTED_VALUE"""),"https://www.linkedin.com/posts/greffen-george-94206b4a_senior-business-analyst-activity-7226180178811498496-Qc7X?utm_source=share&amp;utm_medium=member_desktop")</f>
        <v>https://www.linkedin.com/posts/greffen-george-94206b4a_senior-business-analyst-activity-7226180178811498496-Qc7X?utm_source=share&amp;utm_medium=member_desktop</v>
      </c>
    </row>
    <row r="1230">
      <c r="A1230" s="2">
        <f>IFERROR(__xludf.DUMMYFUNCTION("""COMPUTED_VALUE"""),45509.0)</f>
        <v>45509</v>
      </c>
      <c r="B1230" s="1" t="str">
        <f>IFERROR(__xludf.DUMMYFUNCTION("""COMPUTED_VALUE"""),"2U")</f>
        <v>2U</v>
      </c>
      <c r="C1230" s="1" t="str">
        <f>IFERROR(__xludf.DUMMYFUNCTION("""COMPUTED_VALUE"""),"Financial Analyst")</f>
        <v>Financial Analyst</v>
      </c>
      <c r="D1230" s="1" t="str">
        <f>IFERROR(__xludf.DUMMYFUNCTION("""COMPUTED_VALUE"""),"Remote")</f>
        <v>Remote</v>
      </c>
      <c r="E1230" s="1" t="str">
        <f>IFERROR(__xludf.DUMMYFUNCTION("""COMPUTED_VALUE"""),"$60k - $70k")</f>
        <v>$60k - $70k</v>
      </c>
      <c r="F1230" s="1" t="str">
        <f>IFERROR(__xludf.DUMMYFUNCTION("""COMPUTED_VALUE"""),"0 - 2")</f>
        <v>0 - 2</v>
      </c>
      <c r="G1230" s="1" t="str">
        <f>IFERROR(__xludf.DUMMYFUNCTION("""COMPUTED_VALUE"""),"USA")</f>
        <v>USA</v>
      </c>
      <c r="H1230" s="4" t="str">
        <f>IFERROR(__xludf.DUMMYFUNCTION("""COMPUTED_VALUE"""),"https://www.linkedin.com/posts/lsrollins_financial-analyst-activity-7226317210552578049-MVK2?utm_source=share&amp;utm_medium=member_desktop")</f>
        <v>https://www.linkedin.com/posts/lsrollins_financial-analyst-activity-7226317210552578049-MVK2?utm_source=share&amp;utm_medium=member_desktop</v>
      </c>
    </row>
    <row r="1231">
      <c r="A1231" s="2">
        <f>IFERROR(__xludf.DUMMYFUNCTION("""COMPUTED_VALUE"""),45509.0)</f>
        <v>45509</v>
      </c>
      <c r="B1231" s="1" t="str">
        <f>IFERROR(__xludf.DUMMYFUNCTION("""COMPUTED_VALUE"""),"Vaco (Agency)")</f>
        <v>Vaco (Agency)</v>
      </c>
      <c r="C1231" s="1" t="str">
        <f>IFERROR(__xludf.DUMMYFUNCTION("""COMPUTED_VALUE"""),"Senior Financial Analyst")</f>
        <v>Senior Financial Analyst</v>
      </c>
      <c r="D1231" s="1" t="str">
        <f>IFERROR(__xludf.DUMMYFUNCTION("""COMPUTED_VALUE"""),"On-Site")</f>
        <v>On-Site</v>
      </c>
      <c r="E1231" s="1" t="str">
        <f>IFERROR(__xludf.DUMMYFUNCTION("""COMPUTED_VALUE"""),"N/A")</f>
        <v>N/A</v>
      </c>
      <c r="F1231" s="1" t="str">
        <f>IFERROR(__xludf.DUMMYFUNCTION("""COMPUTED_VALUE"""),"3 - 5")</f>
        <v>3 - 5</v>
      </c>
      <c r="G1231" s="1" t="str">
        <f>IFERROR(__xludf.DUMMYFUNCTION("""COMPUTED_VALUE"""),"Atlanta, GA")</f>
        <v>Atlanta, GA</v>
      </c>
      <c r="H1231" s="4" t="str">
        <f>IFERROR(__xludf.DUMMYFUNCTION("""COMPUTED_VALUE"""),"https://www.linkedin.com/posts/katie-gannon-81b44017_senior-financial-analyst-activity-7226255219922214913-jeP-?utm_source=share&amp;utm_medium=member_desktop")</f>
        <v>https://www.linkedin.com/posts/katie-gannon-81b44017_senior-financial-analyst-activity-7226255219922214913-jeP-?utm_source=share&amp;utm_medium=member_desktop</v>
      </c>
    </row>
    <row r="1232">
      <c r="A1232" s="2">
        <f>IFERROR(__xludf.DUMMYFUNCTION("""COMPUTED_VALUE"""),45509.0)</f>
        <v>45509</v>
      </c>
      <c r="B1232" s="1" t="str">
        <f>IFERROR(__xludf.DUMMYFUNCTION("""COMPUTED_VALUE"""),"WellSpan Health")</f>
        <v>WellSpan Health</v>
      </c>
      <c r="C1232" s="1" t="str">
        <f>IFERROR(__xludf.DUMMYFUNCTION("""COMPUTED_VALUE"""),"Reimbursement Analyst")</f>
        <v>Reimbursement Analyst</v>
      </c>
      <c r="D1232" s="1" t="str">
        <f>IFERROR(__xludf.DUMMYFUNCTION("""COMPUTED_VALUE"""),"Remote")</f>
        <v>Remote</v>
      </c>
      <c r="E1232" s="1" t="str">
        <f>IFERROR(__xludf.DUMMYFUNCTION("""COMPUTED_VALUE"""),"N/A")</f>
        <v>N/A</v>
      </c>
      <c r="F1232" s="1" t="str">
        <f>IFERROR(__xludf.DUMMYFUNCTION("""COMPUTED_VALUE"""),"3 - 5")</f>
        <v>3 - 5</v>
      </c>
      <c r="G1232" s="1" t="str">
        <f>IFERROR(__xludf.DUMMYFUNCTION("""COMPUTED_VALUE"""),"USA")</f>
        <v>USA</v>
      </c>
      <c r="H1232" s="4" t="str">
        <f>IFERROR(__xludf.DUMMYFUNCTION("""COMPUTED_VALUE"""),"https://www.linkedin.com/posts/tylerhammond_remote-activity-7225134979490463744-jRZL?utm_source=share&amp;utm_medium=member_desktop")</f>
        <v>https://www.linkedin.com/posts/tylerhammond_remote-activity-7225134979490463744-jRZL?utm_source=share&amp;utm_medium=member_desktop</v>
      </c>
    </row>
    <row r="1233">
      <c r="A1233" s="2">
        <f>IFERROR(__xludf.DUMMYFUNCTION("""COMPUTED_VALUE"""),45509.0)</f>
        <v>45509</v>
      </c>
      <c r="B1233" s="1" t="str">
        <f>IFERROR(__xludf.DUMMYFUNCTION("""COMPUTED_VALUE"""),"Sony Music Publishing")</f>
        <v>Sony Music Publishing</v>
      </c>
      <c r="C1233" s="1" t="str">
        <f>IFERROR(__xludf.DUMMYFUNCTION("""COMPUTED_VALUE"""),"Senior Analyst, Licensing")</f>
        <v>Senior Analyst, Licensing</v>
      </c>
      <c r="D1233" s="1" t="str">
        <f>IFERROR(__xludf.DUMMYFUNCTION("""COMPUTED_VALUE"""),"On-Site")</f>
        <v>On-Site</v>
      </c>
      <c r="E1233" s="1" t="str">
        <f>IFERROR(__xludf.DUMMYFUNCTION("""COMPUTED_VALUE"""),"N/A")</f>
        <v>N/A</v>
      </c>
      <c r="F1233" s="1" t="str">
        <f>IFERROR(__xludf.DUMMYFUNCTION("""COMPUTED_VALUE"""),"3 - 5")</f>
        <v>3 - 5</v>
      </c>
      <c r="G1233" s="1" t="str">
        <f>IFERROR(__xludf.DUMMYFUNCTION("""COMPUTED_VALUE"""),"Nashville, TN")</f>
        <v>Nashville, TN</v>
      </c>
      <c r="H1233" s="4" t="str">
        <f>IFERROR(__xludf.DUMMYFUNCTION("""COMPUTED_VALUE"""),"https://www.linkedin.com/posts/alesa-aviles_hiring-licensing-musicindustry-activity-7226231419465846785-FT5E?utm_source=share&amp;utm_medium=member_desktop")</f>
        <v>https://www.linkedin.com/posts/alesa-aviles_hiring-licensing-musicindustry-activity-7226231419465846785-FT5E?utm_source=share&amp;utm_medium=member_desktop</v>
      </c>
    </row>
    <row r="1234">
      <c r="A1234" s="2">
        <f>IFERROR(__xludf.DUMMYFUNCTION("""COMPUTED_VALUE"""),45509.0)</f>
        <v>45509</v>
      </c>
      <c r="B1234" s="1" t="str">
        <f>IFERROR(__xludf.DUMMYFUNCTION("""COMPUTED_VALUE"""),"Quartus Engineering")</f>
        <v>Quartus Engineering</v>
      </c>
      <c r="C1234" s="1" t="str">
        <f>IFERROR(__xludf.DUMMYFUNCTION("""COMPUTED_VALUE"""),"Senior Financial Analyst")</f>
        <v>Senior Financial Analyst</v>
      </c>
      <c r="D1234" s="1" t="str">
        <f>IFERROR(__xludf.DUMMYFUNCTION("""COMPUTED_VALUE"""),"Hybrid")</f>
        <v>Hybrid</v>
      </c>
      <c r="E1234" s="1" t="str">
        <f>IFERROR(__xludf.DUMMYFUNCTION("""COMPUTED_VALUE"""),"$100k - $166k")</f>
        <v>$100k - $166k</v>
      </c>
      <c r="F1234" s="1" t="str">
        <f>IFERROR(__xludf.DUMMYFUNCTION("""COMPUTED_VALUE"""),"6 - 9")</f>
        <v>6 - 9</v>
      </c>
      <c r="G1234" s="1" t="str">
        <f>IFERROR(__xludf.DUMMYFUNCTION("""COMPUTED_VALUE"""),"San Diego, CA")</f>
        <v>San Diego, CA</v>
      </c>
      <c r="H1234" s="4" t="str">
        <f>IFERROR(__xludf.DUMMYFUNCTION("""COMPUTED_VALUE"""),"https://www.linkedin.com/posts/kelsey-darling333_financejobs-hiring-financialanalyst-activity-7226333790527270913-PpNz?utm_source=share&amp;utm_medium=member_desktop")</f>
        <v>https://www.linkedin.com/posts/kelsey-darling333_financejobs-hiring-financialanalyst-activity-7226333790527270913-PpNz?utm_source=share&amp;utm_medium=member_desktop</v>
      </c>
    </row>
    <row r="1235">
      <c r="A1235" s="2">
        <f>IFERROR(__xludf.DUMMYFUNCTION("""COMPUTED_VALUE"""),45509.0)</f>
        <v>45509</v>
      </c>
      <c r="B1235" s="1" t="str">
        <f>IFERROR(__xludf.DUMMYFUNCTION("""COMPUTED_VALUE"""),"Lakeview Loan Servicing")</f>
        <v>Lakeview Loan Servicing</v>
      </c>
      <c r="C1235" s="1" t="str">
        <f>IFERROR(__xludf.DUMMYFUNCTION("""COMPUTED_VALUE"""),"Direct Mail Analyst")</f>
        <v>Direct Mail Analyst</v>
      </c>
      <c r="D1235" s="1" t="str">
        <f>IFERROR(__xludf.DUMMYFUNCTION("""COMPUTED_VALUE"""),"Remote")</f>
        <v>Remote</v>
      </c>
      <c r="E1235" s="1" t="str">
        <f>IFERROR(__xludf.DUMMYFUNCTION("""COMPUTED_VALUE"""),"$68k - $87k")</f>
        <v>$68k - $87k</v>
      </c>
      <c r="F1235" s="1" t="str">
        <f>IFERROR(__xludf.DUMMYFUNCTION("""COMPUTED_VALUE"""),"0 - 2")</f>
        <v>0 - 2</v>
      </c>
      <c r="G1235" s="1" t="str">
        <f>IFERROR(__xludf.DUMMYFUNCTION("""COMPUTED_VALUE"""),"USA")</f>
        <v>USA</v>
      </c>
      <c r="H1235" s="4" t="str">
        <f>IFERROR(__xludf.DUMMYFUNCTION("""COMPUTED_VALUE"""),"https://www.linkedin.com/posts/lynellelanier_we-are-looking-for-a-great-candidate-to-join-activity-7225146411414077440-nPST?utm_source=share&amp;utm_medium=member_desktop")</f>
        <v>https://www.linkedin.com/posts/lynellelanier_we-are-looking-for-a-great-candidate-to-join-activity-7225146411414077440-nPST?utm_source=share&amp;utm_medium=member_desktop</v>
      </c>
    </row>
    <row r="1236">
      <c r="A1236" s="2">
        <f>IFERROR(__xludf.DUMMYFUNCTION("""COMPUTED_VALUE"""),45509.0)</f>
        <v>45509</v>
      </c>
      <c r="B1236" s="1" t="str">
        <f>IFERROR(__xludf.DUMMYFUNCTION("""COMPUTED_VALUE"""),"Brighthouse Financial")</f>
        <v>Brighthouse Financial</v>
      </c>
      <c r="C1236" s="1" t="str">
        <f>IFERROR(__xludf.DUMMYFUNCTION("""COMPUTED_VALUE"""),"Sr Quantitative Analyst")</f>
        <v>Sr Quantitative Analyst</v>
      </c>
      <c r="D1236" s="1" t="str">
        <f>IFERROR(__xludf.DUMMYFUNCTION("""COMPUTED_VALUE"""),"Remote")</f>
        <v>Remote</v>
      </c>
      <c r="E1236" s="1" t="str">
        <f>IFERROR(__xludf.DUMMYFUNCTION("""COMPUTED_VALUE"""),"$110k - $145k")</f>
        <v>$110k - $145k</v>
      </c>
      <c r="F1236" s="1" t="str">
        <f>IFERROR(__xludf.DUMMYFUNCTION("""COMPUTED_VALUE"""),"6 - 9")</f>
        <v>6 - 9</v>
      </c>
      <c r="G1236" s="1" t="str">
        <f>IFERROR(__xludf.DUMMYFUNCTION("""COMPUTED_VALUE"""),"Charlotte, NC")</f>
        <v>Charlotte, NC</v>
      </c>
      <c r="H1236" s="4" t="str">
        <f>IFERROR(__xludf.DUMMYFUNCTION("""COMPUTED_VALUE"""),"https://www.linkedin.com/posts/jeff-bennett-89a5312a2_sr-quantitative-analyst-variable-annuity-activity-7226006894924967936-dvhH?utm_source=share&amp;utm_medium=member_desktop")</f>
        <v>https://www.linkedin.com/posts/jeff-bennett-89a5312a2_sr-quantitative-analyst-variable-annuity-activity-7226006894924967936-dvhH?utm_source=share&amp;utm_medium=member_desktop</v>
      </c>
    </row>
    <row r="1237">
      <c r="A1237" s="2">
        <f>IFERROR(__xludf.DUMMYFUNCTION("""COMPUTED_VALUE"""),45509.0)</f>
        <v>45509</v>
      </c>
      <c r="B1237" s="1" t="str">
        <f>IFERROR(__xludf.DUMMYFUNCTION("""COMPUTED_VALUE"""),"WVU Medicine")</f>
        <v>WVU Medicine</v>
      </c>
      <c r="C1237" s="1" t="str">
        <f>IFERROR(__xludf.DUMMYFUNCTION("""COMPUTED_VALUE"""),"Compensation Analyst")</f>
        <v>Compensation Analyst</v>
      </c>
      <c r="D1237" s="1" t="str">
        <f>IFERROR(__xludf.DUMMYFUNCTION("""COMPUTED_VALUE"""),"Remote")</f>
        <v>Remote</v>
      </c>
      <c r="E1237" s="1" t="str">
        <f>IFERROR(__xludf.DUMMYFUNCTION("""COMPUTED_VALUE"""),"N/A")</f>
        <v>N/A</v>
      </c>
      <c r="F1237" s="1" t="str">
        <f>IFERROR(__xludf.DUMMYFUNCTION("""COMPUTED_VALUE"""),"0 - 2")</f>
        <v>0 - 2</v>
      </c>
      <c r="G1237" s="1" t="str">
        <f>IFERROR(__xludf.DUMMYFUNCTION("""COMPUTED_VALUE"""),"USA")</f>
        <v>USA</v>
      </c>
      <c r="H1237" s="4" t="str">
        <f>IFERROR(__xludf.DUMMYFUNCTION("""COMPUTED_VALUE"""),"https://www.linkedin.com/posts/juliesankbeil_compensation-analyst-activity-7226267254957502465-XSC5?utm_source=share&amp;utm_medium=member_desktop")</f>
        <v>https://www.linkedin.com/posts/juliesankbeil_compensation-analyst-activity-7226267254957502465-XSC5?utm_source=share&amp;utm_medium=member_desktop</v>
      </c>
    </row>
    <row r="1238">
      <c r="A1238" s="2">
        <f>IFERROR(__xludf.DUMMYFUNCTION("""COMPUTED_VALUE"""),45509.0)</f>
        <v>45509</v>
      </c>
      <c r="B1238" s="1" t="str">
        <f>IFERROR(__xludf.DUMMYFUNCTION("""COMPUTED_VALUE"""),"Allied Universal")</f>
        <v>Allied Universal</v>
      </c>
      <c r="C1238" s="1" t="str">
        <f>IFERROR(__xludf.DUMMYFUNCTION("""COMPUTED_VALUE"""),"Regional Financial Analyst")</f>
        <v>Regional Financial Analyst</v>
      </c>
      <c r="D1238" s="1" t="str">
        <f>IFERROR(__xludf.DUMMYFUNCTION("""COMPUTED_VALUE"""),"Hybrid")</f>
        <v>Hybrid</v>
      </c>
      <c r="E1238" s="1" t="str">
        <f>IFERROR(__xludf.DUMMYFUNCTION("""COMPUTED_VALUE"""),"N/A")</f>
        <v>N/A</v>
      </c>
      <c r="F1238" s="1" t="str">
        <f>IFERROR(__xludf.DUMMYFUNCTION("""COMPUTED_VALUE"""),"0 - 2")</f>
        <v>0 - 2</v>
      </c>
      <c r="G1238" s="1" t="str">
        <f>IFERROR(__xludf.DUMMYFUNCTION("""COMPUTED_VALUE"""),"Texas")</f>
        <v>Texas</v>
      </c>
      <c r="H1238" s="4" t="str">
        <f>IFERROR(__xludf.DUMMYFUNCTION("""COMPUTED_VALUE"""),"https://www.linkedin.com/posts/jenna-smidt_regional-financial-analyst-in-houston-tx-activity-7226011628025044992-4_if?utm_source=share&amp;utm_medium=member_desktop")</f>
        <v>https://www.linkedin.com/posts/jenna-smidt_regional-financial-analyst-in-houston-tx-activity-7226011628025044992-4_if?utm_source=share&amp;utm_medium=member_desktop</v>
      </c>
    </row>
    <row r="1239">
      <c r="A1239" s="2">
        <f>IFERROR(__xludf.DUMMYFUNCTION("""COMPUTED_VALUE"""),45509.0)</f>
        <v>45509</v>
      </c>
      <c r="B1239" s="1" t="str">
        <f>IFERROR(__xludf.DUMMYFUNCTION("""COMPUTED_VALUE"""),"University of Pennsylvania")</f>
        <v>University of Pennsylvania</v>
      </c>
      <c r="C1239" s="1" t="str">
        <f>IFERROR(__xludf.DUMMYFUNCTION("""COMPUTED_VALUE"""),"Financial Analyst")</f>
        <v>Financial Analyst</v>
      </c>
      <c r="D1239" s="1" t="str">
        <f>IFERROR(__xludf.DUMMYFUNCTION("""COMPUTED_VALUE"""),"Hybrid")</f>
        <v>Hybrid</v>
      </c>
      <c r="E1239" s="1" t="str">
        <f>IFERROR(__xludf.DUMMYFUNCTION("""COMPUTED_VALUE"""),"$52k - $75k")</f>
        <v>$52k - $75k</v>
      </c>
      <c r="F1239" s="1" t="str">
        <f>IFERROR(__xludf.DUMMYFUNCTION("""COMPUTED_VALUE"""),"0 - 2")</f>
        <v>0 - 2</v>
      </c>
      <c r="G1239" s="1" t="str">
        <f>IFERROR(__xludf.DUMMYFUNCTION("""COMPUTED_VALUE"""),"Philadelphia, PA")</f>
        <v>Philadelphia, PA</v>
      </c>
      <c r="H1239" s="4" t="str">
        <f>IFERROR(__xludf.DUMMYFUNCTION("""COMPUTED_VALUE"""),"https://www.linkedin.com/posts/anthony-mapp-b8a98980_financial-analyst-sp2-activity-7226281464349270017-5TMM?utm_source=share&amp;utm_medium=member_desktop")</f>
        <v>https://www.linkedin.com/posts/anthony-mapp-b8a98980_financial-analyst-sp2-activity-7226281464349270017-5TMM?utm_source=share&amp;utm_medium=member_desktop</v>
      </c>
    </row>
    <row r="1240">
      <c r="A1240" s="2">
        <f>IFERROR(__xludf.DUMMYFUNCTION("""COMPUTED_VALUE"""),45509.0)</f>
        <v>45509</v>
      </c>
      <c r="B1240" s="1" t="str">
        <f>IFERROR(__xludf.DUMMYFUNCTION("""COMPUTED_VALUE"""),"Cover Whale")</f>
        <v>Cover Whale</v>
      </c>
      <c r="C1240" s="1" t="str">
        <f>IFERROR(__xludf.DUMMYFUNCTION("""COMPUTED_VALUE"""),"Billing Operations Analyst")</f>
        <v>Billing Operations Analyst</v>
      </c>
      <c r="D1240" s="1" t="str">
        <f>IFERROR(__xludf.DUMMYFUNCTION("""COMPUTED_VALUE"""),"Remote")</f>
        <v>Remote</v>
      </c>
      <c r="E1240" s="1" t="str">
        <f>IFERROR(__xludf.DUMMYFUNCTION("""COMPUTED_VALUE"""),"$81k - $90k")</f>
        <v>$81k - $90k</v>
      </c>
      <c r="F1240" s="1" t="str">
        <f>IFERROR(__xludf.DUMMYFUNCTION("""COMPUTED_VALUE"""),"0 - 2")</f>
        <v>0 - 2</v>
      </c>
      <c r="G1240" s="1" t="str">
        <f>IFERROR(__xludf.DUMMYFUNCTION("""COMPUTED_VALUE"""),"USA")</f>
        <v>USA</v>
      </c>
      <c r="H1240" s="4" t="str">
        <f>IFERROR(__xludf.DUMMYFUNCTION("""COMPUTED_VALUE"""),"https://www.linkedin.com/posts/brittney-decker-mba_billing-operations-analyst-remote-north-activity-7225997158091501568-tBl9?utm_source=share&amp;utm_medium=member_desktop")</f>
        <v>https://www.linkedin.com/posts/brittney-decker-mba_billing-operations-analyst-remote-north-activity-7225997158091501568-tBl9?utm_source=share&amp;utm_medium=member_desktop</v>
      </c>
    </row>
    <row r="1241">
      <c r="A1241" s="2">
        <f>IFERROR(__xludf.DUMMYFUNCTION("""COMPUTED_VALUE"""),45509.0)</f>
        <v>45509</v>
      </c>
      <c r="B1241" s="1" t="str">
        <f>IFERROR(__xludf.DUMMYFUNCTION("""COMPUTED_VALUE"""),"DonorsChoose")</f>
        <v>DonorsChoose</v>
      </c>
      <c r="C1241" s="1" t="str">
        <f>IFERROR(__xludf.DUMMYFUNCTION("""COMPUTED_VALUE"""),"Business Analyst, Strategy &amp; Innovation")</f>
        <v>Business Analyst, Strategy &amp; Innovation</v>
      </c>
      <c r="D1241" s="1" t="str">
        <f>IFERROR(__xludf.DUMMYFUNCTION("""COMPUTED_VALUE"""),"Remote")</f>
        <v>Remote</v>
      </c>
      <c r="E1241" s="1" t="str">
        <f>IFERROR(__xludf.DUMMYFUNCTION("""COMPUTED_VALUE"""),"$91k - $144k")</f>
        <v>$91k - $144k</v>
      </c>
      <c r="F1241" s="1" t="str">
        <f>IFERROR(__xludf.DUMMYFUNCTION("""COMPUTED_VALUE"""),"6 - 9")</f>
        <v>6 - 9</v>
      </c>
      <c r="G1241" s="1" t="str">
        <f>IFERROR(__xludf.DUMMYFUNCTION("""COMPUTED_VALUE"""),"Certain Locations")</f>
        <v>Certain Locations</v>
      </c>
      <c r="H1241" s="4" t="str">
        <f>IFERROR(__xludf.DUMMYFUNCTION("""COMPUTED_VALUE"""),"https://www.linkedin.com/posts/kristina-steen-joye-lyles-26650633_business-analyst-strategy-innovation-activity-7226243020034101249-pgUI?utm_source=share&amp;utm_medium=member_desktop")</f>
        <v>https://www.linkedin.com/posts/kristina-steen-joye-lyles-26650633_business-analyst-strategy-innovation-activity-7226243020034101249-pgUI?utm_source=share&amp;utm_medium=member_desktop</v>
      </c>
    </row>
    <row r="1242">
      <c r="A1242" s="2">
        <f>IFERROR(__xludf.DUMMYFUNCTION("""COMPUTED_VALUE"""),45509.0)</f>
        <v>45509</v>
      </c>
      <c r="B1242" s="1" t="str">
        <f>IFERROR(__xludf.DUMMYFUNCTION("""COMPUTED_VALUE"""),"Vestis Corporation")</f>
        <v>Vestis Corporation</v>
      </c>
      <c r="C1242" s="1" t="str">
        <f>IFERROR(__xludf.DUMMYFUNCTION("""COMPUTED_VALUE"""),"Business Intelligence Logistics Analyst")</f>
        <v>Business Intelligence Logistics Analyst</v>
      </c>
      <c r="D1242" s="1" t="str">
        <f>IFERROR(__xludf.DUMMYFUNCTION("""COMPUTED_VALUE"""),"Remote")</f>
        <v>Remote</v>
      </c>
      <c r="E1242" s="1" t="str">
        <f>IFERROR(__xludf.DUMMYFUNCTION("""COMPUTED_VALUE"""),"N/A")</f>
        <v>N/A</v>
      </c>
      <c r="F1242" s="1" t="str">
        <f>IFERROR(__xludf.DUMMYFUNCTION("""COMPUTED_VALUE"""),"3 - 5")</f>
        <v>3 - 5</v>
      </c>
      <c r="G1242" s="1" t="str">
        <f>IFERROR(__xludf.DUMMYFUNCTION("""COMPUTED_VALUE"""),"USA")</f>
        <v>USA</v>
      </c>
      <c r="H1242" s="4" t="str">
        <f>IFERROR(__xludf.DUMMYFUNCTION("""COMPUTED_VALUE"""),"https://www.linkedin.com/posts/mzahid80_vestiscareers-workplaceuniforms-workplacesupplies-activity-7226316143974592512-Yx5N?utm_source=share&amp;utm_medium=member_desktop")</f>
        <v>https://www.linkedin.com/posts/mzahid80_vestiscareers-workplaceuniforms-workplacesupplies-activity-7226316143974592512-Yx5N?utm_source=share&amp;utm_medium=member_desktop</v>
      </c>
    </row>
    <row r="1243">
      <c r="A1243" s="2">
        <f>IFERROR(__xludf.DUMMYFUNCTION("""COMPUTED_VALUE"""),45509.0)</f>
        <v>45509</v>
      </c>
      <c r="B1243" s="1" t="str">
        <f>IFERROR(__xludf.DUMMYFUNCTION("""COMPUTED_VALUE"""),"Cellular Sales")</f>
        <v>Cellular Sales</v>
      </c>
      <c r="C1243" s="1" t="str">
        <f>IFERROR(__xludf.DUMMYFUNCTION("""COMPUTED_VALUE"""),"Facilities Operations Analyst")</f>
        <v>Facilities Operations Analyst</v>
      </c>
      <c r="D1243" s="1" t="str">
        <f>IFERROR(__xludf.DUMMYFUNCTION("""COMPUTED_VALUE"""),"On-Site")</f>
        <v>On-Site</v>
      </c>
      <c r="E1243" s="1" t="str">
        <f>IFERROR(__xludf.DUMMYFUNCTION("""COMPUTED_VALUE"""),"N/A")</f>
        <v>N/A</v>
      </c>
      <c r="F1243" s="1" t="str">
        <f>IFERROR(__xludf.DUMMYFUNCTION("""COMPUTED_VALUE"""),"0 - 2")</f>
        <v>0 - 2</v>
      </c>
      <c r="G1243" s="1" t="str">
        <f>IFERROR(__xludf.DUMMYFUNCTION("""COMPUTED_VALUE"""),"Knoxville, TN")</f>
        <v>Knoxville, TN</v>
      </c>
      <c r="H1243" s="4" t="str">
        <f>IFERROR(__xludf.DUMMYFUNCTION("""COMPUTED_VALUE"""),"https://www.linkedin.com/posts/abbymarks95_facilities-operations-analyst-in-knoxville-activity-7226297847334248448-0aOO?utm_source=share&amp;utm_medium=member_desktop")</f>
        <v>https://www.linkedin.com/posts/abbymarks95_facilities-operations-analyst-in-knoxville-activity-7226297847334248448-0aOO?utm_source=share&amp;utm_medium=member_desktop</v>
      </c>
    </row>
    <row r="1244">
      <c r="A1244" s="2">
        <f>IFERROR(__xludf.DUMMYFUNCTION("""COMPUTED_VALUE"""),45509.0)</f>
        <v>45509</v>
      </c>
      <c r="B1244" s="1" t="str">
        <f>IFERROR(__xludf.DUMMYFUNCTION("""COMPUTED_VALUE"""),"Rite Aid")</f>
        <v>Rite Aid</v>
      </c>
      <c r="C1244" s="1" t="str">
        <f>IFERROR(__xludf.DUMMYFUNCTION("""COMPUTED_VALUE"""),"Analyst, Margin Strategy")</f>
        <v>Analyst, Margin Strategy</v>
      </c>
      <c r="D1244" s="1" t="str">
        <f>IFERROR(__xludf.DUMMYFUNCTION("""COMPUTED_VALUE"""),"Remote")</f>
        <v>Remote</v>
      </c>
      <c r="E1244" s="1" t="str">
        <f>IFERROR(__xludf.DUMMYFUNCTION("""COMPUTED_VALUE"""),"$67k - $100k")</f>
        <v>$67k - $100k</v>
      </c>
      <c r="F1244" s="1" t="str">
        <f>IFERROR(__xludf.DUMMYFUNCTION("""COMPUTED_VALUE"""),"3 - 5")</f>
        <v>3 - 5</v>
      </c>
      <c r="G1244" s="1" t="str">
        <f>IFERROR(__xludf.DUMMYFUNCTION("""COMPUTED_VALUE"""),"USA")</f>
        <v>USA</v>
      </c>
      <c r="H1244" s="4" t="str">
        <f>IFERROR(__xludf.DUMMYFUNCTION("""COMPUTED_VALUE"""),"https://www.linkedin.com/posts/activity-7226279120656105473-8hm8?utm_source=share&amp;utm_medium=member_desktop")</f>
        <v>https://www.linkedin.com/posts/activity-7226279120656105473-8hm8?utm_source=share&amp;utm_medium=member_desktop</v>
      </c>
    </row>
    <row r="1245">
      <c r="A1245" s="2">
        <f>IFERROR(__xludf.DUMMYFUNCTION("""COMPUTED_VALUE"""),45509.0)</f>
        <v>45509</v>
      </c>
      <c r="B1245" s="1" t="str">
        <f>IFERROR(__xludf.DUMMYFUNCTION("""COMPUTED_VALUE"""),"Burlington Stores")</f>
        <v>Burlington Stores</v>
      </c>
      <c r="C1245" s="1" t="str">
        <f>IFERROR(__xludf.DUMMYFUNCTION("""COMPUTED_VALUE"""),"Financial Analyst II ")</f>
        <v>Financial Analyst II </v>
      </c>
      <c r="D1245" s="1" t="str">
        <f>IFERROR(__xludf.DUMMYFUNCTION("""COMPUTED_VALUE"""),"Hybrid")</f>
        <v>Hybrid</v>
      </c>
      <c r="E1245" s="1" t="str">
        <f>IFERROR(__xludf.DUMMYFUNCTION("""COMPUTED_VALUE"""),"$50k - $70k")</f>
        <v>$50k - $70k</v>
      </c>
      <c r="F1245" s="1" t="str">
        <f>IFERROR(__xludf.DUMMYFUNCTION("""COMPUTED_VALUE"""),"0 - 2")</f>
        <v>0 - 2</v>
      </c>
      <c r="G1245" s="1" t="str">
        <f>IFERROR(__xludf.DUMMYFUNCTION("""COMPUTED_VALUE"""),"Burlington, NJ")</f>
        <v>Burlington, NJ</v>
      </c>
      <c r="H1245" s="4" t="str">
        <f>IFERROR(__xludf.DUMMYFUNCTION("""COMPUTED_VALUE"""),"https://www.linkedin.com/posts/erin-douglas-94504667_jobs-burlington-stores-inc-activity-7226208501130297344-882c?utm_source=share&amp;utm_medium=member_desktop")</f>
        <v>https://www.linkedin.com/posts/erin-douglas-94504667_jobs-burlington-stores-inc-activity-7226208501130297344-882c?utm_source=share&amp;utm_medium=member_desktop</v>
      </c>
    </row>
    <row r="1246">
      <c r="A1246" s="2">
        <f>IFERROR(__xludf.DUMMYFUNCTION("""COMPUTED_VALUE"""),45509.0)</f>
        <v>45509</v>
      </c>
      <c r="B1246" s="1" t="str">
        <f>IFERROR(__xludf.DUMMYFUNCTION("""COMPUTED_VALUE"""),"Wells Fargo")</f>
        <v>Wells Fargo</v>
      </c>
      <c r="C1246" s="1" t="str">
        <f>IFERROR(__xludf.DUMMYFUNCTION("""COMPUTED_VALUE"""),"Analytics Sr Manager")</f>
        <v>Analytics Sr Manager</v>
      </c>
      <c r="D1246" s="1" t="str">
        <f>IFERROR(__xludf.DUMMYFUNCTION("""COMPUTED_VALUE"""),"Hybrid")</f>
        <v>Hybrid</v>
      </c>
      <c r="E1246" s="1" t="str">
        <f>IFERROR(__xludf.DUMMYFUNCTION("""COMPUTED_VALUE"""),"$111k - $237k")</f>
        <v>$111k - $237k</v>
      </c>
      <c r="F1246" s="1" t="str">
        <f>IFERROR(__xludf.DUMMYFUNCTION("""COMPUTED_VALUE"""),"6 - 9")</f>
        <v>6 - 9</v>
      </c>
      <c r="G1246" s="1" t="str">
        <f>IFERROR(__xludf.DUMMYFUNCTION("""COMPUTED_VALUE"""),"Certain Locations")</f>
        <v>Certain Locations</v>
      </c>
      <c r="H1246" s="4" t="str">
        <f>IFERROR(__xludf.DUMMYFUNCTION("""COMPUTED_VALUE"""),"https://www.linkedin.com/posts/elaine-luhring-barinotto_analytics-sr-manager-home-lending-capital-activity-7226274795871485953-qnqd?utm_source=share&amp;utm_medium=member_desktop")</f>
        <v>https://www.linkedin.com/posts/elaine-luhring-barinotto_analytics-sr-manager-home-lending-capital-activity-7226274795871485953-qnqd?utm_source=share&amp;utm_medium=member_desktop</v>
      </c>
    </row>
    <row r="1247">
      <c r="A1247" s="2">
        <f>IFERROR(__xludf.DUMMYFUNCTION("""COMPUTED_VALUE"""),45509.0)</f>
        <v>45509</v>
      </c>
      <c r="B1247" s="1" t="str">
        <f>IFERROR(__xludf.DUMMYFUNCTION("""COMPUTED_VALUE"""),"Trinity Health")</f>
        <v>Trinity Health</v>
      </c>
      <c r="C1247" s="1" t="str">
        <f>IFERROR(__xludf.DUMMYFUNCTION("""COMPUTED_VALUE"""),"Manager, Forecasting - Commerical Analytics")</f>
        <v>Manager, Forecasting - Commerical Analytics</v>
      </c>
      <c r="D1247" s="1" t="str">
        <f>IFERROR(__xludf.DUMMYFUNCTION("""COMPUTED_VALUE"""),"Hybrid")</f>
        <v>Hybrid</v>
      </c>
      <c r="E1247" s="1" t="str">
        <f>IFERROR(__xludf.DUMMYFUNCTION("""COMPUTED_VALUE"""),"$113k - $155k")</f>
        <v>$113k - $155k</v>
      </c>
      <c r="F1247" s="1" t="str">
        <f>IFERROR(__xludf.DUMMYFUNCTION("""COMPUTED_VALUE"""),"3 - 5")</f>
        <v>3 - 5</v>
      </c>
      <c r="G1247" s="1" t="str">
        <f>IFERROR(__xludf.DUMMYFUNCTION("""COMPUTED_VALUE"""),"Certain Locations")</f>
        <v>Certain Locations</v>
      </c>
      <c r="H1247" s="4" t="str">
        <f>IFERROR(__xludf.DUMMYFUNCTION("""COMPUTED_VALUE"""),"https://www.linkedin.com/posts/judyhalltalentacquisition_manager-forecasting-commercial-analytics-activity-7226251959987556352-z7W4?utm_source=share&amp;utm_medium=member_desktop")</f>
        <v>https://www.linkedin.com/posts/judyhalltalentacquisition_manager-forecasting-commercial-analytics-activity-7226251959987556352-z7W4?utm_source=share&amp;utm_medium=member_desktop</v>
      </c>
    </row>
    <row r="1248">
      <c r="A1248" s="2">
        <f>IFERROR(__xludf.DUMMYFUNCTION("""COMPUTED_VALUE"""),45509.0)</f>
        <v>45509</v>
      </c>
      <c r="B1248" s="1" t="str">
        <f>IFERROR(__xludf.DUMMYFUNCTION("""COMPUTED_VALUE"""),"GitLab")</f>
        <v>GitLab</v>
      </c>
      <c r="C1248" s="1" t="str">
        <f>IFERROR(__xludf.DUMMYFUNCTION("""COMPUTED_VALUE"""),"Manager, Strategy &amp; Analytics")</f>
        <v>Manager, Strategy &amp; Analytics</v>
      </c>
      <c r="D1248" s="1" t="str">
        <f>IFERROR(__xludf.DUMMYFUNCTION("""COMPUTED_VALUE"""),"Remote")</f>
        <v>Remote</v>
      </c>
      <c r="E1248" s="1" t="str">
        <f>IFERROR(__xludf.DUMMYFUNCTION("""COMPUTED_VALUE"""),"$101k - $216k")</f>
        <v>$101k - $216k</v>
      </c>
      <c r="F1248" s="1" t="str">
        <f>IFERROR(__xludf.DUMMYFUNCTION("""COMPUTED_VALUE"""),"3 - 5")</f>
        <v>3 - 5</v>
      </c>
      <c r="G1248" s="1" t="str">
        <f>IFERROR(__xludf.DUMMYFUNCTION("""COMPUTED_VALUE"""),"USA")</f>
        <v>USA</v>
      </c>
      <c r="H1248" s="4" t="str">
        <f>IFERROR(__xludf.DUMMYFUNCTION("""COMPUTED_VALUE"""),"https://www.linkedin.com/posts/alpcohen_hello-network-im-hiring-looking-for-a-activity-7224511644926697472-yCCd?utm_source=share&amp;utm_medium=member_desktop")</f>
        <v>https://www.linkedin.com/posts/alpcohen_hello-network-im-hiring-looking-for-a-activity-7224511644926697472-yCCd?utm_source=share&amp;utm_medium=member_desktop</v>
      </c>
    </row>
    <row r="1249">
      <c r="A1249" s="2">
        <f>IFERROR(__xludf.DUMMYFUNCTION("""COMPUTED_VALUE"""),45509.0)</f>
        <v>45509</v>
      </c>
      <c r="B1249" s="1" t="str">
        <f>IFERROR(__xludf.DUMMYFUNCTION("""COMPUTED_VALUE"""),"Coinbase")</f>
        <v>Coinbase</v>
      </c>
      <c r="C1249" s="1" t="str">
        <f>IFERROR(__xludf.DUMMYFUNCTION("""COMPUTED_VALUE"""),"Senior BI Engineer, People Analytics")</f>
        <v>Senior BI Engineer, People Analytics</v>
      </c>
      <c r="D1249" s="1" t="str">
        <f>IFERROR(__xludf.DUMMYFUNCTION("""COMPUTED_VALUE"""),"Remote")</f>
        <v>Remote</v>
      </c>
      <c r="E1249" s="1" t="str">
        <f>IFERROR(__xludf.DUMMYFUNCTION("""COMPUTED_VALUE"""),"$145k - $170k")</f>
        <v>$145k - $170k</v>
      </c>
      <c r="F1249" s="1" t="str">
        <f>IFERROR(__xludf.DUMMYFUNCTION("""COMPUTED_VALUE"""),"3 - 5")</f>
        <v>3 - 5</v>
      </c>
      <c r="G1249" s="1" t="str">
        <f>IFERROR(__xludf.DUMMYFUNCTION("""COMPUTED_VALUE"""),"USA")</f>
        <v>USA</v>
      </c>
      <c r="H1249" s="4" t="str">
        <f>IFERROR(__xludf.DUMMYFUNCTION("""COMPUTED_VALUE"""),"https://www.linkedin.com/posts/alexandratumminia_senior-bi-engineer-people-analytics-remote-activity-7226311867302899712-QmGl?utm_source=share&amp;utm_medium=member_desktop")</f>
        <v>https://www.linkedin.com/posts/alexandratumminia_senior-bi-engineer-people-analytics-remote-activity-7226311867302899712-QmGl?utm_source=share&amp;utm_medium=member_desktop</v>
      </c>
    </row>
    <row r="1250">
      <c r="A1250" s="2">
        <f>IFERROR(__xludf.DUMMYFUNCTION("""COMPUTED_VALUE"""),45509.0)</f>
        <v>45509</v>
      </c>
      <c r="B1250" s="1" t="str">
        <f>IFERROR(__xludf.DUMMYFUNCTION("""COMPUTED_VALUE"""),"Ally")</f>
        <v>Ally</v>
      </c>
      <c r="C1250" s="1" t="str">
        <f>IFERROR(__xludf.DUMMYFUNCTION("""COMPUTED_VALUE"""),"Consumer Auto Loss Forecasting - Senior Analyst")</f>
        <v>Consumer Auto Loss Forecasting - Senior Analyst</v>
      </c>
      <c r="D1250" s="1" t="str">
        <f>IFERROR(__xludf.DUMMYFUNCTION("""COMPUTED_VALUE"""),"Hybrid")</f>
        <v>Hybrid</v>
      </c>
      <c r="E1250" s="1" t="str">
        <f>IFERROR(__xludf.DUMMYFUNCTION("""COMPUTED_VALUE"""),"$85k - $150k")</f>
        <v>$85k - $150k</v>
      </c>
      <c r="F1250" s="1" t="str">
        <f>IFERROR(__xludf.DUMMYFUNCTION("""COMPUTED_VALUE"""),"3 - 5")</f>
        <v>3 - 5</v>
      </c>
      <c r="G1250" s="1" t="str">
        <f>IFERROR(__xludf.DUMMYFUNCTION("""COMPUTED_VALUE"""),"Certain Locations")</f>
        <v>Certain Locations</v>
      </c>
      <c r="H1250" s="4" t="str">
        <f>IFERROR(__xludf.DUMMYFUNCTION("""COMPUTED_VALUE"""),"https://www.linkedin.com/posts/tommyanthony_consumer-auto-loss-forecasting-senior-analyst-activity-7226322422990336000-6R6Q?utm_source=share&amp;utm_medium=member_desktop")</f>
        <v>https://www.linkedin.com/posts/tommyanthony_consumer-auto-loss-forecasting-senior-analyst-activity-7226322422990336000-6R6Q?utm_source=share&amp;utm_medium=member_desktop</v>
      </c>
    </row>
    <row r="1251">
      <c r="A1251" s="2">
        <f>IFERROR(__xludf.DUMMYFUNCTION("""COMPUTED_VALUE"""),45508.0)</f>
        <v>45508</v>
      </c>
      <c r="B1251" s="1" t="str">
        <f>IFERROR(__xludf.DUMMYFUNCTION("""COMPUTED_VALUE"""),"Octane")</f>
        <v>Octane</v>
      </c>
      <c r="C1251" s="1" t="str">
        <f>IFERROR(__xludf.DUMMYFUNCTION("""COMPUTED_VALUE"""),"Customer Advocacy Analyst")</f>
        <v>Customer Advocacy Analyst</v>
      </c>
      <c r="D1251" s="1" t="str">
        <f>IFERROR(__xludf.DUMMYFUNCTION("""COMPUTED_VALUE"""),"Hybrid")</f>
        <v>Hybrid</v>
      </c>
      <c r="E1251" s="1" t="str">
        <f>IFERROR(__xludf.DUMMYFUNCTION("""COMPUTED_VALUE"""),"N/A")</f>
        <v>N/A</v>
      </c>
      <c r="F1251" s="1" t="str">
        <f>IFERROR(__xludf.DUMMYFUNCTION("""COMPUTED_VALUE"""),"3 - 5")</f>
        <v>3 - 5</v>
      </c>
      <c r="G1251" s="1" t="str">
        <f>IFERROR(__xludf.DUMMYFUNCTION("""COMPUTED_VALUE"""),"Irving, TX")</f>
        <v>Irving, TX</v>
      </c>
      <c r="H1251" s="4" t="str">
        <f>IFERROR(__xludf.DUMMYFUNCTION("""COMPUTED_VALUE"""),"https://www.linkedin.com/posts/lori-riggs-a8747375_i-am-hiring-come-join-my-amazing-team-activity-7225615674901983232-szTq?utm_source=share&amp;utm_medium=member_desktop")</f>
        <v>https://www.linkedin.com/posts/lori-riggs-a8747375_i-am-hiring-come-join-my-amazing-team-activity-7225615674901983232-szTq?utm_source=share&amp;utm_medium=member_desktop</v>
      </c>
    </row>
    <row r="1252">
      <c r="A1252" s="2">
        <f>IFERROR(__xludf.DUMMYFUNCTION("""COMPUTED_VALUE"""),45508.0)</f>
        <v>45508</v>
      </c>
      <c r="B1252" s="1" t="str">
        <f>IFERROR(__xludf.DUMMYFUNCTION("""COMPUTED_VALUE"""),"Globe Life")</f>
        <v>Globe Life</v>
      </c>
      <c r="C1252" s="1" t="str">
        <f>IFERROR(__xludf.DUMMYFUNCTION("""COMPUTED_VALUE"""),"Campaign Design Analyst")</f>
        <v>Campaign Design Analyst</v>
      </c>
      <c r="D1252" s="1" t="str">
        <f>IFERROR(__xludf.DUMMYFUNCTION("""COMPUTED_VALUE"""),"Hybrid")</f>
        <v>Hybrid</v>
      </c>
      <c r="E1252" s="1" t="str">
        <f>IFERROR(__xludf.DUMMYFUNCTION("""COMPUTED_VALUE"""),"N/A")</f>
        <v>N/A</v>
      </c>
      <c r="F1252" s="1" t="str">
        <f>IFERROR(__xludf.DUMMYFUNCTION("""COMPUTED_VALUE"""),"0 - 2")</f>
        <v>0 - 2</v>
      </c>
      <c r="G1252" s="1" t="str">
        <f>IFERROR(__xludf.DUMMYFUNCTION("""COMPUTED_VALUE"""),"McKinney, TX")</f>
        <v>McKinney, TX</v>
      </c>
      <c r="H1252" s="4" t="str">
        <f>IFERROR(__xludf.DUMMYFUNCTION("""COMPUTED_VALUE"""),"https://www.linkedin.com/posts/lqnesbitt_campaign-design-analyst-hybrid-activity-7225634199876071424-ZgFS?utm_source=share&amp;utm_medium=member_desktop")</f>
        <v>https://www.linkedin.com/posts/lqnesbitt_campaign-design-analyst-hybrid-activity-7225634199876071424-ZgFS?utm_source=share&amp;utm_medium=member_desktop</v>
      </c>
    </row>
    <row r="1253">
      <c r="A1253" s="2">
        <f>IFERROR(__xludf.DUMMYFUNCTION("""COMPUTED_VALUE"""),45508.0)</f>
        <v>45508</v>
      </c>
      <c r="B1253" s="1" t="str">
        <f>IFERROR(__xludf.DUMMYFUNCTION("""COMPUTED_VALUE"""),"Valiant Solutions")</f>
        <v>Valiant Solutions</v>
      </c>
      <c r="C1253" s="1" t="str">
        <f>IFERROR(__xludf.DUMMYFUNCTION("""COMPUTED_VALUE"""),"Senior Business Analyst")</f>
        <v>Senior Business Analyst</v>
      </c>
      <c r="D1253" s="1" t="str">
        <f>IFERROR(__xludf.DUMMYFUNCTION("""COMPUTED_VALUE"""),"Remote")</f>
        <v>Remote</v>
      </c>
      <c r="E1253" s="1" t="str">
        <f>IFERROR(__xludf.DUMMYFUNCTION("""COMPUTED_VALUE"""),"$116k - $137k")</f>
        <v>$116k - $137k</v>
      </c>
      <c r="F1253" s="1" t="str">
        <f>IFERROR(__xludf.DUMMYFUNCTION("""COMPUTED_VALUE"""),"6 - 9")</f>
        <v>6 - 9</v>
      </c>
      <c r="G1253" s="1" t="str">
        <f>IFERROR(__xludf.DUMMYFUNCTION("""COMPUTED_VALUE"""),"USA")</f>
        <v>USA</v>
      </c>
      <c r="H1253" s="4" t="str">
        <f>IFERROR(__xludf.DUMMYFUNCTION("""COMPUTED_VALUE"""),"https://www.linkedin.com/posts/sara-wenke-hernandez-a989557_valiant-solutions-is-seeking-a-senior-business-activity-7225516636991057920-IzgG?utm_source=share&amp;utm_medium=member_desktop")</f>
        <v>https://www.linkedin.com/posts/sara-wenke-hernandez-a989557_valiant-solutions-is-seeking-a-senior-business-activity-7225516636991057920-IzgG?utm_source=share&amp;utm_medium=member_desktop</v>
      </c>
    </row>
    <row r="1254">
      <c r="A1254" s="2">
        <f>IFERROR(__xludf.DUMMYFUNCTION("""COMPUTED_VALUE"""),45508.0)</f>
        <v>45508</v>
      </c>
      <c r="B1254" s="1" t="str">
        <f>IFERROR(__xludf.DUMMYFUNCTION("""COMPUTED_VALUE"""),"Federated Homes")</f>
        <v>Federated Homes</v>
      </c>
      <c r="C1254" s="1" t="str">
        <f>IFERROR(__xludf.DUMMYFUNCTION("""COMPUTED_VALUE"""),"Senior Financial Analyst")</f>
        <v>Senior Financial Analyst</v>
      </c>
      <c r="D1254" s="1" t="str">
        <f>IFERROR(__xludf.DUMMYFUNCTION("""COMPUTED_VALUE"""),"Hybrid")</f>
        <v>Hybrid</v>
      </c>
      <c r="E1254" s="1" t="str">
        <f>IFERROR(__xludf.DUMMYFUNCTION("""COMPUTED_VALUE"""),"N/A")</f>
        <v>N/A</v>
      </c>
      <c r="F1254" s="1" t="str">
        <f>IFERROR(__xludf.DUMMYFUNCTION("""COMPUTED_VALUE"""),"3 - 5")</f>
        <v>3 - 5</v>
      </c>
      <c r="G1254" s="1" t="str">
        <f>IFERROR(__xludf.DUMMYFUNCTION("""COMPUTED_VALUE"""),"Pittsburgh, PA")</f>
        <v>Pittsburgh, PA</v>
      </c>
      <c r="H1254" s="4" t="str">
        <f>IFERROR(__xludf.DUMMYFUNCTION("""COMPUTED_VALUE"""),"https://www.linkedin.com/posts/emily-abbott-0546_check-out-this-job-at-federated-hermes-9139-activity-7225446528566337536-UI8u?utm_source=share&amp;utm_medium=member_desktop")</f>
        <v>https://www.linkedin.com/posts/emily-abbott-0546_check-out-this-job-at-federated-hermes-9139-activity-7225446528566337536-UI8u?utm_source=share&amp;utm_medium=member_desktop</v>
      </c>
    </row>
    <row r="1255">
      <c r="A1255" s="2">
        <f>IFERROR(__xludf.DUMMYFUNCTION("""COMPUTED_VALUE"""),45508.0)</f>
        <v>45508</v>
      </c>
      <c r="B1255" s="1" t="str">
        <f>IFERROR(__xludf.DUMMYFUNCTION("""COMPUTED_VALUE"""),"Hibbett Sports")</f>
        <v>Hibbett Sports</v>
      </c>
      <c r="C1255" s="1" t="str">
        <f>IFERROR(__xludf.DUMMYFUNCTION("""COMPUTED_VALUE"""),"Senior Analyst")</f>
        <v>Senior Analyst</v>
      </c>
      <c r="D1255" s="1" t="str">
        <f>IFERROR(__xludf.DUMMYFUNCTION("""COMPUTED_VALUE"""),"On-Site")</f>
        <v>On-Site</v>
      </c>
      <c r="E1255" s="1" t="str">
        <f>IFERROR(__xludf.DUMMYFUNCTION("""COMPUTED_VALUE"""),"N/A")</f>
        <v>N/A</v>
      </c>
      <c r="F1255" s="1" t="str">
        <f>IFERROR(__xludf.DUMMYFUNCTION("""COMPUTED_VALUE"""),"3 - 5")</f>
        <v>3 - 5</v>
      </c>
      <c r="G1255" s="1" t="str">
        <f>IFERROR(__xludf.DUMMYFUNCTION("""COMPUTED_VALUE"""),"Birmingham, AL")</f>
        <v>Birmingham, AL</v>
      </c>
      <c r="H1255" s="4" t="str">
        <f>IFERROR(__xludf.DUMMYFUNCTION("""COMPUTED_VALUE"""),"https://www.linkedin.com/posts/williamginterquinn_senior-analyst-digital-activity-7225301727464296449-3zHE?utm_source=share&amp;utm_medium=member_desktop")</f>
        <v>https://www.linkedin.com/posts/williamginterquinn_senior-analyst-digital-activity-7225301727464296449-3zHE?utm_source=share&amp;utm_medium=member_desktop</v>
      </c>
    </row>
    <row r="1256">
      <c r="A1256" s="2">
        <f>IFERROR(__xludf.DUMMYFUNCTION("""COMPUTED_VALUE"""),45508.0)</f>
        <v>45508</v>
      </c>
      <c r="B1256" s="1" t="str">
        <f>IFERROR(__xludf.DUMMYFUNCTION("""COMPUTED_VALUE"""),"Utz Brands Inc.")</f>
        <v>Utz Brands Inc.</v>
      </c>
      <c r="C1256" s="1" t="str">
        <f>IFERROR(__xludf.DUMMYFUNCTION("""COMPUTED_VALUE"""),"Sales Solutions Analyst")</f>
        <v>Sales Solutions Analyst</v>
      </c>
      <c r="D1256" s="1" t="str">
        <f>IFERROR(__xludf.DUMMYFUNCTION("""COMPUTED_VALUE"""),"Remote")</f>
        <v>Remote</v>
      </c>
      <c r="E1256" s="1" t="str">
        <f>IFERROR(__xludf.DUMMYFUNCTION("""COMPUTED_VALUE"""),"N/A")</f>
        <v>N/A</v>
      </c>
      <c r="F1256" s="1" t="str">
        <f>IFERROR(__xludf.DUMMYFUNCTION("""COMPUTED_VALUE"""),"3 - 5")</f>
        <v>3 - 5</v>
      </c>
      <c r="G1256" s="1" t="str">
        <f>IFERROR(__xludf.DUMMYFUNCTION("""COMPUTED_VALUE"""),"USA")</f>
        <v>USA</v>
      </c>
      <c r="H1256" s="4" t="str">
        <f>IFERROR(__xludf.DUMMYFUNCTION("""COMPUTED_VALUE"""),"https://www.linkedin.com/posts/jason-wilson-173944187_utzbrands-utzcareers-joinourteam-activity-7225481842085273601-ab2n?utm_source=share&amp;utm_medium=member_desktop")</f>
        <v>https://www.linkedin.com/posts/jason-wilson-173944187_utzbrands-utzcareers-joinourteam-activity-7225481842085273601-ab2n?utm_source=share&amp;utm_medium=member_desktop</v>
      </c>
    </row>
    <row r="1257">
      <c r="A1257" s="2">
        <f>IFERROR(__xludf.DUMMYFUNCTION("""COMPUTED_VALUE"""),45508.0)</f>
        <v>45508</v>
      </c>
      <c r="B1257" s="1" t="str">
        <f>IFERROR(__xludf.DUMMYFUNCTION("""COMPUTED_VALUE"""),"The Farmer's Dog")</f>
        <v>The Farmer's Dog</v>
      </c>
      <c r="C1257" s="1" t="str">
        <f>IFERROR(__xludf.DUMMYFUNCTION("""COMPUTED_VALUE"""),"Senior Analytics Engineer")</f>
        <v>Senior Analytics Engineer</v>
      </c>
      <c r="D1257" s="1" t="str">
        <f>IFERROR(__xludf.DUMMYFUNCTION("""COMPUTED_VALUE"""),"On-Site")</f>
        <v>On-Site</v>
      </c>
      <c r="E1257" s="1" t="str">
        <f>IFERROR(__xludf.DUMMYFUNCTION("""COMPUTED_VALUE"""),"$155k - $175k")</f>
        <v>$155k - $175k</v>
      </c>
      <c r="F1257" s="1" t="str">
        <f>IFERROR(__xludf.DUMMYFUNCTION("""COMPUTED_VALUE"""),"3 - 5")</f>
        <v>3 - 5</v>
      </c>
      <c r="G1257" s="1" t="str">
        <f>IFERROR(__xludf.DUMMYFUNCTION("""COMPUTED_VALUE"""),"New York, NY")</f>
        <v>New York, NY</v>
      </c>
      <c r="H1257" s="4" t="str">
        <f>IFERROR(__xludf.DUMMYFUNCTION("""COMPUTED_VALUE"""),"https://www.linkedin.com/posts/catherinepargeter_were-looking-for-a-senior-analytics-engineer-activity-7225502206089699328-azmY?utm_source=share&amp;utm_medium=member_desktop")</f>
        <v>https://www.linkedin.com/posts/catherinepargeter_were-looking-for-a-senior-analytics-engineer-activity-7225502206089699328-azmY?utm_source=share&amp;utm_medium=member_desktop</v>
      </c>
    </row>
    <row r="1258">
      <c r="A1258" s="2">
        <f>IFERROR(__xludf.DUMMYFUNCTION("""COMPUTED_VALUE"""),45508.0)</f>
        <v>45508</v>
      </c>
      <c r="B1258" s="1" t="str">
        <f>IFERROR(__xludf.DUMMYFUNCTION("""COMPUTED_VALUE"""),"Omada")</f>
        <v>Omada</v>
      </c>
      <c r="C1258" s="1" t="str">
        <f>IFERROR(__xludf.DUMMYFUNCTION("""COMPUTED_VALUE"""),"Data Analyst II, Client Analytics")</f>
        <v>Data Analyst II, Client Analytics</v>
      </c>
      <c r="D1258" s="1" t="str">
        <f>IFERROR(__xludf.DUMMYFUNCTION("""COMPUTED_VALUE"""),"Remote")</f>
        <v>Remote</v>
      </c>
      <c r="E1258" s="1" t="str">
        <f>IFERROR(__xludf.DUMMYFUNCTION("""COMPUTED_VALUE"""),"$115k - $161k")</f>
        <v>$115k - $161k</v>
      </c>
      <c r="F1258" s="1" t="str">
        <f>IFERROR(__xludf.DUMMYFUNCTION("""COMPUTED_VALUE"""),"3 - 5")</f>
        <v>3 - 5</v>
      </c>
      <c r="G1258" s="1" t="str">
        <f>IFERROR(__xludf.DUMMYFUNCTION("""COMPUTED_VALUE"""),"USA")</f>
        <v>USA</v>
      </c>
      <c r="H1258" s="4" t="str">
        <f>IFERROR(__xludf.DUMMYFUNCTION("""COMPUTED_VALUE"""),"https://www.linkedin.com/posts/activity-7225153387439304704-HrXL?utm_source=share&amp;utm_medium=member_desktop")</f>
        <v>https://www.linkedin.com/posts/activity-7225153387439304704-HrXL?utm_source=share&amp;utm_medium=member_desktop</v>
      </c>
    </row>
    <row r="1259">
      <c r="A1259" s="2">
        <f>IFERROR(__xludf.DUMMYFUNCTION("""COMPUTED_VALUE"""),45508.0)</f>
        <v>45508</v>
      </c>
      <c r="B1259" s="1" t="str">
        <f>IFERROR(__xludf.DUMMYFUNCTION("""COMPUTED_VALUE"""),"Amplytics")</f>
        <v>Amplytics</v>
      </c>
      <c r="C1259" s="1" t="str">
        <f>IFERROR(__xludf.DUMMYFUNCTION("""COMPUTED_VALUE"""),"Director - Data &amp; Analytics")</f>
        <v>Director - Data &amp; Analytics</v>
      </c>
      <c r="D1259" s="1" t="str">
        <f>IFERROR(__xludf.DUMMYFUNCTION("""COMPUTED_VALUE"""),"Hybrid")</f>
        <v>Hybrid</v>
      </c>
      <c r="E1259" s="1" t="str">
        <f>IFERROR(__xludf.DUMMYFUNCTION("""COMPUTED_VALUE"""),"N/A")</f>
        <v>N/A</v>
      </c>
      <c r="F1259" s="1" t="str">
        <f>IFERROR(__xludf.DUMMYFUNCTION("""COMPUTED_VALUE"""),"10 +")</f>
        <v>10 +</v>
      </c>
      <c r="G1259" s="1" t="str">
        <f>IFERROR(__xludf.DUMMYFUNCTION("""COMPUTED_VALUE"""),"San Francisco, CA")</f>
        <v>San Francisco, CA</v>
      </c>
      <c r="H1259" s="4" t="str">
        <f>IFERROR(__xludf.DUMMYFUNCTION("""COMPUTED_VALUE"""),"https://www.linkedin.com/posts/girsharma_amplytics-dataanalytics-leadership-activity-7225953092779827200-OnFM?utm_source=share&amp;utm_medium=member_desktop")</f>
        <v>https://www.linkedin.com/posts/girsharma_amplytics-dataanalytics-leadership-activity-7225953092779827200-OnFM?utm_source=share&amp;utm_medium=member_desktop</v>
      </c>
    </row>
    <row r="1260">
      <c r="A1260" s="2">
        <f>IFERROR(__xludf.DUMMYFUNCTION("""COMPUTED_VALUE"""),45508.0)</f>
        <v>45508</v>
      </c>
      <c r="B1260" s="1" t="str">
        <f>IFERROR(__xludf.DUMMYFUNCTION("""COMPUTED_VALUE"""),"Inovalon")</f>
        <v>Inovalon</v>
      </c>
      <c r="C1260" s="1" t="str">
        <f>IFERROR(__xludf.DUMMYFUNCTION("""COMPUTED_VALUE"""),"Healthcare Quality Measure Analyst")</f>
        <v>Healthcare Quality Measure Analyst</v>
      </c>
      <c r="D1260" s="1" t="str">
        <f>IFERROR(__xludf.DUMMYFUNCTION("""COMPUTED_VALUE"""),"Remote")</f>
        <v>Remote</v>
      </c>
      <c r="E1260" s="1" t="str">
        <f>IFERROR(__xludf.DUMMYFUNCTION("""COMPUTED_VALUE"""),"$65k - $110k")</f>
        <v>$65k - $110k</v>
      </c>
      <c r="F1260" s="1" t="str">
        <f>IFERROR(__xludf.DUMMYFUNCTION("""COMPUTED_VALUE"""),"3 - 5")</f>
        <v>3 - 5</v>
      </c>
      <c r="G1260" s="1" t="str">
        <f>IFERROR(__xludf.DUMMYFUNCTION("""COMPUTED_VALUE"""),"USA")</f>
        <v>USA</v>
      </c>
      <c r="H1260" s="4" t="str">
        <f>IFERROR(__xludf.DUMMYFUNCTION("""COMPUTED_VALUE"""),"https://www.linkedin.com/posts/courtney-breece-77b08638_careers-listing-activity-7224909425008939009-mBFZ?utm_source=share&amp;utm_medium=member_desktop")</f>
        <v>https://www.linkedin.com/posts/courtney-breece-77b08638_careers-listing-activity-7224909425008939009-mBFZ?utm_source=share&amp;utm_medium=member_desktop</v>
      </c>
    </row>
    <row r="1261">
      <c r="A1261" s="2">
        <f>IFERROR(__xludf.DUMMYFUNCTION("""COMPUTED_VALUE"""),45508.0)</f>
        <v>45508</v>
      </c>
      <c r="B1261" s="1" t="str">
        <f>IFERROR(__xludf.DUMMYFUNCTION("""COMPUTED_VALUE"""),"Commvault")</f>
        <v>Commvault</v>
      </c>
      <c r="C1261" s="1" t="str">
        <f>IFERROR(__xludf.DUMMYFUNCTION("""COMPUTED_VALUE"""),"Senior Web Analytics Specialist")</f>
        <v>Senior Web Analytics Specialist</v>
      </c>
      <c r="D1261" s="1" t="str">
        <f>IFERROR(__xludf.DUMMYFUNCTION("""COMPUTED_VALUE"""),"Remote")</f>
        <v>Remote</v>
      </c>
      <c r="E1261" s="1" t="str">
        <f>IFERROR(__xludf.DUMMYFUNCTION("""COMPUTED_VALUE"""),"$68k - $196k")</f>
        <v>$68k - $196k</v>
      </c>
      <c r="F1261" s="1" t="str">
        <f>IFERROR(__xludf.DUMMYFUNCTION("""COMPUTED_VALUE"""),"3 - 5")</f>
        <v>3 - 5</v>
      </c>
      <c r="G1261" s="1" t="str">
        <f>IFERROR(__xludf.DUMMYFUNCTION("""COMPUTED_VALUE"""),"USA")</f>
        <v>USA</v>
      </c>
      <c r="H1261" s="4" t="str">
        <f>IFERROR(__xludf.DUMMYFUNCTION("""COMPUTED_VALUE"""),"https://www.linkedin.com/posts/kyra-costa_senior-web-analytics-specialist-activity-7224850232985968641-QXgl?utm_source=share&amp;utm_medium=member_desktop")</f>
        <v>https://www.linkedin.com/posts/kyra-costa_senior-web-analytics-specialist-activity-7224850232985968641-QXgl?utm_source=share&amp;utm_medium=member_desktop</v>
      </c>
    </row>
    <row r="1262">
      <c r="A1262" s="2">
        <f>IFERROR(__xludf.DUMMYFUNCTION("""COMPUTED_VALUE"""),45508.0)</f>
        <v>45508</v>
      </c>
      <c r="B1262" s="1" t="str">
        <f>IFERROR(__xludf.DUMMYFUNCTION("""COMPUTED_VALUE"""),"Rightway")</f>
        <v>Rightway</v>
      </c>
      <c r="C1262" s="1" t="str">
        <f>IFERROR(__xludf.DUMMYFUNCTION("""COMPUTED_VALUE"""),"Sr Analytics Engineer")</f>
        <v>Sr Analytics Engineer</v>
      </c>
      <c r="D1262" s="1" t="str">
        <f>IFERROR(__xludf.DUMMYFUNCTION("""COMPUTED_VALUE"""),"Remote")</f>
        <v>Remote</v>
      </c>
      <c r="E1262" s="1" t="str">
        <f>IFERROR(__xludf.DUMMYFUNCTION("""COMPUTED_VALUE"""),"$160k")</f>
        <v>$160k</v>
      </c>
      <c r="F1262" s="1" t="str">
        <f>IFERROR(__xludf.DUMMYFUNCTION("""COMPUTED_VALUE"""),"6 - 9")</f>
        <v>6 - 9</v>
      </c>
      <c r="G1262" s="1" t="str">
        <f>IFERROR(__xludf.DUMMYFUNCTION("""COMPUTED_VALUE"""),"USA")</f>
        <v>USA</v>
      </c>
      <c r="H1262" s="4" t="str">
        <f>IFERROR(__xludf.DUMMYFUNCTION("""COMPUTED_VALUE"""),"https://www.linkedin.com/posts/aditya-prasad-the-data-guy_hiring-activity-7224793465262333953--ojX?utm_source=share&amp;utm_medium=member_desktop")</f>
        <v>https://www.linkedin.com/posts/aditya-prasad-the-data-guy_hiring-activity-7224793465262333953--ojX?utm_source=share&amp;utm_medium=member_desktop</v>
      </c>
    </row>
    <row r="1263">
      <c r="A1263" s="2">
        <f>IFERROR(__xludf.DUMMYFUNCTION("""COMPUTED_VALUE"""),45508.0)</f>
        <v>45508</v>
      </c>
      <c r="B1263" s="1" t="str">
        <f>IFERROR(__xludf.DUMMYFUNCTION("""COMPUTED_VALUE"""),"MSA")</f>
        <v>MSA</v>
      </c>
      <c r="C1263" s="1" t="str">
        <f>IFERROR(__xludf.DUMMYFUNCTION("""COMPUTED_VALUE"""),"People Analytics Specialist")</f>
        <v>People Analytics Specialist</v>
      </c>
      <c r="D1263" s="1" t="str">
        <f>IFERROR(__xludf.DUMMYFUNCTION("""COMPUTED_VALUE"""),"Hybrid")</f>
        <v>Hybrid</v>
      </c>
      <c r="E1263" s="1" t="str">
        <f>IFERROR(__xludf.DUMMYFUNCTION("""COMPUTED_VALUE"""),"N/A")</f>
        <v>N/A</v>
      </c>
      <c r="F1263" s="1" t="str">
        <f>IFERROR(__xludf.DUMMYFUNCTION("""COMPUTED_VALUE"""),"3 - 5")</f>
        <v>3 - 5</v>
      </c>
      <c r="G1263" s="1" t="str">
        <f>IFERROR(__xludf.DUMMYFUNCTION("""COMPUTED_VALUE"""),"Cranberry, PA")</f>
        <v>Cranberry, PA</v>
      </c>
      <c r="H1263" s="4" t="str">
        <f>IFERROR(__xludf.DUMMYFUNCTION("""COMPUTED_VALUE"""),"https://www.linkedin.com/posts/camila-deneen-52933a46_were-hiring-come-work-with-me-at-a-top-activity-7224856389666443264-mb-e?utm_source=share&amp;utm_medium=member_desktop")</f>
        <v>https://www.linkedin.com/posts/camila-deneen-52933a46_were-hiring-come-work-with-me-at-a-top-activity-7224856389666443264-mb-e?utm_source=share&amp;utm_medium=member_desktop</v>
      </c>
    </row>
    <row r="1264">
      <c r="A1264" s="2">
        <f>IFERROR(__xludf.DUMMYFUNCTION("""COMPUTED_VALUE"""),45508.0)</f>
        <v>45508</v>
      </c>
      <c r="B1264" s="1" t="str">
        <f>IFERROR(__xludf.DUMMYFUNCTION("""COMPUTED_VALUE"""),"Centene")</f>
        <v>Centene</v>
      </c>
      <c r="C1264" s="1" t="str">
        <f>IFERROR(__xludf.DUMMYFUNCTION("""COMPUTED_VALUE"""),"Health Care Analyst")</f>
        <v>Health Care Analyst</v>
      </c>
      <c r="D1264" s="1" t="str">
        <f>IFERROR(__xludf.DUMMYFUNCTION("""COMPUTED_VALUE"""),"Remote")</f>
        <v>Remote</v>
      </c>
      <c r="E1264" s="1" t="str">
        <f>IFERROR(__xludf.DUMMYFUNCTION("""COMPUTED_VALUE"""),"$54k - $97k")</f>
        <v>$54k - $97k</v>
      </c>
      <c r="F1264" s="1" t="str">
        <f>IFERROR(__xludf.DUMMYFUNCTION("""COMPUTED_VALUE"""),"0 - 2")</f>
        <v>0 - 2</v>
      </c>
      <c r="G1264" s="1" t="str">
        <f>IFERROR(__xludf.DUMMYFUNCTION("""COMPUTED_VALUE"""),"New York")</f>
        <v>New York</v>
      </c>
      <c r="H1264" s="4" t="str">
        <f>IFERROR(__xludf.DUMMYFUNCTION("""COMPUTED_VALUE"""),"https://www.linkedin.com/posts/rhuangray_health-care-analyst-medicare-medicaid-claims-activity-7224519203360260096-gZ9w?utm_source=share&amp;utm_medium=member_desktop")</f>
        <v>https://www.linkedin.com/posts/rhuangray_health-care-analyst-medicare-medicaid-claims-activity-7224519203360260096-gZ9w?utm_source=share&amp;utm_medium=member_desktop</v>
      </c>
    </row>
    <row r="1265">
      <c r="A1265" s="2">
        <f>IFERROR(__xludf.DUMMYFUNCTION("""COMPUTED_VALUE"""),45508.0)</f>
        <v>45508</v>
      </c>
      <c r="B1265" s="1" t="str">
        <f>IFERROR(__xludf.DUMMYFUNCTION("""COMPUTED_VALUE"""),"GI Alliance")</f>
        <v>GI Alliance</v>
      </c>
      <c r="C1265" s="1" t="str">
        <f>IFERROR(__xludf.DUMMYFUNCTION("""COMPUTED_VALUE"""),"Business Analyst")</f>
        <v>Business Analyst</v>
      </c>
      <c r="D1265" s="1" t="str">
        <f>IFERROR(__xludf.DUMMYFUNCTION("""COMPUTED_VALUE"""),"On-Site")</f>
        <v>On-Site</v>
      </c>
      <c r="E1265" s="1" t="str">
        <f>IFERROR(__xludf.DUMMYFUNCTION("""COMPUTED_VALUE"""),"N/A")</f>
        <v>N/A</v>
      </c>
      <c r="F1265" s="1" t="str">
        <f>IFERROR(__xludf.DUMMYFUNCTION("""COMPUTED_VALUE"""),"3 - 5")</f>
        <v>3 - 5</v>
      </c>
      <c r="G1265" s="1" t="str">
        <f>IFERROR(__xludf.DUMMYFUNCTION("""COMPUTED_VALUE"""),"Dallas, TX")</f>
        <v>Dallas, TX</v>
      </c>
      <c r="H1265" s="4" t="str">
        <f>IFERROR(__xludf.DUMMYFUNCTION("""COMPUTED_VALUE"""),"https://www.linkedin.com/posts/activity-7224477937880682496-TZZD?utm_source=share&amp;utm_medium=member_desktop")</f>
        <v>https://www.linkedin.com/posts/activity-7224477937880682496-TZZD?utm_source=share&amp;utm_medium=member_desktop</v>
      </c>
    </row>
    <row r="1266">
      <c r="A1266" s="2">
        <f>IFERROR(__xludf.DUMMYFUNCTION("""COMPUTED_VALUE"""),45507.0)</f>
        <v>45507</v>
      </c>
      <c r="B1266" s="1" t="str">
        <f>IFERROR(__xludf.DUMMYFUNCTION("""COMPUTED_VALUE"""),"Alliance Animal Health")</f>
        <v>Alliance Animal Health</v>
      </c>
      <c r="C1266" s="1" t="str">
        <f>IFERROR(__xludf.DUMMYFUNCTION("""COMPUTED_VALUE"""),"Senior Manager, Marketing Analytics")</f>
        <v>Senior Manager, Marketing Analytics</v>
      </c>
      <c r="D1266" s="1" t="str">
        <f>IFERROR(__xludf.DUMMYFUNCTION("""COMPUTED_VALUE"""),"Remote")</f>
        <v>Remote</v>
      </c>
      <c r="E1266" s="1" t="str">
        <f>IFERROR(__xludf.DUMMYFUNCTION("""COMPUTED_VALUE"""),"N/A")</f>
        <v>N/A</v>
      </c>
      <c r="F1266" s="1" t="str">
        <f>IFERROR(__xludf.DUMMYFUNCTION("""COMPUTED_VALUE"""),"3 - 5")</f>
        <v>3 - 5</v>
      </c>
      <c r="G1266" s="1" t="str">
        <f>IFERROR(__xludf.DUMMYFUNCTION("""COMPUTED_VALUE"""),"USA")</f>
        <v>USA</v>
      </c>
      <c r="H1266" s="4" t="str">
        <f>IFERROR(__xludf.DUMMYFUNCTION("""COMPUTED_VALUE"""),"https://www.linkedin.com/posts/joelle-craig-28835040_senior-manager-marketing-analytics-activity-7224069874933714949-_fDb?utm_source=share&amp;utm_medium=member_desktop")</f>
        <v>https://www.linkedin.com/posts/joelle-craig-28835040_senior-manager-marketing-analytics-activity-7224069874933714949-_fDb?utm_source=share&amp;utm_medium=member_desktop</v>
      </c>
    </row>
    <row r="1267">
      <c r="A1267" s="2">
        <f>IFERROR(__xludf.DUMMYFUNCTION("""COMPUTED_VALUE"""),45507.0)</f>
        <v>45507</v>
      </c>
      <c r="B1267" s="1" t="str">
        <f>IFERROR(__xludf.DUMMYFUNCTION("""COMPUTED_VALUE"""),"AARP")</f>
        <v>AARP</v>
      </c>
      <c r="C1267" s="1" t="str">
        <f>IFERROR(__xludf.DUMMYFUNCTION("""COMPUTED_VALUE"""),"Marketing Analytics Manager")</f>
        <v>Marketing Analytics Manager</v>
      </c>
      <c r="D1267" s="1" t="str">
        <f>IFERROR(__xludf.DUMMYFUNCTION("""COMPUTED_VALUE"""),"Hybrid")</f>
        <v>Hybrid</v>
      </c>
      <c r="E1267" s="1" t="str">
        <f>IFERROR(__xludf.DUMMYFUNCTION("""COMPUTED_VALUE"""),"$113k - $125k")</f>
        <v>$113k - $125k</v>
      </c>
      <c r="F1267" s="1" t="str">
        <f>IFERROR(__xludf.DUMMYFUNCTION("""COMPUTED_VALUE"""),"3 - 5")</f>
        <v>3 - 5</v>
      </c>
      <c r="G1267" s="1" t="str">
        <f>IFERROR(__xludf.DUMMYFUNCTION("""COMPUTED_VALUE"""),"Washington, DC")</f>
        <v>Washington, DC</v>
      </c>
      <c r="H1267" s="4" t="str">
        <f>IFERROR(__xludf.DUMMYFUNCTION("""COMPUTED_VALUE"""),"https://www.linkedin.com/posts/fisken_marketing-analytics-manager-in-washington-activity-7223783390892748800-BQAm?utm_source=share&amp;utm_medium=member_desktop")</f>
        <v>https://www.linkedin.com/posts/fisken_marketing-analytics-manager-in-washington-activity-7223783390892748800-BQAm?utm_source=share&amp;utm_medium=member_desktop</v>
      </c>
    </row>
    <row r="1268">
      <c r="A1268" s="2">
        <f>IFERROR(__xludf.DUMMYFUNCTION("""COMPUTED_VALUE"""),45507.0)</f>
        <v>45507</v>
      </c>
      <c r="B1268" s="1" t="str">
        <f>IFERROR(__xludf.DUMMYFUNCTION("""COMPUTED_VALUE"""),"Insperity")</f>
        <v>Insperity</v>
      </c>
      <c r="C1268" s="1" t="str">
        <f>IFERROR(__xludf.DUMMYFUNCTION("""COMPUTED_VALUE"""),"Analytics &amp; Reporting Manager, Enterprise Analytics")</f>
        <v>Analytics &amp; Reporting Manager, Enterprise Analytics</v>
      </c>
      <c r="D1268" s="1" t="str">
        <f>IFERROR(__xludf.DUMMYFUNCTION("""COMPUTED_VALUE"""),"Hybrid")</f>
        <v>Hybrid</v>
      </c>
      <c r="E1268" s="1" t="str">
        <f>IFERROR(__xludf.DUMMYFUNCTION("""COMPUTED_VALUE"""),"N/A")</f>
        <v>N/A</v>
      </c>
      <c r="F1268" s="1" t="str">
        <f>IFERROR(__xludf.DUMMYFUNCTION("""COMPUTED_VALUE"""),"3 - 5")</f>
        <v>3 - 5</v>
      </c>
      <c r="G1268" s="1" t="str">
        <f>IFERROR(__xludf.DUMMYFUNCTION("""COMPUTED_VALUE"""),"Kingswood, TX")</f>
        <v>Kingswood, TX</v>
      </c>
      <c r="H1268" s="4" t="str">
        <f>IFERROR(__xludf.DUMMYFUNCTION("""COMPUTED_VALUE"""),"https://www.linkedin.com/posts/tracey-dural-5aa7b1128_analytics-reporting-manager-tableau-activity-7219403842289905664-X6BV?utm_source=share&amp;utm_medium=member_desktop")</f>
        <v>https://www.linkedin.com/posts/tracey-dural-5aa7b1128_analytics-reporting-manager-tableau-activity-7219403842289905664-X6BV?utm_source=share&amp;utm_medium=member_desktop</v>
      </c>
    </row>
    <row r="1269">
      <c r="A1269" s="2">
        <f>IFERROR(__xludf.DUMMYFUNCTION("""COMPUTED_VALUE"""),45507.0)</f>
        <v>45507</v>
      </c>
      <c r="B1269" s="1" t="str">
        <f>IFERROR(__xludf.DUMMYFUNCTION("""COMPUTED_VALUE"""),"Wayfair")</f>
        <v>Wayfair</v>
      </c>
      <c r="C1269" s="1" t="str">
        <f>IFERROR(__xludf.DUMMYFUNCTION("""COMPUTED_VALUE"""),"Analytics Manager, Revenue Operations Sales Tooling")</f>
        <v>Analytics Manager, Revenue Operations Sales Tooling</v>
      </c>
      <c r="D1269" s="1" t="str">
        <f>IFERROR(__xludf.DUMMYFUNCTION("""COMPUTED_VALUE"""),"Hybrid")</f>
        <v>Hybrid</v>
      </c>
      <c r="E1269" s="1" t="str">
        <f>IFERROR(__xludf.DUMMYFUNCTION("""COMPUTED_VALUE"""),"N/A")</f>
        <v>N/A</v>
      </c>
      <c r="F1269" s="1" t="str">
        <f>IFERROR(__xludf.DUMMYFUNCTION("""COMPUTED_VALUE"""),"3 - 5")</f>
        <v>3 - 5</v>
      </c>
      <c r="G1269" s="1" t="str">
        <f>IFERROR(__xludf.DUMMYFUNCTION("""COMPUTED_VALUE"""),"Boston, MA")</f>
        <v>Boston, MA</v>
      </c>
      <c r="H1269" s="4" t="str">
        <f>IFERROR(__xludf.DUMMYFUNCTION("""COMPUTED_VALUE"""),"https://www.linkedin.com/posts/makinseylesak_analytics-manager-revenue-operations-sales-activity-7222643913944170499-d_cI?utm_source=share&amp;utm_medium=member_desktop")</f>
        <v>https://www.linkedin.com/posts/makinseylesak_analytics-manager-revenue-operations-sales-activity-7222643913944170499-d_cI?utm_source=share&amp;utm_medium=member_desktop</v>
      </c>
    </row>
    <row r="1270">
      <c r="A1270" s="2">
        <f>IFERROR(__xludf.DUMMYFUNCTION("""COMPUTED_VALUE"""),45507.0)</f>
        <v>45507</v>
      </c>
      <c r="B1270" s="1" t="str">
        <f>IFERROR(__xludf.DUMMYFUNCTION("""COMPUTED_VALUE"""),"BECU")</f>
        <v>BECU</v>
      </c>
      <c r="C1270" s="1" t="str">
        <f>IFERROR(__xludf.DUMMYFUNCTION("""COMPUTED_VALUE"""),"Sr Deposits Pricing Manager")</f>
        <v>Sr Deposits Pricing Manager</v>
      </c>
      <c r="D1270" s="1" t="str">
        <f>IFERROR(__xludf.DUMMYFUNCTION("""COMPUTED_VALUE"""),"Remote")</f>
        <v>Remote</v>
      </c>
      <c r="E1270" s="1" t="str">
        <f>IFERROR(__xludf.DUMMYFUNCTION("""COMPUTED_VALUE"""),"$104k - $194k")</f>
        <v>$104k - $194k</v>
      </c>
      <c r="F1270" s="1" t="str">
        <f>IFERROR(__xludf.DUMMYFUNCTION("""COMPUTED_VALUE"""),"6 - 9")</f>
        <v>6 - 9</v>
      </c>
      <c r="G1270" s="1" t="str">
        <f>IFERROR(__xludf.DUMMYFUNCTION("""COMPUTED_VALUE"""),"Certain Locations")</f>
        <v>Certain Locations</v>
      </c>
      <c r="H1270" s="4" t="str">
        <f>IFERROR(__xludf.DUMMYFUNCTION("""COMPUTED_VALUE"""),"https://www.linkedin.com/posts/janie-ewton_hiring-opportunity-productmanagement-activity-7225520864836907009-KCiM?utm_source=share&amp;utm_medium=member_desktop")</f>
        <v>https://www.linkedin.com/posts/janie-ewton_hiring-opportunity-productmanagement-activity-7225520864836907009-KCiM?utm_source=share&amp;utm_medium=member_desktop</v>
      </c>
    </row>
    <row r="1271">
      <c r="A1271" s="2">
        <f>IFERROR(__xludf.DUMMYFUNCTION("""COMPUTED_VALUE"""),45507.0)</f>
        <v>45507</v>
      </c>
      <c r="B1271" s="1" t="str">
        <f>IFERROR(__xludf.DUMMYFUNCTION("""COMPUTED_VALUE"""),"Stripe")</f>
        <v>Stripe</v>
      </c>
      <c r="C1271" s="1" t="str">
        <f>IFERROR(__xludf.DUMMYFUNCTION("""COMPUTED_VALUE"""),"GTM Finance and Strategy Operations")</f>
        <v>GTM Finance and Strategy Operations</v>
      </c>
      <c r="D1271" s="1" t="str">
        <f>IFERROR(__xludf.DUMMYFUNCTION("""COMPUTED_VALUE"""),"Remote")</f>
        <v>Remote</v>
      </c>
      <c r="E1271" s="1" t="str">
        <f>IFERROR(__xludf.DUMMYFUNCTION("""COMPUTED_VALUE"""),"$184k - $275k")</f>
        <v>$184k - $275k</v>
      </c>
      <c r="F1271" s="1" t="str">
        <f>IFERROR(__xludf.DUMMYFUNCTION("""COMPUTED_VALUE"""),"6 - 9")</f>
        <v>6 - 9</v>
      </c>
      <c r="G1271" s="1" t="str">
        <f>IFERROR(__xludf.DUMMYFUNCTION("""COMPUTED_VALUE"""),"USA")</f>
        <v>USA</v>
      </c>
      <c r="H1271" s="4" t="str">
        <f>IFERROR(__xludf.DUMMYFUNCTION("""COMPUTED_VALUE"""),"https://www.linkedin.com/posts/shanahedge_gtm-finance-and-strategy-operations-activity-7224827657044033537-tMKQ?utm_source=share&amp;utm_medium=member_desktop")</f>
        <v>https://www.linkedin.com/posts/shanahedge_gtm-finance-and-strategy-operations-activity-7224827657044033537-tMKQ?utm_source=share&amp;utm_medium=member_desktop</v>
      </c>
    </row>
    <row r="1272">
      <c r="A1272" s="2">
        <f>IFERROR(__xludf.DUMMYFUNCTION("""COMPUTED_VALUE"""),45507.0)</f>
        <v>45507</v>
      </c>
      <c r="B1272" s="1" t="str">
        <f>IFERROR(__xludf.DUMMYFUNCTION("""COMPUTED_VALUE"""),"Collective Health")</f>
        <v>Collective Health</v>
      </c>
      <c r="C1272" s="1" t="str">
        <f>IFERROR(__xludf.DUMMYFUNCTION("""COMPUTED_VALUE"""),"Senior Business Intelligence Developer")</f>
        <v>Senior Business Intelligence Developer</v>
      </c>
      <c r="D1272" s="1" t="str">
        <f>IFERROR(__xludf.DUMMYFUNCTION("""COMPUTED_VALUE"""),"Hybrid")</f>
        <v>Hybrid</v>
      </c>
      <c r="E1272" s="1" t="str">
        <f>IFERROR(__xludf.DUMMYFUNCTION("""COMPUTED_VALUE"""),"$94k - $146k")</f>
        <v>$94k - $146k</v>
      </c>
      <c r="F1272" s="1" t="str">
        <f>IFERROR(__xludf.DUMMYFUNCTION("""COMPUTED_VALUE"""),"3 - 5")</f>
        <v>3 - 5</v>
      </c>
      <c r="G1272" s="1" t="str">
        <f>IFERROR(__xludf.DUMMYFUNCTION("""COMPUTED_VALUE"""),"Certain Locations")</f>
        <v>Certain Locations</v>
      </c>
      <c r="H1272" s="4" t="str">
        <f>IFERROR(__xludf.DUMMYFUNCTION("""COMPUTED_VALUE"""),"https://www.linkedin.com/posts/omarvidaure_apply-join-the-collective-activity-7224179802864304128-m_C-?utm_source=share&amp;utm_medium=member_desktop")</f>
        <v>https://www.linkedin.com/posts/omarvidaure_apply-join-the-collective-activity-7224179802864304128-m_C-?utm_source=share&amp;utm_medium=member_desktop</v>
      </c>
    </row>
    <row r="1273">
      <c r="A1273" s="2">
        <f>IFERROR(__xludf.DUMMYFUNCTION("""COMPUTED_VALUE"""),45507.0)</f>
        <v>45507</v>
      </c>
      <c r="B1273" s="1" t="str">
        <f>IFERROR(__xludf.DUMMYFUNCTION("""COMPUTED_VALUE"""),"Qualia")</f>
        <v>Qualia</v>
      </c>
      <c r="C1273" s="1" t="str">
        <f>IFERROR(__xludf.DUMMYFUNCTION("""COMPUTED_VALUE"""),"Business Analyst")</f>
        <v>Business Analyst</v>
      </c>
      <c r="D1273" s="1" t="str">
        <f>IFERROR(__xludf.DUMMYFUNCTION("""COMPUTED_VALUE"""),"Remote")</f>
        <v>Remote</v>
      </c>
      <c r="E1273" s="1" t="str">
        <f>IFERROR(__xludf.DUMMYFUNCTION("""COMPUTED_VALUE"""),"$110k - $130k")</f>
        <v>$110k - $130k</v>
      </c>
      <c r="F1273" s="1" t="str">
        <f>IFERROR(__xludf.DUMMYFUNCTION("""COMPUTED_VALUE"""),"3 - 5")</f>
        <v>3 - 5</v>
      </c>
      <c r="G1273" s="1" t="str">
        <f>IFERROR(__xludf.DUMMYFUNCTION("""COMPUTED_VALUE"""),"USA")</f>
        <v>USA</v>
      </c>
      <c r="H1273" s="4" t="str">
        <f>IFERROR(__xludf.DUMMYFUNCTION("""COMPUTED_VALUE"""),"https://www.linkedin.com/posts/sarah-wilson-cullerton-575a0a17_business-analyst-cs-operations-qualia-activity-7225149995568545792-UNme?utm_source=share&amp;utm_medium=member_desktop")</f>
        <v>https://www.linkedin.com/posts/sarah-wilson-cullerton-575a0a17_business-analyst-cs-operations-qualia-activity-7225149995568545792-UNme?utm_source=share&amp;utm_medium=member_desktop</v>
      </c>
    </row>
    <row r="1274">
      <c r="A1274" s="2">
        <f>IFERROR(__xludf.DUMMYFUNCTION("""COMPUTED_VALUE"""),45507.0)</f>
        <v>45507</v>
      </c>
      <c r="B1274" s="1" t="str">
        <f>IFERROR(__xludf.DUMMYFUNCTION("""COMPUTED_VALUE"""),"Verse Medical")</f>
        <v>Verse Medical</v>
      </c>
      <c r="C1274" s="1" t="str">
        <f>IFERROR(__xludf.DUMMYFUNCTION("""COMPUTED_VALUE"""),"Data Analyst")</f>
        <v>Data Analyst</v>
      </c>
      <c r="D1274" s="1" t="str">
        <f>IFERROR(__xludf.DUMMYFUNCTION("""COMPUTED_VALUE"""),"On-Site")</f>
        <v>On-Site</v>
      </c>
      <c r="E1274" s="1" t="str">
        <f>IFERROR(__xludf.DUMMYFUNCTION("""COMPUTED_VALUE"""),"$80k - $110k")</f>
        <v>$80k - $110k</v>
      </c>
      <c r="F1274" s="1" t="str">
        <f>IFERROR(__xludf.DUMMYFUNCTION("""COMPUTED_VALUE"""),"0 - 2")</f>
        <v>0 - 2</v>
      </c>
      <c r="G1274" s="1" t="str">
        <f>IFERROR(__xludf.DUMMYFUNCTION("""COMPUTED_VALUE"""),"New York, NY")</f>
        <v>New York, NY</v>
      </c>
      <c r="H1274" s="4" t="str">
        <f>IFERROR(__xludf.DUMMYFUNCTION("""COMPUTED_VALUE"""),"https://www.linkedin.com/posts/andre-washington-0b726589_verse-medical-data-analyst-activity-7225179864566259714-fYIV?utm_source=share&amp;utm_medium=member_desktop")</f>
        <v>https://www.linkedin.com/posts/andre-washington-0b726589_verse-medical-data-analyst-activity-7225179864566259714-fYIV?utm_source=share&amp;utm_medium=member_desktop</v>
      </c>
    </row>
    <row r="1275">
      <c r="A1275" s="2">
        <f>IFERROR(__xludf.DUMMYFUNCTION("""COMPUTED_VALUE"""),45507.0)</f>
        <v>45507</v>
      </c>
      <c r="B1275" s="1" t="str">
        <f>IFERROR(__xludf.DUMMYFUNCTION("""COMPUTED_VALUE"""),"Schneider Electric")</f>
        <v>Schneider Electric</v>
      </c>
      <c r="C1275" s="1" t="str">
        <f>IFERROR(__xludf.DUMMYFUNCTION("""COMPUTED_VALUE"""),"Transporation Data Analyst")</f>
        <v>Transporation Data Analyst</v>
      </c>
      <c r="D1275" s="1" t="str">
        <f>IFERROR(__xludf.DUMMYFUNCTION("""COMPUTED_VALUE"""),"On-Site")</f>
        <v>On-Site</v>
      </c>
      <c r="E1275" s="1" t="str">
        <f>IFERROR(__xludf.DUMMYFUNCTION("""COMPUTED_VALUE"""),"N/A")</f>
        <v>N/A</v>
      </c>
      <c r="F1275" s="1" t="str">
        <f>IFERROR(__xludf.DUMMYFUNCTION("""COMPUTED_VALUE"""),"0 - 2")</f>
        <v>0 - 2</v>
      </c>
      <c r="G1275" s="1" t="str">
        <f>IFERROR(__xludf.DUMMYFUNCTION("""COMPUTED_VALUE"""),"Nashville, TN")</f>
        <v>Nashville, TN</v>
      </c>
      <c r="H1275" s="4" t="str">
        <f>IFERROR(__xludf.DUMMYFUNCTION("""COMPUTED_VALUE"""),"https://www.linkedin.com/posts/fmour1_check-out-this-job-at-schneider-electric-activity-7225487843056386048-Dx6f?utm_source=share&amp;utm_medium=member_desktop")</f>
        <v>https://www.linkedin.com/posts/fmour1_check-out-this-job-at-schneider-electric-activity-7225487843056386048-Dx6f?utm_source=share&amp;utm_medium=member_desktop</v>
      </c>
    </row>
    <row r="1276">
      <c r="A1276" s="2">
        <f>IFERROR(__xludf.DUMMYFUNCTION("""COMPUTED_VALUE"""),45507.0)</f>
        <v>45507</v>
      </c>
      <c r="B1276" s="1" t="str">
        <f>IFERROR(__xludf.DUMMYFUNCTION("""COMPUTED_VALUE"""),"Lululemon")</f>
        <v>Lululemon</v>
      </c>
      <c r="C1276" s="1" t="str">
        <f>IFERROR(__xludf.DUMMYFUNCTION("""COMPUTED_VALUE"""),"Marketing Science Analyst")</f>
        <v>Marketing Science Analyst</v>
      </c>
      <c r="D1276" s="1" t="str">
        <f>IFERROR(__xludf.DUMMYFUNCTION("""COMPUTED_VALUE"""),"Hybrid")</f>
        <v>Hybrid</v>
      </c>
      <c r="E1276" s="1" t="str">
        <f>IFERROR(__xludf.DUMMYFUNCTION("""COMPUTED_VALUE"""),"$106k - $139k")</f>
        <v>$106k - $139k</v>
      </c>
      <c r="F1276" s="1" t="str">
        <f>IFERROR(__xludf.DUMMYFUNCTION("""COMPUTED_VALUE"""),"0 - 2")</f>
        <v>0 - 2</v>
      </c>
      <c r="G1276" s="1" t="str">
        <f>IFERROR(__xludf.DUMMYFUNCTION("""COMPUTED_VALUE"""),"Vancouver, BC")</f>
        <v>Vancouver, BC</v>
      </c>
      <c r="H1276" s="4" t="str">
        <f>IFERROR(__xludf.DUMMYFUNCTION("""COMPUTED_VALUE"""),"https://www.linkedin.com/posts/annaclairekp_marketing-science-analyst-activity-7225210646575902720-9Fmo?utm_source=share&amp;utm_medium=member_desktop")</f>
        <v>https://www.linkedin.com/posts/annaclairekp_marketing-science-analyst-activity-7225210646575902720-9Fmo?utm_source=share&amp;utm_medium=member_desktop</v>
      </c>
    </row>
    <row r="1277">
      <c r="A1277" s="2">
        <f>IFERROR(__xludf.DUMMYFUNCTION("""COMPUTED_VALUE"""),45507.0)</f>
        <v>45507</v>
      </c>
      <c r="B1277" s="1" t="str">
        <f>IFERROR(__xludf.DUMMYFUNCTION("""COMPUTED_VALUE"""),"Perceptyx")</f>
        <v>Perceptyx</v>
      </c>
      <c r="C1277" s="1" t="str">
        <f>IFERROR(__xludf.DUMMYFUNCTION("""COMPUTED_VALUE"""),"Employee Experience Analyst")</f>
        <v>Employee Experience Analyst</v>
      </c>
      <c r="D1277" s="1" t="str">
        <f>IFERROR(__xludf.DUMMYFUNCTION("""COMPUTED_VALUE"""),"Remote")</f>
        <v>Remote</v>
      </c>
      <c r="E1277" s="1" t="str">
        <f>IFERROR(__xludf.DUMMYFUNCTION("""COMPUTED_VALUE"""),"$65k - $70k")</f>
        <v>$65k - $70k</v>
      </c>
      <c r="F1277" s="1" t="str">
        <f>IFERROR(__xludf.DUMMYFUNCTION("""COMPUTED_VALUE"""),"0 - 2")</f>
        <v>0 - 2</v>
      </c>
      <c r="G1277" s="1" t="str">
        <f>IFERROR(__xludf.DUMMYFUNCTION("""COMPUTED_VALUE"""),"USA")</f>
        <v>USA</v>
      </c>
      <c r="H1277" s="4" t="str">
        <f>IFERROR(__xludf.DUMMYFUNCTION("""COMPUTED_VALUE"""),"https://www.linkedin.com/posts/activity-7225193384234131456-oWz-?utm_source=share&amp;utm_medium=member_desktop")</f>
        <v>https://www.linkedin.com/posts/activity-7225193384234131456-oWz-?utm_source=share&amp;utm_medium=member_desktop</v>
      </c>
    </row>
    <row r="1278">
      <c r="A1278" s="2">
        <f>IFERROR(__xludf.DUMMYFUNCTION("""COMPUTED_VALUE"""),45507.0)</f>
        <v>45507</v>
      </c>
      <c r="B1278" s="1" t="str">
        <f>IFERROR(__xludf.DUMMYFUNCTION("""COMPUTED_VALUE"""),"Morgan Stanley")</f>
        <v>Morgan Stanley</v>
      </c>
      <c r="C1278" s="1" t="str">
        <f>IFERROR(__xludf.DUMMYFUNCTION("""COMPUTED_VALUE"""),"Data Scientist AVP")</f>
        <v>Data Scientist AVP</v>
      </c>
      <c r="D1278" s="1" t="str">
        <f>IFERROR(__xludf.DUMMYFUNCTION("""COMPUTED_VALUE"""),"On-Site")</f>
        <v>On-Site</v>
      </c>
      <c r="E1278" s="1" t="str">
        <f>IFERROR(__xludf.DUMMYFUNCTION("""COMPUTED_VALUE"""),"$85k - $135k")</f>
        <v>$85k - $135k</v>
      </c>
      <c r="F1278" s="1" t="str">
        <f>IFERROR(__xludf.DUMMYFUNCTION("""COMPUTED_VALUE"""),"3 - 5")</f>
        <v>3 - 5</v>
      </c>
      <c r="G1278" s="1" t="str">
        <f>IFERROR(__xludf.DUMMYFUNCTION("""COMPUTED_VALUE"""),"New York, NY")</f>
        <v>New York, NY</v>
      </c>
      <c r="H1278" s="4" t="str">
        <f>IFERROR(__xludf.DUMMYFUNCTION("""COMPUTED_VALUE"""),"https://www.linkedin.com/posts/kasey-bury-0268783b_hiring-datascientist-activity-7225514322578259968-EZ7X?utm_source=share&amp;utm_medium=member_desktop")</f>
        <v>https://www.linkedin.com/posts/kasey-bury-0268783b_hiring-datascientist-activity-7225514322578259968-EZ7X?utm_source=share&amp;utm_medium=member_desktop</v>
      </c>
    </row>
    <row r="1279">
      <c r="A1279" s="2">
        <f>IFERROR(__xludf.DUMMYFUNCTION("""COMPUTED_VALUE"""),45507.0)</f>
        <v>45507</v>
      </c>
      <c r="B1279" s="1" t="str">
        <f>IFERROR(__xludf.DUMMYFUNCTION("""COMPUTED_VALUE"""),"American Express")</f>
        <v>American Express</v>
      </c>
      <c r="C1279" s="1" t="str">
        <f>IFERROR(__xludf.DUMMYFUNCTION("""COMPUTED_VALUE"""),"Senior Manager - Data Hierarchy")</f>
        <v>Senior Manager - Data Hierarchy</v>
      </c>
      <c r="D1279" s="1" t="str">
        <f>IFERROR(__xludf.DUMMYFUNCTION("""COMPUTED_VALUE"""),"Hybrid")</f>
        <v>Hybrid</v>
      </c>
      <c r="E1279" s="1" t="str">
        <f>IFERROR(__xludf.DUMMYFUNCTION("""COMPUTED_VALUE"""),"$90k - $165k")</f>
        <v>$90k - $165k</v>
      </c>
      <c r="F1279" s="1" t="str">
        <f>IFERROR(__xludf.DUMMYFUNCTION("""COMPUTED_VALUE"""),"3 - 5")</f>
        <v>3 - 5</v>
      </c>
      <c r="G1279" s="1" t="str">
        <f>IFERROR(__xludf.DUMMYFUNCTION("""COMPUTED_VALUE"""),"New York, NY")</f>
        <v>New York, NY</v>
      </c>
      <c r="H1279" s="4" t="str">
        <f>IFERROR(__xludf.DUMMYFUNCTION("""COMPUTED_VALUE"""),"https://www.linkedin.com/posts/berenice-guzmanf_hiring-activity-7225247105869639680-Ymg3?utm_source=share&amp;utm_medium=member_desktop")</f>
        <v>https://www.linkedin.com/posts/berenice-guzmanf_hiring-activity-7225247105869639680-Ymg3?utm_source=share&amp;utm_medium=member_desktop</v>
      </c>
    </row>
    <row r="1280">
      <c r="A1280" s="2">
        <f>IFERROR(__xludf.DUMMYFUNCTION("""COMPUTED_VALUE"""),45507.0)</f>
        <v>45507</v>
      </c>
      <c r="B1280" s="1" t="str">
        <f>IFERROR(__xludf.DUMMYFUNCTION("""COMPUTED_VALUE"""),"Netflix")</f>
        <v>Netflix</v>
      </c>
      <c r="C1280" s="1" t="str">
        <f>IFERROR(__xludf.DUMMYFUNCTION("""COMPUTED_VALUE"""),"Data Analyst, Production Finance")</f>
        <v>Data Analyst, Production Finance</v>
      </c>
      <c r="D1280" s="1" t="str">
        <f>IFERROR(__xludf.DUMMYFUNCTION("""COMPUTED_VALUE"""),"On-Site")</f>
        <v>On-Site</v>
      </c>
      <c r="E1280" s="1" t="str">
        <f>IFERROR(__xludf.DUMMYFUNCTION("""COMPUTED_VALUE"""),"$50k - $240k")</f>
        <v>$50k - $240k</v>
      </c>
      <c r="F1280" s="1" t="str">
        <f>IFERROR(__xludf.DUMMYFUNCTION("""COMPUTED_VALUE"""),"3 - 5")</f>
        <v>3 - 5</v>
      </c>
      <c r="G1280" s="1" t="str">
        <f>IFERROR(__xludf.DUMMYFUNCTION("""COMPUTED_VALUE"""),"Los Angeles, CA")</f>
        <v>Los Angeles, CA</v>
      </c>
      <c r="H1280" s="4" t="str">
        <f>IFERROR(__xludf.DUMMYFUNCTION("""COMPUTED_VALUE"""),"https://www.linkedin.com/posts/andie-rice_hiring-hiring-dataanalyst-activity-7225354243203809280-wawr?utm_source=share&amp;utm_medium=member_desktop")</f>
        <v>https://www.linkedin.com/posts/andie-rice_hiring-hiring-dataanalyst-activity-7225354243203809280-wawr?utm_source=share&amp;utm_medium=member_desktop</v>
      </c>
    </row>
    <row r="1281">
      <c r="A1281" s="2">
        <f>IFERROR(__xludf.DUMMYFUNCTION("""COMPUTED_VALUE"""),45507.0)</f>
        <v>45507</v>
      </c>
      <c r="B1281" s="1" t="str">
        <f>IFERROR(__xludf.DUMMYFUNCTION("""COMPUTED_VALUE"""),"Pendo")</f>
        <v>Pendo</v>
      </c>
      <c r="C1281" s="1" t="str">
        <f>IFERROR(__xludf.DUMMYFUNCTION("""COMPUTED_VALUE"""),"FP&amp;A Manager")</f>
        <v>FP&amp;A Manager</v>
      </c>
      <c r="D1281" s="1" t="str">
        <f>IFERROR(__xludf.DUMMYFUNCTION("""COMPUTED_VALUE"""),"Hybrid")</f>
        <v>Hybrid</v>
      </c>
      <c r="E1281" s="1" t="str">
        <f>IFERROR(__xludf.DUMMYFUNCTION("""COMPUTED_VALUE"""),"$105k - $120k")</f>
        <v>$105k - $120k</v>
      </c>
      <c r="F1281" s="1" t="str">
        <f>IFERROR(__xludf.DUMMYFUNCTION("""COMPUTED_VALUE"""),"3 - 5")</f>
        <v>3 - 5</v>
      </c>
      <c r="G1281" s="1" t="str">
        <f>IFERROR(__xludf.DUMMYFUNCTION("""COMPUTED_VALUE"""),"Charlotte, NC")</f>
        <v>Charlotte, NC</v>
      </c>
      <c r="H1281" s="4" t="str">
        <f>IFERROR(__xludf.DUMMYFUNCTION("""COMPUTED_VALUE"""),"https://www.linkedin.com/posts/asthapatel03_friends-i-am-excited-to-announce-another-activity-7225470469548773376-S1-b?utm_source=share&amp;utm_medium=member_desktop")</f>
        <v>https://www.linkedin.com/posts/asthapatel03_friends-i-am-excited-to-announce-another-activity-7225470469548773376-S1-b?utm_source=share&amp;utm_medium=member_desktop</v>
      </c>
    </row>
    <row r="1282">
      <c r="A1282" s="2">
        <f>IFERROR(__xludf.DUMMYFUNCTION("""COMPUTED_VALUE"""),45507.0)</f>
        <v>45507</v>
      </c>
      <c r="B1282" s="1" t="str">
        <f>IFERROR(__xludf.DUMMYFUNCTION("""COMPUTED_VALUE"""),"Headway")</f>
        <v>Headway</v>
      </c>
      <c r="C1282" s="1" t="str">
        <f>IFERROR(__xludf.DUMMYFUNCTION("""COMPUTED_VALUE"""),"Senior Product Analyst")</f>
        <v>Senior Product Analyst</v>
      </c>
      <c r="D1282" s="1" t="str">
        <f>IFERROR(__xludf.DUMMYFUNCTION("""COMPUTED_VALUE"""),"Remote")</f>
        <v>Remote</v>
      </c>
      <c r="E1282" s="1" t="str">
        <f>IFERROR(__xludf.DUMMYFUNCTION("""COMPUTED_VALUE"""),"$178k")</f>
        <v>$178k</v>
      </c>
      <c r="F1282" s="1" t="str">
        <f>IFERROR(__xludf.DUMMYFUNCTION("""COMPUTED_VALUE"""),"3 - 5")</f>
        <v>3 - 5</v>
      </c>
      <c r="G1282" s="1" t="str">
        <f>IFERROR(__xludf.DUMMYFUNCTION("""COMPUTED_VALUE"""),"USA")</f>
        <v>USA</v>
      </c>
      <c r="H1282" s="4" t="str">
        <f>IFERROR(__xludf.DUMMYFUNCTION("""COMPUTED_VALUE"""),"https://www.linkedin.com/posts/bkb997_senior-product-analyst-activity-7225576160284327937-VwE6?utm_source=share&amp;utm_medium=member_desktop")</f>
        <v>https://www.linkedin.com/posts/bkb997_senior-product-analyst-activity-7225576160284327937-VwE6?utm_source=share&amp;utm_medium=member_desktop</v>
      </c>
    </row>
    <row r="1283">
      <c r="A1283" s="2">
        <f>IFERROR(__xludf.DUMMYFUNCTION("""COMPUTED_VALUE"""),45506.0)</f>
        <v>45506</v>
      </c>
      <c r="B1283" s="1" t="str">
        <f>IFERROR(__xludf.DUMMYFUNCTION("""COMPUTED_VALUE"""),"ICU Medical")</f>
        <v>ICU Medical</v>
      </c>
      <c r="C1283" s="1" t="str">
        <f>IFERROR(__xludf.DUMMYFUNCTION("""COMPUTED_VALUE"""),"Senior Analyst, HRIS")</f>
        <v>Senior Analyst, HRIS</v>
      </c>
      <c r="D1283" s="1" t="str">
        <f>IFERROR(__xludf.DUMMYFUNCTION("""COMPUTED_VALUE"""),"Remote")</f>
        <v>Remote</v>
      </c>
      <c r="E1283" s="1" t="str">
        <f>IFERROR(__xludf.DUMMYFUNCTION("""COMPUTED_VALUE"""),"$89k - $109k")</f>
        <v>$89k - $109k</v>
      </c>
      <c r="F1283" s="1" t="str">
        <f>IFERROR(__xludf.DUMMYFUNCTION("""COMPUTED_VALUE"""),"3 - 5")</f>
        <v>3 - 5</v>
      </c>
      <c r="G1283" s="1" t="str">
        <f>IFERROR(__xludf.DUMMYFUNCTION("""COMPUTED_VALUE"""),"USA")</f>
        <v>USA</v>
      </c>
      <c r="H1283" s="4" t="str">
        <f>IFERROR(__xludf.DUMMYFUNCTION("""COMPUTED_VALUE"""),"https://www.linkedin.com/posts/erla-joy-isaac-57ab9125_hrisanalyst-remoteopportunity-nowhiring-activity-7223742059667447808-WXfx?utm_source=share&amp;utm_medium=member_desktop")</f>
        <v>https://www.linkedin.com/posts/erla-joy-isaac-57ab9125_hrisanalyst-remoteopportunity-nowhiring-activity-7223742059667447808-WXfx?utm_source=share&amp;utm_medium=member_desktop</v>
      </c>
    </row>
    <row r="1284">
      <c r="A1284" s="2">
        <f>IFERROR(__xludf.DUMMYFUNCTION("""COMPUTED_VALUE"""),45506.0)</f>
        <v>45506</v>
      </c>
      <c r="B1284" s="1" t="str">
        <f>IFERROR(__xludf.DUMMYFUNCTION("""COMPUTED_VALUE"""),"Progressive Residential")</f>
        <v>Progressive Residential</v>
      </c>
      <c r="C1284" s="1" t="str">
        <f>IFERROR(__xludf.DUMMYFUNCTION("""COMPUTED_VALUE"""),"Senior Analyst Revenue Operations")</f>
        <v>Senior Analyst Revenue Operations</v>
      </c>
      <c r="D1284" s="1" t="str">
        <f>IFERROR(__xludf.DUMMYFUNCTION("""COMPUTED_VALUE"""),"Remote")</f>
        <v>Remote</v>
      </c>
      <c r="E1284" s="1" t="str">
        <f>IFERROR(__xludf.DUMMYFUNCTION("""COMPUTED_VALUE"""),"N/A")</f>
        <v>N/A</v>
      </c>
      <c r="F1284" s="1" t="str">
        <f>IFERROR(__xludf.DUMMYFUNCTION("""COMPUTED_VALUE"""),"0 - 2")</f>
        <v>0 - 2</v>
      </c>
      <c r="G1284" s="1" t="str">
        <f>IFERROR(__xludf.DUMMYFUNCTION("""COMPUTED_VALUE"""),"USA")</f>
        <v>USA</v>
      </c>
      <c r="H1284" s="4" t="str">
        <f>IFERROR(__xludf.DUMMYFUNCTION("""COMPUTED_VALUE"""),"https://www.linkedin.com/posts/jashyardjohnson_senior-analyst-revenue-operations-activity-7224791784038547456-Ptvh?utm_source=share&amp;utm_medium=member_desktop")</f>
        <v>https://www.linkedin.com/posts/jashyardjohnson_senior-analyst-revenue-operations-activity-7224791784038547456-Ptvh?utm_source=share&amp;utm_medium=member_desktop</v>
      </c>
    </row>
    <row r="1285">
      <c r="A1285" s="2">
        <f>IFERROR(__xludf.DUMMYFUNCTION("""COMPUTED_VALUE"""),45506.0)</f>
        <v>45506</v>
      </c>
      <c r="B1285" s="1" t="str">
        <f>IFERROR(__xludf.DUMMYFUNCTION("""COMPUTED_VALUE"""),"Michael J. Fox Foundation")</f>
        <v>Michael J. Fox Foundation</v>
      </c>
      <c r="C1285" s="1" t="str">
        <f>IFERROR(__xludf.DUMMYFUNCTION("""COMPUTED_VALUE"""),"Senior Business Intelligence Analyst")</f>
        <v>Senior Business Intelligence Analyst</v>
      </c>
      <c r="D1285" s="1" t="str">
        <f>IFERROR(__xludf.DUMMYFUNCTION("""COMPUTED_VALUE"""),"Remote")</f>
        <v>Remote</v>
      </c>
      <c r="E1285" s="1" t="str">
        <f>IFERROR(__xludf.DUMMYFUNCTION("""COMPUTED_VALUE"""),"$100k - $125k")</f>
        <v>$100k - $125k</v>
      </c>
      <c r="F1285" s="1" t="str">
        <f>IFERROR(__xludf.DUMMYFUNCTION("""COMPUTED_VALUE"""),"0 - 2")</f>
        <v>0 - 2</v>
      </c>
      <c r="G1285" s="1" t="str">
        <f>IFERROR(__xludf.DUMMYFUNCTION("""COMPUTED_VALUE"""),"USA")</f>
        <v>USA</v>
      </c>
      <c r="H1285" s="4" t="str">
        <f>IFERROR(__xludf.DUMMYFUNCTION("""COMPUTED_VALUE"""),"https://www.linkedin.com/posts/joemoran_senior-business-intelligence-analyst-activity-7224841471969869825-r5ts?utm_source=share&amp;utm_medium=member_desktop")</f>
        <v>https://www.linkedin.com/posts/joemoran_senior-business-intelligence-analyst-activity-7224841471969869825-r5ts?utm_source=share&amp;utm_medium=member_desktop</v>
      </c>
    </row>
    <row r="1286">
      <c r="A1286" s="2">
        <f>IFERROR(__xludf.DUMMYFUNCTION("""COMPUTED_VALUE"""),45506.0)</f>
        <v>45506</v>
      </c>
      <c r="B1286" s="1" t="str">
        <f>IFERROR(__xludf.DUMMYFUNCTION("""COMPUTED_VALUE"""),"CVS Health")</f>
        <v>CVS Health</v>
      </c>
      <c r="C1286" s="1" t="str">
        <f>IFERROR(__xludf.DUMMYFUNCTION("""COMPUTED_VALUE"""),"Senior Data Scientist – Care Management Analytics")</f>
        <v>Senior Data Scientist – Care Management Analytics</v>
      </c>
      <c r="D1286" s="1" t="str">
        <f>IFERROR(__xludf.DUMMYFUNCTION("""COMPUTED_VALUE"""),"Remote")</f>
        <v>Remote</v>
      </c>
      <c r="E1286" s="1" t="str">
        <f>IFERROR(__xludf.DUMMYFUNCTION("""COMPUTED_VALUE"""),"$83k - $222k")</f>
        <v>$83k - $222k</v>
      </c>
      <c r="F1286" s="1" t="str">
        <f>IFERROR(__xludf.DUMMYFUNCTION("""COMPUTED_VALUE"""),"3 - 5")</f>
        <v>3 - 5</v>
      </c>
      <c r="G1286" s="1" t="str">
        <f>IFERROR(__xludf.DUMMYFUNCTION("""COMPUTED_VALUE"""),"USA")</f>
        <v>USA</v>
      </c>
      <c r="H1286" s="4" t="str">
        <f>IFERROR(__xludf.DUMMYFUNCTION("""COMPUTED_VALUE"""),"https://www.linkedin.com/posts/chang-lu_job-details-activity-7224776606655934464-npKH?utm_source=share&amp;utm_medium=member_desktop")</f>
        <v>https://www.linkedin.com/posts/chang-lu_job-details-activity-7224776606655934464-npKH?utm_source=share&amp;utm_medium=member_desktop</v>
      </c>
    </row>
    <row r="1287">
      <c r="A1287" s="2">
        <f>IFERROR(__xludf.DUMMYFUNCTION("""COMPUTED_VALUE"""),45506.0)</f>
        <v>45506</v>
      </c>
      <c r="B1287" s="1" t="str">
        <f>IFERROR(__xludf.DUMMYFUNCTION("""COMPUTED_VALUE"""),"Walt Disney World Resort")</f>
        <v>Walt Disney World Resort</v>
      </c>
      <c r="C1287" s="1" t="str">
        <f>IFERROR(__xludf.DUMMYFUNCTION("""COMPUTED_VALUE"""),"Senior Environmental Data Analyst")</f>
        <v>Senior Environmental Data Analyst</v>
      </c>
      <c r="D1287" s="1" t="str">
        <f>IFERROR(__xludf.DUMMYFUNCTION("""COMPUTED_VALUE"""),"Hybrid")</f>
        <v>Hybrid</v>
      </c>
      <c r="E1287" s="1" t="str">
        <f>IFERROR(__xludf.DUMMYFUNCTION("""COMPUTED_VALUE"""),"N/A")</f>
        <v>N/A</v>
      </c>
      <c r="F1287" s="1" t="str">
        <f>IFERROR(__xludf.DUMMYFUNCTION("""COMPUTED_VALUE"""),"3 - 5")</f>
        <v>3 - 5</v>
      </c>
      <c r="G1287" s="1" t="str">
        <f>IFERROR(__xludf.DUMMYFUNCTION("""COMPUTED_VALUE"""),"Lake Buena Vista, FL")</f>
        <v>Lake Buena Vista, FL</v>
      </c>
      <c r="H1287" s="4" t="str">
        <f>IFERROR(__xludf.DUMMYFUNCTION("""COMPUTED_VALUE"""),"https://www.linkedin.com/posts/dianamaronen_senior-environmental-data-analyst-at-disney-activity-7224822311860756480-72Mq?utm_source=share&amp;utm_medium=member_desktop")</f>
        <v>https://www.linkedin.com/posts/dianamaronen_senior-environmental-data-analyst-at-disney-activity-7224822311860756480-72Mq?utm_source=share&amp;utm_medium=member_desktop</v>
      </c>
    </row>
    <row r="1288">
      <c r="A1288" s="2">
        <f>IFERROR(__xludf.DUMMYFUNCTION("""COMPUTED_VALUE"""),45506.0)</f>
        <v>45506</v>
      </c>
      <c r="B1288" s="1" t="str">
        <f>IFERROR(__xludf.DUMMYFUNCTION("""COMPUTED_VALUE"""),"Pivot Energy")</f>
        <v>Pivot Energy</v>
      </c>
      <c r="C1288" s="1" t="str">
        <f>IFERROR(__xludf.DUMMYFUNCTION("""COMPUTED_VALUE"""),"Associate, Sales Operations")</f>
        <v>Associate, Sales Operations</v>
      </c>
      <c r="D1288" s="1" t="str">
        <f>IFERROR(__xludf.DUMMYFUNCTION("""COMPUTED_VALUE"""),"Remote")</f>
        <v>Remote</v>
      </c>
      <c r="E1288" s="1" t="str">
        <f>IFERROR(__xludf.DUMMYFUNCTION("""COMPUTED_VALUE"""),"$60k - $90k")</f>
        <v>$60k - $90k</v>
      </c>
      <c r="F1288" s="1" t="str">
        <f>IFERROR(__xludf.DUMMYFUNCTION("""COMPUTED_VALUE"""),"0 - 2")</f>
        <v>0 - 2</v>
      </c>
      <c r="G1288" s="1" t="str">
        <f>IFERROR(__xludf.DUMMYFUNCTION("""COMPUTED_VALUE"""),"USA")</f>
        <v>USA</v>
      </c>
      <c r="H1288" s="4" t="str">
        <f>IFERROR(__xludf.DUMMYFUNCTION("""COMPUTED_VALUE"""),"https://www.linkedin.com/posts/carleycotter_pivot-is-hiring-this-is-a-great-role-for-activity-7224883598770757633-ryzu?utm_source=share&amp;utm_medium=member_desktop")</f>
        <v>https://www.linkedin.com/posts/carleycotter_pivot-is-hiring-this-is-a-great-role-for-activity-7224883598770757633-ryzu?utm_source=share&amp;utm_medium=member_desktop</v>
      </c>
    </row>
    <row r="1289">
      <c r="A1289" s="2">
        <f>IFERROR(__xludf.DUMMYFUNCTION("""COMPUTED_VALUE"""),45506.0)</f>
        <v>45506</v>
      </c>
      <c r="B1289" s="1" t="str">
        <f>IFERROR(__xludf.DUMMYFUNCTION("""COMPUTED_VALUE"""),"PetSmart")</f>
        <v>PetSmart</v>
      </c>
      <c r="C1289" s="1" t="str">
        <f>IFERROR(__xludf.DUMMYFUNCTION("""COMPUTED_VALUE"""),"Sr. Financial Analyst")</f>
        <v>Sr. Financial Analyst</v>
      </c>
      <c r="D1289" s="1" t="str">
        <f>IFERROR(__xludf.DUMMYFUNCTION("""COMPUTED_VALUE"""),"Hybrid")</f>
        <v>Hybrid</v>
      </c>
      <c r="E1289" s="1" t="str">
        <f>IFERROR(__xludf.DUMMYFUNCTION("""COMPUTED_VALUE"""),"N/A")</f>
        <v>N/A</v>
      </c>
      <c r="F1289" s="1" t="str">
        <f>IFERROR(__xludf.DUMMYFUNCTION("""COMPUTED_VALUE"""),"3 - 5")</f>
        <v>3 - 5</v>
      </c>
      <c r="G1289" s="1" t="str">
        <f>IFERROR(__xludf.DUMMYFUNCTION("""COMPUTED_VALUE"""),"Phoenix, AZ")</f>
        <v>Phoenix, AZ</v>
      </c>
      <c r="H1289" s="4" t="str">
        <f>IFERROR(__xludf.DUMMYFUNCTION("""COMPUTED_VALUE"""),"https://www.linkedin.com/posts/alexisdrickel_lifeatpetsmart-hiring-financialanalyst-activity-7224799008039297024-Cs_D?utm_source=share&amp;utm_medium=member_desktop")</f>
        <v>https://www.linkedin.com/posts/alexisdrickel_lifeatpetsmart-hiring-financialanalyst-activity-7224799008039297024-Cs_D?utm_source=share&amp;utm_medium=member_desktop</v>
      </c>
    </row>
    <row r="1290">
      <c r="A1290" s="2">
        <f>IFERROR(__xludf.DUMMYFUNCTION("""COMPUTED_VALUE"""),45506.0)</f>
        <v>45506</v>
      </c>
      <c r="B1290" s="1" t="str">
        <f>IFERROR(__xludf.DUMMYFUNCTION("""COMPUTED_VALUE"""),"Clair")</f>
        <v>Clair</v>
      </c>
      <c r="C1290" s="1" t="str">
        <f>IFERROR(__xludf.DUMMYFUNCTION("""COMPUTED_VALUE"""),"Senior/Staff Data Scientist")</f>
        <v>Senior/Staff Data Scientist</v>
      </c>
      <c r="D1290" s="1" t="str">
        <f>IFERROR(__xludf.DUMMYFUNCTION("""COMPUTED_VALUE"""),"Hybrid")</f>
        <v>Hybrid</v>
      </c>
      <c r="E1290" s="1" t="str">
        <f>IFERROR(__xludf.DUMMYFUNCTION("""COMPUTED_VALUE"""),"N/A")</f>
        <v>N/A</v>
      </c>
      <c r="F1290" s="1" t="str">
        <f>IFERROR(__xludf.DUMMYFUNCTION("""COMPUTED_VALUE"""),"6 - 9")</f>
        <v>6 - 9</v>
      </c>
      <c r="G1290" s="1" t="str">
        <f>IFERROR(__xludf.DUMMYFUNCTION("""COMPUTED_VALUE"""),"New York, NY")</f>
        <v>New York, NY</v>
      </c>
      <c r="H1290" s="4" t="str">
        <f>IFERROR(__xludf.DUMMYFUNCTION("""COMPUTED_VALUE"""),"https://www.linkedin.com/posts/erik-gregory-webb_seniorstaff-data-scientist-activity-7224755148529541122-WCjc?utm_source=share&amp;utm_medium=member_desktop")</f>
        <v>https://www.linkedin.com/posts/erik-gregory-webb_seniorstaff-data-scientist-activity-7224755148529541122-WCjc?utm_source=share&amp;utm_medium=member_desktop</v>
      </c>
    </row>
    <row r="1291">
      <c r="A1291" s="2">
        <f>IFERROR(__xludf.DUMMYFUNCTION("""COMPUTED_VALUE"""),45506.0)</f>
        <v>45506</v>
      </c>
      <c r="B1291" s="1" t="str">
        <f>IFERROR(__xludf.DUMMYFUNCTION("""COMPUTED_VALUE"""),"GEICO")</f>
        <v>GEICO</v>
      </c>
      <c r="C1291" s="1" t="str">
        <f>IFERROR(__xludf.DUMMYFUNCTION("""COMPUTED_VALUE"""),"Business Intelligence Manager (2)")</f>
        <v>Business Intelligence Manager (2)</v>
      </c>
      <c r="D1291" s="1" t="str">
        <f>IFERROR(__xludf.DUMMYFUNCTION("""COMPUTED_VALUE"""),"Hybrid")</f>
        <v>Hybrid</v>
      </c>
      <c r="E1291" s="1" t="str">
        <f>IFERROR(__xludf.DUMMYFUNCTION("""COMPUTED_VALUE"""),"$113k - $207k")</f>
        <v>$113k - $207k</v>
      </c>
      <c r="F1291" s="1" t="str">
        <f>IFERROR(__xludf.DUMMYFUNCTION("""COMPUTED_VALUE"""),"3 - 5")</f>
        <v>3 - 5</v>
      </c>
      <c r="G1291" s="1" t="str">
        <f>IFERROR(__xludf.DUMMYFUNCTION("""COMPUTED_VALUE"""),"Chevy Chase, MD")</f>
        <v>Chevy Chase, MD</v>
      </c>
      <c r="H1291" s="4" t="str">
        <f>IFERROR(__xludf.DUMMYFUNCTION("""COMPUTED_VALUE"""),"https://www.linkedin.com/posts/dericgulley_we-are-hiring-a-two-2-managers-for-our-activity-7224847777317404674-CVSb?utm_source=share&amp;utm_medium=member_desktop")</f>
        <v>https://www.linkedin.com/posts/dericgulley_we-are-hiring-a-two-2-managers-for-our-activity-7224847777317404674-CVSb?utm_source=share&amp;utm_medium=member_desktop</v>
      </c>
    </row>
    <row r="1292">
      <c r="A1292" s="2">
        <f>IFERROR(__xludf.DUMMYFUNCTION("""COMPUTED_VALUE"""),45506.0)</f>
        <v>45506</v>
      </c>
      <c r="B1292" s="1" t="str">
        <f>IFERROR(__xludf.DUMMYFUNCTION("""COMPUTED_VALUE"""),"LP Building Solutions")</f>
        <v>LP Building Solutions</v>
      </c>
      <c r="C1292" s="1" t="str">
        <f>IFERROR(__xludf.DUMMYFUNCTION("""COMPUTED_VALUE"""),"Analytics Engineer")</f>
        <v>Analytics Engineer</v>
      </c>
      <c r="D1292" s="1" t="str">
        <f>IFERROR(__xludf.DUMMYFUNCTION("""COMPUTED_VALUE"""),"Hybrid")</f>
        <v>Hybrid</v>
      </c>
      <c r="E1292" s="1" t="str">
        <f>IFERROR(__xludf.DUMMYFUNCTION("""COMPUTED_VALUE"""),"N/A")</f>
        <v>N/A</v>
      </c>
      <c r="F1292" s="1" t="str">
        <f>IFERROR(__xludf.DUMMYFUNCTION("""COMPUTED_VALUE"""),"3 - 5")</f>
        <v>3 - 5</v>
      </c>
      <c r="G1292" s="1" t="str">
        <f>IFERROR(__xludf.DUMMYFUNCTION("""COMPUTED_VALUE"""),"Nashville, TN")</f>
        <v>Nashville, TN</v>
      </c>
      <c r="H1292" s="4" t="str">
        <f>IFERROR(__xludf.DUMMYFUNCTION("""COMPUTED_VALUE"""),"https://www.linkedin.com/posts/allison-skinner1_i-am-hiring-for-an-analytics-engineer-join-activity-7224941096613670912-SCbL?utm_source=share&amp;utm_medium=member_desktop")</f>
        <v>https://www.linkedin.com/posts/allison-skinner1_i-am-hiring-for-an-analytics-engineer-join-activity-7224941096613670912-SCbL?utm_source=share&amp;utm_medium=member_desktop</v>
      </c>
    </row>
    <row r="1293">
      <c r="A1293" s="2">
        <f>IFERROR(__xludf.DUMMYFUNCTION("""COMPUTED_VALUE"""),45506.0)</f>
        <v>45506</v>
      </c>
      <c r="B1293" s="1" t="str">
        <f>IFERROR(__xludf.DUMMYFUNCTION("""COMPUTED_VALUE"""),"University of Nebraska Foundation")</f>
        <v>University of Nebraska Foundation</v>
      </c>
      <c r="C1293" s="1" t="str">
        <f>IFERROR(__xludf.DUMMYFUNCTION("""COMPUTED_VALUE"""),"Data &amp; Reporting Analyst")</f>
        <v>Data &amp; Reporting Analyst</v>
      </c>
      <c r="D1293" s="1" t="str">
        <f>IFERROR(__xludf.DUMMYFUNCTION("""COMPUTED_VALUE"""),"Hybrid")</f>
        <v>Hybrid</v>
      </c>
      <c r="E1293" s="1" t="str">
        <f>IFERROR(__xludf.DUMMYFUNCTION("""COMPUTED_VALUE"""),"N/A")</f>
        <v>N/A</v>
      </c>
      <c r="F1293" s="1" t="str">
        <f>IFERROR(__xludf.DUMMYFUNCTION("""COMPUTED_VALUE"""),"3 - 5")</f>
        <v>3 - 5</v>
      </c>
      <c r="G1293" s="1" t="str">
        <f>IFERROR(__xludf.DUMMYFUNCTION("""COMPUTED_VALUE"""),"Lincoln, NE")</f>
        <v>Lincoln, NE</v>
      </c>
      <c r="H1293" s="4" t="str">
        <f>IFERROR(__xludf.DUMMYFUNCTION("""COMPUTED_VALUE"""),"https://www.linkedin.com/posts/jessierader_im-hiring-im-looking-for-someone-interested-activity-7224763652346667008-uYLm?utm_source=share&amp;utm_medium=member_desktop")</f>
        <v>https://www.linkedin.com/posts/jessierader_im-hiring-im-looking-for-someone-interested-activity-7224763652346667008-uYLm?utm_source=share&amp;utm_medium=member_desktop</v>
      </c>
    </row>
    <row r="1294">
      <c r="A1294" s="2">
        <f>IFERROR(__xludf.DUMMYFUNCTION("""COMPUTED_VALUE"""),45506.0)</f>
        <v>45506</v>
      </c>
      <c r="B1294" s="1" t="str">
        <f>IFERROR(__xludf.DUMMYFUNCTION("""COMPUTED_VALUE"""),"HireTalent (Agency)")</f>
        <v>HireTalent (Agency)</v>
      </c>
      <c r="C1294" s="1" t="str">
        <f>IFERROR(__xludf.DUMMYFUNCTION("""COMPUTED_VALUE"""),"Data Analytics Engineer")</f>
        <v>Data Analytics Engineer</v>
      </c>
      <c r="D1294" s="1" t="str">
        <f>IFERROR(__xludf.DUMMYFUNCTION("""COMPUTED_VALUE"""),"Remote")</f>
        <v>Remote</v>
      </c>
      <c r="E1294" s="1" t="str">
        <f>IFERROR(__xludf.DUMMYFUNCTION("""COMPUTED_VALUE"""),"N/A")</f>
        <v>N/A</v>
      </c>
      <c r="F1294" s="1" t="str">
        <f>IFERROR(__xludf.DUMMYFUNCTION("""COMPUTED_VALUE"""),"3 - 5")</f>
        <v>3 - 5</v>
      </c>
      <c r="G1294" s="1" t="str">
        <f>IFERROR(__xludf.DUMMYFUNCTION("""COMPUTED_VALUE"""),"USA")</f>
        <v>USA</v>
      </c>
      <c r="H1294" s="4" t="str">
        <f>IFERROR(__xludf.DUMMYFUNCTION("""COMPUTED_VALUE"""),"https://www.linkedin.com/posts/lia-corradetti-56a953125_snowflake-dataanalytics-tableau-activity-7224864452842524672-Tnjr?utm_source=share&amp;utm_medium=member_desktop")</f>
        <v>https://www.linkedin.com/posts/lia-corradetti-56a953125_snowflake-dataanalytics-tableau-activity-7224864452842524672-Tnjr?utm_source=share&amp;utm_medium=member_desktop</v>
      </c>
    </row>
    <row r="1295">
      <c r="A1295" s="2">
        <f>IFERROR(__xludf.DUMMYFUNCTION("""COMPUTED_VALUE"""),45506.0)</f>
        <v>45506</v>
      </c>
      <c r="B1295" s="1" t="str">
        <f>IFERROR(__xludf.DUMMYFUNCTION("""COMPUTED_VALUE"""),"Invoca")</f>
        <v>Invoca</v>
      </c>
      <c r="C1295" s="1" t="str">
        <f>IFERROR(__xludf.DUMMYFUNCTION("""COMPUTED_VALUE"""),"Staff Data Scientist")</f>
        <v>Staff Data Scientist</v>
      </c>
      <c r="D1295" s="1" t="str">
        <f>IFERROR(__xludf.DUMMYFUNCTION("""COMPUTED_VALUE"""),"Remote")</f>
        <v>Remote</v>
      </c>
      <c r="E1295" s="1" t="str">
        <f>IFERROR(__xludf.DUMMYFUNCTION("""COMPUTED_VALUE"""),"$160k - $206k")</f>
        <v>$160k - $206k</v>
      </c>
      <c r="F1295" s="1" t="str">
        <f>IFERROR(__xludf.DUMMYFUNCTION("""COMPUTED_VALUE"""),"6 - 9")</f>
        <v>6 - 9</v>
      </c>
      <c r="G1295" s="1" t="str">
        <f>IFERROR(__xludf.DUMMYFUNCTION("""COMPUTED_VALUE"""),"USA")</f>
        <v>USA</v>
      </c>
      <c r="H1295" s="4" t="str">
        <f>IFERROR(__xludf.DUMMYFUNCTION("""COMPUTED_VALUE"""),"https://www.linkedin.com/posts/natambria-m-86080111b_staff-data-scientist-activity-7224895225628966913-nnik?utm_source=share&amp;utm_medium=member_desktop")</f>
        <v>https://www.linkedin.com/posts/natambria-m-86080111b_staff-data-scientist-activity-7224895225628966913-nnik?utm_source=share&amp;utm_medium=member_desktop</v>
      </c>
    </row>
    <row r="1296">
      <c r="A1296" s="2">
        <f>IFERROR(__xludf.DUMMYFUNCTION("""COMPUTED_VALUE"""),45506.0)</f>
        <v>45506</v>
      </c>
      <c r="B1296" s="1" t="str">
        <f>IFERROR(__xludf.DUMMYFUNCTION("""COMPUTED_VALUE"""),"Congo Brands")</f>
        <v>Congo Brands</v>
      </c>
      <c r="C1296" s="1" t="str">
        <f>IFERROR(__xludf.DUMMYFUNCTION("""COMPUTED_VALUE"""),"Business Intelligence Developer")</f>
        <v>Business Intelligence Developer</v>
      </c>
      <c r="D1296" s="1" t="str">
        <f>IFERROR(__xludf.DUMMYFUNCTION("""COMPUTED_VALUE"""),"Hybrid")</f>
        <v>Hybrid</v>
      </c>
      <c r="E1296" s="1" t="str">
        <f>IFERROR(__xludf.DUMMYFUNCTION("""COMPUTED_VALUE"""),"N/A")</f>
        <v>N/A</v>
      </c>
      <c r="F1296" s="1" t="str">
        <f>IFERROR(__xludf.DUMMYFUNCTION("""COMPUTED_VALUE"""),"3 - 5")</f>
        <v>3 - 5</v>
      </c>
      <c r="G1296" s="1" t="str">
        <f>IFERROR(__xludf.DUMMYFUNCTION("""COMPUTED_VALUE"""),"Louisville, KY")</f>
        <v>Louisville, KY</v>
      </c>
      <c r="H1296" s="4" t="str">
        <f>IFERROR(__xludf.DUMMYFUNCTION("""COMPUTED_VALUE"""),"https://www.linkedin.com/posts/jaimelyn-carey_hiring-ugcPost-7224782674735837184-W9cK?utm_source=share&amp;utm_medium=member_desktop")</f>
        <v>https://www.linkedin.com/posts/jaimelyn-carey_hiring-ugcPost-7224782674735837184-W9cK?utm_source=share&amp;utm_medium=member_desktop</v>
      </c>
    </row>
    <row r="1297">
      <c r="A1297" s="2">
        <f>IFERROR(__xludf.DUMMYFUNCTION("""COMPUTED_VALUE"""),45506.0)</f>
        <v>45506</v>
      </c>
      <c r="B1297" s="1" t="str">
        <f>IFERROR(__xludf.DUMMYFUNCTION("""COMPUTED_VALUE"""),"EnableComp")</f>
        <v>EnableComp</v>
      </c>
      <c r="C1297" s="1" t="str">
        <f>IFERROR(__xludf.DUMMYFUNCTION("""COMPUTED_VALUE"""),"Data Analyst")</f>
        <v>Data Analyst</v>
      </c>
      <c r="D1297" s="1" t="str">
        <f>IFERROR(__xludf.DUMMYFUNCTION("""COMPUTED_VALUE"""),"Remote")</f>
        <v>Remote</v>
      </c>
      <c r="E1297" s="1" t="str">
        <f>IFERROR(__xludf.DUMMYFUNCTION("""COMPUTED_VALUE"""),"N/A")</f>
        <v>N/A</v>
      </c>
      <c r="F1297" s="1" t="str">
        <f>IFERROR(__xludf.DUMMYFUNCTION("""COMPUTED_VALUE"""),"0 - 2")</f>
        <v>0 - 2</v>
      </c>
      <c r="G1297" s="1" t="str">
        <f>IFERROR(__xludf.DUMMYFUNCTION("""COMPUTED_VALUE"""),"USA")</f>
        <v>USA</v>
      </c>
      <c r="H1297" s="4" t="str">
        <f>IFERROR(__xludf.DUMMYFUNCTION("""COMPUTED_VALUE"""),"https://www.linkedin.com/posts/monica-jones-241ba414_enablecomp-data-analyst-activity-7224979297487200257-Cv8e?utm_source=share&amp;utm_medium=member_desktop")</f>
        <v>https://www.linkedin.com/posts/monica-jones-241ba414_enablecomp-data-analyst-activity-7224979297487200257-Cv8e?utm_source=share&amp;utm_medium=member_desktop</v>
      </c>
    </row>
    <row r="1298">
      <c r="A1298" s="2">
        <f>IFERROR(__xludf.DUMMYFUNCTION("""COMPUTED_VALUE"""),45506.0)</f>
        <v>45506</v>
      </c>
      <c r="B1298" s="1" t="str">
        <f>IFERROR(__xludf.DUMMYFUNCTION("""COMPUTED_VALUE"""),"Delaware North")</f>
        <v>Delaware North</v>
      </c>
      <c r="C1298" s="1" t="str">
        <f>IFERROR(__xludf.DUMMYFUNCTION("""COMPUTED_VALUE"""),"Senior Business Intelligence Analyst")</f>
        <v>Senior Business Intelligence Analyst</v>
      </c>
      <c r="D1298" s="1" t="str">
        <f>IFERROR(__xludf.DUMMYFUNCTION("""COMPUTED_VALUE"""),"Hybrid")</f>
        <v>Hybrid</v>
      </c>
      <c r="E1298" s="1" t="str">
        <f>IFERROR(__xludf.DUMMYFUNCTION("""COMPUTED_VALUE"""),"$57k - $77k")</f>
        <v>$57k - $77k</v>
      </c>
      <c r="F1298" s="1" t="str">
        <f>IFERROR(__xludf.DUMMYFUNCTION("""COMPUTED_VALUE"""),"3 - 5")</f>
        <v>3 - 5</v>
      </c>
      <c r="G1298" s="1" t="str">
        <f>IFERROR(__xludf.DUMMYFUNCTION("""COMPUTED_VALUE"""),"Atlanta, GA")</f>
        <v>Atlanta, GA</v>
      </c>
      <c r="H1298" s="4" t="str">
        <f>IFERROR(__xludf.DUMMYFUNCTION("""COMPUTED_VALUE"""),"https://www.linkedin.com/posts/rishavdash_senior-business-intelligence-analyst-truist-activity-7224762103822254086-zJiv?utm_source=share&amp;utm_medium=member_desktop")</f>
        <v>https://www.linkedin.com/posts/rishavdash_senior-business-intelligence-analyst-truist-activity-7224762103822254086-zJiv?utm_source=share&amp;utm_medium=member_desktop</v>
      </c>
    </row>
    <row r="1299">
      <c r="A1299" s="2">
        <f>IFERROR(__xludf.DUMMYFUNCTION("""COMPUTED_VALUE"""),45506.0)</f>
        <v>45506</v>
      </c>
      <c r="B1299" s="1" t="str">
        <f>IFERROR(__xludf.DUMMYFUNCTION("""COMPUTED_VALUE"""),"Tractor Supply Company")</f>
        <v>Tractor Supply Company</v>
      </c>
      <c r="C1299" s="1" t="str">
        <f>IFERROR(__xludf.DUMMYFUNCTION("""COMPUTED_VALUE"""),"Analyst, Customer Insights")</f>
        <v>Analyst, Customer Insights</v>
      </c>
      <c r="D1299" s="1" t="str">
        <f>IFERROR(__xludf.DUMMYFUNCTION("""COMPUTED_VALUE"""),"On-Site")</f>
        <v>On-Site</v>
      </c>
      <c r="E1299" s="1" t="str">
        <f>IFERROR(__xludf.DUMMYFUNCTION("""COMPUTED_VALUE"""),"N/A")</f>
        <v>N/A</v>
      </c>
      <c r="F1299" s="1" t="str">
        <f>IFERROR(__xludf.DUMMYFUNCTION("""COMPUTED_VALUE"""),"3 - 5")</f>
        <v>3 - 5</v>
      </c>
      <c r="G1299" s="1" t="str">
        <f>IFERROR(__xludf.DUMMYFUNCTION("""COMPUTED_VALUE"""),"Brentwood, TN")</f>
        <v>Brentwood, TN</v>
      </c>
      <c r="H1299" s="4" t="str">
        <f>IFERROR(__xludf.DUMMYFUNCTION("""COMPUTED_VALUE"""),"https://www.linkedin.com/posts/brettwiese_tractorsupply-marketresearch-consumerinsights-ugcPost-7225148606868008962-cAxq?utm_source=share&amp;utm_medium=member_desktop")</f>
        <v>https://www.linkedin.com/posts/brettwiese_tractorsupply-marketresearch-consumerinsights-ugcPost-7225148606868008962-cAxq?utm_source=share&amp;utm_medium=member_desktop</v>
      </c>
    </row>
    <row r="1300">
      <c r="A1300" s="2">
        <f>IFERROR(__xludf.DUMMYFUNCTION("""COMPUTED_VALUE"""),45506.0)</f>
        <v>45506</v>
      </c>
      <c r="B1300" s="1" t="str">
        <f>IFERROR(__xludf.DUMMYFUNCTION("""COMPUTED_VALUE"""),"Terminix")</f>
        <v>Terminix</v>
      </c>
      <c r="C1300" s="1" t="str">
        <f>IFERROR(__xludf.DUMMYFUNCTION("""COMPUTED_VALUE"""),"Senior HR Data Analyst")</f>
        <v>Senior HR Data Analyst</v>
      </c>
      <c r="D1300" s="1" t="str">
        <f>IFERROR(__xludf.DUMMYFUNCTION("""COMPUTED_VALUE"""),"Remote")</f>
        <v>Remote</v>
      </c>
      <c r="E1300" s="1" t="str">
        <f>IFERROR(__xludf.DUMMYFUNCTION("""COMPUTED_VALUE"""),"N/A")</f>
        <v>N/A</v>
      </c>
      <c r="F1300" s="1" t="str">
        <f>IFERROR(__xludf.DUMMYFUNCTION("""COMPUTED_VALUE"""),"3 - 5")</f>
        <v>3 - 5</v>
      </c>
      <c r="G1300" s="1" t="str">
        <f>IFERROR(__xludf.DUMMYFUNCTION("""COMPUTED_VALUE"""),"USA")</f>
        <v>USA</v>
      </c>
      <c r="H1300" s="4" t="str">
        <f>IFERROR(__xludf.DUMMYFUNCTION("""COMPUTED_VALUE"""),"https://www.linkedin.com/posts/cameron-brown-phd_senior-hr-data-analyst-activity-7225225611768721408-91ZS?utm_source=share&amp;utm_medium=member_desktop")</f>
        <v>https://www.linkedin.com/posts/cameron-brown-phd_senior-hr-data-analyst-activity-7225225611768721408-91ZS?utm_source=share&amp;utm_medium=member_desktop</v>
      </c>
    </row>
    <row r="1301">
      <c r="A1301" s="2">
        <f>IFERROR(__xludf.DUMMYFUNCTION("""COMPUTED_VALUE"""),45506.0)</f>
        <v>45506</v>
      </c>
      <c r="B1301" s="1" t="str">
        <f>IFERROR(__xludf.DUMMYFUNCTION("""COMPUTED_VALUE"""),"Alliant Insurance Services")</f>
        <v>Alliant Insurance Services</v>
      </c>
      <c r="C1301" s="1" t="str">
        <f>IFERROR(__xludf.DUMMYFUNCTION("""COMPUTED_VALUE"""),"Configuration Analyst")</f>
        <v>Configuration Analyst</v>
      </c>
      <c r="D1301" s="1" t="str">
        <f>IFERROR(__xludf.DUMMYFUNCTION("""COMPUTED_VALUE"""),"Hybrid")</f>
        <v>Hybrid</v>
      </c>
      <c r="E1301" s="1" t="str">
        <f>IFERROR(__xludf.DUMMYFUNCTION("""COMPUTED_VALUE"""),"N/A")</f>
        <v>N/A</v>
      </c>
      <c r="F1301" s="1" t="str">
        <f>IFERROR(__xludf.DUMMYFUNCTION("""COMPUTED_VALUE"""),"0 - 2")</f>
        <v>0 - 2</v>
      </c>
      <c r="G1301" s="1" t="str">
        <f>IFERROR(__xludf.DUMMYFUNCTION("""COMPUTED_VALUE"""),"Omaha, NE")</f>
        <v>Omaha, NE</v>
      </c>
      <c r="H1301" s="4" t="str">
        <f>IFERROR(__xludf.DUMMYFUNCTION("""COMPUTED_VALUE"""),"https://www.linkedin.com/posts/mikaylaharrisracr_our-senior-market-sales-office-is-hiring-activity-7225249367539007488-dpLJ?utm_source=share&amp;utm_medium=member_desktop")</f>
        <v>https://www.linkedin.com/posts/mikaylaharrisracr_our-senior-market-sales-office-is-hiring-activity-7225249367539007488-dpLJ?utm_source=share&amp;utm_medium=member_desktop</v>
      </c>
    </row>
    <row r="1302">
      <c r="A1302" s="2">
        <f>IFERROR(__xludf.DUMMYFUNCTION("""COMPUTED_VALUE"""),45506.0)</f>
        <v>45506</v>
      </c>
      <c r="B1302" s="1" t="str">
        <f>IFERROR(__xludf.DUMMYFUNCTION("""COMPUTED_VALUE"""),"All Home")</f>
        <v>All Home</v>
      </c>
      <c r="C1302" s="1" t="str">
        <f>IFERROR(__xludf.DUMMYFUNCTION("""COMPUTED_VALUE"""),"Research Analyst")</f>
        <v>Research Analyst</v>
      </c>
      <c r="D1302" s="1" t="str">
        <f>IFERROR(__xludf.DUMMYFUNCTION("""COMPUTED_VALUE"""),"Hybrid")</f>
        <v>Hybrid</v>
      </c>
      <c r="E1302" s="1" t="str">
        <f>IFERROR(__xludf.DUMMYFUNCTION("""COMPUTED_VALUE"""),"$110k - $130k")</f>
        <v>$110k - $130k</v>
      </c>
      <c r="F1302" s="1" t="str">
        <f>IFERROR(__xludf.DUMMYFUNCTION("""COMPUTED_VALUE"""),"3 - 5")</f>
        <v>3 - 5</v>
      </c>
      <c r="G1302" s="1" t="str">
        <f>IFERROR(__xludf.DUMMYFUNCTION("""COMPUTED_VALUE"""),"San Francisco, CA")</f>
        <v>San Francisco, CA</v>
      </c>
      <c r="H1302" s="4" t="str">
        <f>IFERROR(__xludf.DUMMYFUNCTION("""COMPUTED_VALUE"""),"https://www.linkedin.com/posts/adriangilbertgonzales_come-work-with-my-team-all-home-is-hiring-activity-7225190923247181824-Lwin?utm_source=share&amp;utm_medium=member_desktop")</f>
        <v>https://www.linkedin.com/posts/adriangilbertgonzales_come-work-with-my-team-all-home-is-hiring-activity-7225190923247181824-Lwin?utm_source=share&amp;utm_medium=member_desktop</v>
      </c>
    </row>
    <row r="1303">
      <c r="A1303" s="2">
        <f>IFERROR(__xludf.DUMMYFUNCTION("""COMPUTED_VALUE"""),45506.0)</f>
        <v>45506</v>
      </c>
      <c r="B1303" s="1" t="str">
        <f>IFERROR(__xludf.DUMMYFUNCTION("""COMPUTED_VALUE"""),"Nike")</f>
        <v>Nike</v>
      </c>
      <c r="C1303" s="1" t="str">
        <f>IFERROR(__xludf.DUMMYFUNCTION("""COMPUTED_VALUE"""),"Costing &amp; Sourcing Analyst, Apparel, Global")</f>
        <v>Costing &amp; Sourcing Analyst, Apparel, Global</v>
      </c>
      <c r="D1303" s="1" t="str">
        <f>IFERROR(__xludf.DUMMYFUNCTION("""COMPUTED_VALUE"""),"Hybrid")</f>
        <v>Hybrid</v>
      </c>
      <c r="E1303" s="1" t="str">
        <f>IFERROR(__xludf.DUMMYFUNCTION("""COMPUTED_VALUE"""),"N/A")</f>
        <v>N/A</v>
      </c>
      <c r="F1303" s="1" t="str">
        <f>IFERROR(__xludf.DUMMYFUNCTION("""COMPUTED_VALUE"""),"3 - 5")</f>
        <v>3 - 5</v>
      </c>
      <c r="G1303" s="1" t="str">
        <f>IFERROR(__xludf.DUMMYFUNCTION("""COMPUTED_VALUE"""),"Beaverton, OR")</f>
        <v>Beaverton, OR</v>
      </c>
      <c r="H1303" s="4" t="str">
        <f>IFERROR(__xludf.DUMMYFUNCTION("""COMPUTED_VALUE"""),"https://www.linkedin.com/posts/hari-prasad-b447553_great-opportunity-to-join-a-elite-team-activity-7225196214722445313-5Djj?utm_source=share&amp;utm_medium=member_desktop")</f>
        <v>https://www.linkedin.com/posts/hari-prasad-b447553_great-opportunity-to-join-a-elite-team-activity-7225196214722445313-5Djj?utm_source=share&amp;utm_medium=member_desktop</v>
      </c>
    </row>
    <row r="1304">
      <c r="A1304" s="2">
        <f>IFERROR(__xludf.DUMMYFUNCTION("""COMPUTED_VALUE"""),45506.0)</f>
        <v>45506</v>
      </c>
      <c r="B1304" s="1" t="str">
        <f>IFERROR(__xludf.DUMMYFUNCTION("""COMPUTED_VALUE"""),"General Motors")</f>
        <v>General Motors</v>
      </c>
      <c r="C1304" s="1" t="str">
        <f>IFERROR(__xludf.DUMMYFUNCTION("""COMPUTED_VALUE"""),"Sr Analyst - Strategic Projects Purchasing")</f>
        <v>Sr Analyst - Strategic Projects Purchasing</v>
      </c>
      <c r="D1304" s="1" t="str">
        <f>IFERROR(__xludf.DUMMYFUNCTION("""COMPUTED_VALUE"""),"Hybrid")</f>
        <v>Hybrid</v>
      </c>
      <c r="E1304" s="1" t="str">
        <f>IFERROR(__xludf.DUMMYFUNCTION("""COMPUTED_VALUE"""),"N/A")</f>
        <v>N/A</v>
      </c>
      <c r="F1304" s="1" t="str">
        <f>IFERROR(__xludf.DUMMYFUNCTION("""COMPUTED_VALUE"""),"6 - 9")</f>
        <v>6 - 9</v>
      </c>
      <c r="G1304" s="1" t="str">
        <f>IFERROR(__xludf.DUMMYFUNCTION("""COMPUTED_VALUE"""),"Warren, MI")</f>
        <v>Warren, MI</v>
      </c>
      <c r="H1304" s="4" t="str">
        <f>IFERROR(__xludf.DUMMYFUNCTION("""COMPUTED_VALUE"""),"https://www.linkedin.com/posts/nileshmshah_iworkforgm-activity-7225080963217723392-O1ZF?utm_source=share&amp;utm_medium=member_desktop")</f>
        <v>https://www.linkedin.com/posts/nileshmshah_iworkforgm-activity-7225080963217723392-O1ZF?utm_source=share&amp;utm_medium=member_desktop</v>
      </c>
    </row>
    <row r="1305">
      <c r="A1305" s="2">
        <f>IFERROR(__xludf.DUMMYFUNCTION("""COMPUTED_VALUE"""),45506.0)</f>
        <v>45506</v>
      </c>
      <c r="B1305" s="1" t="str">
        <f>IFERROR(__xludf.DUMMYFUNCTION("""COMPUTED_VALUE"""),"Visa")</f>
        <v>Visa</v>
      </c>
      <c r="C1305" s="1" t="str">
        <f>IFERROR(__xludf.DUMMYFUNCTION("""COMPUTED_VALUE"""),"Sr Manager, People Analytics Consulting &amp; Insights")</f>
        <v>Sr Manager, People Analytics Consulting &amp; Insights</v>
      </c>
      <c r="D1305" s="1" t="str">
        <f>IFERROR(__xludf.DUMMYFUNCTION("""COMPUTED_VALUE"""),"On-Site")</f>
        <v>On-Site</v>
      </c>
      <c r="E1305" s="1" t="str">
        <f>IFERROR(__xludf.DUMMYFUNCTION("""COMPUTED_VALUE"""),"$120k - $174k")</f>
        <v>$120k - $174k</v>
      </c>
      <c r="F1305" s="1" t="str">
        <f>IFERROR(__xludf.DUMMYFUNCTION("""COMPUTED_VALUE"""),"6 - 9")</f>
        <v>6 - 9</v>
      </c>
      <c r="G1305" s="1" t="str">
        <f>IFERROR(__xludf.DUMMYFUNCTION("""COMPUTED_VALUE"""),"Austin, TX")</f>
        <v>Austin, TX</v>
      </c>
      <c r="H1305" s="4" t="str">
        <f>IFERROR(__xludf.DUMMYFUNCTION("""COMPUTED_VALUE"""),"https://www.linkedin.com/posts/activity-7225214457084325888-JHqK?utm_source=share&amp;utm_medium=member_desktop")</f>
        <v>https://www.linkedin.com/posts/activity-7225214457084325888-JHqK?utm_source=share&amp;utm_medium=member_desktop</v>
      </c>
    </row>
    <row r="1306">
      <c r="A1306" s="2">
        <f>IFERROR(__xludf.DUMMYFUNCTION("""COMPUTED_VALUE"""),45506.0)</f>
        <v>45506</v>
      </c>
      <c r="B1306" s="1" t="str">
        <f>IFERROR(__xludf.DUMMYFUNCTION("""COMPUTED_VALUE"""),"Associated Bank")</f>
        <v>Associated Bank</v>
      </c>
      <c r="C1306" s="1" t="str">
        <f>IFERROR(__xludf.DUMMYFUNCTION("""COMPUTED_VALUE"""),"Data Scientist")</f>
        <v>Data Scientist</v>
      </c>
      <c r="D1306" s="1" t="str">
        <f>IFERROR(__xludf.DUMMYFUNCTION("""COMPUTED_VALUE"""),"Remote")</f>
        <v>Remote</v>
      </c>
      <c r="E1306" s="1" t="str">
        <f>IFERROR(__xludf.DUMMYFUNCTION("""COMPUTED_VALUE"""),"N/A")</f>
        <v>N/A</v>
      </c>
      <c r="F1306" s="1" t="str">
        <f>IFERROR(__xludf.DUMMYFUNCTION("""COMPUTED_VALUE"""),"3 - 5")</f>
        <v>3 - 5</v>
      </c>
      <c r="G1306" s="1" t="str">
        <f>IFERROR(__xludf.DUMMYFUNCTION("""COMPUTED_VALUE"""),"USA")</f>
        <v>USA</v>
      </c>
      <c r="H1306" s="4" t="str">
        <f>IFERROR(__xludf.DUMMYFUNCTION("""COMPUTED_VALUE"""),"https://www.linkedin.com/posts/chun-schiros-phd-90a16344_data-scientist-activity-7225220810456657920-Cl8t?utm_source=share&amp;utm_medium=member_desktop")</f>
        <v>https://www.linkedin.com/posts/chun-schiros-phd-90a16344_data-scientist-activity-7225220810456657920-Cl8t?utm_source=share&amp;utm_medium=member_desktop</v>
      </c>
    </row>
    <row r="1307">
      <c r="A1307" s="2">
        <f>IFERROR(__xludf.DUMMYFUNCTION("""COMPUTED_VALUE"""),45506.0)</f>
        <v>45506</v>
      </c>
      <c r="B1307" s="1" t="str">
        <f>IFERROR(__xludf.DUMMYFUNCTION("""COMPUTED_VALUE"""),"Cartwheel")</f>
        <v>Cartwheel</v>
      </c>
      <c r="C1307" s="1" t="str">
        <f>IFERROR(__xludf.DUMMYFUNCTION("""COMPUTED_VALUE"""),"Data Analyst")</f>
        <v>Data Analyst</v>
      </c>
      <c r="D1307" s="1" t="str">
        <f>IFERROR(__xludf.DUMMYFUNCTION("""COMPUTED_VALUE"""),"Remote")</f>
        <v>Remote</v>
      </c>
      <c r="E1307" s="1" t="str">
        <f>IFERROR(__xludf.DUMMYFUNCTION("""COMPUTED_VALUE"""),"$140k - $150k")</f>
        <v>$140k - $150k</v>
      </c>
      <c r="F1307" s="1" t="str">
        <f>IFERROR(__xludf.DUMMYFUNCTION("""COMPUTED_VALUE"""),"3 - 5")</f>
        <v>3 - 5</v>
      </c>
      <c r="G1307" s="1" t="str">
        <f>IFERROR(__xludf.DUMMYFUNCTION("""COMPUTED_VALUE"""),"USA")</f>
        <v>USA</v>
      </c>
      <c r="H1307" s="4" t="str">
        <f>IFERROR(__xludf.DUMMYFUNCTION("""COMPUTED_VALUE"""),"https://www.linkedin.com/posts/catherinelentzparker_data-analyst-activity-7225174070957408259-ageC?utm_source=share&amp;utm_medium=member_desktop")</f>
        <v>https://www.linkedin.com/posts/catherinelentzparker_data-analyst-activity-7225174070957408259-ageC?utm_source=share&amp;utm_medium=member_desktop</v>
      </c>
    </row>
    <row r="1308">
      <c r="A1308" s="2">
        <f>IFERROR(__xludf.DUMMYFUNCTION("""COMPUTED_VALUE"""),45506.0)</f>
        <v>45506</v>
      </c>
      <c r="B1308" s="1" t="str">
        <f>IFERROR(__xludf.DUMMYFUNCTION("""COMPUTED_VALUE"""),"Campbell's")</f>
        <v>Campbell's</v>
      </c>
      <c r="C1308" s="1" t="str">
        <f>IFERROR(__xludf.DUMMYFUNCTION("""COMPUTED_VALUE"""),"Senior Manager, Pricing Strategy")</f>
        <v>Senior Manager, Pricing Strategy</v>
      </c>
      <c r="D1308" s="1" t="str">
        <f>IFERROR(__xludf.DUMMYFUNCTION("""COMPUTED_VALUE"""),"Hybrid")</f>
        <v>Hybrid</v>
      </c>
      <c r="E1308" s="1" t="str">
        <f>IFERROR(__xludf.DUMMYFUNCTION("""COMPUTED_VALUE"""),"$105k - $172k")</f>
        <v>$105k - $172k</v>
      </c>
      <c r="F1308" s="1" t="str">
        <f>IFERROR(__xludf.DUMMYFUNCTION("""COMPUTED_VALUE"""),"6 - 9")</f>
        <v>6 - 9</v>
      </c>
      <c r="G1308" s="1" t="str">
        <f>IFERROR(__xludf.DUMMYFUNCTION("""COMPUTED_VALUE"""),"Camden, NJ")</f>
        <v>Camden, NJ</v>
      </c>
      <c r="H1308" s="4" t="str">
        <f>IFERROR(__xludf.DUMMYFUNCTION("""COMPUTED_VALUE"""),"https://www.linkedin.com/posts/hannah-christensen-26296518_makehistory-campbells-pricingstrategy-ugcPost-7224917241715208192-qkC3?utm_source=share&amp;utm_medium=member_desktop")</f>
        <v>https://www.linkedin.com/posts/hannah-christensen-26296518_makehistory-campbells-pricingstrategy-ugcPost-7224917241715208192-qkC3?utm_source=share&amp;utm_medium=member_desktop</v>
      </c>
    </row>
    <row r="1309">
      <c r="A1309" s="2">
        <f>IFERROR(__xludf.DUMMYFUNCTION("""COMPUTED_VALUE"""),45506.0)</f>
        <v>45506</v>
      </c>
      <c r="B1309" s="1" t="str">
        <f>IFERROR(__xludf.DUMMYFUNCTION("""COMPUTED_VALUE"""),"Surgical Directions")</f>
        <v>Surgical Directions</v>
      </c>
      <c r="C1309" s="1" t="str">
        <f>IFERROR(__xludf.DUMMYFUNCTION("""COMPUTED_VALUE"""),"Operations Financial Analyst")</f>
        <v>Operations Financial Analyst</v>
      </c>
      <c r="D1309" s="1" t="str">
        <f>IFERROR(__xludf.DUMMYFUNCTION("""COMPUTED_VALUE"""),"Remote")</f>
        <v>Remote</v>
      </c>
      <c r="E1309" s="1" t="str">
        <f>IFERROR(__xludf.DUMMYFUNCTION("""COMPUTED_VALUE"""),"N/A")</f>
        <v>N/A</v>
      </c>
      <c r="F1309" s="1" t="str">
        <f>IFERROR(__xludf.DUMMYFUNCTION("""COMPUTED_VALUE"""),"0 - 2")</f>
        <v>0 - 2</v>
      </c>
      <c r="G1309" s="1" t="str">
        <f>IFERROR(__xludf.DUMMYFUNCTION("""COMPUTED_VALUE"""),"USA")</f>
        <v>USA</v>
      </c>
      <c r="H1309" s="4" t="str">
        <f>IFERROR(__xludf.DUMMYFUNCTION("""COMPUTED_VALUE"""),"https://www.linkedin.com/posts/activity-7225211029264252928-Yuob?utm_source=share&amp;utm_medium=member_desktop")</f>
        <v>https://www.linkedin.com/posts/activity-7225211029264252928-Yuob?utm_source=share&amp;utm_medium=member_desktop</v>
      </c>
    </row>
    <row r="1310">
      <c r="A1310" s="2">
        <f>IFERROR(__xludf.DUMMYFUNCTION("""COMPUTED_VALUE"""),45506.0)</f>
        <v>45506</v>
      </c>
      <c r="B1310" s="1" t="str">
        <f>IFERROR(__xludf.DUMMYFUNCTION("""COMPUTED_VALUE"""),"Recidiviz")</f>
        <v>Recidiviz</v>
      </c>
      <c r="C1310" s="1" t="str">
        <f>IFERROR(__xludf.DUMMYFUNCTION("""COMPUTED_VALUE"""),"Senior Data Analyst")</f>
        <v>Senior Data Analyst</v>
      </c>
      <c r="D1310" s="1" t="str">
        <f>IFERROR(__xludf.DUMMYFUNCTION("""COMPUTED_VALUE"""),"Remote")</f>
        <v>Remote</v>
      </c>
      <c r="E1310" s="1" t="str">
        <f>IFERROR(__xludf.DUMMYFUNCTION("""COMPUTED_VALUE"""),"$120k")</f>
        <v>$120k</v>
      </c>
      <c r="F1310" s="1" t="str">
        <f>IFERROR(__xludf.DUMMYFUNCTION("""COMPUTED_VALUE"""),"3 - 5")</f>
        <v>3 - 5</v>
      </c>
      <c r="G1310" s="1" t="str">
        <f>IFERROR(__xludf.DUMMYFUNCTION("""COMPUTED_VALUE"""),"USA")</f>
        <v>USA</v>
      </c>
      <c r="H1310" s="4" t="str">
        <f>IFERROR(__xludf.DUMMYFUNCTION("""COMPUTED_VALUE"""),"https://www.linkedin.com/posts/sophie-bair-055607152_were-hiring-for-a-senior-data-analyst-ive-activity-7225182409292402688-LCas?utm_source=share&amp;utm_medium=member_desktop")</f>
        <v>https://www.linkedin.com/posts/sophie-bair-055607152_were-hiring-for-a-senior-data-analyst-ive-activity-7225182409292402688-LCas?utm_source=share&amp;utm_medium=member_desktop</v>
      </c>
    </row>
    <row r="1311">
      <c r="A1311" s="2">
        <f>IFERROR(__xludf.DUMMYFUNCTION("""COMPUTED_VALUE"""),45506.0)</f>
        <v>45506</v>
      </c>
      <c r="B1311" s="1" t="str">
        <f>IFERROR(__xludf.DUMMYFUNCTION("""COMPUTED_VALUE"""),"Hirewell")</f>
        <v>Hirewell</v>
      </c>
      <c r="C1311" s="1" t="str">
        <f>IFERROR(__xludf.DUMMYFUNCTION("""COMPUTED_VALUE"""),"Data Analyst")</f>
        <v>Data Analyst</v>
      </c>
      <c r="D1311" s="1" t="str">
        <f>IFERROR(__xludf.DUMMYFUNCTION("""COMPUTED_VALUE"""),"Remote")</f>
        <v>Remote</v>
      </c>
      <c r="E1311" s="1" t="str">
        <f>IFERROR(__xludf.DUMMYFUNCTION("""COMPUTED_VALUE"""),"$85k - $100k")</f>
        <v>$85k - $100k</v>
      </c>
      <c r="F1311" s="1" t="str">
        <f>IFERROR(__xludf.DUMMYFUNCTION("""COMPUTED_VALUE"""),"3 - 5")</f>
        <v>3 - 5</v>
      </c>
      <c r="G1311" s="1" t="str">
        <f>IFERROR(__xludf.DUMMYFUNCTION("""COMPUTED_VALUE"""),"USA")</f>
        <v>USA</v>
      </c>
      <c r="H1311" s="4" t="str">
        <f>IFERROR(__xludf.DUMMYFUNCTION("""COMPUTED_VALUE"""),"https://www.linkedin.com/posts/mattmulcahyiopsych_hiring-ugcPost-7224911168417492992-Qlso?utm_source=share&amp;utm_medium=member_desktop")</f>
        <v>https://www.linkedin.com/posts/mattmulcahyiopsych_hiring-ugcPost-7224911168417492992-Qlso?utm_source=share&amp;utm_medium=member_desktop</v>
      </c>
    </row>
    <row r="1312">
      <c r="A1312" s="2">
        <f>IFERROR(__xludf.DUMMYFUNCTION("""COMPUTED_VALUE"""),45506.0)</f>
        <v>45506</v>
      </c>
      <c r="B1312" s="1" t="str">
        <f>IFERROR(__xludf.DUMMYFUNCTION("""COMPUTED_VALUE"""),"Sojern")</f>
        <v>Sojern</v>
      </c>
      <c r="C1312" s="1" t="str">
        <f>IFERROR(__xludf.DUMMYFUNCTION("""COMPUTED_VALUE"""),"Senior Data Analyst")</f>
        <v>Senior Data Analyst</v>
      </c>
      <c r="D1312" s="1" t="str">
        <f>IFERROR(__xludf.DUMMYFUNCTION("""COMPUTED_VALUE"""),"Remote")</f>
        <v>Remote</v>
      </c>
      <c r="E1312" s="1" t="str">
        <f>IFERROR(__xludf.DUMMYFUNCTION("""COMPUTED_VALUE"""),"N/A")</f>
        <v>N/A</v>
      </c>
      <c r="F1312" s="1" t="str">
        <f>IFERROR(__xludf.DUMMYFUNCTION("""COMPUTED_VALUE"""),"3 - 5")</f>
        <v>3 - 5</v>
      </c>
      <c r="G1312" s="1" t="str">
        <f>IFERROR(__xludf.DUMMYFUNCTION("""COMPUTED_VALUE"""),"USA")</f>
        <v>USA</v>
      </c>
      <c r="H1312" s="4" t="str">
        <f>IFERROR(__xludf.DUMMYFUNCTION("""COMPUTED_VALUE"""),"https://www.linkedin.com/posts/bridget-pederson_senior-data-analyst-sem-activity-7225231253191467008-kePs?utm_source=share&amp;utm_medium=member_desktop")</f>
        <v>https://www.linkedin.com/posts/bridget-pederson_senior-data-analyst-sem-activity-7225231253191467008-kePs?utm_source=share&amp;utm_medium=member_desktop</v>
      </c>
    </row>
    <row r="1313">
      <c r="A1313" s="2">
        <f>IFERROR(__xludf.DUMMYFUNCTION("""COMPUTED_VALUE"""),45506.0)</f>
        <v>45506</v>
      </c>
      <c r="B1313" s="1" t="str">
        <f>IFERROR(__xludf.DUMMYFUNCTION("""COMPUTED_VALUE"""),"Emergent Holdings")</f>
        <v>Emergent Holdings</v>
      </c>
      <c r="C1313" s="1" t="str">
        <f>IFERROR(__xludf.DUMMYFUNCTION("""COMPUTED_VALUE"""),"Financial Business Systems Analyst")</f>
        <v>Financial Business Systems Analyst</v>
      </c>
      <c r="D1313" s="1" t="str">
        <f>IFERROR(__xludf.DUMMYFUNCTION("""COMPUTED_VALUE"""),"Remote")</f>
        <v>Remote</v>
      </c>
      <c r="E1313" s="1" t="str">
        <f>IFERROR(__xludf.DUMMYFUNCTION("""COMPUTED_VALUE"""),"$68k - $98k")</f>
        <v>$68k - $98k</v>
      </c>
      <c r="F1313" s="1" t="str">
        <f>IFERROR(__xludf.DUMMYFUNCTION("""COMPUTED_VALUE"""),"3 - 5")</f>
        <v>3 - 5</v>
      </c>
      <c r="G1313" s="1" t="str">
        <f>IFERROR(__xludf.DUMMYFUNCTION("""COMPUTED_VALUE"""),"USA")</f>
        <v>USA</v>
      </c>
      <c r="H1313" s="4" t="str">
        <f>IFERROR(__xludf.DUMMYFUNCTION("""COMPUTED_VALUE"""),"https://www.linkedin.com/posts/andreaweissfinancialstrategist_hiring-activity-7225086927438299137-w8iH?utm_source=share&amp;utm_medium=member_desktop")</f>
        <v>https://www.linkedin.com/posts/andreaweissfinancialstrategist_hiring-activity-7225086927438299137-w8iH?utm_source=share&amp;utm_medium=member_desktop</v>
      </c>
    </row>
    <row r="1314">
      <c r="A1314" s="2">
        <f>IFERROR(__xludf.DUMMYFUNCTION("""COMPUTED_VALUE"""),45506.0)</f>
        <v>45506</v>
      </c>
      <c r="B1314" s="1" t="str">
        <f>IFERROR(__xludf.DUMMYFUNCTION("""COMPUTED_VALUE"""),"Bally's Corporation")</f>
        <v>Bally's Corporation</v>
      </c>
      <c r="C1314" s="1" t="str">
        <f>IFERROR(__xludf.DUMMYFUNCTION("""COMPUTED_VALUE"""),"Data Operations Engineer")</f>
        <v>Data Operations Engineer</v>
      </c>
      <c r="D1314" s="1" t="str">
        <f>IFERROR(__xludf.DUMMYFUNCTION("""COMPUTED_VALUE"""),"On-Site")</f>
        <v>On-Site</v>
      </c>
      <c r="E1314" s="1" t="str">
        <f>IFERROR(__xludf.DUMMYFUNCTION("""COMPUTED_VALUE"""),"$75k - $85k")</f>
        <v>$75k - $85k</v>
      </c>
      <c r="F1314" s="1" t="str">
        <f>IFERROR(__xludf.DUMMYFUNCTION("""COMPUTED_VALUE"""),"3 - 5")</f>
        <v>3 - 5</v>
      </c>
      <c r="G1314" s="1" t="str">
        <f>IFERROR(__xludf.DUMMYFUNCTION("""COMPUTED_VALUE"""),"Providence, RI")</f>
        <v>Providence, RI</v>
      </c>
      <c r="H1314" s="4" t="str">
        <f>IFERROR(__xludf.DUMMYFUNCTION("""COMPUTED_VALUE"""),"https://www.linkedin.com/posts/tatianna-noriega-72a56a155_hiring-ballyscareers-itjobs-activity-7224873881080078340-Ya0o?utm_source=share&amp;utm_medium=member_desktop")</f>
        <v>https://www.linkedin.com/posts/tatianna-noriega-72a56a155_hiring-ballyscareers-itjobs-activity-7224873881080078340-Ya0o?utm_source=share&amp;utm_medium=member_desktop</v>
      </c>
    </row>
    <row r="1315">
      <c r="A1315" s="2">
        <f>IFERROR(__xludf.DUMMYFUNCTION("""COMPUTED_VALUE"""),45506.0)</f>
        <v>45506</v>
      </c>
      <c r="B1315" s="1" t="str">
        <f>IFERROR(__xludf.DUMMYFUNCTION("""COMPUTED_VALUE"""),"DISH Network")</f>
        <v>DISH Network</v>
      </c>
      <c r="C1315" s="1" t="str">
        <f>IFERROR(__xludf.DUMMYFUNCTION("""COMPUTED_VALUE"""),"Fraud Data Analyst")</f>
        <v>Fraud Data Analyst</v>
      </c>
      <c r="D1315" s="1" t="str">
        <f>IFERROR(__xludf.DUMMYFUNCTION("""COMPUTED_VALUE"""),"On-Site")</f>
        <v>On-Site</v>
      </c>
      <c r="E1315" s="1" t="str">
        <f>IFERROR(__xludf.DUMMYFUNCTION("""COMPUTED_VALUE"""),"$63k - $90k")</f>
        <v>$63k - $90k</v>
      </c>
      <c r="F1315" s="1" t="str">
        <f>IFERROR(__xludf.DUMMYFUNCTION("""COMPUTED_VALUE"""),"0 - 2")</f>
        <v>0 - 2</v>
      </c>
      <c r="G1315" s="1" t="str">
        <f>IFERROR(__xludf.DUMMYFUNCTION("""COMPUTED_VALUE"""),"El Paso, TX")</f>
        <v>El Paso, TX</v>
      </c>
      <c r="H1315" s="4" t="str">
        <f>IFERROR(__xludf.DUMMYFUNCTION("""COMPUTED_VALUE"""),"https://www.linkedin.com/posts/carrie-hoerning_el-paso-we-are-looking-for-an-analyst-to-activity-7224413861641080833-V8Wg?utm_source=share&amp;utm_medium=member_desktop")</f>
        <v>https://www.linkedin.com/posts/carrie-hoerning_el-paso-we-are-looking-for-an-analyst-to-activity-7224413861641080833-V8Wg?utm_source=share&amp;utm_medium=member_desktop</v>
      </c>
    </row>
    <row r="1316">
      <c r="A1316" s="2">
        <f>IFERROR(__xludf.DUMMYFUNCTION("""COMPUTED_VALUE"""),45506.0)</f>
        <v>45506</v>
      </c>
      <c r="B1316" s="1" t="str">
        <f>IFERROR(__xludf.DUMMYFUNCTION("""COMPUTED_VALUE"""),"Scaler")</f>
        <v>Scaler</v>
      </c>
      <c r="C1316" s="1" t="str">
        <f>IFERROR(__xludf.DUMMYFUNCTION("""COMPUTED_VALUE"""),"Business Analyst")</f>
        <v>Business Analyst</v>
      </c>
      <c r="D1316" s="1" t="str">
        <f>IFERROR(__xludf.DUMMYFUNCTION("""COMPUTED_VALUE"""),"Hybrid")</f>
        <v>Hybrid</v>
      </c>
      <c r="E1316" s="1" t="str">
        <f>IFERROR(__xludf.DUMMYFUNCTION("""COMPUTED_VALUE"""),"$80k - $160k")</f>
        <v>$80k - $160k</v>
      </c>
      <c r="F1316" s="1" t="str">
        <f>IFERROR(__xludf.DUMMYFUNCTION("""COMPUTED_VALUE"""),"3 - 5")</f>
        <v>3 - 5</v>
      </c>
      <c r="G1316" s="1" t="str">
        <f>IFERROR(__xludf.DUMMYFUNCTION("""COMPUTED_VALUE"""),"New York, NY")</f>
        <v>New York, NY</v>
      </c>
      <c r="H1316" s="4" t="str">
        <f>IFERROR(__xludf.DUMMYFUNCTION("""COMPUTED_VALUE"""),"https://www.linkedin.com/posts/cat-brennan-1742aba1_come-join-scalers-nyc-team-we-love-a-sushi-activity-7225192354427641856-xR8u?utm_source=share&amp;utm_medium=member_desktop")</f>
        <v>https://www.linkedin.com/posts/cat-brennan-1742aba1_come-join-scalers-nyc-team-we-love-a-sushi-activity-7225192354427641856-xR8u?utm_source=share&amp;utm_medium=member_desktop</v>
      </c>
    </row>
    <row r="1317">
      <c r="A1317" s="2">
        <f>IFERROR(__xludf.DUMMYFUNCTION("""COMPUTED_VALUE"""),45506.0)</f>
        <v>45506</v>
      </c>
      <c r="B1317" s="1" t="str">
        <f>IFERROR(__xludf.DUMMYFUNCTION("""COMPUTED_VALUE"""),"City of Boston")</f>
        <v>City of Boston</v>
      </c>
      <c r="C1317" s="1" t="str">
        <f>IFERROR(__xludf.DUMMYFUNCTION("""COMPUTED_VALUE"""),"Operational Improvement Analyst")</f>
        <v>Operational Improvement Analyst</v>
      </c>
      <c r="D1317" s="1" t="str">
        <f>IFERROR(__xludf.DUMMYFUNCTION("""COMPUTED_VALUE"""),"Hybrid")</f>
        <v>Hybrid</v>
      </c>
      <c r="E1317" s="1" t="str">
        <f>IFERROR(__xludf.DUMMYFUNCTION("""COMPUTED_VALUE"""),"N/A")</f>
        <v>N/A</v>
      </c>
      <c r="F1317" s="1" t="str">
        <f>IFERROR(__xludf.DUMMYFUNCTION("""COMPUTED_VALUE"""),"3 - 5")</f>
        <v>3 - 5</v>
      </c>
      <c r="G1317" s="1" t="str">
        <f>IFERROR(__xludf.DUMMYFUNCTION("""COMPUTED_VALUE"""),"Boston, MA")</f>
        <v>Boston, MA</v>
      </c>
      <c r="H1317" s="4" t="str">
        <f>IFERROR(__xludf.DUMMYFUNCTION("""COMPUTED_VALUE"""),"https://www.linkedin.com/posts/jessicalbeaudoin_talentoperations-peopleanalytics-hrprocessimprovement-activity-7225187789183561729-Enq_?utm_source=share&amp;utm_medium=member_desktop")</f>
        <v>https://www.linkedin.com/posts/jessicalbeaudoin_talentoperations-peopleanalytics-hrprocessimprovement-activity-7225187789183561729-Enq_?utm_source=share&amp;utm_medium=member_desktop</v>
      </c>
    </row>
    <row r="1318">
      <c r="A1318" s="2">
        <f>IFERROR(__xludf.DUMMYFUNCTION("""COMPUTED_VALUE"""),45506.0)</f>
        <v>45506</v>
      </c>
      <c r="B1318" s="1" t="str">
        <f>IFERROR(__xludf.DUMMYFUNCTION("""COMPUTED_VALUE"""),"CareSource")</f>
        <v>CareSource</v>
      </c>
      <c r="C1318" s="1" t="str">
        <f>IFERROR(__xludf.DUMMYFUNCTION("""COMPUTED_VALUE"""),"Health Plan Data Analyst III")</f>
        <v>Health Plan Data Analyst III</v>
      </c>
      <c r="D1318" s="1" t="str">
        <f>IFERROR(__xludf.DUMMYFUNCTION("""COMPUTED_VALUE"""),"On-Site")</f>
        <v>On-Site</v>
      </c>
      <c r="E1318" s="1" t="str">
        <f>IFERROR(__xludf.DUMMYFUNCTION("""COMPUTED_VALUE"""),"$69k - $111k")</f>
        <v>$69k - $111k</v>
      </c>
      <c r="F1318" s="1" t="str">
        <f>IFERROR(__xludf.DUMMYFUNCTION("""COMPUTED_VALUE"""),"3 - 5")</f>
        <v>3 - 5</v>
      </c>
      <c r="G1318" s="1" t="str">
        <f>IFERROR(__xludf.DUMMYFUNCTION("""COMPUTED_VALUE"""),"Dayton, OH")</f>
        <v>Dayton, OH</v>
      </c>
      <c r="H1318" s="4" t="str">
        <f>IFERROR(__xludf.DUMMYFUNCTION("""COMPUTED_VALUE"""),"https://www.linkedin.com/posts/tammy-tominich_health-plan-data-analyst-iii-at-caresource-activity-7224848911700574209-B2NM?utm_source=share&amp;utm_medium=member_desktop")</f>
        <v>https://www.linkedin.com/posts/tammy-tominich_health-plan-data-analyst-iii-at-caresource-activity-7224848911700574209-B2NM?utm_source=share&amp;utm_medium=member_desktop</v>
      </c>
    </row>
    <row r="1319">
      <c r="A1319" s="2">
        <f>IFERROR(__xludf.DUMMYFUNCTION("""COMPUTED_VALUE"""),45506.0)</f>
        <v>45506</v>
      </c>
      <c r="B1319" s="1" t="str">
        <f>IFERROR(__xludf.DUMMYFUNCTION("""COMPUTED_VALUE"""),"Loyola University of Maryland")</f>
        <v>Loyola University of Maryland</v>
      </c>
      <c r="C1319" s="1" t="str">
        <f>IFERROR(__xludf.DUMMYFUNCTION("""COMPUTED_VALUE"""),"Research &amp; Assessment Analyst")</f>
        <v>Research &amp; Assessment Analyst</v>
      </c>
      <c r="D1319" s="1" t="str">
        <f>IFERROR(__xludf.DUMMYFUNCTION("""COMPUTED_VALUE"""),"Remote")</f>
        <v>Remote</v>
      </c>
      <c r="E1319" s="1" t="str">
        <f>IFERROR(__xludf.DUMMYFUNCTION("""COMPUTED_VALUE"""),"N/A")</f>
        <v>N/A</v>
      </c>
      <c r="F1319" s="1" t="str">
        <f>IFERROR(__xludf.DUMMYFUNCTION("""COMPUTED_VALUE"""),"0 - 2")</f>
        <v>0 - 2</v>
      </c>
      <c r="G1319" s="1" t="str">
        <f>IFERROR(__xludf.DUMMYFUNCTION("""COMPUTED_VALUE"""),"USA")</f>
        <v>USA</v>
      </c>
      <c r="H1319" s="4" t="str">
        <f>IFERROR(__xludf.DUMMYFUNCTION("""COMPUTED_VALUE"""),"https://www.linkedin.com/posts/sjardeleza_research-assessment-analyst-temporary-activity-7224509795356049409-pwM8?utm_source=share&amp;utm_medium=member_desktop")</f>
        <v>https://www.linkedin.com/posts/sjardeleza_research-assessment-analyst-temporary-activity-7224509795356049409-pwM8?utm_source=share&amp;utm_medium=member_desktop</v>
      </c>
    </row>
    <row r="1320">
      <c r="A1320" s="2">
        <f>IFERROR(__xludf.DUMMYFUNCTION("""COMPUTED_VALUE"""),45506.0)</f>
        <v>45506</v>
      </c>
      <c r="B1320" s="1" t="str">
        <f>IFERROR(__xludf.DUMMYFUNCTION("""COMPUTED_VALUE"""),"Omnicell")</f>
        <v>Omnicell</v>
      </c>
      <c r="C1320" s="1" t="str">
        <f>IFERROR(__xludf.DUMMYFUNCTION("""COMPUTED_VALUE"""),"BI Developer")</f>
        <v>BI Developer</v>
      </c>
      <c r="D1320" s="1" t="str">
        <f>IFERROR(__xludf.DUMMYFUNCTION("""COMPUTED_VALUE"""),"Remote")</f>
        <v>Remote</v>
      </c>
      <c r="E1320" s="1" t="str">
        <f>IFERROR(__xludf.DUMMYFUNCTION("""COMPUTED_VALUE"""),"N/A")</f>
        <v>N/A</v>
      </c>
      <c r="F1320" s="1" t="str">
        <f>IFERROR(__xludf.DUMMYFUNCTION("""COMPUTED_VALUE"""),"3 - 5")</f>
        <v>3 - 5</v>
      </c>
      <c r="G1320" s="1" t="str">
        <f>IFERROR(__xludf.DUMMYFUNCTION("""COMPUTED_VALUE"""),"USA")</f>
        <v>USA</v>
      </c>
      <c r="H1320" s="4" t="str">
        <f>IFERROR(__xludf.DUMMYFUNCTION("""COMPUTED_VALUE"""),"https://www.linkedin.com/posts/nathan-hughes-6a947852_bi-developer-activity-7224976133744668672-URYw?utm_source=share&amp;utm_medium=member_desktop")</f>
        <v>https://www.linkedin.com/posts/nathan-hughes-6a947852_bi-developer-activity-7224976133744668672-URYw?utm_source=share&amp;utm_medium=member_desktop</v>
      </c>
    </row>
    <row r="1321">
      <c r="A1321" s="2">
        <f>IFERROR(__xludf.DUMMYFUNCTION("""COMPUTED_VALUE"""),45505.0)</f>
        <v>45505</v>
      </c>
      <c r="B1321" s="1" t="str">
        <f>IFERROR(__xludf.DUMMYFUNCTION("""COMPUTED_VALUE"""),"Hearts &amp; Science")</f>
        <v>Hearts &amp; Science</v>
      </c>
      <c r="C1321" s="1" t="str">
        <f>IFERROR(__xludf.DUMMYFUNCTION("""COMPUTED_VALUE"""),"Senior Analyst, Marketing Science")</f>
        <v>Senior Analyst, Marketing Science</v>
      </c>
      <c r="D1321" s="1" t="str">
        <f>IFERROR(__xludf.DUMMYFUNCTION("""COMPUTED_VALUE"""),"Hybrid")</f>
        <v>Hybrid</v>
      </c>
      <c r="E1321" s="1" t="str">
        <f>IFERROR(__xludf.DUMMYFUNCTION("""COMPUTED_VALUE"""),"$75k - $90k")</f>
        <v>$75k - $90k</v>
      </c>
      <c r="F1321" s="1" t="str">
        <f>IFERROR(__xludf.DUMMYFUNCTION("""COMPUTED_VALUE"""),"0 - 2")</f>
        <v>0 - 2</v>
      </c>
      <c r="G1321" s="1" t="str">
        <f>IFERROR(__xludf.DUMMYFUNCTION("""COMPUTED_VALUE"""),"Houston, TX")</f>
        <v>Houston, TX</v>
      </c>
      <c r="H1321" s="4" t="str">
        <f>IFERROR(__xludf.DUMMYFUNCTION("""COMPUTED_VALUE"""),"https://www.linkedin.com/posts/nhpnguyen_my-team-in-dallas-is-actively-looking-for-activity-7224527509810200576-M5Ej?utm_source=share&amp;utm_medium=member_desktop")</f>
        <v>https://www.linkedin.com/posts/nhpnguyen_my-team-in-dallas-is-actively-looking-for-activity-7224527509810200576-M5Ej?utm_source=share&amp;utm_medium=member_desktop</v>
      </c>
    </row>
    <row r="1322">
      <c r="A1322" s="2">
        <f>IFERROR(__xludf.DUMMYFUNCTION("""COMPUTED_VALUE"""),45505.0)</f>
        <v>45505</v>
      </c>
      <c r="B1322" s="1" t="str">
        <f>IFERROR(__xludf.DUMMYFUNCTION("""COMPUTED_VALUE"""),"Dyson")</f>
        <v>Dyson</v>
      </c>
      <c r="C1322" s="1" t="str">
        <f>IFERROR(__xludf.DUMMYFUNCTION("""COMPUTED_VALUE"""),"Retail Operations Analyst")</f>
        <v>Retail Operations Analyst</v>
      </c>
      <c r="D1322" s="1" t="str">
        <f>IFERROR(__xludf.DUMMYFUNCTION("""COMPUTED_VALUE"""),"Hybrid")</f>
        <v>Hybrid</v>
      </c>
      <c r="E1322" s="1" t="str">
        <f>IFERROR(__xludf.DUMMYFUNCTION("""COMPUTED_VALUE"""),"N/A")</f>
        <v>N/A</v>
      </c>
      <c r="F1322" s="1" t="str">
        <f>IFERROR(__xludf.DUMMYFUNCTION("""COMPUTED_VALUE"""),"3 - 5")</f>
        <v>3 - 5</v>
      </c>
      <c r="G1322" s="1" t="str">
        <f>IFERROR(__xludf.DUMMYFUNCTION("""COMPUTED_VALUE"""),"Chicago, IL")</f>
        <v>Chicago, IL</v>
      </c>
      <c r="H1322" s="4" t="str">
        <f>IFERROR(__xludf.DUMMYFUNCTION("""COMPUTED_VALUE"""),"https://www.linkedin.com/posts/nantczak_retail-operations-analyst-and-planner-activity-7224512651576365056-IonB?utm_source=share&amp;utm_medium=member_desktop")</f>
        <v>https://www.linkedin.com/posts/nantczak_retail-operations-analyst-and-planner-activity-7224512651576365056-IonB?utm_source=share&amp;utm_medium=member_desktop</v>
      </c>
    </row>
    <row r="1323">
      <c r="A1323" s="2">
        <f>IFERROR(__xludf.DUMMYFUNCTION("""COMPUTED_VALUE"""),45505.0)</f>
        <v>45505</v>
      </c>
      <c r="B1323" s="1" t="str">
        <f>IFERROR(__xludf.DUMMYFUNCTION("""COMPUTED_VALUE"""),"Expedia")</f>
        <v>Expedia</v>
      </c>
      <c r="C1323" s="1" t="str">
        <f>IFERROR(__xludf.DUMMYFUNCTION("""COMPUTED_VALUE"""),"Manager, People Analytics Product Developer")</f>
        <v>Manager, People Analytics Product Developer</v>
      </c>
      <c r="D1323" s="1" t="str">
        <f>IFERROR(__xludf.DUMMYFUNCTION("""COMPUTED_VALUE"""),"Hybrid")</f>
        <v>Hybrid</v>
      </c>
      <c r="E1323" s="1" t="str">
        <f>IFERROR(__xludf.DUMMYFUNCTION("""COMPUTED_VALUE"""),"$138k - $193k")</f>
        <v>$138k - $193k</v>
      </c>
      <c r="F1323" s="1" t="str">
        <f>IFERROR(__xludf.DUMMYFUNCTION("""COMPUTED_VALUE"""),"3 - 5")</f>
        <v>3 - 5</v>
      </c>
      <c r="G1323" s="1" t="str">
        <f>IFERROR(__xludf.DUMMYFUNCTION("""COMPUTED_VALUE"""),"Seattle, WA")</f>
        <v>Seattle, WA</v>
      </c>
      <c r="H1323" s="4" t="str">
        <f>IFERROR(__xludf.DUMMYFUNCTION("""COMPUTED_VALUE"""),"https://www.linkedin.com/posts/activity-7224523015609311232-MgbP?utm_source=share&amp;utm_medium=member_desktop")</f>
        <v>https://www.linkedin.com/posts/activity-7224523015609311232-MgbP?utm_source=share&amp;utm_medium=member_desktop</v>
      </c>
    </row>
    <row r="1324">
      <c r="A1324" s="2">
        <f>IFERROR(__xludf.DUMMYFUNCTION("""COMPUTED_VALUE"""),45505.0)</f>
        <v>45505</v>
      </c>
      <c r="B1324" s="1" t="str">
        <f>IFERROR(__xludf.DUMMYFUNCTION("""COMPUTED_VALUE"""),"Avelo Airlines")</f>
        <v>Avelo Airlines</v>
      </c>
      <c r="C1324" s="1" t="str">
        <f>IFERROR(__xludf.DUMMYFUNCTION("""COMPUTED_VALUE"""),"Data Analyst")</f>
        <v>Data Analyst</v>
      </c>
      <c r="D1324" s="1" t="str">
        <f>IFERROR(__xludf.DUMMYFUNCTION("""COMPUTED_VALUE"""),"On-Site")</f>
        <v>On-Site</v>
      </c>
      <c r="E1324" s="1" t="str">
        <f>IFERROR(__xludf.DUMMYFUNCTION("""COMPUTED_VALUE"""),"N/A")</f>
        <v>N/A</v>
      </c>
      <c r="F1324" s="1" t="str">
        <f>IFERROR(__xludf.DUMMYFUNCTION("""COMPUTED_VALUE"""),"3 - 5")</f>
        <v>3 - 5</v>
      </c>
      <c r="G1324" s="1" t="str">
        <f>IFERROR(__xludf.DUMMYFUNCTION("""COMPUTED_VALUE"""),"USA")</f>
        <v>USA</v>
      </c>
      <c r="H1324" s="4" t="str">
        <f>IFERROR(__xludf.DUMMYFUNCTION("""COMPUTED_VALUE"""),"https://www.linkedin.com/posts/jwshouston_avelo-airlines-inc-analyst-data-activity-7224433969130323968-xJaz?utm_source=share&amp;utm_medium=member_desktop")</f>
        <v>https://www.linkedin.com/posts/jwshouston_avelo-airlines-inc-analyst-data-activity-7224433969130323968-xJaz?utm_source=share&amp;utm_medium=member_desktop</v>
      </c>
    </row>
    <row r="1325">
      <c r="A1325" s="2">
        <f>IFERROR(__xludf.DUMMYFUNCTION("""COMPUTED_VALUE"""),45505.0)</f>
        <v>45505</v>
      </c>
      <c r="B1325" s="1" t="str">
        <f>IFERROR(__xludf.DUMMYFUNCTION("""COMPUTED_VALUE"""),"Cisco Meraki")</f>
        <v>Cisco Meraki</v>
      </c>
      <c r="C1325" s="1" t="str">
        <f>IFERROR(__xludf.DUMMYFUNCTION("""COMPUTED_VALUE"""),"Senior Data Analyst")</f>
        <v>Senior Data Analyst</v>
      </c>
      <c r="D1325" s="1" t="str">
        <f>IFERROR(__xludf.DUMMYFUNCTION("""COMPUTED_VALUE"""),"Remote")</f>
        <v>Remote</v>
      </c>
      <c r="E1325" s="1" t="str">
        <f>IFERROR(__xludf.DUMMYFUNCTION("""COMPUTED_VALUE"""),"$96k - $169k")</f>
        <v>$96k - $169k</v>
      </c>
      <c r="F1325" s="1" t="str">
        <f>IFERROR(__xludf.DUMMYFUNCTION("""COMPUTED_VALUE"""),"3 - 5")</f>
        <v>3 - 5</v>
      </c>
      <c r="G1325" s="1" t="str">
        <f>IFERROR(__xludf.DUMMYFUNCTION("""COMPUTED_VALUE"""),"USA")</f>
        <v>USA</v>
      </c>
      <c r="H1325" s="4" t="str">
        <f>IFERROR(__xludf.DUMMYFUNCTION("""COMPUTED_VALUE"""),"https://www.linkedin.com/posts/activity-7224572605339418624-Ift9?utm_source=share&amp;utm_medium=member_desktop")</f>
        <v>https://www.linkedin.com/posts/activity-7224572605339418624-Ift9?utm_source=share&amp;utm_medium=member_desktop</v>
      </c>
    </row>
    <row r="1326">
      <c r="A1326" s="2">
        <f>IFERROR(__xludf.DUMMYFUNCTION("""COMPUTED_VALUE"""),45505.0)</f>
        <v>45505</v>
      </c>
      <c r="B1326" s="1" t="str">
        <f>IFERROR(__xludf.DUMMYFUNCTION("""COMPUTED_VALUE"""),"Chanel")</f>
        <v>Chanel</v>
      </c>
      <c r="C1326" s="1" t="str">
        <f>IFERROR(__xludf.DUMMYFUNCTION("""COMPUTED_VALUE"""),"Senior Manager, People Sustainability Insights &amp; Analytics")</f>
        <v>Senior Manager, People Sustainability Insights &amp; Analytics</v>
      </c>
      <c r="D1326" s="1" t="str">
        <f>IFERROR(__xludf.DUMMYFUNCTION("""COMPUTED_VALUE"""),"Hybrid")</f>
        <v>Hybrid</v>
      </c>
      <c r="E1326" s="1" t="str">
        <f>IFERROR(__xludf.DUMMYFUNCTION("""COMPUTED_VALUE"""),"$88k - $150k")</f>
        <v>$88k - $150k</v>
      </c>
      <c r="F1326" s="1" t="str">
        <f>IFERROR(__xludf.DUMMYFUNCTION("""COMPUTED_VALUE"""),"6 - 9")</f>
        <v>6 - 9</v>
      </c>
      <c r="G1326" s="1" t="str">
        <f>IFERROR(__xludf.DUMMYFUNCTION("""COMPUTED_VALUE"""),"New York, NY")</f>
        <v>New York, NY</v>
      </c>
      <c r="H1326" s="4" t="str">
        <f>IFERROR(__xludf.DUMMYFUNCTION("""COMPUTED_VALUE"""),"https://www.linkedin.com/posts/lindsay-schwinck-56bbbb4_senior-manager-people-insights-analytics-activity-7224834178477875201-BunP?utm_source=share&amp;utm_medium=member_desktop")</f>
        <v>https://www.linkedin.com/posts/lindsay-schwinck-56bbbb4_senior-manager-people-insights-analytics-activity-7224834178477875201-BunP?utm_source=share&amp;utm_medium=member_desktop</v>
      </c>
    </row>
    <row r="1327">
      <c r="A1327" s="2">
        <f>IFERROR(__xludf.DUMMYFUNCTION("""COMPUTED_VALUE"""),45505.0)</f>
        <v>45505</v>
      </c>
      <c r="B1327" s="1" t="str">
        <f>IFERROR(__xludf.DUMMYFUNCTION("""COMPUTED_VALUE"""),"American Airlines")</f>
        <v>American Airlines</v>
      </c>
      <c r="C1327" s="1" t="str">
        <f>IFERROR(__xludf.DUMMYFUNCTION("""COMPUTED_VALUE"""),"Sr Analyst, Division Finance")</f>
        <v>Sr Analyst, Division Finance</v>
      </c>
      <c r="D1327" s="1" t="str">
        <f>IFERROR(__xludf.DUMMYFUNCTION("""COMPUTED_VALUE"""),"On-Site")</f>
        <v>On-Site</v>
      </c>
      <c r="E1327" s="1" t="str">
        <f>IFERROR(__xludf.DUMMYFUNCTION("""COMPUTED_VALUE"""),"N/A")</f>
        <v>N/A</v>
      </c>
      <c r="F1327" s="1" t="str">
        <f>IFERROR(__xludf.DUMMYFUNCTION("""COMPUTED_VALUE"""),"3 - 5")</f>
        <v>3 - 5</v>
      </c>
      <c r="G1327" s="1" t="str">
        <f>IFERROR(__xludf.DUMMYFUNCTION("""COMPUTED_VALUE"""),"Dallas, TX")</f>
        <v>Dallas, TX</v>
      </c>
      <c r="H1327" s="4" t="str">
        <f>IFERROR(__xludf.DUMMYFUNCTION("""COMPUTED_VALUE"""),"https://www.linkedin.com/posts/jjmorris0_finance-hiring-financeanalyst-activity-7224788063502184449-2384?utm_source=share&amp;utm_medium=member_desktop")</f>
        <v>https://www.linkedin.com/posts/jjmorris0_finance-hiring-financeanalyst-activity-7224788063502184449-2384?utm_source=share&amp;utm_medium=member_desktop</v>
      </c>
    </row>
    <row r="1328">
      <c r="A1328" s="2">
        <f>IFERROR(__xludf.DUMMYFUNCTION("""COMPUTED_VALUE"""),45505.0)</f>
        <v>45505</v>
      </c>
      <c r="B1328" s="1" t="str">
        <f>IFERROR(__xludf.DUMMYFUNCTION("""COMPUTED_VALUE"""),"Oddball")</f>
        <v>Oddball</v>
      </c>
      <c r="C1328" s="1" t="str">
        <f>IFERROR(__xludf.DUMMYFUNCTION("""COMPUTED_VALUE"""),"Senior Pricing Analyst")</f>
        <v>Senior Pricing Analyst</v>
      </c>
      <c r="D1328" s="1" t="str">
        <f>IFERROR(__xludf.DUMMYFUNCTION("""COMPUTED_VALUE"""),"Remote")</f>
        <v>Remote</v>
      </c>
      <c r="E1328" s="1" t="str">
        <f>IFERROR(__xludf.DUMMYFUNCTION("""COMPUTED_VALUE"""),"$100k - $150k")</f>
        <v>$100k - $150k</v>
      </c>
      <c r="F1328" s="1" t="str">
        <f>IFERROR(__xludf.DUMMYFUNCTION("""COMPUTED_VALUE"""),"3 - 5")</f>
        <v>3 - 5</v>
      </c>
      <c r="G1328" s="1" t="str">
        <f>IFERROR(__xludf.DUMMYFUNCTION("""COMPUTED_VALUE"""),"USA")</f>
        <v>USA</v>
      </c>
      <c r="H1328" s="4" t="str">
        <f>IFERROR(__xludf.DUMMYFUNCTION("""COMPUTED_VALUE"""),"https://www.linkedin.com/posts/brandonrapp_senior-pricing-analyst-activity-7224760792842145792-MI3_?utm_source=share&amp;utm_medium=member_desktop")</f>
        <v>https://www.linkedin.com/posts/brandonrapp_senior-pricing-analyst-activity-7224760792842145792-MI3_?utm_source=share&amp;utm_medium=member_desktop</v>
      </c>
    </row>
    <row r="1329">
      <c r="A1329" s="2">
        <f>IFERROR(__xludf.DUMMYFUNCTION("""COMPUTED_VALUE"""),45505.0)</f>
        <v>45505</v>
      </c>
      <c r="B1329" s="1" t="str">
        <f>IFERROR(__xludf.DUMMYFUNCTION("""COMPUTED_VALUE"""),"Applied Resource Group")</f>
        <v>Applied Resource Group</v>
      </c>
      <c r="C1329" s="1" t="str">
        <f>IFERROR(__xludf.DUMMYFUNCTION("""COMPUTED_VALUE"""),"Marketing Analyst")</f>
        <v>Marketing Analyst</v>
      </c>
      <c r="D1329" s="1" t="str">
        <f>IFERROR(__xludf.DUMMYFUNCTION("""COMPUTED_VALUE"""),"Remote")</f>
        <v>Remote</v>
      </c>
      <c r="E1329" s="1" t="str">
        <f>IFERROR(__xludf.DUMMYFUNCTION("""COMPUTED_VALUE"""),"$90k")</f>
        <v>$90k</v>
      </c>
      <c r="F1329" s="1" t="str">
        <f>IFERROR(__xludf.DUMMYFUNCTION("""COMPUTED_VALUE"""),"0 - 2")</f>
        <v>0 - 2</v>
      </c>
      <c r="G1329" s="1" t="str">
        <f>IFERROR(__xludf.DUMMYFUNCTION("""COMPUTED_VALUE"""),"USA")</f>
        <v>USA</v>
      </c>
      <c r="H1329" s="4" t="str">
        <f>IFERROR(__xludf.DUMMYFUNCTION("""COMPUTED_VALUE"""),"https://www.linkedin.com/posts/activity-7224543660854407168-suCV?utm_source=share&amp;utm_medium=member_desktop")</f>
        <v>https://www.linkedin.com/posts/activity-7224543660854407168-suCV?utm_source=share&amp;utm_medium=member_desktop</v>
      </c>
    </row>
    <row r="1330">
      <c r="A1330" s="2">
        <f>IFERROR(__xludf.DUMMYFUNCTION("""COMPUTED_VALUE"""),45505.0)</f>
        <v>45505</v>
      </c>
      <c r="B1330" s="1" t="str">
        <f>IFERROR(__xludf.DUMMYFUNCTION("""COMPUTED_VALUE"""),"Walgreens")</f>
        <v>Walgreens</v>
      </c>
      <c r="C1330" s="1" t="str">
        <f>IFERROR(__xludf.DUMMYFUNCTION("""COMPUTED_VALUE"""),"Business Analyst Pharmacy &amp; Retail Ops")</f>
        <v>Business Analyst Pharmacy &amp; Retail Ops</v>
      </c>
      <c r="D1330" s="1" t="str">
        <f>IFERROR(__xludf.DUMMYFUNCTION("""COMPUTED_VALUE"""),"On-Site")</f>
        <v>On-Site</v>
      </c>
      <c r="E1330" s="1" t="str">
        <f>IFERROR(__xludf.DUMMYFUNCTION("""COMPUTED_VALUE"""),"N/A")</f>
        <v>N/A</v>
      </c>
      <c r="F1330" s="1" t="str">
        <f>IFERROR(__xludf.DUMMYFUNCTION("""COMPUTED_VALUE"""),"3 - 5")</f>
        <v>3 - 5</v>
      </c>
      <c r="G1330" s="1" t="str">
        <f>IFERROR(__xludf.DUMMYFUNCTION("""COMPUTED_VALUE"""),"Deerfield, IL")</f>
        <v>Deerfield, IL</v>
      </c>
      <c r="H1330" s="4" t="str">
        <f>IFERROR(__xludf.DUMMYFUNCTION("""COMPUTED_VALUE"""),"https://www.linkedin.com/posts/kayla-lechner-32a17b73_hi-folks-im-hiring-for-a-business-analyst-activity-7224605106892103680-4frG?utm_source=share&amp;utm_medium=member_desktop")</f>
        <v>https://www.linkedin.com/posts/kayla-lechner-32a17b73_hi-folks-im-hiring-for-a-business-analyst-activity-7224605106892103680-4frG?utm_source=share&amp;utm_medium=member_desktop</v>
      </c>
    </row>
    <row r="1331">
      <c r="A1331" s="2">
        <f>IFERROR(__xludf.DUMMYFUNCTION("""COMPUTED_VALUE"""),45505.0)</f>
        <v>45505</v>
      </c>
      <c r="B1331" s="1" t="str">
        <f>IFERROR(__xludf.DUMMYFUNCTION("""COMPUTED_VALUE"""),"Etsy")</f>
        <v>Etsy</v>
      </c>
      <c r="C1331" s="1" t="str">
        <f>IFERROR(__xludf.DUMMYFUNCTION("""COMPUTED_VALUE"""),"Data Scientist, Product Analytics")</f>
        <v>Data Scientist, Product Analytics</v>
      </c>
      <c r="D1331" s="1" t="str">
        <f>IFERROR(__xludf.DUMMYFUNCTION("""COMPUTED_VALUE"""),"Hybrid")</f>
        <v>Hybrid</v>
      </c>
      <c r="E1331" s="1" t="str">
        <f>IFERROR(__xludf.DUMMYFUNCTION("""COMPUTED_VALUE"""),"$115k - $149k")</f>
        <v>$115k - $149k</v>
      </c>
      <c r="F1331" s="1" t="str">
        <f>IFERROR(__xludf.DUMMYFUNCTION("""COMPUTED_VALUE"""),"0 - 2")</f>
        <v>0 - 2</v>
      </c>
      <c r="G1331" s="1" t="str">
        <f>IFERROR(__xludf.DUMMYFUNCTION("""COMPUTED_VALUE"""),"Brooklyn, NY")</f>
        <v>Brooklyn, NY</v>
      </c>
      <c r="H1331" s="4" t="str">
        <f>IFERROR(__xludf.DUMMYFUNCTION("""COMPUTED_VALUE"""),"https://www.linkedin.com/feed/update/urn:li:activity:7224830023042568193?utm_source=share&amp;utm_medium=member_desktop")</f>
        <v>https://www.linkedin.com/feed/update/urn:li:activity:7224830023042568193?utm_source=share&amp;utm_medium=member_desktop</v>
      </c>
    </row>
    <row r="1332">
      <c r="A1332" s="2">
        <f>IFERROR(__xludf.DUMMYFUNCTION("""COMPUTED_VALUE"""),45505.0)</f>
        <v>45505</v>
      </c>
      <c r="B1332" s="1" t="str">
        <f>IFERROR(__xludf.DUMMYFUNCTION("""COMPUTED_VALUE"""),"UC San Francisco")</f>
        <v>UC San Francisco</v>
      </c>
      <c r="C1332" s="1" t="str">
        <f>IFERROR(__xludf.DUMMYFUNCTION("""COMPUTED_VALUE"""),"Lead Financial Analyst")</f>
        <v>Lead Financial Analyst</v>
      </c>
      <c r="D1332" s="1" t="str">
        <f>IFERROR(__xludf.DUMMYFUNCTION("""COMPUTED_VALUE"""),"Remote")</f>
        <v>Remote</v>
      </c>
      <c r="E1332" s="1" t="str">
        <f>IFERROR(__xludf.DUMMYFUNCTION("""COMPUTED_VALUE"""),"$109k - $164k")</f>
        <v>$109k - $164k</v>
      </c>
      <c r="F1332" s="1" t="str">
        <f>IFERROR(__xludf.DUMMYFUNCTION("""COMPUTED_VALUE"""),"3 - 5")</f>
        <v>3 - 5</v>
      </c>
      <c r="G1332" s="1" t="str">
        <f>IFERROR(__xludf.DUMMYFUNCTION("""COMPUTED_VALUE"""),"San Francisco, CA")</f>
        <v>San Francisco, CA</v>
      </c>
      <c r="H1332" s="4" t="str">
        <f>IFERROR(__xludf.DUMMYFUNCTION("""COMPUTED_VALUE"""),"https://www.linkedin.com/posts/carmelvalencia_hiring-jobopening-financialanalyst-activity-7224813918471254018-QcJo?utm_source=share&amp;utm_medium=member_desktop")</f>
        <v>https://www.linkedin.com/posts/carmelvalencia_hiring-jobopening-financialanalyst-activity-7224813918471254018-QcJo?utm_source=share&amp;utm_medium=member_desktop</v>
      </c>
    </row>
    <row r="1333">
      <c r="A1333" s="2">
        <f>IFERROR(__xludf.DUMMYFUNCTION("""COMPUTED_VALUE"""),45505.0)</f>
        <v>45505</v>
      </c>
      <c r="B1333" s="1" t="str">
        <f>IFERROR(__xludf.DUMMYFUNCTION("""COMPUTED_VALUE"""),"Dallas Morning News")</f>
        <v>Dallas Morning News</v>
      </c>
      <c r="C1333" s="1" t="str">
        <f>IFERROR(__xludf.DUMMYFUNCTION("""COMPUTED_VALUE"""),"Senior Data Analyst")</f>
        <v>Senior Data Analyst</v>
      </c>
      <c r="D1333" s="1" t="str">
        <f>IFERROR(__xludf.DUMMYFUNCTION("""COMPUTED_VALUE"""),"Hybrid")</f>
        <v>Hybrid</v>
      </c>
      <c r="E1333" s="1" t="str">
        <f>IFERROR(__xludf.DUMMYFUNCTION("""COMPUTED_VALUE"""),"N/A")</f>
        <v>N/A</v>
      </c>
      <c r="F1333" s="1" t="str">
        <f>IFERROR(__xludf.DUMMYFUNCTION("""COMPUTED_VALUE"""),"3 - 5")</f>
        <v>3 - 5</v>
      </c>
      <c r="G1333" s="1" t="str">
        <f>IFERROR(__xludf.DUMMYFUNCTION("""COMPUTED_VALUE"""),"Dallas, TX")</f>
        <v>Dallas, TX</v>
      </c>
      <c r="H1333" s="4" t="str">
        <f>IFERROR(__xludf.DUMMYFUNCTION("""COMPUTED_VALUE"""),"https://www.linkedin.com/posts/patheiger_were-looking-for-a-senior-data-analyst-to-activity-7224817223167619072-LtfF?utm_source=share&amp;utm_medium=member_desktop")</f>
        <v>https://www.linkedin.com/posts/patheiger_were-looking-for-a-senior-data-analyst-to-activity-7224817223167619072-LtfF?utm_source=share&amp;utm_medium=member_desktop</v>
      </c>
    </row>
    <row r="1334">
      <c r="A1334" s="2">
        <f>IFERROR(__xludf.DUMMYFUNCTION("""COMPUTED_VALUE"""),45505.0)</f>
        <v>45505</v>
      </c>
      <c r="B1334" s="1" t="str">
        <f>IFERROR(__xludf.DUMMYFUNCTION("""COMPUTED_VALUE"""),"Stryker")</f>
        <v>Stryker</v>
      </c>
      <c r="C1334" s="1" t="str">
        <f>IFERROR(__xludf.DUMMYFUNCTION("""COMPUTED_VALUE"""),"Associate Manager, Data Analytics")</f>
        <v>Associate Manager, Data Analytics</v>
      </c>
      <c r="D1334" s="1" t="str">
        <f>IFERROR(__xludf.DUMMYFUNCTION("""COMPUTED_VALUE"""),"Remote")</f>
        <v>Remote</v>
      </c>
      <c r="E1334" s="1" t="str">
        <f>IFERROR(__xludf.DUMMYFUNCTION("""COMPUTED_VALUE"""),"$98k - $210k")</f>
        <v>$98k - $210k</v>
      </c>
      <c r="F1334" s="1" t="str">
        <f>IFERROR(__xludf.DUMMYFUNCTION("""COMPUTED_VALUE"""),"6 - 9")</f>
        <v>6 - 9</v>
      </c>
      <c r="G1334" s="1" t="str">
        <f>IFERROR(__xludf.DUMMYFUNCTION("""COMPUTED_VALUE"""),"USA")</f>
        <v>USA</v>
      </c>
      <c r="H1334" s="4" t="str">
        <f>IFERROR(__xludf.DUMMYFUNCTION("""COMPUTED_VALUE"""),"https://www.linkedin.com/posts/rpstevens_wearestryker-hiring-data-activity-7224774481829883904-cINh?utm_source=share&amp;utm_medium=member_desktop")</f>
        <v>https://www.linkedin.com/posts/rpstevens_wearestryker-hiring-data-activity-7224774481829883904-cINh?utm_source=share&amp;utm_medium=member_desktop</v>
      </c>
    </row>
    <row r="1335">
      <c r="A1335" s="2">
        <f>IFERROR(__xludf.DUMMYFUNCTION("""COMPUTED_VALUE"""),45505.0)</f>
        <v>45505</v>
      </c>
      <c r="B1335" s="1" t="str">
        <f>IFERROR(__xludf.DUMMYFUNCTION("""COMPUTED_VALUE"""),"Progressive Insurance")</f>
        <v>Progressive Insurance</v>
      </c>
      <c r="C1335" s="1" t="str">
        <f>IFERROR(__xludf.DUMMYFUNCTION("""COMPUTED_VALUE"""),"Data Analyst Lead")</f>
        <v>Data Analyst Lead</v>
      </c>
      <c r="D1335" s="1" t="str">
        <f>IFERROR(__xludf.DUMMYFUNCTION("""COMPUTED_VALUE"""),"Remote")</f>
        <v>Remote</v>
      </c>
      <c r="E1335" s="1" t="str">
        <f>IFERROR(__xludf.DUMMYFUNCTION("""COMPUTED_VALUE"""),"$93k - $124k")</f>
        <v>$93k - $124k</v>
      </c>
      <c r="F1335" s="1" t="str">
        <f>IFERROR(__xludf.DUMMYFUNCTION("""COMPUTED_VALUE"""),"3 - 5")</f>
        <v>3 - 5</v>
      </c>
      <c r="G1335" s="1" t="str">
        <f>IFERROR(__xludf.DUMMYFUNCTION("""COMPUTED_VALUE"""),"USA")</f>
        <v>USA</v>
      </c>
      <c r="H1335" s="4" t="str">
        <f>IFERROR(__xludf.DUMMYFUNCTION("""COMPUTED_VALUE"""),"https://www.linkedin.com/posts/emily-white-1b4258139_check-out-this-job-on-my-team-at-progressive-activity-7224818185986830337-2As_?utm_source=share&amp;utm_medium=member_desktop")</f>
        <v>https://www.linkedin.com/posts/emily-white-1b4258139_check-out-this-job-on-my-team-at-progressive-activity-7224818185986830337-2As_?utm_source=share&amp;utm_medium=member_desktop</v>
      </c>
    </row>
    <row r="1336">
      <c r="A1336" s="2">
        <f>IFERROR(__xludf.DUMMYFUNCTION("""COMPUTED_VALUE"""),45505.0)</f>
        <v>45505</v>
      </c>
      <c r="B1336" s="1" t="str">
        <f>IFERROR(__xludf.DUMMYFUNCTION("""COMPUTED_VALUE"""),"Arvest Bank")</f>
        <v>Arvest Bank</v>
      </c>
      <c r="C1336" s="1" t="str">
        <f>IFERROR(__xludf.DUMMYFUNCTION("""COMPUTED_VALUE"""),"Division Data Analyst")</f>
        <v>Division Data Analyst</v>
      </c>
      <c r="D1336" s="1" t="str">
        <f>IFERROR(__xludf.DUMMYFUNCTION("""COMPUTED_VALUE"""),"Remote")</f>
        <v>Remote</v>
      </c>
      <c r="E1336" s="1" t="str">
        <f>IFERROR(__xludf.DUMMYFUNCTION("""COMPUTED_VALUE"""),"$103k- $122k")</f>
        <v>$103k- $122k</v>
      </c>
      <c r="F1336" s="1" t="str">
        <f>IFERROR(__xludf.DUMMYFUNCTION("""COMPUTED_VALUE"""),"0 - 2")</f>
        <v>0 - 2</v>
      </c>
      <c r="G1336" s="1" t="str">
        <f>IFERROR(__xludf.DUMMYFUNCTION("""COMPUTED_VALUE"""),"Certain Locations")</f>
        <v>Certain Locations</v>
      </c>
      <c r="H1336" s="4" t="str">
        <f>IFERROR(__xludf.DUMMYFUNCTION("""COMPUTED_VALUE"""),"https://www.linkedin.com/posts/talialambert_join-our-team-at-arvest-bank-as-a-division-activity-7224772704615247872-zIw2?utm_source=share&amp;utm_medium=member_desktop")</f>
        <v>https://www.linkedin.com/posts/talialambert_join-our-team-at-arvest-bank-as-a-division-activity-7224772704615247872-zIw2?utm_source=share&amp;utm_medium=member_desktop</v>
      </c>
    </row>
    <row r="1337">
      <c r="A1337" s="2">
        <f>IFERROR(__xludf.DUMMYFUNCTION("""COMPUTED_VALUE"""),45505.0)</f>
        <v>45505</v>
      </c>
      <c r="B1337" s="1" t="str">
        <f>IFERROR(__xludf.DUMMYFUNCTION("""COMPUTED_VALUE"""),"DoorDash")</f>
        <v>DoorDash</v>
      </c>
      <c r="C1337" s="1" t="str">
        <f>IFERROR(__xludf.DUMMYFUNCTION("""COMPUTED_VALUE"""),"Manager, Media Measurement and Optimization Lead")</f>
        <v>Manager, Media Measurement and Optimization Lead</v>
      </c>
      <c r="D1337" s="1" t="str">
        <f>IFERROR(__xludf.DUMMYFUNCTION("""COMPUTED_VALUE"""),"Hybrid")</f>
        <v>Hybrid</v>
      </c>
      <c r="E1337" s="1" t="str">
        <f>IFERROR(__xludf.DUMMYFUNCTION("""COMPUTED_VALUE"""),"$126k - $210k")</f>
        <v>$126k - $210k</v>
      </c>
      <c r="F1337" s="1" t="str">
        <f>IFERROR(__xludf.DUMMYFUNCTION("""COMPUTED_VALUE"""),"6 - 9")</f>
        <v>6 - 9</v>
      </c>
      <c r="G1337" s="1" t="str">
        <f>IFERROR(__xludf.DUMMYFUNCTION("""COMPUTED_VALUE"""),"Certain Locations")</f>
        <v>Certain Locations</v>
      </c>
      <c r="H1337" s="4" t="str">
        <f>IFERROR(__xludf.DUMMYFUNCTION("""COMPUTED_VALUE"""),"https://www.linkedin.com/posts/laurenmariewalker_experienced-in-media-measurement-and-optimization-activity-7224795419925475330-OVTC?utm_source=share&amp;utm_medium=member_desktop")</f>
        <v>https://www.linkedin.com/posts/laurenmariewalker_experienced-in-media-measurement-and-optimization-activity-7224795419925475330-OVTC?utm_source=share&amp;utm_medium=member_desktop</v>
      </c>
    </row>
    <row r="1338">
      <c r="A1338" s="2">
        <f>IFERROR(__xludf.DUMMYFUNCTION("""COMPUTED_VALUE"""),45505.0)</f>
        <v>45505</v>
      </c>
      <c r="B1338" s="1" t="str">
        <f>IFERROR(__xludf.DUMMYFUNCTION("""COMPUTED_VALUE"""),"Visa")</f>
        <v>Visa</v>
      </c>
      <c r="C1338" s="1" t="str">
        <f>IFERROR(__xludf.DUMMYFUNCTION("""COMPUTED_VALUE"""),"Financial Analyst")</f>
        <v>Financial Analyst</v>
      </c>
      <c r="D1338" s="1" t="str">
        <f>IFERROR(__xludf.DUMMYFUNCTION("""COMPUTED_VALUE"""),"Hybrid")</f>
        <v>Hybrid</v>
      </c>
      <c r="E1338" s="1" t="str">
        <f>IFERROR(__xludf.DUMMYFUNCTION("""COMPUTED_VALUE"""),"$98k - $139k")</f>
        <v>$98k - $139k</v>
      </c>
      <c r="F1338" s="1" t="str">
        <f>IFERROR(__xludf.DUMMYFUNCTION("""COMPUTED_VALUE"""),"0 - 2")</f>
        <v>0 - 2</v>
      </c>
      <c r="G1338" s="1" t="str">
        <f>IFERROR(__xludf.DUMMYFUNCTION("""COMPUTED_VALUE"""),"Foster City, CA")</f>
        <v>Foster City, CA</v>
      </c>
      <c r="H1338" s="4" t="str">
        <f>IFERROR(__xludf.DUMMYFUNCTION("""COMPUTED_VALUE"""),"https://www.linkedin.com/posts/activity-7224915114754260992-b5FY?utm_source=share&amp;utm_medium=member_desktop")</f>
        <v>https://www.linkedin.com/posts/activity-7224915114754260992-b5FY?utm_source=share&amp;utm_medium=member_desktop</v>
      </c>
    </row>
    <row r="1339">
      <c r="A1339" s="2">
        <f>IFERROR(__xludf.DUMMYFUNCTION("""COMPUTED_VALUE"""),45505.0)</f>
        <v>45505</v>
      </c>
      <c r="B1339" s="1" t="str">
        <f>IFERROR(__xludf.DUMMYFUNCTION("""COMPUTED_VALUE"""),"SanMar")</f>
        <v>SanMar</v>
      </c>
      <c r="C1339" s="1" t="str">
        <f>IFERROR(__xludf.DUMMYFUNCTION("""COMPUTED_VALUE"""),"Manager, Customer Analytics and Insights")</f>
        <v>Manager, Customer Analytics and Insights</v>
      </c>
      <c r="D1339" s="1" t="str">
        <f>IFERROR(__xludf.DUMMYFUNCTION("""COMPUTED_VALUE"""),"Hybrid")</f>
        <v>Hybrid</v>
      </c>
      <c r="E1339" s="1" t="str">
        <f>IFERROR(__xludf.DUMMYFUNCTION("""COMPUTED_VALUE"""),"$105k - $150k")</f>
        <v>$105k - $150k</v>
      </c>
      <c r="F1339" s="1" t="str">
        <f>IFERROR(__xludf.DUMMYFUNCTION("""COMPUTED_VALUE"""),"3 - 5")</f>
        <v>3 - 5</v>
      </c>
      <c r="G1339" s="1" t="str">
        <f>IFERROR(__xludf.DUMMYFUNCTION("""COMPUTED_VALUE"""),"Issaquah, WA")</f>
        <v>Issaquah, WA</v>
      </c>
      <c r="H1339" s="4" t="str">
        <f>IFERROR(__xludf.DUMMYFUNCTION("""COMPUTED_VALUE"""),"https://www.linkedin.com/posts/marcolopez_manager-customer-analytics-and-insights-activity-7224525623669448706-RV1I?utm_source=share&amp;utm_medium=member_desktop")</f>
        <v>https://www.linkedin.com/posts/marcolopez_manager-customer-analytics-and-insights-activity-7224525623669448706-RV1I?utm_source=share&amp;utm_medium=member_desktop</v>
      </c>
    </row>
    <row r="1340">
      <c r="A1340" s="2">
        <f>IFERROR(__xludf.DUMMYFUNCTION("""COMPUTED_VALUE"""),45505.0)</f>
        <v>45505</v>
      </c>
      <c r="B1340" s="1" t="str">
        <f>IFERROR(__xludf.DUMMYFUNCTION("""COMPUTED_VALUE"""),"Airbnb")</f>
        <v>Airbnb</v>
      </c>
      <c r="C1340" s="1" t="str">
        <f>IFERROR(__xludf.DUMMYFUNCTION("""COMPUTED_VALUE"""),"Data Scientist, Algorithms - Core DS")</f>
        <v>Data Scientist, Algorithms - Core DS</v>
      </c>
      <c r="D1340" s="1" t="str">
        <f>IFERROR(__xludf.DUMMYFUNCTION("""COMPUTED_VALUE"""),"Remote")</f>
        <v>Remote</v>
      </c>
      <c r="E1340" s="1" t="str">
        <f>IFERROR(__xludf.DUMMYFUNCTION("""COMPUTED_VALUE"""),"$145k - $170k")</f>
        <v>$145k - $170k</v>
      </c>
      <c r="F1340" s="1" t="str">
        <f>IFERROR(__xludf.DUMMYFUNCTION("""COMPUTED_VALUE"""),"3 - 5")</f>
        <v>3 - 5</v>
      </c>
      <c r="G1340" s="1" t="str">
        <f>IFERROR(__xludf.DUMMYFUNCTION("""COMPUTED_VALUE"""),"USA")</f>
        <v>USA</v>
      </c>
      <c r="H1340" s="4" t="str">
        <f>IFERROR(__xludf.DUMMYFUNCTION("""COMPUTED_VALUE"""),"https://www.linkedin.com/posts/navin-sivanandam-87925168_the-core-data-science-team-at-airbnb-is-dedicated-activity-7224409783003463682-aO1q?utm_source=share&amp;utm_medium=member_desktop")</f>
        <v>https://www.linkedin.com/posts/navin-sivanandam-87925168_the-core-data-science-team-at-airbnb-is-dedicated-activity-7224409783003463682-aO1q?utm_source=share&amp;utm_medium=member_desktop</v>
      </c>
    </row>
    <row r="1341">
      <c r="A1341" s="2">
        <f>IFERROR(__xludf.DUMMYFUNCTION("""COMPUTED_VALUE"""),45505.0)</f>
        <v>45505</v>
      </c>
      <c r="B1341" s="1" t="str">
        <f>IFERROR(__xludf.DUMMYFUNCTION("""COMPUTED_VALUE"""),"Google")</f>
        <v>Google</v>
      </c>
      <c r="C1341" s="1" t="str">
        <f>IFERROR(__xludf.DUMMYFUNCTION("""COMPUTED_VALUE"""),"Analyst, Android Research and Insights")</f>
        <v>Analyst, Android Research and Insights</v>
      </c>
      <c r="D1341" s="1" t="str">
        <f>IFERROR(__xludf.DUMMYFUNCTION("""COMPUTED_VALUE"""),"On-Site")</f>
        <v>On-Site</v>
      </c>
      <c r="E1341" s="1" t="str">
        <f>IFERROR(__xludf.DUMMYFUNCTION("""COMPUTED_VALUE"""),"$117k - $172k")</f>
        <v>$117k - $172k</v>
      </c>
      <c r="F1341" s="1" t="str">
        <f>IFERROR(__xludf.DUMMYFUNCTION("""COMPUTED_VALUE"""),"3 - 5")</f>
        <v>3 - 5</v>
      </c>
      <c r="G1341" s="1" t="str">
        <f>IFERROR(__xludf.DUMMYFUNCTION("""COMPUTED_VALUE"""),"Mountain View, CA")</f>
        <v>Mountain View, CA</v>
      </c>
      <c r="H1341" s="4" t="str">
        <f>IFERROR(__xludf.DUMMYFUNCTION("""COMPUTED_VALUE"""),"https://www.linkedin.com/posts/krishnashrinivas_hiring-activity-7224894948863569920-UqL2?utm_source=share&amp;utm_medium=member_desktop")</f>
        <v>https://www.linkedin.com/posts/krishnashrinivas_hiring-activity-7224894948863569920-UqL2?utm_source=share&amp;utm_medium=member_desktop</v>
      </c>
    </row>
    <row r="1342">
      <c r="A1342" s="2">
        <f>IFERROR(__xludf.DUMMYFUNCTION("""COMPUTED_VALUE"""),45505.0)</f>
        <v>45505</v>
      </c>
      <c r="B1342" s="1" t="str">
        <f>IFERROR(__xludf.DUMMYFUNCTION("""COMPUTED_VALUE"""),"24 Hour Home Care")</f>
        <v>24 Hour Home Care</v>
      </c>
      <c r="C1342" s="1" t="str">
        <f>IFERROR(__xludf.DUMMYFUNCTION("""COMPUTED_VALUE"""),"Operational Excellence Analyst")</f>
        <v>Operational Excellence Analyst</v>
      </c>
      <c r="D1342" s="1" t="str">
        <f>IFERROR(__xludf.DUMMYFUNCTION("""COMPUTED_VALUE"""),"Hybrid")</f>
        <v>Hybrid</v>
      </c>
      <c r="E1342" s="1" t="str">
        <f>IFERROR(__xludf.DUMMYFUNCTION("""COMPUTED_VALUE"""),"$72k - $84k")</f>
        <v>$72k - $84k</v>
      </c>
      <c r="F1342" s="1" t="str">
        <f>IFERROR(__xludf.DUMMYFUNCTION("""COMPUTED_VALUE"""),"0 - 2")</f>
        <v>0 - 2</v>
      </c>
      <c r="G1342" s="1" t="str">
        <f>IFERROR(__xludf.DUMMYFUNCTION("""COMPUTED_VALUE"""),"El Segundo, CA")</f>
        <v>El Segundo, CA</v>
      </c>
      <c r="H1342" s="4" t="str">
        <f>IFERROR(__xludf.DUMMYFUNCTION("""COMPUTED_VALUE"""),"https://www.linkedin.com/posts/amanda-machado-ms-b68457156_operational-excellence-analyst-activity-7224636933920931840-2bnY?utm_source=share&amp;utm_medium=member_desktop")</f>
        <v>https://www.linkedin.com/posts/amanda-machado-ms-b68457156_operational-excellence-analyst-activity-7224636933920931840-2bnY?utm_source=share&amp;utm_medium=member_desktop</v>
      </c>
    </row>
    <row r="1343">
      <c r="A1343" s="2">
        <f>IFERROR(__xludf.DUMMYFUNCTION("""COMPUTED_VALUE"""),45505.0)</f>
        <v>45505</v>
      </c>
      <c r="B1343" s="1" t="str">
        <f>IFERROR(__xludf.DUMMYFUNCTION("""COMPUTED_VALUE"""),"Outreach")</f>
        <v>Outreach</v>
      </c>
      <c r="C1343" s="1" t="str">
        <f>IFERROR(__xludf.DUMMYFUNCTION("""COMPUTED_VALUE"""),"Data Protection Analyst")</f>
        <v>Data Protection Analyst</v>
      </c>
      <c r="D1343" s="1" t="str">
        <f>IFERROR(__xludf.DUMMYFUNCTION("""COMPUTED_VALUE"""),"Remote")</f>
        <v>Remote</v>
      </c>
      <c r="E1343" s="1" t="str">
        <f>IFERROR(__xludf.DUMMYFUNCTION("""COMPUTED_VALUE"""),"$81k - $90k")</f>
        <v>$81k - $90k</v>
      </c>
      <c r="F1343" s="1" t="str">
        <f>IFERROR(__xludf.DUMMYFUNCTION("""COMPUTED_VALUE"""),"0 - 2")</f>
        <v>0 - 2</v>
      </c>
      <c r="G1343" s="1" t="str">
        <f>IFERROR(__xludf.DUMMYFUNCTION("""COMPUTED_VALUE"""),"USA")</f>
        <v>USA</v>
      </c>
      <c r="H1343" s="4" t="str">
        <f>IFERROR(__xludf.DUMMYFUNCTION("""COMPUTED_VALUE"""),"https://www.linkedin.com/posts/activity-7224907715108651009-IL5o?utm_source=share&amp;utm_medium=member_desktop")</f>
        <v>https://www.linkedin.com/posts/activity-7224907715108651009-IL5o?utm_source=share&amp;utm_medium=member_desktop</v>
      </c>
    </row>
    <row r="1344">
      <c r="A1344" s="2">
        <f>IFERROR(__xludf.DUMMYFUNCTION("""COMPUTED_VALUE"""),45505.0)</f>
        <v>45505</v>
      </c>
      <c r="B1344" s="1" t="str">
        <f>IFERROR(__xludf.DUMMYFUNCTION("""COMPUTED_VALUE"""),"Messari")</f>
        <v>Messari</v>
      </c>
      <c r="C1344" s="1" t="str">
        <f>IFERROR(__xludf.DUMMYFUNCTION("""COMPUTED_VALUE"""),"Research Analyst")</f>
        <v>Research Analyst</v>
      </c>
      <c r="D1344" s="1" t="str">
        <f>IFERROR(__xludf.DUMMYFUNCTION("""COMPUTED_VALUE"""),"Remote")</f>
        <v>Remote</v>
      </c>
      <c r="E1344" s="1" t="str">
        <f>IFERROR(__xludf.DUMMYFUNCTION("""COMPUTED_VALUE"""),"$90k")</f>
        <v>$90k</v>
      </c>
      <c r="F1344" s="1" t="str">
        <f>IFERROR(__xludf.DUMMYFUNCTION("""COMPUTED_VALUE"""),"0 - 2")</f>
        <v>0 - 2</v>
      </c>
      <c r="G1344" s="1" t="str">
        <f>IFERROR(__xludf.DUMMYFUNCTION("""COMPUTED_VALUE"""),"USA")</f>
        <v>USA</v>
      </c>
      <c r="H1344" s="4" t="str">
        <f>IFERROR(__xludf.DUMMYFUNCTION("""COMPUTED_VALUE"""),"https://www.linkedin.com/posts/patryk-krasnicki-crypto-research_research-analyst-activity-7224830420910039040-ho8A?utm_source=share&amp;utm_medium=member_desktop")</f>
        <v>https://www.linkedin.com/posts/patryk-krasnicki-crypto-research_research-analyst-activity-7224830420910039040-ho8A?utm_source=share&amp;utm_medium=member_desktop</v>
      </c>
    </row>
    <row r="1345">
      <c r="A1345" s="2">
        <f>IFERROR(__xludf.DUMMYFUNCTION("""COMPUTED_VALUE"""),45505.0)</f>
        <v>45505</v>
      </c>
      <c r="B1345" s="1" t="str">
        <f>IFERROR(__xludf.DUMMYFUNCTION("""COMPUTED_VALUE"""),"Frontier")</f>
        <v>Frontier</v>
      </c>
      <c r="C1345" s="1" t="str">
        <f>IFERROR(__xludf.DUMMYFUNCTION("""COMPUTED_VALUE"""),"Senior Financial Analyst")</f>
        <v>Senior Financial Analyst</v>
      </c>
      <c r="D1345" s="1" t="str">
        <f>IFERROR(__xludf.DUMMYFUNCTION("""COMPUTED_VALUE"""),"On-Site")</f>
        <v>On-Site</v>
      </c>
      <c r="E1345" s="1" t="str">
        <f>IFERROR(__xludf.DUMMYFUNCTION("""COMPUTED_VALUE"""),"$52k - $148k")</f>
        <v>$52k - $148k</v>
      </c>
      <c r="F1345" s="1" t="str">
        <f>IFERROR(__xludf.DUMMYFUNCTION("""COMPUTED_VALUE"""),"3 - 5")</f>
        <v>3 - 5</v>
      </c>
      <c r="G1345" s="1" t="str">
        <f>IFERROR(__xludf.DUMMYFUNCTION("""COMPUTED_VALUE"""),"Dallas, TX")</f>
        <v>Dallas, TX</v>
      </c>
      <c r="H1345" s="4" t="str">
        <f>IFERROR(__xludf.DUMMYFUNCTION("""COMPUTED_VALUE"""),"https://www.linkedin.com/posts/emilybagwell_senior-financial-analyst-dallastexasunited-activity-7224844225555619840-ljX8?utm_source=share&amp;utm_medium=member_desktop")</f>
        <v>https://www.linkedin.com/posts/emilybagwell_senior-financial-analyst-dallastexasunited-activity-7224844225555619840-ljX8?utm_source=share&amp;utm_medium=member_desktop</v>
      </c>
    </row>
    <row r="1346">
      <c r="A1346" s="2">
        <f>IFERROR(__xludf.DUMMYFUNCTION("""COMPUTED_VALUE"""),45505.0)</f>
        <v>45505</v>
      </c>
      <c r="B1346" s="1" t="str">
        <f>IFERROR(__xludf.DUMMYFUNCTION("""COMPUTED_VALUE"""),"Uber")</f>
        <v>Uber</v>
      </c>
      <c r="C1346" s="1" t="str">
        <f>IFERROR(__xludf.DUMMYFUNCTION("""COMPUTED_VALUE"""),"Commercial Analytics Senior Associate, Uber Direct")</f>
        <v>Commercial Analytics Senior Associate, Uber Direct</v>
      </c>
      <c r="D1346" s="1" t="str">
        <f>IFERROR(__xludf.DUMMYFUNCTION("""COMPUTED_VALUE"""),"Hybrid")</f>
        <v>Hybrid</v>
      </c>
      <c r="E1346" s="1" t="str">
        <f>IFERROR(__xludf.DUMMYFUNCTION("""COMPUTED_VALUE"""),"$124k - $138k")</f>
        <v>$124k - $138k</v>
      </c>
      <c r="F1346" s="1" t="str">
        <f>IFERROR(__xludf.DUMMYFUNCTION("""COMPUTED_VALUE"""),"3 - 5")</f>
        <v>3 - 5</v>
      </c>
      <c r="G1346" s="1" t="str">
        <f>IFERROR(__xludf.DUMMYFUNCTION("""COMPUTED_VALUE"""),"New York, NY")</f>
        <v>New York, NY</v>
      </c>
      <c r="H1346" s="4" t="str">
        <f>IFERROR(__xludf.DUMMYFUNCTION("""COMPUTED_VALUE"""),"https://www.linkedin.com/posts/sienna-mintz-09068230_hiring-activity-7224782334212911104-xMy4?utm_source=share&amp;utm_medium=member_desktop")</f>
        <v>https://www.linkedin.com/posts/sienna-mintz-09068230_hiring-activity-7224782334212911104-xMy4?utm_source=share&amp;utm_medium=member_desktop</v>
      </c>
    </row>
    <row r="1347">
      <c r="A1347" s="2">
        <f>IFERROR(__xludf.DUMMYFUNCTION("""COMPUTED_VALUE"""),45505.0)</f>
        <v>45505</v>
      </c>
      <c r="B1347" s="1" t="str">
        <f>IFERROR(__xludf.DUMMYFUNCTION("""COMPUTED_VALUE"""),"LendingClub")</f>
        <v>LendingClub</v>
      </c>
      <c r="C1347" s="1" t="str">
        <f>IFERROR(__xludf.DUMMYFUNCTION("""COMPUTED_VALUE"""),"Sr Risk Analyst, Loss Forecasting")</f>
        <v>Sr Risk Analyst, Loss Forecasting</v>
      </c>
      <c r="D1347" s="1" t="str">
        <f>IFERROR(__xludf.DUMMYFUNCTION("""COMPUTED_VALUE"""),"Hybrid")</f>
        <v>Hybrid</v>
      </c>
      <c r="E1347" s="1" t="str">
        <f>IFERROR(__xludf.DUMMYFUNCTION("""COMPUTED_VALUE"""),"$103k - $120k")</f>
        <v>$103k - $120k</v>
      </c>
      <c r="F1347" s="1" t="str">
        <f>IFERROR(__xludf.DUMMYFUNCTION("""COMPUTED_VALUE"""),"0 - 2")</f>
        <v>0 - 2</v>
      </c>
      <c r="G1347" s="1" t="str">
        <f>IFERROR(__xludf.DUMMYFUNCTION("""COMPUTED_VALUE"""),"San Francisco, CA")</f>
        <v>San Francisco, CA</v>
      </c>
      <c r="H1347" s="4" t="str">
        <f>IFERROR(__xludf.DUMMYFUNCTION("""COMPUTED_VALUE"""),"https://www.linkedin.com/posts/rishabhdaga_we-are-hiring-a-senior-risk-analyst-in-our-activity-7224517588469305345-dv1F?utm_source=share&amp;utm_medium=member_desktop")</f>
        <v>https://www.linkedin.com/posts/rishabhdaga_we-are-hiring-a-senior-risk-analyst-in-our-activity-7224517588469305345-dv1F?utm_source=share&amp;utm_medium=member_desktop</v>
      </c>
    </row>
    <row r="1348">
      <c r="A1348" s="2">
        <f>IFERROR(__xludf.DUMMYFUNCTION("""COMPUTED_VALUE"""),45505.0)</f>
        <v>45505</v>
      </c>
      <c r="B1348" s="1" t="str">
        <f>IFERROR(__xludf.DUMMYFUNCTION("""COMPUTED_VALUE"""),"Harnham")</f>
        <v>Harnham</v>
      </c>
      <c r="C1348" s="1" t="str">
        <f>IFERROR(__xludf.DUMMYFUNCTION("""COMPUTED_VALUE"""),"Senior Media Analyst")</f>
        <v>Senior Media Analyst</v>
      </c>
      <c r="D1348" s="1" t="str">
        <f>IFERROR(__xludf.DUMMYFUNCTION("""COMPUTED_VALUE"""),"Remote")</f>
        <v>Remote</v>
      </c>
      <c r="E1348" s="1" t="str">
        <f>IFERROR(__xludf.DUMMYFUNCTION("""COMPUTED_VALUE"""),"$125k - $140k")</f>
        <v>$125k - $140k</v>
      </c>
      <c r="F1348" s="1" t="str">
        <f>IFERROR(__xludf.DUMMYFUNCTION("""COMPUTED_VALUE"""),"3 - 5")</f>
        <v>3 - 5</v>
      </c>
      <c r="G1348" s="1" t="str">
        <f>IFERROR(__xludf.DUMMYFUNCTION("""COMPUTED_VALUE"""),"USA")</f>
        <v>USA</v>
      </c>
      <c r="H1348" s="4" t="str">
        <f>IFERROR(__xludf.DUMMYFUNCTION("""COMPUTED_VALUE"""),"https://www.linkedin.com/posts/charlie-austin-a4a87a170_calling-all-my-sr-media-analysts-check-activity-7224476557111607298-ECSZ?utm_source=share&amp;utm_medium=member_desktop")</f>
        <v>https://www.linkedin.com/posts/charlie-austin-a4a87a170_calling-all-my-sr-media-analysts-check-activity-7224476557111607298-ECSZ?utm_source=share&amp;utm_medium=member_desktop</v>
      </c>
    </row>
    <row r="1349">
      <c r="A1349" s="2">
        <f>IFERROR(__xludf.DUMMYFUNCTION("""COMPUTED_VALUE"""),45505.0)</f>
        <v>45505</v>
      </c>
      <c r="B1349" s="1" t="str">
        <f>IFERROR(__xludf.DUMMYFUNCTION("""COMPUTED_VALUE"""),"EvenUp")</f>
        <v>EvenUp</v>
      </c>
      <c r="C1349" s="1" t="str">
        <f>IFERROR(__xludf.DUMMYFUNCTION("""COMPUTED_VALUE"""),"Business Operations Analyst")</f>
        <v>Business Operations Analyst</v>
      </c>
      <c r="D1349" s="1" t="str">
        <f>IFERROR(__xludf.DUMMYFUNCTION("""COMPUTED_VALUE"""),"Remote")</f>
        <v>Remote</v>
      </c>
      <c r="E1349" s="1" t="str">
        <f>IFERROR(__xludf.DUMMYFUNCTION("""COMPUTED_VALUE"""),"N/A")</f>
        <v>N/A</v>
      </c>
      <c r="F1349" s="1" t="str">
        <f>IFERROR(__xludf.DUMMYFUNCTION("""COMPUTED_VALUE"""),"3 - 5")</f>
        <v>3 - 5</v>
      </c>
      <c r="G1349" s="1" t="str">
        <f>IFERROR(__xludf.DUMMYFUNCTION("""COMPUTED_VALUE"""),"USA")</f>
        <v>USA</v>
      </c>
      <c r="H1349" s="4" t="str">
        <f>IFERROR(__xludf.DUMMYFUNCTION("""COMPUTED_VALUE"""),"https://www.linkedin.com/posts/seantwersky_business-operations-analyst-activity-7224256074730651648-CnI_?utm_source=share&amp;utm_medium=member_desktop")</f>
        <v>https://www.linkedin.com/posts/seantwersky_business-operations-analyst-activity-7224256074730651648-CnI_?utm_source=share&amp;utm_medium=member_desktop</v>
      </c>
    </row>
    <row r="1350">
      <c r="A1350" s="2">
        <f>IFERROR(__xludf.DUMMYFUNCTION("""COMPUTED_VALUE"""),45505.0)</f>
        <v>45505</v>
      </c>
      <c r="B1350" s="1" t="str">
        <f>IFERROR(__xludf.DUMMYFUNCTION("""COMPUTED_VALUE"""),"HubSpot")</f>
        <v>HubSpot</v>
      </c>
      <c r="C1350" s="1" t="str">
        <f>IFERROR(__xludf.DUMMYFUNCTION("""COMPUTED_VALUE"""),"Senior Business Analyst")</f>
        <v>Senior Business Analyst</v>
      </c>
      <c r="D1350" s="1" t="str">
        <f>IFERROR(__xludf.DUMMYFUNCTION("""COMPUTED_VALUE"""),"Remote")</f>
        <v>Remote</v>
      </c>
      <c r="E1350" s="1" t="str">
        <f>IFERROR(__xludf.DUMMYFUNCTION("""COMPUTED_VALUE"""),"$119k - $190k")</f>
        <v>$119k - $190k</v>
      </c>
      <c r="F1350" s="1" t="str">
        <f>IFERROR(__xludf.DUMMYFUNCTION("""COMPUTED_VALUE"""),"3 - 5")</f>
        <v>3 - 5</v>
      </c>
      <c r="G1350" s="1" t="str">
        <f>IFERROR(__xludf.DUMMYFUNCTION("""COMPUTED_VALUE"""),"USA")</f>
        <v>USA</v>
      </c>
      <c r="H1350" s="4" t="str">
        <f>IFERROR(__xludf.DUMMYFUNCTION("""COMPUTED_VALUE"""),"https://www.linkedin.com/posts/chris-pappey-190b98105_hubspot-careers-all-openings-activity-7224445514660904960-v6MQ?utm_source=share&amp;utm_medium=member_desktop")</f>
        <v>https://www.linkedin.com/posts/chris-pappey-190b98105_hubspot-careers-all-openings-activity-7224445514660904960-v6MQ?utm_source=share&amp;utm_medium=member_desktop</v>
      </c>
    </row>
    <row r="1351">
      <c r="A1351" s="2">
        <f>IFERROR(__xludf.DUMMYFUNCTION("""COMPUTED_VALUE"""),45505.0)</f>
        <v>45505</v>
      </c>
      <c r="B1351" s="1" t="str">
        <f>IFERROR(__xludf.DUMMYFUNCTION("""COMPUTED_VALUE"""),"JLL")</f>
        <v>JLL</v>
      </c>
      <c r="C1351" s="1" t="str">
        <f>IFERROR(__xludf.DUMMYFUNCTION("""COMPUTED_VALUE"""),"Financial Analyst")</f>
        <v>Financial Analyst</v>
      </c>
      <c r="D1351" s="1" t="str">
        <f>IFERROR(__xludf.DUMMYFUNCTION("""COMPUTED_VALUE"""),"Remote")</f>
        <v>Remote</v>
      </c>
      <c r="E1351" s="1" t="str">
        <f>IFERROR(__xludf.DUMMYFUNCTION("""COMPUTED_VALUE"""),"$73k - $110k")</f>
        <v>$73k - $110k</v>
      </c>
      <c r="F1351" s="1" t="str">
        <f>IFERROR(__xludf.DUMMYFUNCTION("""COMPUTED_VALUE"""),"3 - 5")</f>
        <v>3 - 5</v>
      </c>
      <c r="G1351" s="1" t="str">
        <f>IFERROR(__xludf.DUMMYFUNCTION("""COMPUTED_VALUE"""),"USA")</f>
        <v>USA</v>
      </c>
      <c r="H1351" s="4" t="str">
        <f>IFERROR(__xludf.DUMMYFUNCTION("""COMPUTED_VALUE"""),"https://www.linkedin.com/posts/tiffany-nguyen-b6346418_we-are-looking-for-financial-analyst-to-join-activity-7224909282310246400-WNTT?utm_source=share&amp;utm_medium=member_desktop")</f>
        <v>https://www.linkedin.com/posts/tiffany-nguyen-b6346418_we-are-looking-for-financial-analyst-to-join-activity-7224909282310246400-WNTT?utm_source=share&amp;utm_medium=member_desktop</v>
      </c>
    </row>
    <row r="1352">
      <c r="A1352" s="2">
        <f>IFERROR(__xludf.DUMMYFUNCTION("""COMPUTED_VALUE"""),45505.0)</f>
        <v>45505</v>
      </c>
      <c r="B1352" s="1" t="str">
        <f>IFERROR(__xludf.DUMMYFUNCTION("""COMPUTED_VALUE"""),"SEPHORA")</f>
        <v>SEPHORA</v>
      </c>
      <c r="C1352" s="1" t="str">
        <f>IFERROR(__xludf.DUMMYFUNCTION("""COMPUTED_VALUE"""),"Senior Compensation Analyst")</f>
        <v>Senior Compensation Analyst</v>
      </c>
      <c r="D1352" s="1" t="str">
        <f>IFERROR(__xludf.DUMMYFUNCTION("""COMPUTED_VALUE"""),"Hybrid")</f>
        <v>Hybrid</v>
      </c>
      <c r="E1352" s="1" t="str">
        <f>IFERROR(__xludf.DUMMYFUNCTION("""COMPUTED_VALUE"""),"$129k - $151k")</f>
        <v>$129k - $151k</v>
      </c>
      <c r="F1352" s="1" t="str">
        <f>IFERROR(__xludf.DUMMYFUNCTION("""COMPUTED_VALUE"""),"3 - 5")</f>
        <v>3 - 5</v>
      </c>
      <c r="G1352" s="1" t="str">
        <f>IFERROR(__xludf.DUMMYFUNCTION("""COMPUTED_VALUE"""),"San Francisco, CA")</f>
        <v>San Francisco, CA</v>
      </c>
      <c r="H1352" s="4" t="str">
        <f>IFERROR(__xludf.DUMMYFUNCTION("""COMPUTED_VALUE"""),"https://www.linkedin.com/posts/alizazaffar_seniorcompensationanalyst-hr-dataanalysis-activity-7224885141616091136-kbw8?utm_source=share&amp;utm_medium=member_desktop")</f>
        <v>https://www.linkedin.com/posts/alizazaffar_seniorcompensationanalyst-hr-dataanalysis-activity-7224885141616091136-kbw8?utm_source=share&amp;utm_medium=member_desktop</v>
      </c>
    </row>
    <row r="1353">
      <c r="A1353" s="2">
        <f>IFERROR(__xludf.DUMMYFUNCTION("""COMPUTED_VALUE"""),45505.0)</f>
        <v>45505</v>
      </c>
      <c r="B1353" s="1" t="str">
        <f>IFERROR(__xludf.DUMMYFUNCTION("""COMPUTED_VALUE"""),"Summit Group Solutions")</f>
        <v>Summit Group Solutions</v>
      </c>
      <c r="C1353" s="1" t="str">
        <f>IFERROR(__xludf.DUMMYFUNCTION("""COMPUTED_VALUE"""),"Business Analyst")</f>
        <v>Business Analyst</v>
      </c>
      <c r="D1353" s="1" t="str">
        <f>IFERROR(__xludf.DUMMYFUNCTION("""COMPUTED_VALUE"""),"Hybrid")</f>
        <v>Hybrid</v>
      </c>
      <c r="E1353" s="1" t="str">
        <f>IFERROR(__xludf.DUMMYFUNCTION("""COMPUTED_VALUE"""),"$85k - $100k")</f>
        <v>$85k - $100k</v>
      </c>
      <c r="F1353" s="1" t="str">
        <f>IFERROR(__xludf.DUMMYFUNCTION("""COMPUTED_VALUE"""),"3 - 5")</f>
        <v>3 - 5</v>
      </c>
      <c r="G1353" s="1" t="str">
        <f>IFERROR(__xludf.DUMMYFUNCTION("""COMPUTED_VALUE"""),"Scottsdale, AZ")</f>
        <v>Scottsdale, AZ</v>
      </c>
      <c r="H1353" s="4" t="str">
        <f>IFERROR(__xludf.DUMMYFUNCTION("""COMPUTED_VALUE"""),"https://www.linkedin.com/posts/christianlentz_careers-activity-7224917215865716736-KOU9?utm_source=share&amp;utm_medium=member_desktop")</f>
        <v>https://www.linkedin.com/posts/christianlentz_careers-activity-7224917215865716736-KOU9?utm_source=share&amp;utm_medium=member_desktop</v>
      </c>
    </row>
    <row r="1354">
      <c r="A1354" s="2">
        <f>IFERROR(__xludf.DUMMYFUNCTION("""COMPUTED_VALUE"""),45505.0)</f>
        <v>45505</v>
      </c>
      <c r="B1354" s="1" t="str">
        <f>IFERROR(__xludf.DUMMYFUNCTION("""COMPUTED_VALUE"""),"ECOnorthwest")</f>
        <v>ECOnorthwest</v>
      </c>
      <c r="C1354" s="1" t="str">
        <f>IFERROR(__xludf.DUMMYFUNCTION("""COMPUTED_VALUE"""),"Senior Research Analyst")</f>
        <v>Senior Research Analyst</v>
      </c>
      <c r="D1354" s="1" t="str">
        <f>IFERROR(__xludf.DUMMYFUNCTION("""COMPUTED_VALUE"""),"Hybrid")</f>
        <v>Hybrid</v>
      </c>
      <c r="E1354" s="1" t="str">
        <f>IFERROR(__xludf.DUMMYFUNCTION("""COMPUTED_VALUE"""),"$65k - $75k")</f>
        <v>$65k - $75k</v>
      </c>
      <c r="F1354" s="1" t="str">
        <f>IFERROR(__xludf.DUMMYFUNCTION("""COMPUTED_VALUE"""),"0 - 2")</f>
        <v>0 - 2</v>
      </c>
      <c r="G1354" s="1" t="str">
        <f>IFERROR(__xludf.DUMMYFUNCTION("""COMPUTED_VALUE"""),"Portland, OR")</f>
        <v>Portland, OR</v>
      </c>
      <c r="H1354" s="4" t="str">
        <f>IFERROR(__xludf.DUMMYFUNCTION("""COMPUTED_VALUE"""),"https://www.linkedin.com/posts/barlewis_econorthwest-is-currently-looking-to-hire-activity-7224870032030253056-hRsP?utm_source=share&amp;utm_medium=member_desktop")</f>
        <v>https://www.linkedin.com/posts/barlewis_econorthwest-is-currently-looking-to-hire-activity-7224870032030253056-hRsP?utm_source=share&amp;utm_medium=member_desktop</v>
      </c>
    </row>
    <row r="1355">
      <c r="A1355" s="2">
        <f>IFERROR(__xludf.DUMMYFUNCTION("""COMPUTED_VALUE"""),45505.0)</f>
        <v>45505</v>
      </c>
      <c r="B1355" s="1" t="str">
        <f>IFERROR(__xludf.DUMMYFUNCTION("""COMPUTED_VALUE"""),"VNS Health")</f>
        <v>VNS Health</v>
      </c>
      <c r="C1355" s="1" t="str">
        <f>IFERROR(__xludf.DUMMYFUNCTION("""COMPUTED_VALUE"""),"Senior Healthcare Analyst")</f>
        <v>Senior Healthcare Analyst</v>
      </c>
      <c r="D1355" s="1" t="str">
        <f>IFERROR(__xludf.DUMMYFUNCTION("""COMPUTED_VALUE"""),"Remote")</f>
        <v>Remote</v>
      </c>
      <c r="E1355" s="1" t="str">
        <f>IFERROR(__xludf.DUMMYFUNCTION("""COMPUTED_VALUE"""),"$93k - $117k")</f>
        <v>$93k - $117k</v>
      </c>
      <c r="F1355" s="1" t="str">
        <f>IFERROR(__xludf.DUMMYFUNCTION("""COMPUTED_VALUE"""),"3 - 5")</f>
        <v>3 - 5</v>
      </c>
      <c r="G1355" s="1" t="str">
        <f>IFERROR(__xludf.DUMMYFUNCTION("""COMPUTED_VALUE"""),"New York, NY")</f>
        <v>New York, NY</v>
      </c>
      <c r="H1355" s="4" t="str">
        <f>IFERROR(__xludf.DUMMYFUNCTION("""COMPUTED_VALUE"""),"https://www.linkedin.com/posts/samantha-b-a08360124_are-you-passionate-about-leveraging-data-activity-7224846827227865089-zNBE?utm_source=share&amp;utm_medium=member_desktop")</f>
        <v>https://www.linkedin.com/posts/samantha-b-a08360124_are-you-passionate-about-leveraging-data-activity-7224846827227865089-zNBE?utm_source=share&amp;utm_medium=member_desktop</v>
      </c>
    </row>
    <row r="1356">
      <c r="A1356" s="2">
        <f>IFERROR(__xludf.DUMMYFUNCTION("""COMPUTED_VALUE"""),45505.0)</f>
        <v>45505</v>
      </c>
      <c r="B1356" s="1" t="str">
        <f>IFERROR(__xludf.DUMMYFUNCTION("""COMPUTED_VALUE"""),"David Yurman")</f>
        <v>David Yurman</v>
      </c>
      <c r="C1356" s="1" t="str">
        <f>IFERROR(__xludf.DUMMYFUNCTION("""COMPUTED_VALUE"""),"Merchandising Analyst")</f>
        <v>Merchandising Analyst</v>
      </c>
      <c r="D1356" s="1" t="str">
        <f>IFERROR(__xludf.DUMMYFUNCTION("""COMPUTED_VALUE"""),"Hybrid")</f>
        <v>Hybrid</v>
      </c>
      <c r="E1356" s="1" t="str">
        <f>IFERROR(__xludf.DUMMYFUNCTION("""COMPUTED_VALUE"""),"$65k - $75k")</f>
        <v>$65k - $75k</v>
      </c>
      <c r="F1356" s="1" t="str">
        <f>IFERROR(__xludf.DUMMYFUNCTION("""COMPUTED_VALUE"""),"0 - 2")</f>
        <v>0 - 2</v>
      </c>
      <c r="G1356" s="1" t="str">
        <f>IFERROR(__xludf.DUMMYFUNCTION("""COMPUTED_VALUE"""),"New York, NY")</f>
        <v>New York, NY</v>
      </c>
      <c r="H1356" s="4" t="str">
        <f>IFERROR(__xludf.DUMMYFUNCTION("""COMPUTED_VALUE"""),"https://www.linkedin.com/posts/kayla-baviello-0b840b79_exciting-job-opportunity-at-david-yurman-activity-7224937514942279680-3KI4?utm_source=share&amp;utm_medium=member_desktop")</f>
        <v>https://www.linkedin.com/posts/kayla-baviello-0b840b79_exciting-job-opportunity-at-david-yurman-activity-7224937514942279680-3KI4?utm_source=share&amp;utm_medium=member_desktop</v>
      </c>
    </row>
    <row r="1357">
      <c r="A1357" s="2">
        <f>IFERROR(__xludf.DUMMYFUNCTION("""COMPUTED_VALUE"""),45505.0)</f>
        <v>45505</v>
      </c>
      <c r="B1357" s="1" t="str">
        <f>IFERROR(__xludf.DUMMYFUNCTION("""COMPUTED_VALUE"""),"Sally Beauty")</f>
        <v>Sally Beauty</v>
      </c>
      <c r="C1357" s="1" t="str">
        <f>IFERROR(__xludf.DUMMYFUNCTION("""COMPUTED_VALUE"""),"Sr Pricing Analyst")</f>
        <v>Sr Pricing Analyst</v>
      </c>
      <c r="D1357" s="1" t="str">
        <f>IFERROR(__xludf.DUMMYFUNCTION("""COMPUTED_VALUE"""),"Hybrid")</f>
        <v>Hybrid</v>
      </c>
      <c r="E1357" s="1" t="str">
        <f>IFERROR(__xludf.DUMMYFUNCTION("""COMPUTED_VALUE"""),"N/A")</f>
        <v>N/A</v>
      </c>
      <c r="F1357" s="1" t="str">
        <f>IFERROR(__xludf.DUMMYFUNCTION("""COMPUTED_VALUE"""),"3 - 5")</f>
        <v>3 - 5</v>
      </c>
      <c r="G1357" s="1" t="str">
        <f>IFERROR(__xludf.DUMMYFUNCTION("""COMPUTED_VALUE"""),"Denton, TX")</f>
        <v>Denton, TX</v>
      </c>
      <c r="H1357" s="4" t="str">
        <f>IFERROR(__xludf.DUMMYFUNCTION("""COMPUTED_VALUE"""),"https://www.linkedin.com/posts/susan-calhoun-shirley-00b48711_hiring-sallybeauty-activity-7224922481151635457-keX_?utm_source=share&amp;utm_medium=member_desktop")</f>
        <v>https://www.linkedin.com/posts/susan-calhoun-shirley-00b48711_hiring-sallybeauty-activity-7224922481151635457-keX_?utm_source=share&amp;utm_medium=member_desktop</v>
      </c>
    </row>
    <row r="1358">
      <c r="A1358" s="2">
        <f>IFERROR(__xludf.DUMMYFUNCTION("""COMPUTED_VALUE"""),45505.0)</f>
        <v>45505</v>
      </c>
      <c r="B1358" s="1" t="str">
        <f>IFERROR(__xludf.DUMMYFUNCTION("""COMPUTED_VALUE"""),"Road to Hire")</f>
        <v>Road to Hire</v>
      </c>
      <c r="C1358" s="1" t="str">
        <f>IFERROR(__xludf.DUMMYFUNCTION("""COMPUTED_VALUE"""),"Data and Operations Associate")</f>
        <v>Data and Operations Associate</v>
      </c>
      <c r="D1358" s="1" t="str">
        <f>IFERROR(__xludf.DUMMYFUNCTION("""COMPUTED_VALUE"""),"Hybrid")</f>
        <v>Hybrid</v>
      </c>
      <c r="E1358" s="1" t="str">
        <f>IFERROR(__xludf.DUMMYFUNCTION("""COMPUTED_VALUE"""),"$55k - $65k")</f>
        <v>$55k - $65k</v>
      </c>
      <c r="F1358" s="1" t="str">
        <f>IFERROR(__xludf.DUMMYFUNCTION("""COMPUTED_VALUE"""),"0 - 2")</f>
        <v>0 - 2</v>
      </c>
      <c r="G1358" s="1" t="str">
        <f>IFERROR(__xludf.DUMMYFUNCTION("""COMPUTED_VALUE"""),"Charlotte, NC")</f>
        <v>Charlotte, NC</v>
      </c>
      <c r="H1358" s="4" t="str">
        <f>IFERROR(__xludf.DUMMYFUNCTION("""COMPUTED_VALUE"""),"https://www.linkedin.com/posts/rachel-adjami-587176167_data-and-operations-associate-activity-7224863077836488704-GbLb?utm_source=share&amp;utm_medium=member_desktop")</f>
        <v>https://www.linkedin.com/posts/rachel-adjami-587176167_data-and-operations-associate-activity-7224863077836488704-GbLb?utm_source=share&amp;utm_medium=member_desktop</v>
      </c>
    </row>
    <row r="1359">
      <c r="A1359" s="2">
        <f>IFERROR(__xludf.DUMMYFUNCTION("""COMPUTED_VALUE"""),45505.0)</f>
        <v>45505</v>
      </c>
      <c r="B1359" s="1" t="str">
        <f>IFERROR(__xludf.DUMMYFUNCTION("""COMPUTED_VALUE"""),"Chime")</f>
        <v>Chime</v>
      </c>
      <c r="C1359" s="1" t="str">
        <f>IFERROR(__xludf.DUMMYFUNCTION("""COMPUTED_VALUE"""),"Mid/Senior Data Analyst, Product")</f>
        <v>Mid/Senior Data Analyst, Product</v>
      </c>
      <c r="D1359" s="1" t="str">
        <f>IFERROR(__xludf.DUMMYFUNCTION("""COMPUTED_VALUE"""),"Hybrid")</f>
        <v>Hybrid</v>
      </c>
      <c r="E1359" s="1" t="str">
        <f>IFERROR(__xludf.DUMMYFUNCTION("""COMPUTED_VALUE"""),"$118k - $185k")</f>
        <v>$118k - $185k</v>
      </c>
      <c r="F1359" s="1" t="str">
        <f>IFERROR(__xludf.DUMMYFUNCTION("""COMPUTED_VALUE"""),"3 - 5")</f>
        <v>3 - 5</v>
      </c>
      <c r="G1359" s="1" t="str">
        <f>IFERROR(__xludf.DUMMYFUNCTION("""COMPUTED_VALUE"""),"San Francisco, CA")</f>
        <v>San Francisco, CA</v>
      </c>
      <c r="H1359" s="4" t="str">
        <f>IFERROR(__xludf.DUMMYFUNCTION("""COMPUTED_VALUE"""),"https://www.linkedin.com/posts/josielouie_midsenior-data-analyst-product-activity-7224788042459312128-YPlh?utm_source=share&amp;utm_medium=member_desktop")</f>
        <v>https://www.linkedin.com/posts/josielouie_midsenior-data-analyst-product-activity-7224788042459312128-YPlh?utm_source=share&amp;utm_medium=member_desktop</v>
      </c>
    </row>
    <row r="1360">
      <c r="A1360" s="2">
        <f>IFERROR(__xludf.DUMMYFUNCTION("""COMPUTED_VALUE"""),45505.0)</f>
        <v>45505</v>
      </c>
      <c r="B1360" s="1" t="str">
        <f>IFERROR(__xludf.DUMMYFUNCTION("""COMPUTED_VALUE"""),"FedEx")</f>
        <v>FedEx</v>
      </c>
      <c r="C1360" s="1" t="str">
        <f>IFERROR(__xludf.DUMMYFUNCTION("""COMPUTED_VALUE"""),"Data Analyst III")</f>
        <v>Data Analyst III</v>
      </c>
      <c r="D1360" s="1" t="str">
        <f>IFERROR(__xludf.DUMMYFUNCTION("""COMPUTED_VALUE"""),"Remote")</f>
        <v>Remote</v>
      </c>
      <c r="E1360" s="1" t="str">
        <f>IFERROR(__xludf.DUMMYFUNCTION("""COMPUTED_VALUE"""),"$93k - $140k")</f>
        <v>$93k - $140k</v>
      </c>
      <c r="F1360" s="1" t="str">
        <f>IFERROR(__xludf.DUMMYFUNCTION("""COMPUTED_VALUE"""),"3 - 5")</f>
        <v>3 - 5</v>
      </c>
      <c r="G1360" s="1" t="str">
        <f>IFERROR(__xludf.DUMMYFUNCTION("""COMPUTED_VALUE"""),"USA")</f>
        <v>USA</v>
      </c>
      <c r="H1360" s="4" t="str">
        <f>IFERROR(__xludf.DUMMYFUNCTION("""COMPUTED_VALUE"""),"https://www.linkedin.com/posts/alison-weck_data-analyst-iii-in-memphis-tennessee-fedex-activity-7224729815998681089-KhT6?utm_source=share&amp;utm_medium=member_desktop")</f>
        <v>https://www.linkedin.com/posts/alison-weck_data-analyst-iii-in-memphis-tennessee-fedex-activity-7224729815998681089-KhT6?utm_source=share&amp;utm_medium=member_desktop</v>
      </c>
    </row>
    <row r="1361">
      <c r="A1361" s="2">
        <f>IFERROR(__xludf.DUMMYFUNCTION("""COMPUTED_VALUE"""),45505.0)</f>
        <v>45505</v>
      </c>
      <c r="B1361" s="1" t="str">
        <f>IFERROR(__xludf.DUMMYFUNCTION("""COMPUTED_VALUE"""),"BlueCross BlueShield Association")</f>
        <v>BlueCross BlueShield Association</v>
      </c>
      <c r="C1361" s="1" t="str">
        <f>IFERROR(__xludf.DUMMYFUNCTION("""COMPUTED_VALUE"""),"Senior Data Analyst")</f>
        <v>Senior Data Analyst</v>
      </c>
      <c r="D1361" s="1" t="str">
        <f>IFERROR(__xludf.DUMMYFUNCTION("""COMPUTED_VALUE"""),"Hybrid")</f>
        <v>Hybrid</v>
      </c>
      <c r="E1361" s="1" t="str">
        <f>IFERROR(__xludf.DUMMYFUNCTION("""COMPUTED_VALUE"""),"$92k - $129k")</f>
        <v>$92k - $129k</v>
      </c>
      <c r="F1361" s="1" t="str">
        <f>IFERROR(__xludf.DUMMYFUNCTION("""COMPUTED_VALUE"""),"3 - 5")</f>
        <v>3 - 5</v>
      </c>
      <c r="G1361" s="1" t="str">
        <f>IFERROR(__xludf.DUMMYFUNCTION("""COMPUTED_VALUE"""),"Chicago/Washington, DC")</f>
        <v>Chicago/Washington, DC</v>
      </c>
      <c r="H1361" s="4" t="str">
        <f>IFERROR(__xludf.DUMMYFUNCTION("""COMPUTED_VALUE"""),"https://www.linkedin.com/posts/matthewdweber_senior-data-analyst-activity-7224767999306539008-AhOq?utm_source=share&amp;utm_medium=member_desktop")</f>
        <v>https://www.linkedin.com/posts/matthewdweber_senior-data-analyst-activity-7224767999306539008-AhOq?utm_source=share&amp;utm_medium=member_desktop</v>
      </c>
    </row>
    <row r="1362">
      <c r="A1362" s="2">
        <f>IFERROR(__xludf.DUMMYFUNCTION("""COMPUTED_VALUE"""),45504.0)</f>
        <v>45504</v>
      </c>
      <c r="B1362" s="1" t="str">
        <f>IFERROR(__xludf.DUMMYFUNCTION("""COMPUTED_VALUE"""),"UnitedMasters")</f>
        <v>UnitedMasters</v>
      </c>
      <c r="C1362" s="1" t="str">
        <f>IFERROR(__xludf.DUMMYFUNCTION("""COMPUTED_VALUE"""),"Senior Data Scientist")</f>
        <v>Senior Data Scientist</v>
      </c>
      <c r="D1362" s="1" t="str">
        <f>IFERROR(__xludf.DUMMYFUNCTION("""COMPUTED_VALUE"""),"Hybrid")</f>
        <v>Hybrid</v>
      </c>
      <c r="E1362" s="1" t="str">
        <f>IFERROR(__xludf.DUMMYFUNCTION("""COMPUTED_VALUE"""),"$195k - $230k")</f>
        <v>$195k - $230k</v>
      </c>
      <c r="F1362" s="1" t="str">
        <f>IFERROR(__xludf.DUMMYFUNCTION("""COMPUTED_VALUE"""),"3 - 5")</f>
        <v>3 - 5</v>
      </c>
      <c r="G1362" s="1" t="str">
        <f>IFERROR(__xludf.DUMMYFUNCTION("""COMPUTED_VALUE"""),"NYC/San Francisco, CA")</f>
        <v>NYC/San Francisco, CA</v>
      </c>
      <c r="H1362" s="4" t="str">
        <f>IFERROR(__xludf.DUMMYFUNCTION("""COMPUTED_VALUE"""),"https://www.linkedin.com/posts/christopher-sheehey-81222522_sr-data-scientist-activity-7224195185503584257-ki_J?utm_source=share&amp;utm_medium=member_desktop")</f>
        <v>https://www.linkedin.com/posts/christopher-sheehey-81222522_sr-data-scientist-activity-7224195185503584257-ki_J?utm_source=share&amp;utm_medium=member_desktop</v>
      </c>
    </row>
    <row r="1363">
      <c r="A1363" s="2">
        <f>IFERROR(__xludf.DUMMYFUNCTION("""COMPUTED_VALUE"""),45504.0)</f>
        <v>45504</v>
      </c>
      <c r="B1363" s="1" t="str">
        <f>IFERROR(__xludf.DUMMYFUNCTION("""COMPUTED_VALUE"""),"Turo")</f>
        <v>Turo</v>
      </c>
      <c r="C1363" s="1" t="str">
        <f>IFERROR(__xludf.DUMMYFUNCTION("""COMPUTED_VALUE"""),"Compensation Analyst")</f>
        <v>Compensation Analyst</v>
      </c>
      <c r="D1363" s="1" t="str">
        <f>IFERROR(__xludf.DUMMYFUNCTION("""COMPUTED_VALUE"""),"Remote")</f>
        <v>Remote</v>
      </c>
      <c r="E1363" s="1" t="str">
        <f>IFERROR(__xludf.DUMMYFUNCTION("""COMPUTED_VALUE"""),"$112k - $135k")</f>
        <v>$112k - $135k</v>
      </c>
      <c r="F1363" s="1" t="str">
        <f>IFERROR(__xludf.DUMMYFUNCTION("""COMPUTED_VALUE"""),"3 - 5")</f>
        <v>3 - 5</v>
      </c>
      <c r="G1363" s="1" t="str">
        <f>IFERROR(__xludf.DUMMYFUNCTION("""COMPUTED_VALUE"""),"USA")</f>
        <v>USA</v>
      </c>
      <c r="H1363" s="4" t="str">
        <f>IFERROR(__xludf.DUMMYFUNCTION("""COMPUTED_VALUE"""),"https://www.linkedin.com/posts/fayettefox_compensation-analyst-activity-7224051115758075904-krrL?utm_source=share&amp;utm_medium=member_desktop")</f>
        <v>https://www.linkedin.com/posts/fayettefox_compensation-analyst-activity-7224051115758075904-krrL?utm_source=share&amp;utm_medium=member_desktop</v>
      </c>
    </row>
    <row r="1364">
      <c r="A1364" s="2">
        <f>IFERROR(__xludf.DUMMYFUNCTION("""COMPUTED_VALUE"""),45504.0)</f>
        <v>45504</v>
      </c>
      <c r="B1364" s="1" t="str">
        <f>IFERROR(__xludf.DUMMYFUNCTION("""COMPUTED_VALUE"""),"Nutrafol")</f>
        <v>Nutrafol</v>
      </c>
      <c r="C1364" s="1" t="str">
        <f>IFERROR(__xludf.DUMMYFUNCTION("""COMPUTED_VALUE"""),"Business Marketing Analyst, Amazon Operations")</f>
        <v>Business Marketing Analyst, Amazon Operations</v>
      </c>
      <c r="D1364" s="1" t="str">
        <f>IFERROR(__xludf.DUMMYFUNCTION("""COMPUTED_VALUE"""),"Remote")</f>
        <v>Remote</v>
      </c>
      <c r="E1364" s="1" t="str">
        <f>IFERROR(__xludf.DUMMYFUNCTION("""COMPUTED_VALUE"""),"$75k - $80k")</f>
        <v>$75k - $80k</v>
      </c>
      <c r="F1364" s="1" t="str">
        <f>IFERROR(__xludf.DUMMYFUNCTION("""COMPUTED_VALUE"""),"0 - 2")</f>
        <v>0 - 2</v>
      </c>
      <c r="G1364" s="1" t="str">
        <f>IFERROR(__xludf.DUMMYFUNCTION("""COMPUTED_VALUE"""),"USA")</f>
        <v>USA</v>
      </c>
      <c r="H1364" s="4" t="str">
        <f>IFERROR(__xludf.DUMMYFUNCTION("""COMPUTED_VALUE"""),"https://www.linkedin.com/posts/ashleycottrellmba_hiring-activity-7224413196239958016-xrvd?utm_source=share&amp;utm_medium=member_desktop")</f>
        <v>https://www.linkedin.com/posts/ashleycottrellmba_hiring-activity-7224413196239958016-xrvd?utm_source=share&amp;utm_medium=member_desktop</v>
      </c>
    </row>
    <row r="1365">
      <c r="A1365" s="2">
        <f>IFERROR(__xludf.DUMMYFUNCTION("""COMPUTED_VALUE"""),45504.0)</f>
        <v>45504</v>
      </c>
      <c r="B1365" s="1" t="str">
        <f>IFERROR(__xludf.DUMMYFUNCTION("""COMPUTED_VALUE"""),"Novo")</f>
        <v>Novo</v>
      </c>
      <c r="C1365" s="1" t="str">
        <f>IFERROR(__xludf.DUMMYFUNCTION("""COMPUTED_VALUE"""),"Analyst, Strategy and Analytics")</f>
        <v>Analyst, Strategy and Analytics</v>
      </c>
      <c r="D1365" s="1" t="str">
        <f>IFERROR(__xludf.DUMMYFUNCTION("""COMPUTED_VALUE"""),"Hybrid")</f>
        <v>Hybrid</v>
      </c>
      <c r="E1365" s="1" t="str">
        <f>IFERROR(__xludf.DUMMYFUNCTION("""COMPUTED_VALUE"""),"$100k - $120k")</f>
        <v>$100k - $120k</v>
      </c>
      <c r="F1365" s="1" t="str">
        <f>IFERROR(__xludf.DUMMYFUNCTION("""COMPUTED_VALUE"""),"3 - 5")</f>
        <v>3 - 5</v>
      </c>
      <c r="G1365" s="1" t="str">
        <f>IFERROR(__xludf.DUMMYFUNCTION("""COMPUTED_VALUE"""),"NYC/Miami, FL")</f>
        <v>NYC/Miami, FL</v>
      </c>
      <c r="H1365" s="4" t="str">
        <f>IFERROR(__xludf.DUMMYFUNCTION("""COMPUTED_VALUE"""),"https://www.linkedin.com/posts/patrick-hedges-b1434593_analyst-strategy-and-analytics-activity-7224458798340448257-0ZC8?utm_source=share&amp;utm_medium=member_desktop")</f>
        <v>https://www.linkedin.com/posts/patrick-hedges-b1434593_analyst-strategy-and-analytics-activity-7224458798340448257-0ZC8?utm_source=share&amp;utm_medium=member_desktop</v>
      </c>
    </row>
    <row r="1366">
      <c r="A1366" s="2">
        <f>IFERROR(__xludf.DUMMYFUNCTION("""COMPUTED_VALUE"""),45504.0)</f>
        <v>45504</v>
      </c>
      <c r="B1366" s="1" t="str">
        <f>IFERROR(__xludf.DUMMYFUNCTION("""COMPUTED_VALUE"""),"Addison Group")</f>
        <v>Addison Group</v>
      </c>
      <c r="C1366" s="1" t="str">
        <f>IFERROR(__xludf.DUMMYFUNCTION("""COMPUTED_VALUE"""),"Senior Compensation Analyst")</f>
        <v>Senior Compensation Analyst</v>
      </c>
      <c r="D1366" s="1" t="str">
        <f>IFERROR(__xludf.DUMMYFUNCTION("""COMPUTED_VALUE"""),"Hybrid")</f>
        <v>Hybrid</v>
      </c>
      <c r="E1366" s="1" t="str">
        <f>IFERROR(__xludf.DUMMYFUNCTION("""COMPUTED_VALUE"""),"$105k - $140k")</f>
        <v>$105k - $140k</v>
      </c>
      <c r="F1366" s="1" t="str">
        <f>IFERROR(__xludf.DUMMYFUNCTION("""COMPUTED_VALUE"""),"3 - 5")</f>
        <v>3 - 5</v>
      </c>
      <c r="G1366" s="1" t="str">
        <f>IFERROR(__xludf.DUMMYFUNCTION("""COMPUTED_VALUE"""),"Oklahoma City, OK")</f>
        <v>Oklahoma City, OK</v>
      </c>
      <c r="H1366" s="4" t="str">
        <f>IFERROR(__xludf.DUMMYFUNCTION("""COMPUTED_VALUE"""),"https://www.linkedin.com/posts/michael-box_hiring-hr-compensation-activity-7224407941007687683-DX_Z?utm_source=share&amp;utm_medium=member_desktop")</f>
        <v>https://www.linkedin.com/posts/michael-box_hiring-hr-compensation-activity-7224407941007687683-DX_Z?utm_source=share&amp;utm_medium=member_desktop</v>
      </c>
    </row>
    <row r="1367">
      <c r="A1367" s="2">
        <f>IFERROR(__xludf.DUMMYFUNCTION("""COMPUTED_VALUE"""),45504.0)</f>
        <v>45504</v>
      </c>
      <c r="B1367" s="1" t="str">
        <f>IFERROR(__xludf.DUMMYFUNCTION("""COMPUTED_VALUE"""),"Notion")</f>
        <v>Notion</v>
      </c>
      <c r="C1367" s="1" t="str">
        <f>IFERROR(__xludf.DUMMYFUNCTION("""COMPUTED_VALUE"""),"Business Intelligence Engineer, Marketing")</f>
        <v>Business Intelligence Engineer, Marketing</v>
      </c>
      <c r="D1367" s="1" t="str">
        <f>IFERROR(__xludf.DUMMYFUNCTION("""COMPUTED_VALUE"""),"Hybrid")</f>
        <v>Hybrid</v>
      </c>
      <c r="E1367" s="1" t="str">
        <f>IFERROR(__xludf.DUMMYFUNCTION("""COMPUTED_VALUE"""),"$140k - $195k")</f>
        <v>$140k - $195k</v>
      </c>
      <c r="F1367" s="1" t="str">
        <f>IFERROR(__xludf.DUMMYFUNCTION("""COMPUTED_VALUE"""),"3 - 5")</f>
        <v>3 - 5</v>
      </c>
      <c r="G1367" s="1" t="str">
        <f>IFERROR(__xludf.DUMMYFUNCTION("""COMPUTED_VALUE"""),"NYC/San Francisco, CA")</f>
        <v>NYC/San Francisco, CA</v>
      </c>
      <c r="H1367" s="4" t="str">
        <f>IFERROR(__xludf.DUMMYFUNCTION("""COMPUTED_VALUE"""),"https://www.linkedin.com/posts/sumonigupta_business-intelligence-engineer-marketing-activity-7224421118420389888-Y0sP?utm_source=share&amp;utm_medium=member_desktop")</f>
        <v>https://www.linkedin.com/posts/sumonigupta_business-intelligence-engineer-marketing-activity-7224421118420389888-Y0sP?utm_source=share&amp;utm_medium=member_desktop</v>
      </c>
    </row>
    <row r="1368">
      <c r="A1368" s="2">
        <f>IFERROR(__xludf.DUMMYFUNCTION("""COMPUTED_VALUE"""),45504.0)</f>
        <v>45504</v>
      </c>
      <c r="B1368" s="1" t="str">
        <f>IFERROR(__xludf.DUMMYFUNCTION("""COMPUTED_VALUE"""),"NBCUniversal")</f>
        <v>NBCUniversal</v>
      </c>
      <c r="C1368" s="1" t="str">
        <f>IFERROR(__xludf.DUMMYFUNCTION("""COMPUTED_VALUE"""),"Financial Analyst")</f>
        <v>Financial Analyst</v>
      </c>
      <c r="D1368" s="1" t="str">
        <f>IFERROR(__xludf.DUMMYFUNCTION("""COMPUTED_VALUE"""),"Hybrid")</f>
        <v>Hybrid</v>
      </c>
      <c r="E1368" s="1" t="str">
        <f>IFERROR(__xludf.DUMMYFUNCTION("""COMPUTED_VALUE"""),"$67k - $75k")</f>
        <v>$67k - $75k</v>
      </c>
      <c r="F1368" s="1" t="str">
        <f>IFERROR(__xludf.DUMMYFUNCTION("""COMPUTED_VALUE"""),"0 - 2")</f>
        <v>0 - 2</v>
      </c>
      <c r="G1368" s="1" t="str">
        <f>IFERROR(__xludf.DUMMYFUNCTION("""COMPUTED_VALUE"""),"Universal City, CA")</f>
        <v>Universal City, CA</v>
      </c>
      <c r="H1368" s="4" t="str">
        <f>IFERROR(__xludf.DUMMYFUNCTION("""COMPUTED_VALUE"""),"https://www.linkedin.com/posts/activity-7223920126322950145-PQC1?utm_source=share&amp;utm_medium=member_desktop")</f>
        <v>https://www.linkedin.com/posts/activity-7223920126322950145-PQC1?utm_source=share&amp;utm_medium=member_desktop</v>
      </c>
    </row>
    <row r="1369">
      <c r="A1369" s="2">
        <f>IFERROR(__xludf.DUMMYFUNCTION("""COMPUTED_VALUE"""),45504.0)</f>
        <v>45504</v>
      </c>
      <c r="B1369" s="1" t="str">
        <f>IFERROR(__xludf.DUMMYFUNCTION("""COMPUTED_VALUE"""),"Burlington Stores")</f>
        <v>Burlington Stores</v>
      </c>
      <c r="C1369" s="1" t="str">
        <f>IFERROR(__xludf.DUMMYFUNCTION("""COMPUTED_VALUE"""),"Manager, Supply Chain Analytics")</f>
        <v>Manager, Supply Chain Analytics</v>
      </c>
      <c r="D1369" s="1" t="str">
        <f>IFERROR(__xludf.DUMMYFUNCTION("""COMPUTED_VALUE"""),"Hybrid")</f>
        <v>Hybrid</v>
      </c>
      <c r="E1369" s="1" t="str">
        <f>IFERROR(__xludf.DUMMYFUNCTION("""COMPUTED_VALUE"""),"$115k - $150k")</f>
        <v>$115k - $150k</v>
      </c>
      <c r="F1369" s="1" t="str">
        <f>IFERROR(__xludf.DUMMYFUNCTION("""COMPUTED_VALUE"""),"3 - 5")</f>
        <v>3 - 5</v>
      </c>
      <c r="G1369" s="1" t="str">
        <f>IFERROR(__xludf.DUMMYFUNCTION("""COMPUTED_VALUE"""),"Edgewater Park, NJ")</f>
        <v>Edgewater Park, NJ</v>
      </c>
      <c r="H1369" s="4" t="str">
        <f>IFERROR(__xludf.DUMMYFUNCTION("""COMPUTED_VALUE"""),"https://www.linkedin.com/posts/carly-giraldo-kane-36836268_manager-supply-chain-analytics-in-edgewater-activity-7223723137362726912-noQa?utm_source=share&amp;utm_medium=member_desktop")</f>
        <v>https://www.linkedin.com/posts/carly-giraldo-kane-36836268_manager-supply-chain-analytics-in-edgewater-activity-7223723137362726912-noQa?utm_source=share&amp;utm_medium=member_desktop</v>
      </c>
    </row>
    <row r="1370">
      <c r="A1370" s="2">
        <f>IFERROR(__xludf.DUMMYFUNCTION("""COMPUTED_VALUE"""),45504.0)</f>
        <v>45504</v>
      </c>
      <c r="B1370" s="1" t="str">
        <f>IFERROR(__xludf.DUMMYFUNCTION("""COMPUTED_VALUE"""),"VyncaCare")</f>
        <v>VyncaCare</v>
      </c>
      <c r="C1370" s="1" t="str">
        <f>IFERROR(__xludf.DUMMYFUNCTION("""COMPUTED_VALUE"""),"FP&amp;A Analyst")</f>
        <v>FP&amp;A Analyst</v>
      </c>
      <c r="D1370" s="1" t="str">
        <f>IFERROR(__xludf.DUMMYFUNCTION("""COMPUTED_VALUE"""),"Remote")</f>
        <v>Remote</v>
      </c>
      <c r="E1370" s="1" t="str">
        <f>IFERROR(__xludf.DUMMYFUNCTION("""COMPUTED_VALUE"""),"$85k - $100k")</f>
        <v>$85k - $100k</v>
      </c>
      <c r="F1370" s="1" t="str">
        <f>IFERROR(__xludf.DUMMYFUNCTION("""COMPUTED_VALUE"""),"0 - 2")</f>
        <v>0 - 2</v>
      </c>
      <c r="G1370" s="1" t="str">
        <f>IFERROR(__xludf.DUMMYFUNCTION("""COMPUTED_VALUE"""),"USA")</f>
        <v>USA</v>
      </c>
      <c r="H1370" s="4" t="str">
        <f>IFERROR(__xludf.DUMMYFUNCTION("""COMPUTED_VALUE"""),"https://www.linkedin.com/posts/activity-7224069388537053187-cMJR?utm_source=share&amp;utm_medium=member_desktop")</f>
        <v>https://www.linkedin.com/posts/activity-7224069388537053187-cMJR?utm_source=share&amp;utm_medium=member_desktop</v>
      </c>
    </row>
    <row r="1371">
      <c r="A1371" s="2">
        <f>IFERROR(__xludf.DUMMYFUNCTION("""COMPUTED_VALUE"""),45504.0)</f>
        <v>45504</v>
      </c>
      <c r="B1371" s="1" t="str">
        <f>IFERROR(__xludf.DUMMYFUNCTION("""COMPUTED_VALUE"""),"Fresenius Medical Care")</f>
        <v>Fresenius Medical Care</v>
      </c>
      <c r="C1371" s="1" t="str">
        <f>IFERROR(__xludf.DUMMYFUNCTION("""COMPUTED_VALUE"""),"Clinical Research Analyst")</f>
        <v>Clinical Research Analyst</v>
      </c>
      <c r="D1371" s="1" t="str">
        <f>IFERROR(__xludf.DUMMYFUNCTION("""COMPUTED_VALUE"""),"Remote")</f>
        <v>Remote</v>
      </c>
      <c r="E1371" s="1" t="str">
        <f>IFERROR(__xludf.DUMMYFUNCTION("""COMPUTED_VALUE"""),"N/A")</f>
        <v>N/A</v>
      </c>
      <c r="F1371" s="1" t="str">
        <f>IFERROR(__xludf.DUMMYFUNCTION("""COMPUTED_VALUE"""),"3 - 5")</f>
        <v>3 - 5</v>
      </c>
      <c r="G1371" s="1" t="str">
        <f>IFERROR(__xludf.DUMMYFUNCTION("""COMPUTED_VALUE"""),"USA")</f>
        <v>USA</v>
      </c>
      <c r="H1371" s="4" t="str">
        <f>IFERROR(__xludf.DUMMYFUNCTION("""COMPUTED_VALUE"""),"https://www.linkedin.com/posts/farrah-bleich-05981359_clinical-research-analyst-remote-activity-7224134038020632576-BvlH?utm_source=share&amp;utm_medium=member_desktop")</f>
        <v>https://www.linkedin.com/posts/farrah-bleich-05981359_clinical-research-analyst-remote-activity-7224134038020632576-BvlH?utm_source=share&amp;utm_medium=member_desktop</v>
      </c>
    </row>
    <row r="1372">
      <c r="A1372" s="2">
        <f>IFERROR(__xludf.DUMMYFUNCTION("""COMPUTED_VALUE"""),45504.0)</f>
        <v>45504</v>
      </c>
      <c r="B1372" s="1" t="str">
        <f>IFERROR(__xludf.DUMMYFUNCTION("""COMPUTED_VALUE"""),"Everest")</f>
        <v>Everest</v>
      </c>
      <c r="C1372" s="1" t="str">
        <f>IFERROR(__xludf.DUMMYFUNCTION("""COMPUTED_VALUE"""),"Actuarial Analyst I")</f>
        <v>Actuarial Analyst I</v>
      </c>
      <c r="D1372" s="1" t="str">
        <f>IFERROR(__xludf.DUMMYFUNCTION("""COMPUTED_VALUE"""),"Hybrid")</f>
        <v>Hybrid</v>
      </c>
      <c r="E1372" s="1" t="str">
        <f>IFERROR(__xludf.DUMMYFUNCTION("""COMPUTED_VALUE"""),"$85k - $95k")</f>
        <v>$85k - $95k</v>
      </c>
      <c r="F1372" s="1" t="str">
        <f>IFERROR(__xludf.DUMMYFUNCTION("""COMPUTED_VALUE"""),"0 - 2")</f>
        <v>0 - 2</v>
      </c>
      <c r="G1372" s="1" t="str">
        <f>IFERROR(__xludf.DUMMYFUNCTION("""COMPUTED_VALUE"""),"NYC/Stamford, CT")</f>
        <v>NYC/Stamford, CT</v>
      </c>
      <c r="H1372" s="4" t="str">
        <f>IFERROR(__xludf.DUMMYFUNCTION("""COMPUTED_VALUE"""),"https://www.linkedin.com/posts/kaitlyngordon_actuarial-analyst-i-activity-7224079440060817410-x3Cu?utm_source=share&amp;utm_medium=member_desktop")</f>
        <v>https://www.linkedin.com/posts/kaitlyngordon_actuarial-analyst-i-activity-7224079440060817410-x3Cu?utm_source=share&amp;utm_medium=member_desktop</v>
      </c>
    </row>
    <row r="1373">
      <c r="A1373" s="2">
        <f>IFERROR(__xludf.DUMMYFUNCTION("""COMPUTED_VALUE"""),45504.0)</f>
        <v>45504</v>
      </c>
      <c r="B1373" s="1" t="str">
        <f>IFERROR(__xludf.DUMMYFUNCTION("""COMPUTED_VALUE"""),"Peet's Coffee")</f>
        <v>Peet's Coffee</v>
      </c>
      <c r="C1373" s="1" t="str">
        <f>IFERROR(__xludf.DUMMYFUNCTION("""COMPUTED_VALUE"""),"Compensation Analyst")</f>
        <v>Compensation Analyst</v>
      </c>
      <c r="D1373" s="1" t="str">
        <f>IFERROR(__xludf.DUMMYFUNCTION("""COMPUTED_VALUE"""),"Hybrid")</f>
        <v>Hybrid</v>
      </c>
      <c r="E1373" s="1" t="str">
        <f>IFERROR(__xludf.DUMMYFUNCTION("""COMPUTED_VALUE"""),"$80k - $100k")</f>
        <v>$80k - $100k</v>
      </c>
      <c r="F1373" s="1" t="str">
        <f>IFERROR(__xludf.DUMMYFUNCTION("""COMPUTED_VALUE"""),"3 - 5")</f>
        <v>3 - 5</v>
      </c>
      <c r="G1373" s="1" t="str">
        <f>IFERROR(__xludf.DUMMYFUNCTION("""COMPUTED_VALUE"""),"Emeryville, CA")</f>
        <v>Emeryville, CA</v>
      </c>
      <c r="H1373" s="4" t="str">
        <f>IFERROR(__xludf.DUMMYFUNCTION("""COMPUTED_VALUE"""),"https://www.linkedin.com/posts/anujin-enkh-amgalan_compensation-analyst-activity-7224159302570192896-Jmr0?utm_source=share&amp;utm_medium=member_desktop")</f>
        <v>https://www.linkedin.com/posts/anujin-enkh-amgalan_compensation-analyst-activity-7224159302570192896-Jmr0?utm_source=share&amp;utm_medium=member_desktop</v>
      </c>
    </row>
    <row r="1374">
      <c r="A1374" s="2">
        <f>IFERROR(__xludf.DUMMYFUNCTION("""COMPUTED_VALUE"""),45504.0)</f>
        <v>45504</v>
      </c>
      <c r="B1374" s="1" t="str">
        <f>IFERROR(__xludf.DUMMYFUNCTION("""COMPUTED_VALUE"""),"Little Caesars")</f>
        <v>Little Caesars</v>
      </c>
      <c r="C1374" s="1" t="str">
        <f>IFERROR(__xludf.DUMMYFUNCTION("""COMPUTED_VALUE"""),"Senior Financial Analyst")</f>
        <v>Senior Financial Analyst</v>
      </c>
      <c r="D1374" s="1" t="str">
        <f>IFERROR(__xludf.DUMMYFUNCTION("""COMPUTED_VALUE"""),"Hybrid")</f>
        <v>Hybrid</v>
      </c>
      <c r="E1374" s="1" t="str">
        <f>IFERROR(__xludf.DUMMYFUNCTION("""COMPUTED_VALUE"""),"N/A")</f>
        <v>N/A</v>
      </c>
      <c r="F1374" s="1" t="str">
        <f>IFERROR(__xludf.DUMMYFUNCTION("""COMPUTED_VALUE"""),"3 - 5")</f>
        <v>3 - 5</v>
      </c>
      <c r="G1374" s="1" t="str">
        <f>IFERROR(__xludf.DUMMYFUNCTION("""COMPUTED_VALUE"""),"Detroit, MI")</f>
        <v>Detroit, MI</v>
      </c>
      <c r="H1374" s="4" t="str">
        <f>IFERROR(__xludf.DUMMYFUNCTION("""COMPUTED_VALUE"""),"https://www.linkedin.com/posts/tonia-keefer-mba-4b32905b_senior-financial-analyst-activity-7224125782367907841-Be-2?utm_source=share&amp;utm_medium=member_desktop")</f>
        <v>https://www.linkedin.com/posts/tonia-keefer-mba-4b32905b_senior-financial-analyst-activity-7224125782367907841-Be-2?utm_source=share&amp;utm_medium=member_desktop</v>
      </c>
    </row>
    <row r="1375">
      <c r="A1375" s="2">
        <f>IFERROR(__xludf.DUMMYFUNCTION("""COMPUTED_VALUE"""),45504.0)</f>
        <v>45504</v>
      </c>
      <c r="B1375" s="1" t="str">
        <f>IFERROR(__xludf.DUMMYFUNCTION("""COMPUTED_VALUE"""),"TikTok")</f>
        <v>TikTok</v>
      </c>
      <c r="C1375" s="1" t="str">
        <f>IFERROR(__xludf.DUMMYFUNCTION("""COMPUTED_VALUE"""),"Incident Analyst - Trust and Safety")</f>
        <v>Incident Analyst - Trust and Safety</v>
      </c>
      <c r="D1375" s="1" t="str">
        <f>IFERROR(__xludf.DUMMYFUNCTION("""COMPUTED_VALUE"""),"Hybrid")</f>
        <v>Hybrid</v>
      </c>
      <c r="E1375" s="1" t="str">
        <f>IFERROR(__xludf.DUMMYFUNCTION("""COMPUTED_VALUE"""),"$68k - $142k")</f>
        <v>$68k - $142k</v>
      </c>
      <c r="F1375" s="1" t="str">
        <f>IFERROR(__xludf.DUMMYFUNCTION("""COMPUTED_VALUE"""),"0 - 2")</f>
        <v>0 - 2</v>
      </c>
      <c r="G1375" s="1" t="str">
        <f>IFERROR(__xludf.DUMMYFUNCTION("""COMPUTED_VALUE"""),"San Jose, CA")</f>
        <v>San Jose, CA</v>
      </c>
      <c r="H1375" s="4" t="str">
        <f>IFERROR(__xludf.DUMMYFUNCTION("""COMPUTED_VALUE"""),"https://www.linkedin.com/posts/adrianokf_incident-analyst-trust-and-safety-bay-activity-7224152622180503552-uyS0?utm_source=share&amp;utm_medium=member_desktop")</f>
        <v>https://www.linkedin.com/posts/adrianokf_incident-analyst-trust-and-safety-bay-activity-7224152622180503552-uyS0?utm_source=share&amp;utm_medium=member_desktop</v>
      </c>
    </row>
    <row r="1376">
      <c r="A1376" s="2">
        <f>IFERROR(__xludf.DUMMYFUNCTION("""COMPUTED_VALUE"""),45504.0)</f>
        <v>45504</v>
      </c>
      <c r="B1376" s="1" t="str">
        <f>IFERROR(__xludf.DUMMYFUNCTION("""COMPUTED_VALUE"""),"Docusign")</f>
        <v>Docusign</v>
      </c>
      <c r="C1376" s="1" t="str">
        <f>IFERROR(__xludf.DUMMYFUNCTION("""COMPUTED_VALUE"""),"Senior Financial Analyst - Corporate Marketing")</f>
        <v>Senior Financial Analyst - Corporate Marketing</v>
      </c>
      <c r="D1376" s="1" t="str">
        <f>IFERROR(__xludf.DUMMYFUNCTION("""COMPUTED_VALUE"""),"Hybrid")</f>
        <v>Hybrid</v>
      </c>
      <c r="E1376" s="1" t="str">
        <f>IFERROR(__xludf.DUMMYFUNCTION("""COMPUTED_VALUE"""),"$102k - $157k")</f>
        <v>$102k - $157k</v>
      </c>
      <c r="F1376" s="1" t="str">
        <f>IFERROR(__xludf.DUMMYFUNCTION("""COMPUTED_VALUE"""),"3 - 5")</f>
        <v>3 - 5</v>
      </c>
      <c r="G1376" s="1" t="str">
        <f>IFERROR(__xludf.DUMMYFUNCTION("""COMPUTED_VALUE"""),"San Francisco, CA")</f>
        <v>San Francisco, CA</v>
      </c>
      <c r="H1376" s="4" t="str">
        <f>IFERROR(__xludf.DUMMYFUNCTION("""COMPUTED_VALUE"""),"https://www.linkedin.com/posts/letsgoheat_hiring-activity-7224091316140347393-vesQ?utm_source=share&amp;utm_medium=member_desktop")</f>
        <v>https://www.linkedin.com/posts/letsgoheat_hiring-activity-7224091316140347393-vesQ?utm_source=share&amp;utm_medium=member_desktop</v>
      </c>
    </row>
    <row r="1377">
      <c r="A1377" s="2">
        <f>IFERROR(__xludf.DUMMYFUNCTION("""COMPUTED_VALUE"""),45504.0)</f>
        <v>45504</v>
      </c>
      <c r="B1377" s="1" t="str">
        <f>IFERROR(__xludf.DUMMYFUNCTION("""COMPUTED_VALUE"""),"Coinbase")</f>
        <v>Coinbase</v>
      </c>
      <c r="C1377" s="1" t="str">
        <f>IFERROR(__xludf.DUMMYFUNCTION("""COMPUTED_VALUE"""),"Sr. Financial Analyst, Ops &amp; Tech")</f>
        <v>Sr. Financial Analyst, Ops &amp; Tech</v>
      </c>
      <c r="D1377" s="1" t="str">
        <f>IFERROR(__xludf.DUMMYFUNCTION("""COMPUTED_VALUE"""),"Remote")</f>
        <v>Remote</v>
      </c>
      <c r="E1377" s="1" t="str">
        <f>IFERROR(__xludf.DUMMYFUNCTION("""COMPUTED_VALUE"""),"$127k - $150k")</f>
        <v>$127k - $150k</v>
      </c>
      <c r="F1377" s="1" t="str">
        <f>IFERROR(__xludf.DUMMYFUNCTION("""COMPUTED_VALUE"""),"3 - 5")</f>
        <v>3 - 5</v>
      </c>
      <c r="G1377" s="1" t="str">
        <f>IFERROR(__xludf.DUMMYFUNCTION("""COMPUTED_VALUE"""),"USA")</f>
        <v>USA</v>
      </c>
      <c r="H1377" s="4" t="str">
        <f>IFERROR(__xludf.DUMMYFUNCTION("""COMPUTED_VALUE"""),"https://www.linkedin.com/posts/shvetaarora_were-hiring-i-am-looking-for-a-rockstar-activity-7224100720067624960-QBKh?utm_source=share&amp;utm_medium=member_desktop")</f>
        <v>https://www.linkedin.com/posts/shvetaarora_were-hiring-i-am-looking-for-a-rockstar-activity-7224100720067624960-QBKh?utm_source=share&amp;utm_medium=member_desktop</v>
      </c>
    </row>
    <row r="1378">
      <c r="A1378" s="2">
        <f>IFERROR(__xludf.DUMMYFUNCTION("""COMPUTED_VALUE"""),45504.0)</f>
        <v>45504</v>
      </c>
      <c r="B1378" s="1" t="str">
        <f>IFERROR(__xludf.DUMMYFUNCTION("""COMPUTED_VALUE"""),"Zions")</f>
        <v>Zions</v>
      </c>
      <c r="C1378" s="1" t="str">
        <f>IFERROR(__xludf.DUMMYFUNCTION("""COMPUTED_VALUE"""),"Healthcare Analytics Business Analyst")</f>
        <v>Healthcare Analytics Business Analyst</v>
      </c>
      <c r="D1378" s="1" t="str">
        <f>IFERROR(__xludf.DUMMYFUNCTION("""COMPUTED_VALUE"""),"Remote")</f>
        <v>Remote</v>
      </c>
      <c r="E1378" s="1" t="str">
        <f>IFERROR(__xludf.DUMMYFUNCTION("""COMPUTED_VALUE"""),"$60k - $85k")</f>
        <v>$60k - $85k</v>
      </c>
      <c r="F1378" s="1" t="str">
        <f>IFERROR(__xludf.DUMMYFUNCTION("""COMPUTED_VALUE"""),"0 - 2")</f>
        <v>0 - 2</v>
      </c>
      <c r="G1378" s="1" t="str">
        <f>IFERROR(__xludf.DUMMYFUNCTION("""COMPUTED_VALUE"""),"USA")</f>
        <v>USA</v>
      </c>
      <c r="H1378" s="4" t="str">
        <f>IFERROR(__xludf.DUMMYFUNCTION("""COMPUTED_VALUE"""),"https://www.linkedin.com/posts/jeff-romano_healthcare-financial-analytics-business-analyst-activity-7224047291156836353-1RPt?utm_source=share&amp;utm_medium=member_desktop")</f>
        <v>https://www.linkedin.com/posts/jeff-romano_healthcare-financial-analytics-business-analyst-activity-7224047291156836353-1RPt?utm_source=share&amp;utm_medium=member_desktop</v>
      </c>
    </row>
    <row r="1379">
      <c r="A1379" s="2">
        <f>IFERROR(__xludf.DUMMYFUNCTION("""COMPUTED_VALUE"""),45504.0)</f>
        <v>45504</v>
      </c>
      <c r="B1379" s="1" t="str">
        <f>IFERROR(__xludf.DUMMYFUNCTION("""COMPUTED_VALUE"""),"NP Digital")</f>
        <v>NP Digital</v>
      </c>
      <c r="C1379" s="1" t="str">
        <f>IFERROR(__xludf.DUMMYFUNCTION("""COMPUTED_VALUE"""),"Senior Manager, Digital Analytics")</f>
        <v>Senior Manager, Digital Analytics</v>
      </c>
      <c r="D1379" s="1" t="str">
        <f>IFERROR(__xludf.DUMMYFUNCTION("""COMPUTED_VALUE"""),"Remote")</f>
        <v>Remote</v>
      </c>
      <c r="E1379" s="1" t="str">
        <f>IFERROR(__xludf.DUMMYFUNCTION("""COMPUTED_VALUE"""),"$120k - $130k")</f>
        <v>$120k - $130k</v>
      </c>
      <c r="F1379" s="1" t="str">
        <f>IFERROR(__xludf.DUMMYFUNCTION("""COMPUTED_VALUE"""),"6 - 9")</f>
        <v>6 - 9</v>
      </c>
      <c r="G1379" s="1" t="str">
        <f>IFERROR(__xludf.DUMMYFUNCTION("""COMPUTED_VALUE"""),"USA")</f>
        <v>USA</v>
      </c>
      <c r="H1379" s="4" t="str">
        <f>IFERROR(__xludf.DUMMYFUNCTION("""COMPUTED_VALUE"""),"https://www.linkedin.com/posts/karenbellin_we-are-seeking-a-seasoned-digital-analyst-activity-7223862593428369409-ShQf?utm_source=share&amp;utm_medium=member_desktop")</f>
        <v>https://www.linkedin.com/posts/karenbellin_we-are-seeking-a-seasoned-digital-analyst-activity-7223862593428369409-ShQf?utm_source=share&amp;utm_medium=member_desktop</v>
      </c>
    </row>
    <row r="1380">
      <c r="A1380" s="2">
        <f>IFERROR(__xludf.DUMMYFUNCTION("""COMPUTED_VALUE"""),45504.0)</f>
        <v>45504</v>
      </c>
      <c r="B1380" s="1" t="str">
        <f>IFERROR(__xludf.DUMMYFUNCTION("""COMPUTED_VALUE"""),"T-Mobile")</f>
        <v>T-Mobile</v>
      </c>
      <c r="C1380" s="1" t="str">
        <f>IFERROR(__xludf.DUMMYFUNCTION("""COMPUTED_VALUE"""),"Sr. Manager, Reporting and Analytics")</f>
        <v>Sr. Manager, Reporting and Analytics</v>
      </c>
      <c r="D1380" s="1" t="str">
        <f>IFERROR(__xludf.DUMMYFUNCTION("""COMPUTED_VALUE"""),"Hybrid")</f>
        <v>Hybrid</v>
      </c>
      <c r="E1380" s="1" t="str">
        <f>IFERROR(__xludf.DUMMYFUNCTION("""COMPUTED_VALUE"""),"$121k - $219k")</f>
        <v>$121k - $219k</v>
      </c>
      <c r="F1380" s="1" t="str">
        <f>IFERROR(__xludf.DUMMYFUNCTION("""COMPUTED_VALUE"""),"6 - 9")</f>
        <v>6 - 9</v>
      </c>
      <c r="G1380" s="1" t="str">
        <f>IFERROR(__xludf.DUMMYFUNCTION("""COMPUTED_VALUE"""),"Certain Locations")</f>
        <v>Certain Locations</v>
      </c>
      <c r="H1380" s="4" t="str">
        <f>IFERROR(__xludf.DUMMYFUNCTION("""COMPUTED_VALUE"""),"https://www.linkedin.com/posts/afsheensaatchi_apply-for-sr-manager-reporting-and-analytics-activity-7224180497977896960-irhc?utm_source=share&amp;utm_medium=member_desktop")</f>
        <v>https://www.linkedin.com/posts/afsheensaatchi_apply-for-sr-manager-reporting-and-analytics-activity-7224180497977896960-irhc?utm_source=share&amp;utm_medium=member_desktop</v>
      </c>
    </row>
    <row r="1381">
      <c r="A1381" s="2">
        <f>IFERROR(__xludf.DUMMYFUNCTION("""COMPUTED_VALUE"""),45504.0)</f>
        <v>45504</v>
      </c>
      <c r="B1381" s="1" t="str">
        <f>IFERROR(__xludf.DUMMYFUNCTION("""COMPUTED_VALUE"""),"Stripe")</f>
        <v>Stripe</v>
      </c>
      <c r="C1381" s="1" t="str">
        <f>IFERROR(__xludf.DUMMYFUNCTION("""COMPUTED_VALUE"""),"Data Analyst")</f>
        <v>Data Analyst</v>
      </c>
      <c r="D1381" s="1" t="str">
        <f>IFERROR(__xludf.DUMMYFUNCTION("""COMPUTED_VALUE"""),"Remote")</f>
        <v>Remote</v>
      </c>
      <c r="E1381" s="1" t="str">
        <f>IFERROR(__xludf.DUMMYFUNCTION("""COMPUTED_VALUE"""),"$147k - $220k")</f>
        <v>$147k - $220k</v>
      </c>
      <c r="F1381" s="1" t="str">
        <f>IFERROR(__xludf.DUMMYFUNCTION("""COMPUTED_VALUE"""),"3 - 5")</f>
        <v>3 - 5</v>
      </c>
      <c r="G1381" s="1" t="str">
        <f>IFERROR(__xludf.DUMMYFUNCTION("""COMPUTED_VALUE"""),"USA")</f>
        <v>USA</v>
      </c>
      <c r="H1381" s="4" t="str">
        <f>IFERROR(__xludf.DUMMYFUNCTION("""COMPUTED_VALUE"""),"https://www.linkedin.com/posts/benjaminneuwirth_hello-i-am-hiring-for-a-data-analyst-in-activity-7224463376427499521-UTa9?utm_source=share&amp;utm_medium=member_desktop")</f>
        <v>https://www.linkedin.com/posts/benjaminneuwirth_hello-i-am-hiring-for-a-data-analyst-in-activity-7224463376427499521-UTa9?utm_source=share&amp;utm_medium=member_desktop</v>
      </c>
    </row>
    <row r="1382">
      <c r="A1382" s="2">
        <f>IFERROR(__xludf.DUMMYFUNCTION("""COMPUTED_VALUE"""),45504.0)</f>
        <v>45504</v>
      </c>
      <c r="B1382" s="1" t="str">
        <f>IFERROR(__xludf.DUMMYFUNCTION("""COMPUTED_VALUE"""),"Kearney")</f>
        <v>Kearney</v>
      </c>
      <c r="C1382" s="1" t="str">
        <f>IFERROR(__xludf.DUMMYFUNCTION("""COMPUTED_VALUE"""),"People Data Analyst")</f>
        <v>People Data Analyst</v>
      </c>
      <c r="D1382" s="1" t="str">
        <f>IFERROR(__xludf.DUMMYFUNCTION("""COMPUTED_VALUE"""),"Hybrid")</f>
        <v>Hybrid</v>
      </c>
      <c r="E1382" s="1" t="str">
        <f>IFERROR(__xludf.DUMMYFUNCTION("""COMPUTED_VALUE"""),"N/A")</f>
        <v>N/A</v>
      </c>
      <c r="F1382" s="1" t="str">
        <f>IFERROR(__xludf.DUMMYFUNCTION("""COMPUTED_VALUE"""),"3 - 5")</f>
        <v>3 - 5</v>
      </c>
      <c r="G1382" s="1" t="str">
        <f>IFERROR(__xludf.DUMMYFUNCTION("""COMPUTED_VALUE"""),"Chicago, IL")</f>
        <v>Chicago, IL</v>
      </c>
      <c r="H1382" s="4" t="str">
        <f>IFERROR(__xludf.DUMMYFUNCTION("""COMPUTED_VALUE"""),"https://www.linkedin.com/posts/james-dale-aa389272_kearney-joinourteam-hr-activity-7224498926878347264-L2xm?utm_source=share&amp;utm_medium=member_desktop")</f>
        <v>https://www.linkedin.com/posts/james-dale-aa389272_kearney-joinourteam-hr-activity-7224498926878347264-L2xm?utm_source=share&amp;utm_medium=member_desktop</v>
      </c>
    </row>
    <row r="1383">
      <c r="A1383" s="2">
        <f>IFERROR(__xludf.DUMMYFUNCTION("""COMPUTED_VALUE"""),45504.0)</f>
        <v>45504</v>
      </c>
      <c r="B1383" s="1" t="str">
        <f>IFERROR(__xludf.DUMMYFUNCTION("""COMPUTED_VALUE"""),"Reventus Power")</f>
        <v>Reventus Power</v>
      </c>
      <c r="C1383" s="1" t="str">
        <f>IFERROR(__xludf.DUMMYFUNCTION("""COMPUTED_VALUE"""),"Junior Data Analyst")</f>
        <v>Junior Data Analyst</v>
      </c>
      <c r="D1383" s="1" t="str">
        <f>IFERROR(__xludf.DUMMYFUNCTION("""COMPUTED_VALUE"""),"On-Site")</f>
        <v>On-Site</v>
      </c>
      <c r="E1383" s="1" t="str">
        <f>IFERROR(__xludf.DUMMYFUNCTION("""COMPUTED_VALUE"""),"$60k")</f>
        <v>$60k</v>
      </c>
      <c r="F1383" s="1" t="str">
        <f>IFERROR(__xludf.DUMMYFUNCTION("""COMPUTED_VALUE"""),"0 - 2")</f>
        <v>0 - 2</v>
      </c>
      <c r="G1383" s="1" t="str">
        <f>IFERROR(__xludf.DUMMYFUNCTION("""COMPUTED_VALUE"""),"Columbia, SC")</f>
        <v>Columbia, SC</v>
      </c>
      <c r="H1383" s="4" t="str">
        <f>IFERROR(__xludf.DUMMYFUNCTION("""COMPUTED_VALUE"""),"https://www.linkedin.com/posts/connor-reed-4119b120a_hiring-activity-7224470629721206784-WmPH?utm_source=share&amp;utm_medium=member_desktop")</f>
        <v>https://www.linkedin.com/posts/connor-reed-4119b120a_hiring-activity-7224470629721206784-WmPH?utm_source=share&amp;utm_medium=member_desktop</v>
      </c>
    </row>
    <row r="1384">
      <c r="A1384" s="2">
        <f>IFERROR(__xludf.DUMMYFUNCTION("""COMPUTED_VALUE"""),45504.0)</f>
        <v>45504</v>
      </c>
      <c r="B1384" s="1" t="str">
        <f>IFERROR(__xludf.DUMMYFUNCTION("""COMPUTED_VALUE"""),"OpenAI")</f>
        <v>OpenAI</v>
      </c>
      <c r="C1384" s="1" t="str">
        <f>IFERROR(__xludf.DUMMYFUNCTION("""COMPUTED_VALUE"""),"Multiple Data Engineer Roles")</f>
        <v>Multiple Data Engineer Roles</v>
      </c>
      <c r="D1384" s="1" t="str">
        <f>IFERROR(__xludf.DUMMYFUNCTION("""COMPUTED_VALUE"""),"Hybrid")</f>
        <v>Hybrid</v>
      </c>
      <c r="E1384" s="1" t="str">
        <f>IFERROR(__xludf.DUMMYFUNCTION("""COMPUTED_VALUE"""),"$245k - $385k")</f>
        <v>$245k - $385k</v>
      </c>
      <c r="F1384" s="1" t="str">
        <f>IFERROR(__xludf.DUMMYFUNCTION("""COMPUTED_VALUE"""),"6 - 9")</f>
        <v>6 - 9</v>
      </c>
      <c r="G1384" s="1" t="str">
        <f>IFERROR(__xludf.DUMMYFUNCTION("""COMPUTED_VALUE"""),"San Francisco, CA")</f>
        <v>San Francisco, CA</v>
      </c>
      <c r="H1384" s="4" t="str">
        <f>IFERROR(__xludf.DUMMYFUNCTION("""COMPUTED_VALUE"""),"https://www.linkedin.com/posts/omarisealey_analytics-engineer-openai-activity-7224452000443248640-d-xC?utm_source=share&amp;utm_medium=member_desktop")</f>
        <v>https://www.linkedin.com/posts/omarisealey_analytics-engineer-openai-activity-7224452000443248640-d-xC?utm_source=share&amp;utm_medium=member_desktop</v>
      </c>
    </row>
    <row r="1385">
      <c r="A1385" s="2">
        <f>IFERROR(__xludf.DUMMYFUNCTION("""COMPUTED_VALUE"""),45504.0)</f>
        <v>45504</v>
      </c>
      <c r="B1385" s="1" t="str">
        <f>IFERROR(__xludf.DUMMYFUNCTION("""COMPUTED_VALUE"""),"East West Hospitality")</f>
        <v>East West Hospitality</v>
      </c>
      <c r="C1385" s="1" t="str">
        <f>IFERROR(__xludf.DUMMYFUNCTION("""COMPUTED_VALUE"""),"Senior Data Analyst")</f>
        <v>Senior Data Analyst</v>
      </c>
      <c r="D1385" s="1" t="str">
        <f>IFERROR(__xludf.DUMMYFUNCTION("""COMPUTED_VALUE"""),"Remote")</f>
        <v>Remote</v>
      </c>
      <c r="E1385" s="1" t="str">
        <f>IFERROR(__xludf.DUMMYFUNCTION("""COMPUTED_VALUE"""),"$75k - $110k")</f>
        <v>$75k - $110k</v>
      </c>
      <c r="F1385" s="1" t="str">
        <f>IFERROR(__xludf.DUMMYFUNCTION("""COMPUTED_VALUE"""),"3 - 5")</f>
        <v>3 - 5</v>
      </c>
      <c r="G1385" s="1" t="str">
        <f>IFERROR(__xludf.DUMMYFUNCTION("""COMPUTED_VALUE"""),"Certain Locations")</f>
        <v>Certain Locations</v>
      </c>
      <c r="H1385" s="4" t="str">
        <f>IFERROR(__xludf.DUMMYFUNCTION("""COMPUTED_VALUE"""),"https://www.linkedin.com/posts/ryanstecher_were-hiring-senior-data-analyst-remote-activity-7224446121031430144-swRE?utm_source=share&amp;utm_medium=member_desktop")</f>
        <v>https://www.linkedin.com/posts/ryanstecher_were-hiring-senior-data-analyst-remote-activity-7224446121031430144-swRE?utm_source=share&amp;utm_medium=member_desktop</v>
      </c>
    </row>
    <row r="1386">
      <c r="A1386" s="2">
        <f>IFERROR(__xludf.DUMMYFUNCTION("""COMPUTED_VALUE"""),45504.0)</f>
        <v>45504</v>
      </c>
      <c r="B1386" s="1" t="str">
        <f>IFERROR(__xludf.DUMMYFUNCTION("""COMPUTED_VALUE"""),"Purchasing Power")</f>
        <v>Purchasing Power</v>
      </c>
      <c r="C1386" s="1" t="str">
        <f>IFERROR(__xludf.DUMMYFUNCTION("""COMPUTED_VALUE"""),"Senior Business &amp; Data Analyst")</f>
        <v>Senior Business &amp; Data Analyst</v>
      </c>
      <c r="D1386" s="1" t="str">
        <f>IFERROR(__xludf.DUMMYFUNCTION("""COMPUTED_VALUE"""),"Hybrid")</f>
        <v>Hybrid</v>
      </c>
      <c r="E1386" s="1" t="str">
        <f>IFERROR(__xludf.DUMMYFUNCTION("""COMPUTED_VALUE"""),"N/A")</f>
        <v>N/A</v>
      </c>
      <c r="F1386" s="1" t="str">
        <f>IFERROR(__xludf.DUMMYFUNCTION("""COMPUTED_VALUE"""),"3 - 5")</f>
        <v>3 - 5</v>
      </c>
      <c r="G1386" s="1" t="str">
        <f>IFERROR(__xludf.DUMMYFUNCTION("""COMPUTED_VALUE"""),"Atlanta, GA")</f>
        <v>Atlanta, GA</v>
      </c>
      <c r="H1386" s="4" t="str">
        <f>IFERROR(__xludf.DUMMYFUNCTION("""COMPUTED_VALUE"""),"https://www.linkedin.com/posts/marshachisolm_hiring-senior-business-data-analyst-financial-activity-7224412221764780034-xr0s?utm_source=share&amp;utm_medium=member_desktop")</f>
        <v>https://www.linkedin.com/posts/marshachisolm_hiring-senior-business-data-analyst-financial-activity-7224412221764780034-xr0s?utm_source=share&amp;utm_medium=member_desktop</v>
      </c>
    </row>
    <row r="1387">
      <c r="A1387" s="2">
        <f>IFERROR(__xludf.DUMMYFUNCTION("""COMPUTED_VALUE"""),45504.0)</f>
        <v>45504</v>
      </c>
      <c r="B1387" s="1" t="str">
        <f>IFERROR(__xludf.DUMMYFUNCTION("""COMPUTED_VALUE"""),"PayTrace")</f>
        <v>PayTrace</v>
      </c>
      <c r="C1387" s="1" t="str">
        <f>IFERROR(__xludf.DUMMYFUNCTION("""COMPUTED_VALUE"""),"Senior Product Analyst")</f>
        <v>Senior Product Analyst</v>
      </c>
      <c r="D1387" s="1" t="str">
        <f>IFERROR(__xludf.DUMMYFUNCTION("""COMPUTED_VALUE"""),"Remote")</f>
        <v>Remote</v>
      </c>
      <c r="E1387" s="1" t="str">
        <f>IFERROR(__xludf.DUMMYFUNCTION("""COMPUTED_VALUE"""),"$65k - $99k")</f>
        <v>$65k - $99k</v>
      </c>
      <c r="F1387" s="1" t="str">
        <f>IFERROR(__xludf.DUMMYFUNCTION("""COMPUTED_VALUE"""),"3 - 5")</f>
        <v>3 - 5</v>
      </c>
      <c r="G1387" s="1" t="str">
        <f>IFERROR(__xludf.DUMMYFUNCTION("""COMPUTED_VALUE"""),"USA")</f>
        <v>USA</v>
      </c>
      <c r="H1387" s="4" t="str">
        <f>IFERROR(__xludf.DUMMYFUNCTION("""COMPUTED_VALUE"""),"https://www.linkedin.com/posts/laura-west-northidaho_are-you-the-data-detective-that-can-help-activity-7224500871257059328-Yzn4?utm_source=share&amp;utm_medium=member_desktop")</f>
        <v>https://www.linkedin.com/posts/laura-west-northidaho_are-you-the-data-detective-that-can-help-activity-7224500871257059328-Yzn4?utm_source=share&amp;utm_medium=member_desktop</v>
      </c>
    </row>
    <row r="1388">
      <c r="A1388" s="2">
        <f>IFERROR(__xludf.DUMMYFUNCTION("""COMPUTED_VALUE"""),45504.0)</f>
        <v>45504</v>
      </c>
      <c r="B1388" s="1" t="str">
        <f>IFERROR(__xludf.DUMMYFUNCTION("""COMPUTED_VALUE"""),"Epsilon")</f>
        <v>Epsilon</v>
      </c>
      <c r="C1388" s="1" t="str">
        <f>IFERROR(__xludf.DUMMYFUNCTION("""COMPUTED_VALUE"""),"Jr Data Scientist")</f>
        <v>Jr Data Scientist</v>
      </c>
      <c r="D1388" s="1" t="str">
        <f>IFERROR(__xludf.DUMMYFUNCTION("""COMPUTED_VALUE"""),"Hybrid")</f>
        <v>Hybrid</v>
      </c>
      <c r="E1388" s="1" t="str">
        <f>IFERROR(__xludf.DUMMYFUNCTION("""COMPUTED_VALUE"""),"N/A")</f>
        <v>N/A</v>
      </c>
      <c r="F1388" s="1" t="str">
        <f>IFERROR(__xludf.DUMMYFUNCTION("""COMPUTED_VALUE"""),"0 - 2")</f>
        <v>0 - 2</v>
      </c>
      <c r="G1388" s="1" t="str">
        <f>IFERROR(__xludf.DUMMYFUNCTION("""COMPUTED_VALUE"""),"Southfield, MI")</f>
        <v>Southfield, MI</v>
      </c>
      <c r="H1388" s="4" t="str">
        <f>IFERROR(__xludf.DUMMYFUNCTION("""COMPUTED_VALUE"""),"https://www.linkedin.com/posts/activity-7224535663549857794-ejTo?utm_source=share&amp;utm_medium=member_desktop")</f>
        <v>https://www.linkedin.com/posts/activity-7224535663549857794-ejTo?utm_source=share&amp;utm_medium=member_desktop</v>
      </c>
    </row>
    <row r="1389">
      <c r="A1389" s="2">
        <f>IFERROR(__xludf.DUMMYFUNCTION("""COMPUTED_VALUE"""),45504.0)</f>
        <v>45504</v>
      </c>
      <c r="B1389" s="1" t="str">
        <f>IFERROR(__xludf.DUMMYFUNCTION("""COMPUTED_VALUE"""),"Twitch")</f>
        <v>Twitch</v>
      </c>
      <c r="C1389" s="1" t="str">
        <f>IFERROR(__xludf.DUMMYFUNCTION("""COMPUTED_VALUE"""),"Data Scientist")</f>
        <v>Data Scientist</v>
      </c>
      <c r="D1389" s="1" t="str">
        <f>IFERROR(__xludf.DUMMYFUNCTION("""COMPUTED_VALUE"""),"Remote")</f>
        <v>Remote</v>
      </c>
      <c r="E1389" s="1" t="str">
        <f>IFERROR(__xludf.DUMMYFUNCTION("""COMPUTED_VALUE"""),"$98k - $207k")</f>
        <v>$98k - $207k</v>
      </c>
      <c r="F1389" s="1" t="str">
        <f>IFERROR(__xludf.DUMMYFUNCTION("""COMPUTED_VALUE"""),"0 - 2")</f>
        <v>0 - 2</v>
      </c>
      <c r="G1389" s="1" t="str">
        <f>IFERROR(__xludf.DUMMYFUNCTION("""COMPUTED_VALUE"""),"USA")</f>
        <v>USA</v>
      </c>
      <c r="H1389" s="4" t="str">
        <f>IFERROR(__xludf.DUMMYFUNCTION("""COMPUTED_VALUE"""),"https://www.linkedin.com/posts/activity-7224195003583975424-p3sH?utm_source=share&amp;utm_medium=member_desktop")</f>
        <v>https://www.linkedin.com/posts/activity-7224195003583975424-p3sH?utm_source=share&amp;utm_medium=member_desktop</v>
      </c>
    </row>
    <row r="1390">
      <c r="A1390" s="2">
        <f>IFERROR(__xludf.DUMMYFUNCTION("""COMPUTED_VALUE"""),45504.0)</f>
        <v>45504</v>
      </c>
      <c r="B1390" s="1" t="str">
        <f>IFERROR(__xludf.DUMMYFUNCTION("""COMPUTED_VALUE"""),"Carvana")</f>
        <v>Carvana</v>
      </c>
      <c r="C1390" s="1" t="str">
        <f>IFERROR(__xludf.DUMMYFUNCTION("""COMPUTED_VALUE"""),"Data Scientist, Predictive Modeling")</f>
        <v>Data Scientist, Predictive Modeling</v>
      </c>
      <c r="D1390" s="1" t="str">
        <f>IFERROR(__xludf.DUMMYFUNCTION("""COMPUTED_VALUE"""),"Hybrid")</f>
        <v>Hybrid</v>
      </c>
      <c r="E1390" s="1" t="str">
        <f>IFERROR(__xludf.DUMMYFUNCTION("""COMPUTED_VALUE"""),"N/A")</f>
        <v>N/A</v>
      </c>
      <c r="F1390" s="1" t="str">
        <f>IFERROR(__xludf.DUMMYFUNCTION("""COMPUTED_VALUE"""),"0 - 2")</f>
        <v>0 - 2</v>
      </c>
      <c r="G1390" s="1" t="str">
        <f>IFERROR(__xludf.DUMMYFUNCTION("""COMPUTED_VALUE"""),"Tempe, AZ")</f>
        <v>Tempe, AZ</v>
      </c>
      <c r="H1390" s="4" t="str">
        <f>IFERROR(__xludf.DUMMYFUNCTION("""COMPUTED_VALUE"""),"https://www.linkedin.com/posts/laura-herman22_data-scientist-predictive-modeling-activity-7224447041689546753-PiNC?utm_source=share&amp;utm_medium=member_desktop")</f>
        <v>https://www.linkedin.com/posts/laura-herman22_data-scientist-predictive-modeling-activity-7224447041689546753-PiNC?utm_source=share&amp;utm_medium=member_desktop</v>
      </c>
    </row>
    <row r="1391">
      <c r="A1391" s="2">
        <f>IFERROR(__xludf.DUMMYFUNCTION("""COMPUTED_VALUE"""),45504.0)</f>
        <v>45504</v>
      </c>
      <c r="B1391" s="1" t="str">
        <f>IFERROR(__xludf.DUMMYFUNCTION("""COMPUTED_VALUE"""),"Prime Therapeutics")</f>
        <v>Prime Therapeutics</v>
      </c>
      <c r="C1391" s="1" t="str">
        <f>IFERROR(__xludf.DUMMYFUNCTION("""COMPUTED_VALUE"""),"Treasury Claims Analyst Senior")</f>
        <v>Treasury Claims Analyst Senior</v>
      </c>
      <c r="D1391" s="1" t="str">
        <f>IFERROR(__xludf.DUMMYFUNCTION("""COMPUTED_VALUE"""),"Remote")</f>
        <v>Remote</v>
      </c>
      <c r="E1391" s="1" t="str">
        <f>IFERROR(__xludf.DUMMYFUNCTION("""COMPUTED_VALUE"""),"$85k-128k")</f>
        <v>$85k-128k</v>
      </c>
      <c r="F1391" s="1" t="str">
        <f>IFERROR(__xludf.DUMMYFUNCTION("""COMPUTED_VALUE"""),"3 - 5")</f>
        <v>3 - 5</v>
      </c>
      <c r="G1391" s="1" t="str">
        <f>IFERROR(__xludf.DUMMYFUNCTION("""COMPUTED_VALUE"""),"USA")</f>
        <v>USA</v>
      </c>
      <c r="H1391" s="4" t="str">
        <f>IFERROR(__xludf.DUMMYFUNCTION("""COMPUTED_VALUE"""),"https://www.linkedin.com/posts/carrie-davis-75284923_treasury-claims-analyst-senior-remote-activity-7224428609212440580-5U8M?utm_source=share&amp;utm_medium=member_desktop")</f>
        <v>https://www.linkedin.com/posts/carrie-davis-75284923_treasury-claims-analyst-senior-remote-activity-7224428609212440580-5U8M?utm_source=share&amp;utm_medium=member_desktop</v>
      </c>
    </row>
    <row r="1392">
      <c r="A1392" s="2">
        <f>IFERROR(__xludf.DUMMYFUNCTION("""COMPUTED_VALUE"""),45504.0)</f>
        <v>45504</v>
      </c>
      <c r="B1392" s="1" t="str">
        <f>IFERROR(__xludf.DUMMYFUNCTION("""COMPUTED_VALUE"""),"PetScreening")</f>
        <v>PetScreening</v>
      </c>
      <c r="C1392" s="1" t="str">
        <f>IFERROR(__xludf.DUMMYFUNCTION("""COMPUTED_VALUE"""),"Data Analyst")</f>
        <v>Data Analyst</v>
      </c>
      <c r="D1392" s="1" t="str">
        <f>IFERROR(__xludf.DUMMYFUNCTION("""COMPUTED_VALUE"""),"Hybrid")</f>
        <v>Hybrid</v>
      </c>
      <c r="E1392" s="1" t="str">
        <f>IFERROR(__xludf.DUMMYFUNCTION("""COMPUTED_VALUE"""),"N/A")</f>
        <v>N/A</v>
      </c>
      <c r="F1392" s="1" t="str">
        <f>IFERROR(__xludf.DUMMYFUNCTION("""COMPUTED_VALUE"""),"0 - 2")</f>
        <v>0 - 2</v>
      </c>
      <c r="G1392" s="1" t="str">
        <f>IFERROR(__xludf.DUMMYFUNCTION("""COMPUTED_VALUE"""),"Mooresville, NC")</f>
        <v>Mooresville, NC</v>
      </c>
      <c r="H1392" s="4" t="str">
        <f>IFERROR(__xludf.DUMMYFUNCTION("""COMPUTED_VALUE"""),"https://www.linkedin.com/posts/beaudobbs_hi-everyone-im-currently-hiring-for-an-activity-7224493484710227969-2t3Z?utm_source=share&amp;utm_medium=member_desktop")</f>
        <v>https://www.linkedin.com/posts/beaudobbs_hi-everyone-im-currently-hiring-for-an-activity-7224493484710227969-2t3Z?utm_source=share&amp;utm_medium=member_desktop</v>
      </c>
    </row>
    <row r="1393">
      <c r="A1393" s="2">
        <f>IFERROR(__xludf.DUMMYFUNCTION("""COMPUTED_VALUE"""),45504.0)</f>
        <v>45504</v>
      </c>
      <c r="B1393" s="1" t="str">
        <f>IFERROR(__xludf.DUMMYFUNCTION("""COMPUTED_VALUE"""),"Trella Health")</f>
        <v>Trella Health</v>
      </c>
      <c r="C1393" s="1" t="str">
        <f>IFERROR(__xludf.DUMMYFUNCTION("""COMPUTED_VALUE"""),"Implementation Business Analyst")</f>
        <v>Implementation Business Analyst</v>
      </c>
      <c r="D1393" s="1" t="str">
        <f>IFERROR(__xludf.DUMMYFUNCTION("""COMPUTED_VALUE"""),"Remote")</f>
        <v>Remote</v>
      </c>
      <c r="E1393" s="1" t="str">
        <f>IFERROR(__xludf.DUMMYFUNCTION("""COMPUTED_VALUE"""),"N/A")</f>
        <v>N/A</v>
      </c>
      <c r="F1393" s="1" t="str">
        <f>IFERROR(__xludf.DUMMYFUNCTION("""COMPUTED_VALUE"""),"3 - 5")</f>
        <v>3 - 5</v>
      </c>
      <c r="G1393" s="1" t="str">
        <f>IFERROR(__xludf.DUMMYFUNCTION("""COMPUTED_VALUE"""),"USA")</f>
        <v>USA</v>
      </c>
      <c r="H1393" s="4" t="str">
        <f>IFERROR(__xludf.DUMMYFUNCTION("""COMPUTED_VALUE"""),"https://www.linkedin.com/posts/josh-price-28a42869_hiring-activity-7224472414716379138-4Mqr?utm_source=share&amp;utm_medium=member_desktop")</f>
        <v>https://www.linkedin.com/posts/josh-price-28a42869_hiring-activity-7224472414716379138-4Mqr?utm_source=share&amp;utm_medium=member_desktop</v>
      </c>
    </row>
    <row r="1394">
      <c r="A1394" s="2">
        <f>IFERROR(__xludf.DUMMYFUNCTION("""COMPUTED_VALUE"""),45504.0)</f>
        <v>45504</v>
      </c>
      <c r="B1394" s="1" t="str">
        <f>IFERROR(__xludf.DUMMYFUNCTION("""COMPUTED_VALUE"""),"Cypress HCM")</f>
        <v>Cypress HCM</v>
      </c>
      <c r="C1394" s="1" t="str">
        <f>IFERROR(__xludf.DUMMYFUNCTION("""COMPUTED_VALUE"""),"Risk Analyst")</f>
        <v>Risk Analyst</v>
      </c>
      <c r="D1394" s="1" t="str">
        <f>IFERROR(__xludf.DUMMYFUNCTION("""COMPUTED_VALUE"""),"Hybrid")</f>
        <v>Hybrid</v>
      </c>
      <c r="E1394" s="1" t="str">
        <f>IFERROR(__xludf.DUMMYFUNCTION("""COMPUTED_VALUE"""),"$25-$30/hr")</f>
        <v>$25-$30/hr</v>
      </c>
      <c r="F1394" s="1" t="str">
        <f>IFERROR(__xludf.DUMMYFUNCTION("""COMPUTED_VALUE"""),"3 - 5")</f>
        <v>3 - 5</v>
      </c>
      <c r="G1394" s="1" t="str">
        <f>IFERROR(__xludf.DUMMYFUNCTION("""COMPUTED_VALUE"""),"Cincinnati, OH")</f>
        <v>Cincinnati, OH</v>
      </c>
      <c r="H1394" s="4" t="str">
        <f>IFERROR(__xludf.DUMMYFUNCTION("""COMPUTED_VALUE"""),"https://www.linkedin.com/posts/jake-nogalo-mt-01a5a0126_cincinnati-risk-hiring-activity-7224441563601416193-l7j6?utm_source=share&amp;utm_medium=member_desktop")</f>
        <v>https://www.linkedin.com/posts/jake-nogalo-mt-01a5a0126_cincinnati-risk-hiring-activity-7224441563601416193-l7j6?utm_source=share&amp;utm_medium=member_desktop</v>
      </c>
    </row>
    <row r="1395">
      <c r="A1395" s="2">
        <f>IFERROR(__xludf.DUMMYFUNCTION("""COMPUTED_VALUE"""),45504.0)</f>
        <v>45504</v>
      </c>
      <c r="B1395" s="1" t="str">
        <f>IFERROR(__xludf.DUMMYFUNCTION("""COMPUTED_VALUE"""),"Ally")</f>
        <v>Ally</v>
      </c>
      <c r="C1395" s="1" t="str">
        <f>IFERROR(__xludf.DUMMYFUNCTION("""COMPUTED_VALUE"""),"Lead Analyst: Credit Strategy")</f>
        <v>Lead Analyst: Credit Strategy</v>
      </c>
      <c r="D1395" s="1" t="str">
        <f>IFERROR(__xludf.DUMMYFUNCTION("""COMPUTED_VALUE"""),"Hybrid")</f>
        <v>Hybrid</v>
      </c>
      <c r="E1395" s="1" t="str">
        <f>IFERROR(__xludf.DUMMYFUNCTION("""COMPUTED_VALUE"""),"$110k - $180k")</f>
        <v>$110k - $180k</v>
      </c>
      <c r="F1395" s="1" t="str">
        <f>IFERROR(__xludf.DUMMYFUNCTION("""COMPUTED_VALUE"""),"3 - 5")</f>
        <v>3 - 5</v>
      </c>
      <c r="G1395" s="1" t="str">
        <f>IFERROR(__xludf.DUMMYFUNCTION("""COMPUTED_VALUE"""),"Lewisville, TX")</f>
        <v>Lewisville, TX</v>
      </c>
      <c r="H1395" s="4" t="str">
        <f>IFERROR(__xludf.DUMMYFUNCTION("""COMPUTED_VALUE"""),"https://www.linkedin.com/posts/tommyanthony_lead-analyst-credit-strategy-advanced-activity-7224495521812398081-tcuv?utm_source=share&amp;utm_medium=member_desktop")</f>
        <v>https://www.linkedin.com/posts/tommyanthony_lead-analyst-credit-strategy-advanced-activity-7224495521812398081-tcuv?utm_source=share&amp;utm_medium=member_desktop</v>
      </c>
    </row>
    <row r="1396">
      <c r="A1396" s="2">
        <f>IFERROR(__xludf.DUMMYFUNCTION("""COMPUTED_VALUE"""),45504.0)</f>
        <v>45504</v>
      </c>
      <c r="B1396" s="1" t="str">
        <f>IFERROR(__xludf.DUMMYFUNCTION("""COMPUTED_VALUE"""),"Waste Management")</f>
        <v>Waste Management</v>
      </c>
      <c r="C1396" s="1" t="str">
        <f>IFERROR(__xludf.DUMMYFUNCTION("""COMPUTED_VALUE"""),"Senior Financial Analyst - Investor Relations")</f>
        <v>Senior Financial Analyst - Investor Relations</v>
      </c>
      <c r="D1396" s="1" t="str">
        <f>IFERROR(__xludf.DUMMYFUNCTION("""COMPUTED_VALUE"""),"Hybrid")</f>
        <v>Hybrid</v>
      </c>
      <c r="E1396" s="1" t="str">
        <f>IFERROR(__xludf.DUMMYFUNCTION("""COMPUTED_VALUE"""),"N/A")</f>
        <v>N/A</v>
      </c>
      <c r="F1396" s="1" t="str">
        <f>IFERROR(__xludf.DUMMYFUNCTION("""COMPUTED_VALUE"""),"3 - 5")</f>
        <v>3 - 5</v>
      </c>
      <c r="G1396" s="1" t="str">
        <f>IFERROR(__xludf.DUMMYFUNCTION("""COMPUTED_VALUE"""),"Houston, TX")</f>
        <v>Houston, TX</v>
      </c>
      <c r="H1396" s="4" t="str">
        <f>IFERROR(__xludf.DUMMYFUNCTION("""COMPUTED_VALUE"""),"https://www.linkedin.com/posts/dana-hunsucker-b331195_senior-financial-analyst-investor-relations-activity-7224481585398472706-0AF_?utm_source=share&amp;utm_medium=member_desktop")</f>
        <v>https://www.linkedin.com/posts/dana-hunsucker-b331195_senior-financial-analyst-investor-relations-activity-7224481585398472706-0AF_?utm_source=share&amp;utm_medium=member_desktop</v>
      </c>
    </row>
    <row r="1397">
      <c r="A1397" s="2">
        <f>IFERROR(__xludf.DUMMYFUNCTION("""COMPUTED_VALUE"""),45504.0)</f>
        <v>45504</v>
      </c>
      <c r="B1397" s="1" t="str">
        <f>IFERROR(__xludf.DUMMYFUNCTION("""COMPUTED_VALUE"""),"Staples")</f>
        <v>Staples</v>
      </c>
      <c r="C1397" s="1" t="str">
        <f>IFERROR(__xludf.DUMMYFUNCTION("""COMPUTED_VALUE"""),"Analyst Credit &amp; Collection")</f>
        <v>Analyst Credit &amp; Collection</v>
      </c>
      <c r="D1397" s="1" t="str">
        <f>IFERROR(__xludf.DUMMYFUNCTION("""COMPUTED_VALUE"""),"Remote")</f>
        <v>Remote</v>
      </c>
      <c r="E1397" s="1" t="str">
        <f>IFERROR(__xludf.DUMMYFUNCTION("""COMPUTED_VALUE"""),"N/A")</f>
        <v>N/A</v>
      </c>
      <c r="F1397" s="1" t="str">
        <f>IFERROR(__xludf.DUMMYFUNCTION("""COMPUTED_VALUE"""),"0 - 2")</f>
        <v>0 - 2</v>
      </c>
      <c r="G1397" s="1" t="str">
        <f>IFERROR(__xludf.DUMMYFUNCTION("""COMPUTED_VALUE"""),"USA")</f>
        <v>USA</v>
      </c>
      <c r="H1397" s="4" t="str">
        <f>IFERROR(__xludf.DUMMYFUNCTION("""COMPUTED_VALUE"""),"https://www.linkedin.com/posts/melissa-wise-7b8771113_analyst-credit-collection-spp-activity-7224458625686110209-FiP3?utm_source=share&amp;utm_medium=member_desktop")</f>
        <v>https://www.linkedin.com/posts/melissa-wise-7b8771113_analyst-credit-collection-spp-activity-7224458625686110209-FiP3?utm_source=share&amp;utm_medium=member_desktop</v>
      </c>
    </row>
    <row r="1398">
      <c r="A1398" s="2">
        <f>IFERROR(__xludf.DUMMYFUNCTION("""COMPUTED_VALUE"""),45504.0)</f>
        <v>45504</v>
      </c>
      <c r="B1398" s="1" t="str">
        <f>IFERROR(__xludf.DUMMYFUNCTION("""COMPUTED_VALUE"""),"LinkedIn")</f>
        <v>LinkedIn</v>
      </c>
      <c r="C1398" s="1" t="str">
        <f>IFERROR(__xludf.DUMMYFUNCTION("""COMPUTED_VALUE"""),"Business Operations, Associate ")</f>
        <v>Business Operations, Associate </v>
      </c>
      <c r="D1398" s="1" t="str">
        <f>IFERROR(__xludf.DUMMYFUNCTION("""COMPUTED_VALUE"""),"Hybrid")</f>
        <v>Hybrid</v>
      </c>
      <c r="E1398" s="1" t="str">
        <f>IFERROR(__xludf.DUMMYFUNCTION("""COMPUTED_VALUE"""),"$78k - $126k")</f>
        <v>$78k - $126k</v>
      </c>
      <c r="F1398" s="1" t="str">
        <f>IFERROR(__xludf.DUMMYFUNCTION("""COMPUTED_VALUE"""),"0 - 2")</f>
        <v>0 - 2</v>
      </c>
      <c r="G1398" s="1" t="str">
        <f>IFERROR(__xludf.DUMMYFUNCTION("""COMPUTED_VALUE"""),"San Francisco, CA")</f>
        <v>San Francisco, CA</v>
      </c>
      <c r="H1398" s="4" t="str">
        <f>IFERROR(__xludf.DUMMYFUNCTION("""COMPUTED_VALUE"""),"https://www.linkedin.com/posts/sonam-gupta-52975338_were-looking-for-a-stellar-associate-to-activity-7224551245338791936-fiCg?utm_source=share&amp;utm_medium=member_desktop")</f>
        <v>https://www.linkedin.com/posts/sonam-gupta-52975338_were-looking-for-a-stellar-associate-to-activity-7224551245338791936-fiCg?utm_source=share&amp;utm_medium=member_desktop</v>
      </c>
    </row>
    <row r="1399">
      <c r="A1399" s="2">
        <f>IFERROR(__xludf.DUMMYFUNCTION("""COMPUTED_VALUE"""),45503.0)</f>
        <v>45503</v>
      </c>
      <c r="B1399" s="1" t="str">
        <f>IFERROR(__xludf.DUMMYFUNCTION("""COMPUTED_VALUE"""),"JP Morgan &amp; Chase")</f>
        <v>JP Morgan &amp; Chase</v>
      </c>
      <c r="C1399" s="1" t="str">
        <f>IFERROR(__xludf.DUMMYFUNCTION("""COMPUTED_VALUE"""),"Data Analytics Customer Success Manager")</f>
        <v>Data Analytics Customer Success Manager</v>
      </c>
      <c r="D1399" s="1" t="str">
        <f>IFERROR(__xludf.DUMMYFUNCTION("""COMPUTED_VALUE"""),"Hybrid")</f>
        <v>Hybrid</v>
      </c>
      <c r="E1399" s="1" t="str">
        <f>IFERROR(__xludf.DUMMYFUNCTION("""COMPUTED_VALUE"""),"$87k - $185k")</f>
        <v>$87k - $185k</v>
      </c>
      <c r="F1399" s="1" t="str">
        <f>IFERROR(__xludf.DUMMYFUNCTION("""COMPUTED_VALUE"""),"3 - 5")</f>
        <v>3 - 5</v>
      </c>
      <c r="G1399" s="1" t="str">
        <f>IFERROR(__xludf.DUMMYFUNCTION("""COMPUTED_VALUE"""),"New York, NY")</f>
        <v>New York, NY</v>
      </c>
      <c r="H1399" s="4" t="str">
        <f>IFERROR(__xludf.DUMMYFUNCTION("""COMPUTED_VALUE"""),"https://www.linkedin.com/posts/suhrob-kadirov_data-and-analytics-customer-success-manager-activity-7223794058467405824-l5Yb?utm_source=share&amp;utm_medium=member_desktop")</f>
        <v>https://www.linkedin.com/posts/suhrob-kadirov_data-and-analytics-customer-success-manager-activity-7223794058467405824-l5Yb?utm_source=share&amp;utm_medium=member_desktop</v>
      </c>
    </row>
    <row r="1400">
      <c r="A1400" s="2">
        <f>IFERROR(__xludf.DUMMYFUNCTION("""COMPUTED_VALUE"""),45503.0)</f>
        <v>45503</v>
      </c>
      <c r="B1400" s="1" t="str">
        <f>IFERROR(__xludf.DUMMYFUNCTION("""COMPUTED_VALUE"""),"Navy Federal Credit Union")</f>
        <v>Navy Federal Credit Union</v>
      </c>
      <c r="C1400" s="1" t="str">
        <f>IFERROR(__xludf.DUMMYFUNCTION("""COMPUTED_VALUE"""),"Business Intelligence Analyst II")</f>
        <v>Business Intelligence Analyst II</v>
      </c>
      <c r="D1400" s="1" t="str">
        <f>IFERROR(__xludf.DUMMYFUNCTION("""COMPUTED_VALUE"""),"Hybrid")</f>
        <v>Hybrid</v>
      </c>
      <c r="E1400" s="1" t="str">
        <f>IFERROR(__xludf.DUMMYFUNCTION("""COMPUTED_VALUE"""),"N/A")</f>
        <v>N/A</v>
      </c>
      <c r="F1400" s="1" t="str">
        <f>IFERROR(__xludf.DUMMYFUNCTION("""COMPUTED_VALUE"""),"N/A")</f>
        <v>N/A</v>
      </c>
      <c r="G1400" s="1" t="str">
        <f>IFERROR(__xludf.DUMMYFUNCTION("""COMPUTED_VALUE"""),"Vienna, VA/Pensacola, FL")</f>
        <v>Vienna, VA/Pensacola, FL</v>
      </c>
      <c r="H1400" s="4" t="str">
        <f>IFERROR(__xludf.DUMMYFUNCTION("""COMPUTED_VALUE"""),"https://www.linkedin.com/posts/aman-bhuller-133633141_business-intelligence-analyst-ii-activity-7223832968904032256-cngv?utm_source=share&amp;utm_medium=member_desktop")</f>
        <v>https://www.linkedin.com/posts/aman-bhuller-133633141_business-intelligence-analyst-ii-activity-7223832968904032256-cngv?utm_source=share&amp;utm_medium=member_desktop</v>
      </c>
    </row>
    <row r="1401">
      <c r="A1401" s="2">
        <f>IFERROR(__xludf.DUMMYFUNCTION("""COMPUTED_VALUE"""),45503.0)</f>
        <v>45503</v>
      </c>
      <c r="B1401" s="1" t="str">
        <f>IFERROR(__xludf.DUMMYFUNCTION("""COMPUTED_VALUE"""),"Tetra Tech")</f>
        <v>Tetra Tech</v>
      </c>
      <c r="C1401" s="1" t="str">
        <f>IFERROR(__xludf.DUMMYFUNCTION("""COMPUTED_VALUE"""),"Junior Recovery Analyst")</f>
        <v>Junior Recovery Analyst</v>
      </c>
      <c r="D1401" s="1" t="str">
        <f>IFERROR(__xludf.DUMMYFUNCTION("""COMPUTED_VALUE"""),"On-Site")</f>
        <v>On-Site</v>
      </c>
      <c r="E1401" s="1" t="str">
        <f>IFERROR(__xludf.DUMMYFUNCTION("""COMPUTED_VALUE"""),"N/A")</f>
        <v>N/A</v>
      </c>
      <c r="F1401" s="1" t="str">
        <f>IFERROR(__xludf.DUMMYFUNCTION("""COMPUTED_VALUE"""),"0 - 2")</f>
        <v>0 - 2</v>
      </c>
      <c r="G1401" s="1" t="str">
        <f>IFERROR(__xludf.DUMMYFUNCTION("""COMPUTED_VALUE"""),"Orlando, FL")</f>
        <v>Orlando, FL</v>
      </c>
      <c r="H1401" s="4" t="str">
        <f>IFERROR(__xludf.DUMMYFUNCTION("""COMPUTED_VALUE"""),"https://www.linkedin.com/posts/jessicamazurek_hiring-tetratech-tdr-activity-7223868982078902272-Vzdr?utm_source=share&amp;utm_medium=member_desktop")</f>
        <v>https://www.linkedin.com/posts/jessicamazurek_hiring-tetratech-tdr-activity-7223868982078902272-Vzdr?utm_source=share&amp;utm_medium=member_desktop</v>
      </c>
    </row>
    <row r="1402">
      <c r="A1402" s="2">
        <f>IFERROR(__xludf.DUMMYFUNCTION("""COMPUTED_VALUE"""),45503.0)</f>
        <v>45503</v>
      </c>
      <c r="B1402" s="1" t="str">
        <f>IFERROR(__xludf.DUMMYFUNCTION("""COMPUTED_VALUE"""),"Excella")</f>
        <v>Excella</v>
      </c>
      <c r="C1402" s="1" t="str">
        <f>IFERROR(__xludf.DUMMYFUNCTION("""COMPUTED_VALUE"""),"Data Governance Lead")</f>
        <v>Data Governance Lead</v>
      </c>
      <c r="D1402" s="1" t="str">
        <f>IFERROR(__xludf.DUMMYFUNCTION("""COMPUTED_VALUE"""),"Remote")</f>
        <v>Remote</v>
      </c>
      <c r="E1402" s="1" t="str">
        <f>IFERROR(__xludf.DUMMYFUNCTION("""COMPUTED_VALUE"""),"N/A")</f>
        <v>N/A</v>
      </c>
      <c r="F1402" s="1" t="str">
        <f>IFERROR(__xludf.DUMMYFUNCTION("""COMPUTED_VALUE"""),"3 - 5")</f>
        <v>3 - 5</v>
      </c>
      <c r="G1402" s="1" t="str">
        <f>IFERROR(__xludf.DUMMYFUNCTION("""COMPUTED_VALUE"""),"USA")</f>
        <v>USA</v>
      </c>
      <c r="H1402" s="4" t="str">
        <f>IFERROR(__xludf.DUMMYFUNCTION("""COMPUTED_VALUE"""),"https://www.linkedin.com/posts/kaya-giwa_datagovernance-datasteward-metadatamanagement-activity-7223760069157416960-mD6z?utm_source=share&amp;utm_medium=member_desktop")</f>
        <v>https://www.linkedin.com/posts/kaya-giwa_datagovernance-datasteward-metadatamanagement-activity-7223760069157416960-mD6z?utm_source=share&amp;utm_medium=member_desktop</v>
      </c>
    </row>
    <row r="1403">
      <c r="A1403" s="2">
        <f>IFERROR(__xludf.DUMMYFUNCTION("""COMPUTED_VALUE"""),45503.0)</f>
        <v>45503</v>
      </c>
      <c r="B1403" s="1" t="str">
        <f>IFERROR(__xludf.DUMMYFUNCTION("""COMPUTED_VALUE"""),"Arcadia")</f>
        <v>Arcadia</v>
      </c>
      <c r="C1403" s="1" t="str">
        <f>IFERROR(__xludf.DUMMYFUNCTION("""COMPUTED_VALUE"""),"Data Engineer")</f>
        <v>Data Engineer</v>
      </c>
      <c r="D1403" s="1" t="str">
        <f>IFERROR(__xludf.DUMMYFUNCTION("""COMPUTED_VALUE"""),"Remote")</f>
        <v>Remote</v>
      </c>
      <c r="E1403" s="1" t="str">
        <f>IFERROR(__xludf.DUMMYFUNCTION("""COMPUTED_VALUE"""),"N/A")</f>
        <v>N/A</v>
      </c>
      <c r="F1403" s="1" t="str">
        <f>IFERROR(__xludf.DUMMYFUNCTION("""COMPUTED_VALUE"""),"3 - 5")</f>
        <v>3 - 5</v>
      </c>
      <c r="G1403" s="1" t="str">
        <f>IFERROR(__xludf.DUMMYFUNCTION("""COMPUTED_VALUE"""),"USA")</f>
        <v>USA</v>
      </c>
      <c r="H1403" s="4" t="str">
        <f>IFERROR(__xludf.DUMMYFUNCTION("""COMPUTED_VALUE"""),"https://www.linkedin.com/posts/julie-albiani-71029745_hiring-activity-7224033259234492416-Vcdq?utm_source=share&amp;utm_medium=member_desktop")</f>
        <v>https://www.linkedin.com/posts/julie-albiani-71029745_hiring-activity-7224033259234492416-Vcdq?utm_source=share&amp;utm_medium=member_desktop</v>
      </c>
    </row>
    <row r="1404">
      <c r="A1404" s="2">
        <f>IFERROR(__xludf.DUMMYFUNCTION("""COMPUTED_VALUE"""),45503.0)</f>
        <v>45503</v>
      </c>
      <c r="B1404" s="1" t="str">
        <f>IFERROR(__xludf.DUMMYFUNCTION("""COMPUTED_VALUE"""),"GrubHub")</f>
        <v>GrubHub</v>
      </c>
      <c r="C1404" s="1" t="str">
        <f>IFERROR(__xludf.DUMMYFUNCTION("""COMPUTED_VALUE"""),"Sr. Analyst, Revenue Management")</f>
        <v>Sr. Analyst, Revenue Management</v>
      </c>
      <c r="D1404" s="1" t="str">
        <f>IFERROR(__xludf.DUMMYFUNCTION("""COMPUTED_VALUE"""),"Hybrid")</f>
        <v>Hybrid</v>
      </c>
      <c r="E1404" s="1" t="str">
        <f>IFERROR(__xludf.DUMMYFUNCTION("""COMPUTED_VALUE"""),"N/A")</f>
        <v>N/A</v>
      </c>
      <c r="F1404" s="1" t="str">
        <f>IFERROR(__xludf.DUMMYFUNCTION("""COMPUTED_VALUE"""),"3 - 5")</f>
        <v>3 - 5</v>
      </c>
      <c r="G1404" s="1" t="str">
        <f>IFERROR(__xludf.DUMMYFUNCTION("""COMPUTED_VALUE"""),"Chicago, IL")</f>
        <v>Chicago, IL</v>
      </c>
      <c r="H1404" s="4" t="str">
        <f>IFERROR(__xludf.DUMMYFUNCTION("""COMPUTED_VALUE"""),"https://www.linkedin.com/posts/marialissarescigno_revenuemanagementjobs-chicagojobs-activity-7224110855968206848-JABd?utm_source=share&amp;utm_medium=member_desktop")</f>
        <v>https://www.linkedin.com/posts/marialissarescigno_revenuemanagementjobs-chicagojobs-activity-7224110855968206848-JABd?utm_source=share&amp;utm_medium=member_desktop</v>
      </c>
    </row>
    <row r="1405">
      <c r="A1405" s="2">
        <f>IFERROR(__xludf.DUMMYFUNCTION("""COMPUTED_VALUE"""),45503.0)</f>
        <v>45503</v>
      </c>
      <c r="B1405" s="1" t="str">
        <f>IFERROR(__xludf.DUMMYFUNCTION("""COMPUTED_VALUE"""),"The Wendy's Company")</f>
        <v>The Wendy's Company</v>
      </c>
      <c r="C1405" s="1" t="str">
        <f>IFERROR(__xludf.DUMMYFUNCTION("""COMPUTED_VALUE"""),"Sr Analyst - Franchise Finance")</f>
        <v>Sr Analyst - Franchise Finance</v>
      </c>
      <c r="D1405" s="1" t="str">
        <f>IFERROR(__xludf.DUMMYFUNCTION("""COMPUTED_VALUE"""),"Remote")</f>
        <v>Remote</v>
      </c>
      <c r="E1405" s="1" t="str">
        <f>IFERROR(__xludf.DUMMYFUNCTION("""COMPUTED_VALUE"""),"$77k - $131k")</f>
        <v>$77k - $131k</v>
      </c>
      <c r="F1405" s="1" t="str">
        <f>IFERROR(__xludf.DUMMYFUNCTION("""COMPUTED_VALUE"""),"3 - 5")</f>
        <v>3 - 5</v>
      </c>
      <c r="G1405" s="1" t="str">
        <f>IFERROR(__xludf.DUMMYFUNCTION("""COMPUTED_VALUE"""),"USA")</f>
        <v>USA</v>
      </c>
      <c r="H1405" s="4" t="str">
        <f>IFERROR(__xludf.DUMMYFUNCTION("""COMPUTED_VALUE"""),"https://www.linkedin.com/posts/joel-kretz-9191a760_we-are-hiring-for-a-sr-analyst-franchise-activity-7224102934823776258-i5Sn?utm_source=share&amp;utm_medium=member_desktop")</f>
        <v>https://www.linkedin.com/posts/joel-kretz-9191a760_we-are-hiring-for-a-sr-analyst-franchise-activity-7224102934823776258-i5Sn?utm_source=share&amp;utm_medium=member_desktop</v>
      </c>
    </row>
    <row r="1406">
      <c r="A1406" s="2">
        <f>IFERROR(__xludf.DUMMYFUNCTION("""COMPUTED_VALUE"""),45503.0)</f>
        <v>45503</v>
      </c>
      <c r="B1406" s="1" t="str">
        <f>IFERROR(__xludf.DUMMYFUNCTION("""COMPUTED_VALUE"""),"The Carlyle Group")</f>
        <v>The Carlyle Group</v>
      </c>
      <c r="C1406" s="1" t="str">
        <f>IFERROR(__xludf.DUMMYFUNCTION("""COMPUTED_VALUE"""),"Compensation Analyst")</f>
        <v>Compensation Analyst</v>
      </c>
      <c r="D1406" s="1" t="str">
        <f>IFERROR(__xludf.DUMMYFUNCTION("""COMPUTED_VALUE"""),"Hybrid")</f>
        <v>Hybrid</v>
      </c>
      <c r="E1406" s="1" t="str">
        <f>IFERROR(__xludf.DUMMYFUNCTION("""COMPUTED_VALUE"""),"$105k - $115k")</f>
        <v>$105k - $115k</v>
      </c>
      <c r="F1406" s="1" t="str">
        <f>IFERROR(__xludf.DUMMYFUNCTION("""COMPUTED_VALUE"""),"3 - 5")</f>
        <v>3 - 5</v>
      </c>
      <c r="G1406" s="1" t="str">
        <f>IFERROR(__xludf.DUMMYFUNCTION("""COMPUTED_VALUE"""),"Washington, DC")</f>
        <v>Washington, DC</v>
      </c>
      <c r="H1406" s="4" t="str">
        <f>IFERROR(__xludf.DUMMYFUNCTION("""COMPUTED_VALUE"""),"https://www.linkedin.com/posts/jakeaverch_were-hiring-an-analyst-to-join-our-high-activity-7224088749729554432-DLaN?utm_source=share&amp;utm_medium=member_desktop")</f>
        <v>https://www.linkedin.com/posts/jakeaverch_were-hiring-an-analyst-to-join-our-high-activity-7224088749729554432-DLaN?utm_source=share&amp;utm_medium=member_desktop</v>
      </c>
    </row>
    <row r="1407">
      <c r="A1407" s="2">
        <f>IFERROR(__xludf.DUMMYFUNCTION("""COMPUTED_VALUE"""),45503.0)</f>
        <v>45503</v>
      </c>
      <c r="B1407" s="1" t="str">
        <f>IFERROR(__xludf.DUMMYFUNCTION("""COMPUTED_VALUE"""),"Skillable")</f>
        <v>Skillable</v>
      </c>
      <c r="C1407" s="1" t="str">
        <f>IFERROR(__xludf.DUMMYFUNCTION("""COMPUTED_VALUE"""),"Senior Product Analyst")</f>
        <v>Senior Product Analyst</v>
      </c>
      <c r="D1407" s="1" t="str">
        <f>IFERROR(__xludf.DUMMYFUNCTION("""COMPUTED_VALUE"""),"Remote")</f>
        <v>Remote</v>
      </c>
      <c r="E1407" s="1" t="str">
        <f>IFERROR(__xludf.DUMMYFUNCTION("""COMPUTED_VALUE"""),"$120k - $140k")</f>
        <v>$120k - $140k</v>
      </c>
      <c r="F1407" s="1" t="str">
        <f>IFERROR(__xludf.DUMMYFUNCTION("""COMPUTED_VALUE"""),"3 - 5")</f>
        <v>3 - 5</v>
      </c>
      <c r="G1407" s="1" t="str">
        <f>IFERROR(__xludf.DUMMYFUNCTION("""COMPUTED_VALUE"""),"USA")</f>
        <v>USA</v>
      </c>
      <c r="H1407" s="4" t="str">
        <f>IFERROR(__xludf.DUMMYFUNCTION("""COMPUTED_VALUE"""),"https://www.linkedin.com/posts/natebarrett_senior-product-analyst-careers-activity-7224085436229435392-wKBm?utm_source=share&amp;utm_medium=member_desktop")</f>
        <v>https://www.linkedin.com/posts/natebarrett_senior-product-analyst-careers-activity-7224085436229435392-wKBm?utm_source=share&amp;utm_medium=member_desktop</v>
      </c>
    </row>
    <row r="1408">
      <c r="A1408" s="2">
        <f>IFERROR(__xludf.DUMMYFUNCTION("""COMPUTED_VALUE"""),45503.0)</f>
        <v>45503</v>
      </c>
      <c r="B1408" s="1" t="str">
        <f>IFERROR(__xludf.DUMMYFUNCTION("""COMPUTED_VALUE"""),"billups")</f>
        <v>billups</v>
      </c>
      <c r="C1408" s="1" t="str">
        <f>IFERROR(__xludf.DUMMYFUNCTION("""COMPUTED_VALUE"""),"Financial Analyst")</f>
        <v>Financial Analyst</v>
      </c>
      <c r="D1408" s="1" t="str">
        <f>IFERROR(__xludf.DUMMYFUNCTION("""COMPUTED_VALUE"""),"Remote")</f>
        <v>Remote</v>
      </c>
      <c r="E1408" s="1" t="str">
        <f>IFERROR(__xludf.DUMMYFUNCTION("""COMPUTED_VALUE"""),"$60k - $70k")</f>
        <v>$60k - $70k</v>
      </c>
      <c r="F1408" s="1" t="str">
        <f>IFERROR(__xludf.DUMMYFUNCTION("""COMPUTED_VALUE"""),"0 - 2")</f>
        <v>0 - 2</v>
      </c>
      <c r="G1408" s="1" t="str">
        <f>IFERROR(__xludf.DUMMYFUNCTION("""COMPUTED_VALUE"""),"USA")</f>
        <v>USA</v>
      </c>
      <c r="H1408" s="4" t="str">
        <f>IFERROR(__xludf.DUMMYFUNCTION("""COMPUTED_VALUE"""),"https://www.linkedin.com/posts/tommy-harnden-4b04a985_hiring-financejobs-financialanalyst-activity-7224020398173044736-Lmu1?utm_source=share&amp;utm_medium=member_desktop")</f>
        <v>https://www.linkedin.com/posts/tommy-harnden-4b04a985_hiring-financejobs-financialanalyst-activity-7224020398173044736-Lmu1?utm_source=share&amp;utm_medium=member_desktop</v>
      </c>
    </row>
    <row r="1409">
      <c r="A1409" s="2">
        <f>IFERROR(__xludf.DUMMYFUNCTION("""COMPUTED_VALUE"""),45503.0)</f>
        <v>45503</v>
      </c>
      <c r="B1409" s="1" t="str">
        <f>IFERROR(__xludf.DUMMYFUNCTION("""COMPUTED_VALUE"""),"Labcorp")</f>
        <v>Labcorp</v>
      </c>
      <c r="C1409" s="1" t="str">
        <f>IFERROR(__xludf.DUMMYFUNCTION("""COMPUTED_VALUE"""),"Senior Manager - People Analytics")</f>
        <v>Senior Manager - People Analytics</v>
      </c>
      <c r="D1409" s="1" t="str">
        <f>IFERROR(__xludf.DUMMYFUNCTION("""COMPUTED_VALUE"""),"Remote")</f>
        <v>Remote</v>
      </c>
      <c r="E1409" s="1" t="str">
        <f>IFERROR(__xludf.DUMMYFUNCTION("""COMPUTED_VALUE"""),"$125k - $140k")</f>
        <v>$125k - $140k</v>
      </c>
      <c r="F1409" s="1" t="str">
        <f>IFERROR(__xludf.DUMMYFUNCTION("""COMPUTED_VALUE"""),"3 - 5")</f>
        <v>3 - 5</v>
      </c>
      <c r="G1409" s="1" t="str">
        <f>IFERROR(__xludf.DUMMYFUNCTION("""COMPUTED_VALUE"""),"USA")</f>
        <v>USA</v>
      </c>
      <c r="H1409" s="4" t="str">
        <f>IFERROR(__xludf.DUMMYFUNCTION("""COMPUTED_VALUE"""),"https://www.linkedin.com/posts/bing-chun-lin_now-hiring-senior-manager-people-analytics-activity-7223867853165268993-Js81?utm_source=share&amp;utm_medium=member_desktop")</f>
        <v>https://www.linkedin.com/posts/bing-chun-lin_now-hiring-senior-manager-people-analytics-activity-7223867853165268993-Js81?utm_source=share&amp;utm_medium=member_desktop</v>
      </c>
    </row>
    <row r="1410">
      <c r="A1410" s="2">
        <f>IFERROR(__xludf.DUMMYFUNCTION("""COMPUTED_VALUE"""),45503.0)</f>
        <v>45503</v>
      </c>
      <c r="B1410" s="1" t="str">
        <f>IFERROR(__xludf.DUMMYFUNCTION("""COMPUTED_VALUE"""),"Clarity")</f>
        <v>Clarity</v>
      </c>
      <c r="C1410" s="1" t="str">
        <f>IFERROR(__xludf.DUMMYFUNCTION("""COMPUTED_VALUE"""),"Seasonal Data Specialist")</f>
        <v>Seasonal Data Specialist</v>
      </c>
      <c r="D1410" s="1" t="str">
        <f>IFERROR(__xludf.DUMMYFUNCTION("""COMPUTED_VALUE"""),"Remote")</f>
        <v>Remote</v>
      </c>
      <c r="E1410" s="1" t="str">
        <f>IFERROR(__xludf.DUMMYFUNCTION("""COMPUTED_VALUE"""),"$16.23/hr")</f>
        <v>$16.23/hr</v>
      </c>
      <c r="F1410" s="1" t="str">
        <f>IFERROR(__xludf.DUMMYFUNCTION("""COMPUTED_VALUE"""),"0 - 2")</f>
        <v>0 - 2</v>
      </c>
      <c r="G1410" s="1" t="str">
        <f>IFERROR(__xludf.DUMMYFUNCTION("""COMPUTED_VALUE"""),"USA")</f>
        <v>USA</v>
      </c>
      <c r="H1410" s="4" t="str">
        <f>IFERROR(__xludf.DUMMYFUNCTION("""COMPUTED_VALUE"""),"https://www.linkedin.com/posts/ldeneepierce_were-now-hiring-seasonal-data-specialists-activity-7224096138042163200-V21E?utm_source=share&amp;utm_medium=member_desktop")</f>
        <v>https://www.linkedin.com/posts/ldeneepierce_were-now-hiring-seasonal-data-specialists-activity-7224096138042163200-V21E?utm_source=share&amp;utm_medium=member_desktop</v>
      </c>
    </row>
    <row r="1411">
      <c r="A1411" s="2">
        <f>IFERROR(__xludf.DUMMYFUNCTION("""COMPUTED_VALUE"""),45503.0)</f>
        <v>45503</v>
      </c>
      <c r="B1411" s="1" t="str">
        <f>IFERROR(__xludf.DUMMYFUNCTION("""COMPUTED_VALUE"""),"eBay")</f>
        <v>eBay</v>
      </c>
      <c r="C1411" s="1" t="str">
        <f>IFERROR(__xludf.DUMMYFUNCTION("""COMPUTED_VALUE"""),"US Incentives Insights Analyst")</f>
        <v>US Incentives Insights Analyst</v>
      </c>
      <c r="D1411" s="1" t="str">
        <f>IFERROR(__xludf.DUMMYFUNCTION("""COMPUTED_VALUE"""),"Hybrid")</f>
        <v>Hybrid</v>
      </c>
      <c r="E1411" s="1" t="str">
        <f>IFERROR(__xludf.DUMMYFUNCTION("""COMPUTED_VALUE"""),"$88k - $138k")</f>
        <v>$88k - $138k</v>
      </c>
      <c r="F1411" s="1" t="str">
        <f>IFERROR(__xludf.DUMMYFUNCTION("""COMPUTED_VALUE"""),"3 - 5")</f>
        <v>3 - 5</v>
      </c>
      <c r="G1411" s="1" t="str">
        <f>IFERROR(__xludf.DUMMYFUNCTION("""COMPUTED_VALUE"""),"San Jose, CA")</f>
        <v>San Jose, CA</v>
      </c>
      <c r="H1411" s="4" t="str">
        <f>IFERROR(__xludf.DUMMYFUNCTION("""COMPUTED_VALUE"""),"https://www.linkedin.com/posts/activity-7224100639054659584-fxPy?utm_source=share&amp;utm_medium=member_desktop")</f>
        <v>https://www.linkedin.com/posts/activity-7224100639054659584-fxPy?utm_source=share&amp;utm_medium=member_desktop</v>
      </c>
    </row>
    <row r="1412">
      <c r="A1412" s="2">
        <f>IFERROR(__xludf.DUMMYFUNCTION("""COMPUTED_VALUE"""),45503.0)</f>
        <v>45503</v>
      </c>
      <c r="B1412" s="1" t="str">
        <f>IFERROR(__xludf.DUMMYFUNCTION("""COMPUTED_VALUE"""),"Andreessen Horowitz")</f>
        <v>Andreessen Horowitz</v>
      </c>
      <c r="C1412" s="1" t="str">
        <f>IFERROR(__xludf.DUMMYFUNCTION("""COMPUTED_VALUE"""),"Business Intelligence Analyst")</f>
        <v>Business Intelligence Analyst</v>
      </c>
      <c r="D1412" s="1" t="str">
        <f>IFERROR(__xludf.DUMMYFUNCTION("""COMPUTED_VALUE"""),"Hybrid")</f>
        <v>Hybrid</v>
      </c>
      <c r="E1412" s="1" t="str">
        <f>IFERROR(__xludf.DUMMYFUNCTION("""COMPUTED_VALUE"""),"$138k - $161k")</f>
        <v>$138k - $161k</v>
      </c>
      <c r="F1412" s="1" t="str">
        <f>IFERROR(__xludf.DUMMYFUNCTION("""COMPUTED_VALUE"""),"3 - 5")</f>
        <v>3 - 5</v>
      </c>
      <c r="G1412" s="1" t="str">
        <f>IFERROR(__xludf.DUMMYFUNCTION("""COMPUTED_VALUE"""),"San Francisco, CA")</f>
        <v>San Francisco, CA</v>
      </c>
      <c r="H1412" s="4" t="str">
        <f>IFERROR(__xludf.DUMMYFUNCTION("""COMPUTED_VALUE"""),"https://www.linkedin.com/posts/tyler-burkett-075a4136_jobs-andreessen-horowitz-activity-7224101490330587137-7P6L?utm_source=share&amp;utm_medium=member_desktop")</f>
        <v>https://www.linkedin.com/posts/tyler-burkett-075a4136_jobs-andreessen-horowitz-activity-7224101490330587137-7P6L?utm_source=share&amp;utm_medium=member_desktop</v>
      </c>
    </row>
    <row r="1413">
      <c r="A1413" s="2">
        <f>IFERROR(__xludf.DUMMYFUNCTION("""COMPUTED_VALUE"""),45503.0)</f>
        <v>45503</v>
      </c>
      <c r="B1413" s="1" t="str">
        <f>IFERROR(__xludf.DUMMYFUNCTION("""COMPUTED_VALUE"""),"NCM Associates")</f>
        <v>NCM Associates</v>
      </c>
      <c r="C1413" s="1" t="str">
        <f>IFERROR(__xludf.DUMMYFUNCTION("""COMPUTED_VALUE"""),"Operations Analyst")</f>
        <v>Operations Analyst</v>
      </c>
      <c r="D1413" s="1" t="str">
        <f>IFERROR(__xludf.DUMMYFUNCTION("""COMPUTED_VALUE"""),"Remote")</f>
        <v>Remote</v>
      </c>
      <c r="E1413" s="1" t="str">
        <f>IFERROR(__xludf.DUMMYFUNCTION("""COMPUTED_VALUE"""),"N/A")</f>
        <v>N/A</v>
      </c>
      <c r="F1413" s="1" t="str">
        <f>IFERROR(__xludf.DUMMYFUNCTION("""COMPUTED_VALUE"""),"0 - 2")</f>
        <v>0 - 2</v>
      </c>
      <c r="G1413" s="1" t="str">
        <f>IFERROR(__xludf.DUMMYFUNCTION("""COMPUTED_VALUE"""),"USA")</f>
        <v>USA</v>
      </c>
      <c r="H1413" s="4" t="str">
        <f>IFERROR(__xludf.DUMMYFUNCTION("""COMPUTED_VALUE"""),"https://www.linkedin.com/posts/staceyrinnert_dataanalyst-hiring-employeeownedcompany-activity-7224073134197420032-jjwK?utm_source=share&amp;utm_medium=member_desktop")</f>
        <v>https://www.linkedin.com/posts/staceyrinnert_dataanalyst-hiring-employeeownedcompany-activity-7224073134197420032-jjwK?utm_source=share&amp;utm_medium=member_desktop</v>
      </c>
    </row>
    <row r="1414">
      <c r="A1414" s="2">
        <f>IFERROR(__xludf.DUMMYFUNCTION("""COMPUTED_VALUE"""),45503.0)</f>
        <v>45503</v>
      </c>
      <c r="B1414" s="1" t="str">
        <f>IFERROR(__xludf.DUMMYFUNCTION("""COMPUTED_VALUE"""),"PlanSource")</f>
        <v>PlanSource</v>
      </c>
      <c r="C1414" s="1" t="str">
        <f>IFERROR(__xludf.DUMMYFUNCTION("""COMPUTED_VALUE"""),"Customer Account Analyst")</f>
        <v>Customer Account Analyst</v>
      </c>
      <c r="D1414" s="1" t="str">
        <f>IFERROR(__xludf.DUMMYFUNCTION("""COMPUTED_VALUE"""),"Hybrid")</f>
        <v>Hybrid</v>
      </c>
      <c r="E1414" s="1" t="str">
        <f>IFERROR(__xludf.DUMMYFUNCTION("""COMPUTED_VALUE"""),"N/A")</f>
        <v>N/A</v>
      </c>
      <c r="F1414" s="1" t="str">
        <f>IFERROR(__xludf.DUMMYFUNCTION("""COMPUTED_VALUE"""),"0 - 2")</f>
        <v>0 - 2</v>
      </c>
      <c r="G1414" s="1" t="str">
        <f>IFERROR(__xludf.DUMMYFUNCTION("""COMPUTED_VALUE"""),"Orlando, FL")</f>
        <v>Orlando, FL</v>
      </c>
      <c r="H1414" s="4" t="str">
        <f>IFERROR(__xludf.DUMMYFUNCTION("""COMPUTED_VALUE"""),"https://www.linkedin.com/posts/darnelle-melton-92936674_hiring-jobopening-customersuccess-activity-7224143768734568448-8Y5l?utm_source=share&amp;utm_medium=member_desktop")</f>
        <v>https://www.linkedin.com/posts/darnelle-melton-92936674_hiring-jobopening-customersuccess-activity-7224143768734568448-8Y5l?utm_source=share&amp;utm_medium=member_desktop</v>
      </c>
    </row>
    <row r="1415">
      <c r="A1415" s="2">
        <f>IFERROR(__xludf.DUMMYFUNCTION("""COMPUTED_VALUE"""),45503.0)</f>
        <v>45503</v>
      </c>
      <c r="B1415" s="1" t="str">
        <f>IFERROR(__xludf.DUMMYFUNCTION("""COMPUTED_VALUE"""),"Brilliant")</f>
        <v>Brilliant</v>
      </c>
      <c r="C1415" s="1" t="str">
        <f>IFERROR(__xludf.DUMMYFUNCTION("""COMPUTED_VALUE"""),"Senior Financial Systems Analyst")</f>
        <v>Senior Financial Systems Analyst</v>
      </c>
      <c r="D1415" s="1" t="str">
        <f>IFERROR(__xludf.DUMMYFUNCTION("""COMPUTED_VALUE"""),"Hybrid")</f>
        <v>Hybrid</v>
      </c>
      <c r="E1415" s="1" t="str">
        <f>IFERROR(__xludf.DUMMYFUNCTION("""COMPUTED_VALUE"""),"$105k - $125k")</f>
        <v>$105k - $125k</v>
      </c>
      <c r="F1415" s="1" t="str">
        <f>IFERROR(__xludf.DUMMYFUNCTION("""COMPUTED_VALUE"""),"3 - 5")</f>
        <v>3 - 5</v>
      </c>
      <c r="G1415" s="1" t="str">
        <f>IFERROR(__xludf.DUMMYFUNCTION("""COMPUTED_VALUE"""),"Deerfield, IL")</f>
        <v>Deerfield, IL</v>
      </c>
      <c r="H1415" s="4" t="str">
        <f>IFERROR(__xludf.DUMMYFUNCTION("""COMPUTED_VALUE"""),"https://www.linkedin.com/posts/amysabel_hiring-activity-7224151291139080193-Fsss?utm_source=share&amp;utm_medium=member_desktop")</f>
        <v>https://www.linkedin.com/posts/amysabel_hiring-activity-7224151291139080193-Fsss?utm_source=share&amp;utm_medium=member_desktop</v>
      </c>
    </row>
    <row r="1416">
      <c r="A1416" s="2">
        <f>IFERROR(__xludf.DUMMYFUNCTION("""COMPUTED_VALUE"""),45503.0)</f>
        <v>45503</v>
      </c>
      <c r="B1416" s="1" t="str">
        <f>IFERROR(__xludf.DUMMYFUNCTION("""COMPUTED_VALUE"""),"World Education Services")</f>
        <v>World Education Services</v>
      </c>
      <c r="C1416" s="1" t="str">
        <f>IFERROR(__xludf.DUMMYFUNCTION("""COMPUTED_VALUE"""),"Financial Analyst")</f>
        <v>Financial Analyst</v>
      </c>
      <c r="D1416" s="1" t="str">
        <f>IFERROR(__xludf.DUMMYFUNCTION("""COMPUTED_VALUE"""),"Remote")</f>
        <v>Remote</v>
      </c>
      <c r="E1416" s="1" t="str">
        <f>IFERROR(__xludf.DUMMYFUNCTION("""COMPUTED_VALUE"""),"$80k - $90k")</f>
        <v>$80k - $90k</v>
      </c>
      <c r="F1416" s="1" t="str">
        <f>IFERROR(__xludf.DUMMYFUNCTION("""COMPUTED_VALUE"""),"3 - 5")</f>
        <v>3 - 5</v>
      </c>
      <c r="G1416" s="1" t="str">
        <f>IFERROR(__xludf.DUMMYFUNCTION("""COMPUTED_VALUE"""),"USA")</f>
        <v>USA</v>
      </c>
      <c r="H1416" s="4" t="str">
        <f>IFERROR(__xludf.DUMMYFUNCTION("""COMPUTED_VALUE"""),"https://www.linkedin.com/posts/masalem_we-are-hiring-if-you-are-an-fpadata-analyst-activity-7224127771172573185-WvWL?utm_source=share&amp;utm_medium=member_desktop")</f>
        <v>https://www.linkedin.com/posts/masalem_we-are-hiring-if-you-are-an-fpadata-analyst-activity-7224127771172573185-WvWL?utm_source=share&amp;utm_medium=member_desktop</v>
      </c>
    </row>
    <row r="1417">
      <c r="A1417" s="2">
        <f>IFERROR(__xludf.DUMMYFUNCTION("""COMPUTED_VALUE"""),45503.0)</f>
        <v>45503</v>
      </c>
      <c r="B1417" s="1" t="str">
        <f>IFERROR(__xludf.DUMMYFUNCTION("""COMPUTED_VALUE"""),"CLARA Analytics")</f>
        <v>CLARA Analytics</v>
      </c>
      <c r="C1417" s="1" t="str">
        <f>IFERROR(__xludf.DUMMYFUNCTION("""COMPUTED_VALUE"""),"Actuarial Business Analyst")</f>
        <v>Actuarial Business Analyst</v>
      </c>
      <c r="D1417" s="1" t="str">
        <f>IFERROR(__xludf.DUMMYFUNCTION("""COMPUTED_VALUE"""),"Remote")</f>
        <v>Remote</v>
      </c>
      <c r="E1417" s="1" t="str">
        <f>IFERROR(__xludf.DUMMYFUNCTION("""COMPUTED_VALUE"""),"$130k")</f>
        <v>$130k</v>
      </c>
      <c r="F1417" s="1" t="str">
        <f>IFERROR(__xludf.DUMMYFUNCTION("""COMPUTED_VALUE"""),"3 - 5")</f>
        <v>3 - 5</v>
      </c>
      <c r="G1417" s="1" t="str">
        <f>IFERROR(__xludf.DUMMYFUNCTION("""COMPUTED_VALUE"""),"USA")</f>
        <v>USA</v>
      </c>
      <c r="H1417" s="4" t="str">
        <f>IFERROR(__xludf.DUMMYFUNCTION("""COMPUTED_VALUE"""),"https://www.linkedin.com/posts/mubbinrabbani_im-hiring-if-you-know-of-any-data-driven-activity-7224137356495196160-IWZz?utm_source=share&amp;utm_medium=member_desktop")</f>
        <v>https://www.linkedin.com/posts/mubbinrabbani_im-hiring-if-you-know-of-any-data-driven-activity-7224137356495196160-IWZz?utm_source=share&amp;utm_medium=member_desktop</v>
      </c>
    </row>
    <row r="1418">
      <c r="A1418" s="2">
        <f>IFERROR(__xludf.DUMMYFUNCTION("""COMPUTED_VALUE"""),45503.0)</f>
        <v>45503</v>
      </c>
      <c r="B1418" s="1" t="str">
        <f>IFERROR(__xludf.DUMMYFUNCTION("""COMPUTED_VALUE"""),"World of Good Brands")</f>
        <v>World of Good Brands</v>
      </c>
      <c r="C1418" s="1" t="str">
        <f>IFERROR(__xludf.DUMMYFUNCTION("""COMPUTED_VALUE"""),"Research Analyst")</f>
        <v>Research Analyst</v>
      </c>
      <c r="D1418" s="1" t="str">
        <f>IFERROR(__xludf.DUMMYFUNCTION("""COMPUTED_VALUE"""),"Remote")</f>
        <v>Remote</v>
      </c>
      <c r="E1418" s="1" t="str">
        <f>IFERROR(__xludf.DUMMYFUNCTION("""COMPUTED_VALUE"""),"$65k - $75k")</f>
        <v>$65k - $75k</v>
      </c>
      <c r="F1418" s="1" t="str">
        <f>IFERROR(__xludf.DUMMYFUNCTION("""COMPUTED_VALUE"""),"0 - 2")</f>
        <v>0 - 2</v>
      </c>
      <c r="G1418" s="1" t="str">
        <f>IFERROR(__xludf.DUMMYFUNCTION("""COMPUTED_VALUE"""),"USA (East Coast)")</f>
        <v>USA (East Coast)</v>
      </c>
      <c r="H1418" s="4" t="str">
        <f>IFERROR(__xludf.DUMMYFUNCTION("""COMPUTED_VALUE"""),"https://www.linkedin.com/posts/vanessamuro_hiring-researchanalyst-media-activity-7224111499768684544-NKml?utm_source=share&amp;utm_medium=member_desktop")</f>
        <v>https://www.linkedin.com/posts/vanessamuro_hiring-researchanalyst-media-activity-7224111499768684544-NKml?utm_source=share&amp;utm_medium=member_desktop</v>
      </c>
    </row>
    <row r="1419">
      <c r="A1419" s="2">
        <f>IFERROR(__xludf.DUMMYFUNCTION("""COMPUTED_VALUE"""),45503.0)</f>
        <v>45503</v>
      </c>
      <c r="B1419" s="1" t="str">
        <f>IFERROR(__xludf.DUMMYFUNCTION("""COMPUTED_VALUE"""),"Trane Technologies")</f>
        <v>Trane Technologies</v>
      </c>
      <c r="C1419" s="1" t="str">
        <f>IFERROR(__xludf.DUMMYFUNCTION("""COMPUTED_VALUE"""),"Business Development Analyst")</f>
        <v>Business Development Analyst</v>
      </c>
      <c r="D1419" s="1" t="str">
        <f>IFERROR(__xludf.DUMMYFUNCTION("""COMPUTED_VALUE"""),"Hybrid")</f>
        <v>Hybrid</v>
      </c>
      <c r="E1419" s="1" t="str">
        <f>IFERROR(__xludf.DUMMYFUNCTION("""COMPUTED_VALUE"""),"$70k - $100k")</f>
        <v>$70k - $100k</v>
      </c>
      <c r="F1419" s="1" t="str">
        <f>IFERROR(__xludf.DUMMYFUNCTION("""COMPUTED_VALUE"""),"3 - 5")</f>
        <v>3 - 5</v>
      </c>
      <c r="G1419" s="1" t="str">
        <f>IFERROR(__xludf.DUMMYFUNCTION("""COMPUTED_VALUE"""),"Certain Locations")</f>
        <v>Certain Locations</v>
      </c>
      <c r="H1419" s="4" t="str">
        <f>IFERROR(__xludf.DUMMYFUNCTION("""COMPUTED_VALUE"""),"https://www.linkedin.com/posts/jennie-bergman-9a6b4921_hiring-businessdevelopment-careeropportunity-activity-7224088125126422528-Izij?utm_source=share&amp;utm_medium=member_desktop")</f>
        <v>https://www.linkedin.com/posts/jennie-bergman-9a6b4921_hiring-businessdevelopment-careeropportunity-activity-7224088125126422528-Izij?utm_source=share&amp;utm_medium=member_desktop</v>
      </c>
    </row>
    <row r="1420">
      <c r="A1420" s="2">
        <f>IFERROR(__xludf.DUMMYFUNCTION("""COMPUTED_VALUE"""),45503.0)</f>
        <v>45503</v>
      </c>
      <c r="B1420" s="1" t="str">
        <f>IFERROR(__xludf.DUMMYFUNCTION("""COMPUTED_VALUE"""),"Headway")</f>
        <v>Headway</v>
      </c>
      <c r="C1420" s="1" t="str">
        <f>IFERROR(__xludf.DUMMYFUNCTION("""COMPUTED_VALUE"""),"Senior Data Scientist")</f>
        <v>Senior Data Scientist</v>
      </c>
      <c r="D1420" s="1" t="str">
        <f>IFERROR(__xludf.DUMMYFUNCTION("""COMPUTED_VALUE"""),"Remote")</f>
        <v>Remote</v>
      </c>
      <c r="E1420" s="1" t="str">
        <f>IFERROR(__xludf.DUMMYFUNCTION("""COMPUTED_VALUE"""),"$196k")</f>
        <v>$196k</v>
      </c>
      <c r="F1420" s="1" t="str">
        <f>IFERROR(__xludf.DUMMYFUNCTION("""COMPUTED_VALUE"""),"3 - 5")</f>
        <v>3 - 5</v>
      </c>
      <c r="G1420" s="1" t="str">
        <f>IFERROR(__xludf.DUMMYFUNCTION("""COMPUTED_VALUE"""),"USA")</f>
        <v>USA</v>
      </c>
      <c r="H1420" s="4" t="str">
        <f>IFERROR(__xludf.DUMMYFUNCTION("""COMPUTED_VALUE"""),"https://www.linkedin.com/posts/bkb997_senior-data-scientist-activity-7224126609111334912-WJqT?utm_source=share&amp;utm_medium=member_desktop")</f>
        <v>https://www.linkedin.com/posts/bkb997_senior-data-scientist-activity-7224126609111334912-WJqT?utm_source=share&amp;utm_medium=member_desktop</v>
      </c>
    </row>
    <row r="1421">
      <c r="A1421" s="2">
        <f>IFERROR(__xludf.DUMMYFUNCTION("""COMPUTED_VALUE"""),45503.0)</f>
        <v>45503</v>
      </c>
      <c r="B1421" s="1" t="str">
        <f>IFERROR(__xludf.DUMMYFUNCTION("""COMPUTED_VALUE"""),"MGMA")</f>
        <v>MGMA</v>
      </c>
      <c r="C1421" s="1" t="str">
        <f>IFERROR(__xludf.DUMMYFUNCTION("""COMPUTED_VALUE"""),"Manager, Marketing Data and Insights")</f>
        <v>Manager, Marketing Data and Insights</v>
      </c>
      <c r="D1421" s="1" t="str">
        <f>IFERROR(__xludf.DUMMYFUNCTION("""COMPUTED_VALUE"""),"Hybrid")</f>
        <v>Hybrid</v>
      </c>
      <c r="E1421" s="1" t="str">
        <f>IFERROR(__xludf.DUMMYFUNCTION("""COMPUTED_VALUE"""),"$89k - $120k")</f>
        <v>$89k - $120k</v>
      </c>
      <c r="F1421" s="1" t="str">
        <f>IFERROR(__xludf.DUMMYFUNCTION("""COMPUTED_VALUE"""),"3 - 5")</f>
        <v>3 - 5</v>
      </c>
      <c r="G1421" s="1" t="str">
        <f>IFERROR(__xludf.DUMMYFUNCTION("""COMPUTED_VALUE"""),"Englewood, CO")</f>
        <v>Englewood, CO</v>
      </c>
      <c r="H1421" s="4" t="str">
        <f>IFERROR(__xludf.DUMMYFUNCTION("""COMPUTED_VALUE"""),"https://www.linkedin.com/posts/laurenlombardi_marketinganalytics-healthcaremarketing-activity-7224095231070158848-g-yq?utm_source=share&amp;utm_medium=member_desktop")</f>
        <v>https://www.linkedin.com/posts/laurenlombardi_marketinganalytics-healthcaremarketing-activity-7224095231070158848-g-yq?utm_source=share&amp;utm_medium=member_desktop</v>
      </c>
    </row>
    <row r="1422">
      <c r="A1422" s="2">
        <f>IFERROR(__xludf.DUMMYFUNCTION("""COMPUTED_VALUE"""),45503.0)</f>
        <v>45503</v>
      </c>
      <c r="B1422" s="1" t="str">
        <f>IFERROR(__xludf.DUMMYFUNCTION("""COMPUTED_VALUE"""),"Reveleer")</f>
        <v>Reveleer</v>
      </c>
      <c r="C1422" s="1" t="str">
        <f>IFERROR(__xludf.DUMMYFUNCTION("""COMPUTED_VALUE"""),"Sr Data Analyst, Claims Processing")</f>
        <v>Sr Data Analyst, Claims Processing</v>
      </c>
      <c r="D1422" s="1" t="str">
        <f>IFERROR(__xludf.DUMMYFUNCTION("""COMPUTED_VALUE"""),"Remote")</f>
        <v>Remote</v>
      </c>
      <c r="E1422" s="1" t="str">
        <f>IFERROR(__xludf.DUMMYFUNCTION("""COMPUTED_VALUE"""),"$125k - $150k")</f>
        <v>$125k - $150k</v>
      </c>
      <c r="F1422" s="1" t="str">
        <f>IFERROR(__xludf.DUMMYFUNCTION("""COMPUTED_VALUE"""),"3 - 5")</f>
        <v>3 - 5</v>
      </c>
      <c r="G1422" s="1" t="str">
        <f>IFERROR(__xludf.DUMMYFUNCTION("""COMPUTED_VALUE"""),"USA")</f>
        <v>USA</v>
      </c>
      <c r="H1422" s="4" t="str">
        <f>IFERROR(__xludf.DUMMYFUNCTION("""COMPUTED_VALUE"""),"https://www.linkedin.com/posts/vandanakarthik_hiring-quality-hedis-activity-7224140159573712896-Rkkq?utm_source=share&amp;utm_medium=member_desktop")</f>
        <v>https://www.linkedin.com/posts/vandanakarthik_hiring-quality-hedis-activity-7224140159573712896-Rkkq?utm_source=share&amp;utm_medium=member_desktop</v>
      </c>
    </row>
    <row r="1423">
      <c r="A1423" s="2">
        <f>IFERROR(__xludf.DUMMYFUNCTION("""COMPUTED_VALUE"""),45503.0)</f>
        <v>45503</v>
      </c>
      <c r="B1423" s="1" t="str">
        <f>IFERROR(__xludf.DUMMYFUNCTION("""COMPUTED_VALUE"""),"Working Families Party")</f>
        <v>Working Families Party</v>
      </c>
      <c r="C1423" s="1" t="str">
        <f>IFERROR(__xludf.DUMMYFUNCTION("""COMPUTED_VALUE"""),"Data Engineer")</f>
        <v>Data Engineer</v>
      </c>
      <c r="D1423" s="1" t="str">
        <f>IFERROR(__xludf.DUMMYFUNCTION("""COMPUTED_VALUE"""),"Remote")</f>
        <v>Remote</v>
      </c>
      <c r="E1423" s="1" t="str">
        <f>IFERROR(__xludf.DUMMYFUNCTION("""COMPUTED_VALUE"""),"$77k - $105k")</f>
        <v>$77k - $105k</v>
      </c>
      <c r="F1423" s="1" t="str">
        <f>IFERROR(__xludf.DUMMYFUNCTION("""COMPUTED_VALUE"""),"3 - 5")</f>
        <v>3 - 5</v>
      </c>
      <c r="G1423" s="1" t="str">
        <f>IFERROR(__xludf.DUMMYFUNCTION("""COMPUTED_VALUE"""),"USA")</f>
        <v>USA</v>
      </c>
      <c r="H1423" s="4" t="str">
        <f>IFERROR(__xludf.DUMMYFUNCTION("""COMPUTED_VALUE"""),"https://www.linkedin.com/posts/thebbennett_working-families-party-data-engineer-activity-7224141714318340096-XMag?utm_source=share&amp;utm_medium=member_desktop")</f>
        <v>https://www.linkedin.com/posts/thebbennett_working-families-party-data-engineer-activity-7224141714318340096-XMag?utm_source=share&amp;utm_medium=member_desktop</v>
      </c>
    </row>
    <row r="1424">
      <c r="A1424" s="2">
        <f>IFERROR(__xludf.DUMMYFUNCTION("""COMPUTED_VALUE"""),45503.0)</f>
        <v>45503</v>
      </c>
      <c r="B1424" s="1" t="str">
        <f>IFERROR(__xludf.DUMMYFUNCTION("""COMPUTED_VALUE"""),"Trinity Health")</f>
        <v>Trinity Health</v>
      </c>
      <c r="C1424" s="1" t="str">
        <f>IFERROR(__xludf.DUMMYFUNCTION("""COMPUTED_VALUE"""),"Senior Healthcare Data Analyst")</f>
        <v>Senior Healthcare Data Analyst</v>
      </c>
      <c r="D1424" s="1" t="str">
        <f>IFERROR(__xludf.DUMMYFUNCTION("""COMPUTED_VALUE"""),"On-Site")</f>
        <v>On-Site</v>
      </c>
      <c r="E1424" s="1" t="str">
        <f>IFERROR(__xludf.DUMMYFUNCTION("""COMPUTED_VALUE"""),"N/A")</f>
        <v>N/A</v>
      </c>
      <c r="F1424" s="1" t="str">
        <f>IFERROR(__xludf.DUMMYFUNCTION("""COMPUTED_VALUE"""),"N/A")</f>
        <v>N/A</v>
      </c>
      <c r="G1424" s="1" t="str">
        <f>IFERROR(__xludf.DUMMYFUNCTION("""COMPUTED_VALUE"""),"Livonia, MI")</f>
        <v>Livonia, MI</v>
      </c>
      <c r="H1424" s="4" t="str">
        <f>IFERROR(__xludf.DUMMYFUNCTION("""COMPUTED_VALUE"""),"https://www.linkedin.com/posts/fusen-li-4854692_senior-healthcare-data-analyst-activity-7224133588466724864-TfGu?utm_source=share&amp;utm_medium=member_desktop")</f>
        <v>https://www.linkedin.com/posts/fusen-li-4854692_senior-healthcare-data-analyst-activity-7224133588466724864-TfGu?utm_source=share&amp;utm_medium=member_desktop</v>
      </c>
    </row>
    <row r="1425">
      <c r="A1425" s="2">
        <f>IFERROR(__xludf.DUMMYFUNCTION("""COMPUTED_VALUE"""),45503.0)</f>
        <v>45503</v>
      </c>
      <c r="B1425" s="1" t="str">
        <f>IFERROR(__xludf.DUMMYFUNCTION("""COMPUTED_VALUE"""),"Mayo's Center for Digital Health")</f>
        <v>Mayo's Center for Digital Health</v>
      </c>
      <c r="C1425" s="1" t="str">
        <f>IFERROR(__xludf.DUMMYFUNCTION("""COMPUTED_VALUE"""),"Senior Analytics Visualization Developer")</f>
        <v>Senior Analytics Visualization Developer</v>
      </c>
      <c r="D1425" s="1" t="str">
        <f>IFERROR(__xludf.DUMMYFUNCTION("""COMPUTED_VALUE"""),"Remote")</f>
        <v>Remote</v>
      </c>
      <c r="E1425" s="1" t="str">
        <f>IFERROR(__xludf.DUMMYFUNCTION("""COMPUTED_VALUE"""),"$103k - $144k")</f>
        <v>$103k - $144k</v>
      </c>
      <c r="F1425" s="1" t="str">
        <f>IFERROR(__xludf.DUMMYFUNCTION("""COMPUTED_VALUE"""),"3 - 5")</f>
        <v>3 - 5</v>
      </c>
      <c r="G1425" s="1" t="str">
        <f>IFERROR(__xludf.DUMMYFUNCTION("""COMPUTED_VALUE"""),"USA")</f>
        <v>USA</v>
      </c>
      <c r="H1425" s="4" t="str">
        <f>IFERROR(__xludf.DUMMYFUNCTION("""COMPUTED_VALUE"""),"https://www.linkedin.com/posts/amandawelt_senior-analytics-visualization-developer-activity-7224143348138229760-1ruF?utm_source=share&amp;utm_medium=member_desktop")</f>
        <v>https://www.linkedin.com/posts/amandawelt_senior-analytics-visualization-developer-activity-7224143348138229760-1ruF?utm_source=share&amp;utm_medium=member_desktop</v>
      </c>
    </row>
    <row r="1426">
      <c r="A1426" s="2">
        <f>IFERROR(__xludf.DUMMYFUNCTION("""COMPUTED_VALUE"""),45503.0)</f>
        <v>45503</v>
      </c>
      <c r="B1426" s="1" t="str">
        <f>IFERROR(__xludf.DUMMYFUNCTION("""COMPUTED_VALUE"""),"The Craneware Group")</f>
        <v>The Craneware Group</v>
      </c>
      <c r="C1426" s="1" t="str">
        <f>IFERROR(__xludf.DUMMYFUNCTION("""COMPUTED_VALUE"""),"Senior Business Solution Analyst")</f>
        <v>Senior Business Solution Analyst</v>
      </c>
      <c r="D1426" s="1" t="str">
        <f>IFERROR(__xludf.DUMMYFUNCTION("""COMPUTED_VALUE"""),"Hybrid")</f>
        <v>Hybrid</v>
      </c>
      <c r="E1426" s="1" t="str">
        <f>IFERROR(__xludf.DUMMYFUNCTION("""COMPUTED_VALUE"""),"N/A")</f>
        <v>N/A</v>
      </c>
      <c r="F1426" s="1" t="str">
        <f>IFERROR(__xludf.DUMMYFUNCTION("""COMPUTED_VALUE"""),"3 - 5")</f>
        <v>3 - 5</v>
      </c>
      <c r="G1426" s="1" t="str">
        <f>IFERROR(__xludf.DUMMYFUNCTION("""COMPUTED_VALUE"""),"Pittsburgh, PA")</f>
        <v>Pittsburgh, PA</v>
      </c>
      <c r="H1426" s="4" t="str">
        <f>IFERROR(__xludf.DUMMYFUNCTION("""COMPUTED_VALUE"""),"https://www.linkedin.com/posts/pietro-ferrara-6479b05_hello-everyone-the-pittsburgh-team-is-hiring-activity-7223808536504352768-QsZq?utm_source=share&amp;utm_medium=member_desktop")</f>
        <v>https://www.linkedin.com/posts/pietro-ferrara-6479b05_hello-everyone-the-pittsburgh-team-is-hiring-activity-7223808536504352768-QsZq?utm_source=share&amp;utm_medium=member_desktop</v>
      </c>
    </row>
    <row r="1427">
      <c r="A1427" s="2">
        <f>IFERROR(__xludf.DUMMYFUNCTION("""COMPUTED_VALUE"""),45503.0)</f>
        <v>45503</v>
      </c>
      <c r="B1427" s="1" t="str">
        <f>IFERROR(__xludf.DUMMYFUNCTION("""COMPUTED_VALUE"""),"Airtable")</f>
        <v>Airtable</v>
      </c>
      <c r="C1427" s="1" t="str">
        <f>IFERROR(__xludf.DUMMYFUNCTION("""COMPUTED_VALUE"""),"Data Scientist, Product")</f>
        <v>Data Scientist, Product</v>
      </c>
      <c r="D1427" s="1" t="str">
        <f>IFERROR(__xludf.DUMMYFUNCTION("""COMPUTED_VALUE"""),"Remote")</f>
        <v>Remote</v>
      </c>
      <c r="E1427" s="1" t="str">
        <f>IFERROR(__xludf.DUMMYFUNCTION("""COMPUTED_VALUE"""),"$153k - $222k")</f>
        <v>$153k - $222k</v>
      </c>
      <c r="F1427" s="1" t="str">
        <f>IFERROR(__xludf.DUMMYFUNCTION("""COMPUTED_VALUE"""),"6 - 9")</f>
        <v>6 - 9</v>
      </c>
      <c r="G1427" s="1" t="str">
        <f>IFERROR(__xludf.DUMMYFUNCTION("""COMPUTED_VALUE"""),"USA")</f>
        <v>USA</v>
      </c>
      <c r="H1427" s="4" t="str">
        <f>IFERROR(__xludf.DUMMYFUNCTION("""COMPUTED_VALUE"""),"https://www.linkedin.com/posts/shan-sun_we-are-hiring-3-roles-in-our-dynamic-team-activity-7224149528575197186-8NIZ?utm_source=share&amp;utm_medium=member_desktop")</f>
        <v>https://www.linkedin.com/posts/shan-sun_we-are-hiring-3-roles-in-our-dynamic-team-activity-7224149528575197186-8NIZ?utm_source=share&amp;utm_medium=member_desktop</v>
      </c>
    </row>
    <row r="1428">
      <c r="A1428" s="2">
        <f>IFERROR(__xludf.DUMMYFUNCTION("""COMPUTED_VALUE"""),45503.0)</f>
        <v>45503</v>
      </c>
      <c r="B1428" s="1" t="str">
        <f>IFERROR(__xludf.DUMMYFUNCTION("""COMPUTED_VALUE"""),"L'oreal")</f>
        <v>L'oreal</v>
      </c>
      <c r="C1428" s="1" t="str">
        <f>IFERROR(__xludf.DUMMYFUNCTION("""COMPUTED_VALUE"""),"Sales Analytics Analyst")</f>
        <v>Sales Analytics Analyst</v>
      </c>
      <c r="D1428" s="1" t="str">
        <f>IFERROR(__xludf.DUMMYFUNCTION("""COMPUTED_VALUE"""),"Hybrid")</f>
        <v>Hybrid</v>
      </c>
      <c r="E1428" s="1" t="str">
        <f>IFERROR(__xludf.DUMMYFUNCTION("""COMPUTED_VALUE"""),"$64k - $89k")</f>
        <v>$64k - $89k</v>
      </c>
      <c r="F1428" s="1" t="str">
        <f>IFERROR(__xludf.DUMMYFUNCTION("""COMPUTED_VALUE"""),"0 - 2")</f>
        <v>0 - 2</v>
      </c>
      <c r="G1428" s="1" t="str">
        <f>IFERROR(__xludf.DUMMYFUNCTION("""COMPUTED_VALUE"""),"Minneapolis, MN")</f>
        <v>Minneapolis, MN</v>
      </c>
      <c r="H1428" s="4" t="str">
        <f>IFERROR(__xludf.DUMMYFUNCTION("""COMPUTED_VALUE"""),"https://www.linkedin.com/posts/tonycasados_sales-analytics-analyst-target-lor%C3%A9al-activity-7224065219629572098-sdzs?utm_source=share&amp;utm_medium=member_desktop")</f>
        <v>https://www.linkedin.com/posts/tonycasados_sales-analytics-analyst-target-lor%C3%A9al-activity-7224065219629572098-sdzs?utm_source=share&amp;utm_medium=member_desktop</v>
      </c>
    </row>
    <row r="1429">
      <c r="A1429" s="2">
        <f>IFERROR(__xludf.DUMMYFUNCTION("""COMPUTED_VALUE"""),45503.0)</f>
        <v>45503</v>
      </c>
      <c r="B1429" s="1" t="str">
        <f>IFERROR(__xludf.DUMMYFUNCTION("""COMPUTED_VALUE"""),"Target")</f>
        <v>Target</v>
      </c>
      <c r="C1429" s="1" t="str">
        <f>IFERROR(__xludf.DUMMYFUNCTION("""COMPUTED_VALUE"""),"Senior Analyst, Enterprise Insights")</f>
        <v>Senior Analyst, Enterprise Insights</v>
      </c>
      <c r="D1429" s="1" t="str">
        <f>IFERROR(__xludf.DUMMYFUNCTION("""COMPUTED_VALUE"""),"Hybrid")</f>
        <v>Hybrid</v>
      </c>
      <c r="E1429" s="1" t="str">
        <f>IFERROR(__xludf.DUMMYFUNCTION("""COMPUTED_VALUE"""),"$86k - $154k")</f>
        <v>$86k - $154k</v>
      </c>
      <c r="F1429" s="1" t="str">
        <f>IFERROR(__xludf.DUMMYFUNCTION("""COMPUTED_VALUE"""),"0 - 2")</f>
        <v>0 - 2</v>
      </c>
      <c r="G1429" s="1" t="str">
        <f>IFERROR(__xludf.DUMMYFUNCTION("""COMPUTED_VALUE"""),"Minneapolis, MN")</f>
        <v>Minneapolis, MN</v>
      </c>
      <c r="H1429" s="4" t="str">
        <f>IFERROR(__xludf.DUMMYFUNCTION("""COMPUTED_VALUE"""),"https://www.linkedin.com/posts/jenniferxlee_senior-analyst-enterprise-insights-at-target-activity-7224051525378007041-bz7j?utm_source=share&amp;utm_medium=member_desktop")</f>
        <v>https://www.linkedin.com/posts/jenniferxlee_senior-analyst-enterprise-insights-at-target-activity-7224051525378007041-bz7j?utm_source=share&amp;utm_medium=member_desktop</v>
      </c>
    </row>
    <row r="1430">
      <c r="A1430" s="2">
        <f>IFERROR(__xludf.DUMMYFUNCTION("""COMPUTED_VALUE"""),45503.0)</f>
        <v>45503</v>
      </c>
      <c r="B1430" s="1" t="str">
        <f>IFERROR(__xludf.DUMMYFUNCTION("""COMPUTED_VALUE"""),"CNN")</f>
        <v>CNN</v>
      </c>
      <c r="C1430" s="1" t="str">
        <f>IFERROR(__xludf.DUMMYFUNCTION("""COMPUTED_VALUE"""),"Research Analyst")</f>
        <v>Research Analyst</v>
      </c>
      <c r="D1430" s="1" t="str">
        <f>IFERROR(__xludf.DUMMYFUNCTION("""COMPUTED_VALUE"""),"Hybrid")</f>
        <v>Hybrid</v>
      </c>
      <c r="E1430" s="1" t="str">
        <f>IFERROR(__xludf.DUMMYFUNCTION("""COMPUTED_VALUE"""),"$58k - $108k")</f>
        <v>$58k - $108k</v>
      </c>
      <c r="F1430" s="1" t="str">
        <f>IFERROR(__xludf.DUMMYFUNCTION("""COMPUTED_VALUE"""),"0 - 2")</f>
        <v>0 - 2</v>
      </c>
      <c r="G1430" s="1" t="str">
        <f>IFERROR(__xludf.DUMMYFUNCTION("""COMPUTED_VALUE"""),"NYC/Atlanta, GA")</f>
        <v>NYC/Atlanta, GA</v>
      </c>
      <c r="H1430" s="4" t="str">
        <f>IFERROR(__xludf.DUMMYFUNCTION("""COMPUTED_VALUE"""),"https://www.linkedin.com/posts/glorytorres_research-analyst-cnn-in-new-york-new-york-activity-7224098844974682113-5oOj?utm_source=share&amp;utm_medium=member_desktop")</f>
        <v>https://www.linkedin.com/posts/glorytorres_research-analyst-cnn-in-new-york-new-york-activity-7224098844974682113-5oOj?utm_source=share&amp;utm_medium=member_desktop</v>
      </c>
    </row>
    <row r="1431">
      <c r="A1431" s="2">
        <f>IFERROR(__xludf.DUMMYFUNCTION("""COMPUTED_VALUE"""),45503.0)</f>
        <v>45503</v>
      </c>
      <c r="B1431" s="1" t="str">
        <f>IFERROR(__xludf.DUMMYFUNCTION("""COMPUTED_VALUE"""),"Tractor Supply Company")</f>
        <v>Tractor Supply Company</v>
      </c>
      <c r="C1431" s="1" t="str">
        <f>IFERROR(__xludf.DUMMYFUNCTION("""COMPUTED_VALUE"""),"Data Engineer")</f>
        <v>Data Engineer</v>
      </c>
      <c r="D1431" s="1" t="str">
        <f>IFERROR(__xludf.DUMMYFUNCTION("""COMPUTED_VALUE"""),"Hybrid")</f>
        <v>Hybrid</v>
      </c>
      <c r="E1431" s="1" t="str">
        <f>IFERROR(__xludf.DUMMYFUNCTION("""COMPUTED_VALUE"""),"N/A")</f>
        <v>N/A</v>
      </c>
      <c r="F1431" s="1" t="str">
        <f>IFERROR(__xludf.DUMMYFUNCTION("""COMPUTED_VALUE"""),"3 - 5")</f>
        <v>3 - 5</v>
      </c>
      <c r="G1431" s="1" t="str">
        <f>IFERROR(__xludf.DUMMYFUNCTION("""COMPUTED_VALUE"""),"Nashville, TN")</f>
        <v>Nashville, TN</v>
      </c>
      <c r="H1431" s="4" t="str">
        <f>IFERROR(__xludf.DUMMYFUNCTION("""COMPUTED_VALUE"""),"https://www.linkedin.com/posts/activity-7224130353840431104-M-_U?utm_source=share&amp;utm_medium=member_desktop")</f>
        <v>https://www.linkedin.com/posts/activity-7224130353840431104-M-_U?utm_source=share&amp;utm_medium=member_desktop</v>
      </c>
    </row>
    <row r="1432">
      <c r="A1432" s="2">
        <f>IFERROR(__xludf.DUMMYFUNCTION("""COMPUTED_VALUE"""),45503.0)</f>
        <v>45503</v>
      </c>
      <c r="B1432" s="1" t="str">
        <f>IFERROR(__xludf.DUMMYFUNCTION("""COMPUTED_VALUE"""),"SCAN")</f>
        <v>SCAN</v>
      </c>
      <c r="C1432" s="1" t="str">
        <f>IFERROR(__xludf.DUMMYFUNCTION("""COMPUTED_VALUE"""),"Sr. Business Analyst, Pharmacy")</f>
        <v>Sr. Business Analyst, Pharmacy</v>
      </c>
      <c r="D1432" s="1" t="str">
        <f>IFERROR(__xludf.DUMMYFUNCTION("""COMPUTED_VALUE"""),"Remote")</f>
        <v>Remote</v>
      </c>
      <c r="E1432" s="1" t="str">
        <f>IFERROR(__xludf.DUMMYFUNCTION("""COMPUTED_VALUE"""),"$80k - $129k")</f>
        <v>$80k - $129k</v>
      </c>
      <c r="F1432" s="1" t="str">
        <f>IFERROR(__xludf.DUMMYFUNCTION("""COMPUTED_VALUE"""),"3 - 5")</f>
        <v>3 - 5</v>
      </c>
      <c r="G1432" s="1" t="str">
        <f>IFERROR(__xludf.DUMMYFUNCTION("""COMPUTED_VALUE"""),"USA")</f>
        <v>USA</v>
      </c>
      <c r="H1432" s="4" t="str">
        <f>IFERROR(__xludf.DUMMYFUNCTION("""COMPUTED_VALUE"""),"https://www.linkedin.com/posts/faye-gu_pharmacy-scanhealthplan-medicare-activity-7224170574460149760-_S4d?utm_source=share&amp;utm_medium=member_desktop")</f>
        <v>https://www.linkedin.com/posts/faye-gu_pharmacy-scanhealthplan-medicare-activity-7224170574460149760-_S4d?utm_source=share&amp;utm_medium=member_desktop</v>
      </c>
    </row>
    <row r="1433">
      <c r="A1433" s="2">
        <f>IFERROR(__xludf.DUMMYFUNCTION("""COMPUTED_VALUE"""),45503.0)</f>
        <v>45503</v>
      </c>
      <c r="B1433" s="1" t="str">
        <f>IFERROR(__xludf.DUMMYFUNCTION("""COMPUTED_VALUE"""),"Universal Technical Institute")</f>
        <v>Universal Technical Institute</v>
      </c>
      <c r="C1433" s="1" t="str">
        <f>IFERROR(__xludf.DUMMYFUNCTION("""COMPUTED_VALUE"""),"Senior Data Governance Analyst")</f>
        <v>Senior Data Governance Analyst</v>
      </c>
      <c r="D1433" s="1" t="str">
        <f>IFERROR(__xludf.DUMMYFUNCTION("""COMPUTED_VALUE"""),"Remote")</f>
        <v>Remote</v>
      </c>
      <c r="E1433" s="1" t="str">
        <f>IFERROR(__xludf.DUMMYFUNCTION("""COMPUTED_VALUE"""),"$95k - $120k")</f>
        <v>$95k - $120k</v>
      </c>
      <c r="F1433" s="1" t="str">
        <f>IFERROR(__xludf.DUMMYFUNCTION("""COMPUTED_VALUE"""),"3 - 5")</f>
        <v>3 - 5</v>
      </c>
      <c r="G1433" s="1" t="str">
        <f>IFERROR(__xludf.DUMMYFUNCTION("""COMPUTED_VALUE"""),"USA")</f>
        <v>USA</v>
      </c>
      <c r="H1433" s="4" t="str">
        <f>IFERROR(__xludf.DUMMYFUNCTION("""COMPUTED_VALUE"""),"https://www.linkedin.com/posts/chanisemtaylor_uti-datagovernance-datasteward-activity-7224063987133415424-EMii?utm_source=share&amp;utm_medium=member_desktop")</f>
        <v>https://www.linkedin.com/posts/chanisemtaylor_uti-datagovernance-datasteward-activity-7224063987133415424-EMii?utm_source=share&amp;utm_medium=member_desktop</v>
      </c>
    </row>
    <row r="1434">
      <c r="A1434" s="2">
        <f>IFERROR(__xludf.DUMMYFUNCTION("""COMPUTED_VALUE"""),45503.0)</f>
        <v>45503</v>
      </c>
      <c r="B1434" s="1" t="str">
        <f>IFERROR(__xludf.DUMMYFUNCTION("""COMPUTED_VALUE"""),"LVMH Beauty")</f>
        <v>LVMH Beauty</v>
      </c>
      <c r="C1434" s="1" t="str">
        <f>IFERROR(__xludf.DUMMYFUNCTION("""COMPUTED_VALUE"""),"Data Analytics Manager, Business Intelligence")</f>
        <v>Data Analytics Manager, Business Intelligence</v>
      </c>
      <c r="D1434" s="1" t="str">
        <f>IFERROR(__xludf.DUMMYFUNCTION("""COMPUTED_VALUE"""),"On-Site")</f>
        <v>On-Site</v>
      </c>
      <c r="E1434" s="1" t="str">
        <f>IFERROR(__xludf.DUMMYFUNCTION("""COMPUTED_VALUE"""),"$115k - $125k")</f>
        <v>$115k - $125k</v>
      </c>
      <c r="F1434" s="1" t="str">
        <f>IFERROR(__xludf.DUMMYFUNCTION("""COMPUTED_VALUE"""),"3 - 5")</f>
        <v>3 - 5</v>
      </c>
      <c r="G1434" s="1" t="str">
        <f>IFERROR(__xludf.DUMMYFUNCTION("""COMPUTED_VALUE"""),"New York, NY")</f>
        <v>New York, NY</v>
      </c>
      <c r="H1434" s="4" t="str">
        <f>IFERROR(__xludf.DUMMYFUNCTION("""COMPUTED_VALUE"""),"https://www.linkedin.com/posts/pepe-murrell_lvmh-perfumes-cosmetics-is-seeking-an-experienced-activity-7224072951866765312-x16b?utm_source=share&amp;utm_medium=member_desktop")</f>
        <v>https://www.linkedin.com/posts/pepe-murrell_lvmh-perfumes-cosmetics-is-seeking-an-experienced-activity-7224072951866765312-x16b?utm_source=share&amp;utm_medium=member_desktop</v>
      </c>
    </row>
    <row r="1435">
      <c r="A1435" s="2">
        <f>IFERROR(__xludf.DUMMYFUNCTION("""COMPUTED_VALUE"""),45503.0)</f>
        <v>45503</v>
      </c>
      <c r="B1435" s="1" t="str">
        <f>IFERROR(__xludf.DUMMYFUNCTION("""COMPUTED_VALUE"""),"CityWire USA")</f>
        <v>CityWire USA</v>
      </c>
      <c r="C1435" s="1" t="str">
        <f>IFERROR(__xludf.DUMMYFUNCTION("""COMPUTED_VALUE"""),"Research Analyst")</f>
        <v>Research Analyst</v>
      </c>
      <c r="D1435" s="1" t="str">
        <f>IFERROR(__xludf.DUMMYFUNCTION("""COMPUTED_VALUE"""),"Hybrid")</f>
        <v>Hybrid</v>
      </c>
      <c r="E1435" s="1" t="str">
        <f>IFERROR(__xludf.DUMMYFUNCTION("""COMPUTED_VALUE"""),"$50k - $60k")</f>
        <v>$50k - $60k</v>
      </c>
      <c r="F1435" s="1" t="str">
        <f>IFERROR(__xludf.DUMMYFUNCTION("""COMPUTED_VALUE"""),"0 - 2")</f>
        <v>0 - 2</v>
      </c>
      <c r="G1435" s="1" t="str">
        <f>IFERROR(__xludf.DUMMYFUNCTION("""COMPUTED_VALUE"""),"New York, NY")</f>
        <v>New York, NY</v>
      </c>
      <c r="H1435" s="4" t="str">
        <f>IFERROR(__xludf.DUMMYFUNCTION("""COMPUTED_VALUE"""),"https://www.linkedin.com/posts/amelia-holland-82138753_citywire-usa-is-hiring-an-entry-level-research-activity-7224101563298910209-qL8j?utm_source=share&amp;utm_medium=member_desktop")</f>
        <v>https://www.linkedin.com/posts/amelia-holland-82138753_citywire-usa-is-hiring-an-entry-level-research-activity-7224101563298910209-qL8j?utm_source=share&amp;utm_medium=member_desktop</v>
      </c>
    </row>
    <row r="1436">
      <c r="A1436" s="2">
        <f>IFERROR(__xludf.DUMMYFUNCTION("""COMPUTED_VALUE"""),45503.0)</f>
        <v>45503</v>
      </c>
      <c r="B1436" s="1" t="str">
        <f>IFERROR(__xludf.DUMMYFUNCTION("""COMPUTED_VALUE"""),"Swish Analytics")</f>
        <v>Swish Analytics</v>
      </c>
      <c r="C1436" s="1" t="str">
        <f>IFERROR(__xludf.DUMMYFUNCTION("""COMPUTED_VALUE"""),"Product Scientist (Sports Analytics)")</f>
        <v>Product Scientist (Sports Analytics)</v>
      </c>
      <c r="D1436" s="1" t="str">
        <f>IFERROR(__xludf.DUMMYFUNCTION("""COMPUTED_VALUE"""),"Remote")</f>
        <v>Remote</v>
      </c>
      <c r="E1436" s="1" t="str">
        <f>IFERROR(__xludf.DUMMYFUNCTION("""COMPUTED_VALUE"""),"$133k - $181k")</f>
        <v>$133k - $181k</v>
      </c>
      <c r="F1436" s="1" t="str">
        <f>IFERROR(__xludf.DUMMYFUNCTION("""COMPUTED_VALUE"""),"3 - 5")</f>
        <v>3 - 5</v>
      </c>
      <c r="G1436" s="1" t="str">
        <f>IFERROR(__xludf.DUMMYFUNCTION("""COMPUTED_VALUE"""),"USA")</f>
        <v>USA</v>
      </c>
      <c r="H1436" s="4" t="str">
        <f>IFERROR(__xludf.DUMMYFUNCTION("""COMPUTED_VALUE"""),"https://www.linkedin.com/posts/adrianrusso82_business-technology-startup-activity-7224149042467905538-OSOp?utm_source=share&amp;utm_medium=member_desktop")</f>
        <v>https://www.linkedin.com/posts/adrianrusso82_business-technology-startup-activity-7224149042467905538-OSOp?utm_source=share&amp;utm_medium=member_desktop</v>
      </c>
    </row>
    <row r="1437">
      <c r="A1437" s="2">
        <f>IFERROR(__xludf.DUMMYFUNCTION("""COMPUTED_VALUE"""),45502.0)</f>
        <v>45502</v>
      </c>
      <c r="B1437" s="1" t="str">
        <f>IFERROR(__xludf.DUMMYFUNCTION("""COMPUTED_VALUE"""),"TalentBridge")</f>
        <v>TalentBridge</v>
      </c>
      <c r="C1437" s="1" t="str">
        <f>IFERROR(__xludf.DUMMYFUNCTION("""COMPUTED_VALUE"""),"Operations Analyst")</f>
        <v>Operations Analyst</v>
      </c>
      <c r="D1437" s="1" t="str">
        <f>IFERROR(__xludf.DUMMYFUNCTION("""COMPUTED_VALUE"""),"Hybrid")</f>
        <v>Hybrid</v>
      </c>
      <c r="E1437" s="1" t="str">
        <f>IFERROR(__xludf.DUMMYFUNCTION("""COMPUTED_VALUE"""),"$18 - $20/hr")</f>
        <v>$18 - $20/hr</v>
      </c>
      <c r="F1437" s="1" t="str">
        <f>IFERROR(__xludf.DUMMYFUNCTION("""COMPUTED_VALUE"""),"0 - 2")</f>
        <v>0 - 2</v>
      </c>
      <c r="G1437" s="1" t="str">
        <f>IFERROR(__xludf.DUMMYFUNCTION("""COMPUTED_VALUE"""),"Tempe, AZ")</f>
        <v>Tempe, AZ</v>
      </c>
      <c r="H1437" s="4" t="str">
        <f>IFERROR(__xludf.DUMMYFUNCTION("""COMPUTED_VALUE"""),"https://www.linkedin.com/posts/courtney-holmes-mann-80424522_jobopening-registrationcoordinator-hiring-activity-7223710281741312003-YloW?utm_source=share&amp;utm_medium=member_desktop")</f>
        <v>https://www.linkedin.com/posts/courtney-holmes-mann-80424522_jobopening-registrationcoordinator-hiring-activity-7223710281741312003-YloW?utm_source=share&amp;utm_medium=member_desktop</v>
      </c>
    </row>
    <row r="1438">
      <c r="A1438" s="2">
        <f>IFERROR(__xludf.DUMMYFUNCTION("""COMPUTED_VALUE"""),45502.0)</f>
        <v>45502</v>
      </c>
      <c r="B1438" s="1" t="str">
        <f>IFERROR(__xludf.DUMMYFUNCTION("""COMPUTED_VALUE"""),"BeatStars")</f>
        <v>BeatStars</v>
      </c>
      <c r="C1438" s="1" t="str">
        <f>IFERROR(__xludf.DUMMYFUNCTION("""COMPUTED_VALUE"""),"Product Analyst")</f>
        <v>Product Analyst</v>
      </c>
      <c r="D1438" s="1" t="str">
        <f>IFERROR(__xludf.DUMMYFUNCTION("""COMPUTED_VALUE"""),"Remote")</f>
        <v>Remote</v>
      </c>
      <c r="E1438" s="1" t="str">
        <f>IFERROR(__xludf.DUMMYFUNCTION("""COMPUTED_VALUE"""),"$110k - $125k")</f>
        <v>$110k - $125k</v>
      </c>
      <c r="F1438" s="1" t="str">
        <f>IFERROR(__xludf.DUMMYFUNCTION("""COMPUTED_VALUE"""),"0 - 2")</f>
        <v>0 - 2</v>
      </c>
      <c r="G1438" s="1" t="str">
        <f>IFERROR(__xludf.DUMMYFUNCTION("""COMPUTED_VALUE"""),"USA")</f>
        <v>USA</v>
      </c>
      <c r="H1438" s="4" t="str">
        <f>IFERROR(__xludf.DUMMYFUNCTION("""COMPUTED_VALUE"""),"https://www.linkedin.com/posts/sara-s-053a1a126_productanalyst-workintech-creatoreconomy-activity-7223756665869770753-Oosm?utm_source=share&amp;utm_medium=member_desktop")</f>
        <v>https://www.linkedin.com/posts/sara-s-053a1a126_productanalyst-workintech-creatoreconomy-activity-7223756665869770753-Oosm?utm_source=share&amp;utm_medium=member_desktop</v>
      </c>
    </row>
    <row r="1439">
      <c r="A1439" s="2">
        <f>IFERROR(__xludf.DUMMYFUNCTION("""COMPUTED_VALUE"""),45502.0)</f>
        <v>45502</v>
      </c>
      <c r="B1439" s="1" t="str">
        <f>IFERROR(__xludf.DUMMYFUNCTION("""COMPUTED_VALUE"""),"Apexon")</f>
        <v>Apexon</v>
      </c>
      <c r="C1439" s="1" t="str">
        <f>IFERROR(__xludf.DUMMYFUNCTION("""COMPUTED_VALUE"""),"Senior Data Scientist")</f>
        <v>Senior Data Scientist</v>
      </c>
      <c r="D1439" s="1" t="str">
        <f>IFERROR(__xludf.DUMMYFUNCTION("""COMPUTED_VALUE"""),"Remote")</f>
        <v>Remote</v>
      </c>
      <c r="E1439" s="1" t="str">
        <f>IFERROR(__xludf.DUMMYFUNCTION("""COMPUTED_VALUE"""),"N/A")</f>
        <v>N/A</v>
      </c>
      <c r="F1439" s="1" t="str">
        <f>IFERROR(__xludf.DUMMYFUNCTION("""COMPUTED_VALUE"""),"6 - 9")</f>
        <v>6 - 9</v>
      </c>
      <c r="G1439" s="1" t="str">
        <f>IFERROR(__xludf.DUMMYFUNCTION("""COMPUTED_VALUE"""),"USA")</f>
        <v>USA</v>
      </c>
      <c r="H1439" s="4" t="str">
        <f>IFERROR(__xludf.DUMMYFUNCTION("""COMPUTED_VALUE"""),"https://www.linkedin.com/posts/byunsteve_hiring-activity-7223704076792795137-1uCy?utm_source=share&amp;utm_medium=member_desktop")</f>
        <v>https://www.linkedin.com/posts/byunsteve_hiring-activity-7223704076792795137-1uCy?utm_source=share&amp;utm_medium=member_desktop</v>
      </c>
    </row>
    <row r="1440">
      <c r="A1440" s="2">
        <f>IFERROR(__xludf.DUMMYFUNCTION("""COMPUTED_VALUE"""),45502.0)</f>
        <v>45502</v>
      </c>
      <c r="B1440" s="1" t="str">
        <f>IFERROR(__xludf.DUMMYFUNCTION("""COMPUTED_VALUE"""),"United Imaging - North America")</f>
        <v>United Imaging - North America</v>
      </c>
      <c r="C1440" s="1" t="str">
        <f>IFERROR(__xludf.DUMMYFUNCTION("""COMPUTED_VALUE"""),"Analyst, Sales Strategy and Operations")</f>
        <v>Analyst, Sales Strategy and Operations</v>
      </c>
      <c r="D1440" s="1" t="str">
        <f>IFERROR(__xludf.DUMMYFUNCTION("""COMPUTED_VALUE"""),"On-Site")</f>
        <v>On-Site</v>
      </c>
      <c r="E1440" s="1" t="str">
        <f>IFERROR(__xludf.DUMMYFUNCTION("""COMPUTED_VALUE"""),"N/A")</f>
        <v>N/A</v>
      </c>
      <c r="F1440" s="1" t="str">
        <f>IFERROR(__xludf.DUMMYFUNCTION("""COMPUTED_VALUE"""),"0 - 2")</f>
        <v>0 - 2</v>
      </c>
      <c r="G1440" s="1" t="str">
        <f>IFERROR(__xludf.DUMMYFUNCTION("""COMPUTED_VALUE"""),"Houston, TX")</f>
        <v>Houston, TX</v>
      </c>
      <c r="H1440" s="4" t="str">
        <f>IFERROR(__xludf.DUMMYFUNCTION("""COMPUTED_VALUE"""),"https://www.linkedin.com/posts/maxheppermann_were-hiring-we-are-looking-for-candidates-activity-7223689537636499457-Gtjf?utm_source=share&amp;utm_medium=member_desktop")</f>
        <v>https://www.linkedin.com/posts/maxheppermann_were-hiring-we-are-looking-for-candidates-activity-7223689537636499457-Gtjf?utm_source=share&amp;utm_medium=member_desktop</v>
      </c>
    </row>
    <row r="1441">
      <c r="A1441" s="2">
        <f>IFERROR(__xludf.DUMMYFUNCTION("""COMPUTED_VALUE"""),45502.0)</f>
        <v>45502</v>
      </c>
      <c r="B1441" s="1" t="str">
        <f>IFERROR(__xludf.DUMMYFUNCTION("""COMPUTED_VALUE"""),"Gastro Health")</f>
        <v>Gastro Health</v>
      </c>
      <c r="C1441" s="1" t="str">
        <f>IFERROR(__xludf.DUMMYFUNCTION("""COMPUTED_VALUE"""),"Revenue Cycle Analytics Manager")</f>
        <v>Revenue Cycle Analytics Manager</v>
      </c>
      <c r="D1441" s="1" t="str">
        <f>IFERROR(__xludf.DUMMYFUNCTION("""COMPUTED_VALUE"""),"On-Site")</f>
        <v>On-Site</v>
      </c>
      <c r="E1441" s="1" t="str">
        <f>IFERROR(__xludf.DUMMYFUNCTION("""COMPUTED_VALUE"""),"N/A")</f>
        <v>N/A</v>
      </c>
      <c r="F1441" s="1" t="str">
        <f>IFERROR(__xludf.DUMMYFUNCTION("""COMPUTED_VALUE"""),"3 - 5")</f>
        <v>3 - 5</v>
      </c>
      <c r="G1441" s="1" t="str">
        <f>IFERROR(__xludf.DUMMYFUNCTION("""COMPUTED_VALUE"""),"Miami, FL")</f>
        <v>Miami, FL</v>
      </c>
      <c r="H1441" s="4" t="str">
        <f>IFERROR(__xludf.DUMMYFUNCTION("""COMPUTED_VALUE"""),"https://www.linkedin.com/posts/scottericphillips_hiring-ugcPost-7223730496730542080-wMQY?utm_source=share&amp;utm_medium=member_desktop")</f>
        <v>https://www.linkedin.com/posts/scottericphillips_hiring-ugcPost-7223730496730542080-wMQY?utm_source=share&amp;utm_medium=member_desktop</v>
      </c>
    </row>
    <row r="1442">
      <c r="A1442" s="2">
        <f>IFERROR(__xludf.DUMMYFUNCTION("""COMPUTED_VALUE"""),45502.0)</f>
        <v>45502</v>
      </c>
      <c r="B1442" s="1" t="str">
        <f>IFERROR(__xludf.DUMMYFUNCTION("""COMPUTED_VALUE"""),"Obie")</f>
        <v>Obie</v>
      </c>
      <c r="C1442" s="1" t="str">
        <f>IFERROR(__xludf.DUMMYFUNCTION("""COMPUTED_VALUE"""),"Actuarial Analyst II")</f>
        <v>Actuarial Analyst II</v>
      </c>
      <c r="D1442" s="1" t="str">
        <f>IFERROR(__xludf.DUMMYFUNCTION("""COMPUTED_VALUE"""),"Remote")</f>
        <v>Remote</v>
      </c>
      <c r="E1442" s="1" t="str">
        <f>IFERROR(__xludf.DUMMYFUNCTION("""COMPUTED_VALUE"""),"N/A")</f>
        <v>N/A</v>
      </c>
      <c r="F1442" s="1" t="str">
        <f>IFERROR(__xludf.DUMMYFUNCTION("""COMPUTED_VALUE"""),"N/A")</f>
        <v>N/A</v>
      </c>
      <c r="G1442" s="1" t="str">
        <f>IFERROR(__xludf.DUMMYFUNCTION("""COMPUTED_VALUE"""),"USA")</f>
        <v>USA</v>
      </c>
      <c r="H1442" s="4" t="str">
        <f>IFERROR(__xludf.DUMMYFUNCTION("""COMPUTED_VALUE"""),"https://www.linkedin.com/posts/judson-taylor-cpcu-b744832_im-hiring-take-a-look-at-the-job-posting-activity-7223680869650116608-q4k2?utm_source=share&amp;utm_medium=member_desktop")</f>
        <v>https://www.linkedin.com/posts/judson-taylor-cpcu-b744832_im-hiring-take-a-look-at-the-job-posting-activity-7223680869650116608-q4k2?utm_source=share&amp;utm_medium=member_desktop</v>
      </c>
    </row>
    <row r="1443">
      <c r="A1443" s="2">
        <f>IFERROR(__xludf.DUMMYFUNCTION("""COMPUTED_VALUE"""),45502.0)</f>
        <v>45502</v>
      </c>
      <c r="B1443" s="1" t="str">
        <f>IFERROR(__xludf.DUMMYFUNCTION("""COMPUTED_VALUE"""),"PTC")</f>
        <v>PTC</v>
      </c>
      <c r="C1443" s="1" t="str">
        <f>IFERROR(__xludf.DUMMYFUNCTION("""COMPUTED_VALUE"""),"Senior Compensation Analyst")</f>
        <v>Senior Compensation Analyst</v>
      </c>
      <c r="D1443" s="1" t="str">
        <f>IFERROR(__xludf.DUMMYFUNCTION("""COMPUTED_VALUE"""),"Hybrid")</f>
        <v>Hybrid</v>
      </c>
      <c r="E1443" s="1" t="str">
        <f>IFERROR(__xludf.DUMMYFUNCTION("""COMPUTED_VALUE"""),"N/A")</f>
        <v>N/A</v>
      </c>
      <c r="F1443" s="1" t="str">
        <f>IFERROR(__xludf.DUMMYFUNCTION("""COMPUTED_VALUE"""),"3 - 5")</f>
        <v>3 - 5</v>
      </c>
      <c r="G1443" s="1" t="str">
        <f>IFERROR(__xludf.DUMMYFUNCTION("""COMPUTED_VALUE"""),"Boston MA")</f>
        <v>Boston MA</v>
      </c>
      <c r="H1443" s="4" t="str">
        <f>IFERROR(__xludf.DUMMYFUNCTION("""COMPUTED_VALUE"""),"https://www.linkedin.com/posts/andrea-davis-428045117_hiring-compensation-activity-7223693699120013313-thnY?utm_source=share&amp;utm_medium=member_desktop")</f>
        <v>https://www.linkedin.com/posts/andrea-davis-428045117_hiring-compensation-activity-7223693699120013313-thnY?utm_source=share&amp;utm_medium=member_desktop</v>
      </c>
    </row>
    <row r="1444">
      <c r="A1444" s="2">
        <f>IFERROR(__xludf.DUMMYFUNCTION("""COMPUTED_VALUE"""),45502.0)</f>
        <v>45502</v>
      </c>
      <c r="B1444" s="1" t="str">
        <f>IFERROR(__xludf.DUMMYFUNCTION("""COMPUTED_VALUE"""),"Point32Health")</f>
        <v>Point32Health</v>
      </c>
      <c r="C1444" s="1" t="str">
        <f>IFERROR(__xludf.DUMMYFUNCTION("""COMPUTED_VALUE"""),"People Data Analyst")</f>
        <v>People Data Analyst</v>
      </c>
      <c r="D1444" s="1" t="str">
        <f>IFERROR(__xludf.DUMMYFUNCTION("""COMPUTED_VALUE"""),"Hybrid")</f>
        <v>Hybrid</v>
      </c>
      <c r="E1444" s="1" t="str">
        <f>IFERROR(__xludf.DUMMYFUNCTION("""COMPUTED_VALUE"""),"N/A")</f>
        <v>N/A</v>
      </c>
      <c r="F1444" s="1" t="str">
        <f>IFERROR(__xludf.DUMMYFUNCTION("""COMPUTED_VALUE"""),"0 - 2")</f>
        <v>0 - 2</v>
      </c>
      <c r="G1444" s="1" t="str">
        <f>IFERROR(__xludf.DUMMYFUNCTION("""COMPUTED_VALUE"""),"Canton, MA")</f>
        <v>Canton, MA</v>
      </c>
      <c r="H1444" s="4" t="str">
        <f>IFERROR(__xludf.DUMMYFUNCTION("""COMPUTED_VALUE"""),"https://www.linkedin.com/posts/alex-camhi_people-data-analyst-activity-7223677749763158018-2sf8?utm_source=share&amp;utm_medium=member_desktop")</f>
        <v>https://www.linkedin.com/posts/alex-camhi_people-data-analyst-activity-7223677749763158018-2sf8?utm_source=share&amp;utm_medium=member_desktop</v>
      </c>
    </row>
    <row r="1445">
      <c r="A1445" s="2">
        <f>IFERROR(__xludf.DUMMYFUNCTION("""COMPUTED_VALUE"""),45502.0)</f>
        <v>45502</v>
      </c>
      <c r="B1445" s="1" t="str">
        <f>IFERROR(__xludf.DUMMYFUNCTION("""COMPUTED_VALUE"""),"Kohler")</f>
        <v>Kohler</v>
      </c>
      <c r="C1445" s="1" t="str">
        <f>IFERROR(__xludf.DUMMYFUNCTION("""COMPUTED_VALUE"""),"Sr. Market Analyst, Retail Media")</f>
        <v>Sr. Market Analyst, Retail Media</v>
      </c>
      <c r="D1445" s="1" t="str">
        <f>IFERROR(__xludf.DUMMYFUNCTION("""COMPUTED_VALUE"""),"Hybrid")</f>
        <v>Hybrid</v>
      </c>
      <c r="E1445" s="1" t="str">
        <f>IFERROR(__xludf.DUMMYFUNCTION("""COMPUTED_VALUE"""),"$76k - $96k")</f>
        <v>$76k - $96k</v>
      </c>
      <c r="F1445" s="1" t="str">
        <f>IFERROR(__xludf.DUMMYFUNCTION("""COMPUTED_VALUE"""),"3 - 5")</f>
        <v>3 - 5</v>
      </c>
      <c r="G1445" s="1" t="str">
        <f>IFERROR(__xludf.DUMMYFUNCTION("""COMPUTED_VALUE"""),"Kohler, WI")</f>
        <v>Kohler, WI</v>
      </c>
      <c r="H1445" s="4" t="str">
        <f>IFERROR(__xludf.DUMMYFUNCTION("""COMPUTED_VALUE"""),"https://www.linkedin.com/posts/activity-7223742287824982016-b-X7?utm_source=share&amp;utm_medium=member_desktop")</f>
        <v>https://www.linkedin.com/posts/activity-7223742287824982016-b-X7?utm_source=share&amp;utm_medium=member_desktop</v>
      </c>
    </row>
    <row r="1446">
      <c r="A1446" s="2">
        <f>IFERROR(__xludf.DUMMYFUNCTION("""COMPUTED_VALUE"""),45502.0)</f>
        <v>45502</v>
      </c>
      <c r="B1446" s="1" t="str">
        <f>IFERROR(__xludf.DUMMYFUNCTION("""COMPUTED_VALUE"""),"Kingston HealthCare")</f>
        <v>Kingston HealthCare</v>
      </c>
      <c r="C1446" s="1" t="str">
        <f>IFERROR(__xludf.DUMMYFUNCTION("""COMPUTED_VALUE"""),"HR Benefits Analyst")</f>
        <v>HR Benefits Analyst</v>
      </c>
      <c r="D1446" s="1" t="str">
        <f>IFERROR(__xludf.DUMMYFUNCTION("""COMPUTED_VALUE"""),"On-Site")</f>
        <v>On-Site</v>
      </c>
      <c r="E1446" s="1" t="str">
        <f>IFERROR(__xludf.DUMMYFUNCTION("""COMPUTED_VALUE"""),"N/A")</f>
        <v>N/A</v>
      </c>
      <c r="F1446" s="1" t="str">
        <f>IFERROR(__xludf.DUMMYFUNCTION("""COMPUTED_VALUE"""),"3 - 5")</f>
        <v>3 - 5</v>
      </c>
      <c r="G1446" s="1" t="str">
        <f>IFERROR(__xludf.DUMMYFUNCTION("""COMPUTED_VALUE"""),"Toledo, OH")</f>
        <v>Toledo, OH</v>
      </c>
      <c r="H1446" s="4" t="str">
        <f>IFERROR(__xludf.DUMMYFUNCTION("""COMPUTED_VALUE"""),"https://www.linkedin.com/posts/activity-7223736531046350848-9gqj?utm_source=share&amp;utm_medium=member_desktop")</f>
        <v>https://www.linkedin.com/posts/activity-7223736531046350848-9gqj?utm_source=share&amp;utm_medium=member_desktop</v>
      </c>
    </row>
    <row r="1447">
      <c r="A1447" s="2">
        <f>IFERROR(__xludf.DUMMYFUNCTION("""COMPUTED_VALUE"""),45502.0)</f>
        <v>45502</v>
      </c>
      <c r="B1447" s="1" t="str">
        <f>IFERROR(__xludf.DUMMYFUNCTION("""COMPUTED_VALUE"""),"Lineage")</f>
        <v>Lineage</v>
      </c>
      <c r="C1447" s="1" t="str">
        <f>IFERROR(__xludf.DUMMYFUNCTION("""COMPUTED_VALUE"""),"Financial Analyst - Field Finance")</f>
        <v>Financial Analyst - Field Finance</v>
      </c>
      <c r="D1447" s="1" t="str">
        <f>IFERROR(__xludf.DUMMYFUNCTION("""COMPUTED_VALUE"""),"Hybrid")</f>
        <v>Hybrid</v>
      </c>
      <c r="E1447" s="1" t="str">
        <f>IFERROR(__xludf.DUMMYFUNCTION("""COMPUTED_VALUE"""),"N/A")</f>
        <v>N/A</v>
      </c>
      <c r="F1447" s="1" t="str">
        <f>IFERROR(__xludf.DUMMYFUNCTION("""COMPUTED_VALUE"""),"3 - 5")</f>
        <v>3 - 5</v>
      </c>
      <c r="G1447" s="1" t="str">
        <f>IFERROR(__xludf.DUMMYFUNCTION("""COMPUTED_VALUE"""),"Novi, MI")</f>
        <v>Novi, MI</v>
      </c>
      <c r="H1447" s="4" t="str">
        <f>IFERROR(__xludf.DUMMYFUNCTION("""COMPUTED_VALUE"""),"https://www.linkedin.com/posts/mike-basford-7437b1b_we-are-hiring-for-the-analyst-position-below-activity-7223730146032168961-Ggfp?utm_source=share&amp;utm_medium=member_desktop")</f>
        <v>https://www.linkedin.com/posts/mike-basford-7437b1b_we-are-hiring-for-the-analyst-position-below-activity-7223730146032168961-Ggfp?utm_source=share&amp;utm_medium=member_desktop</v>
      </c>
    </row>
    <row r="1448">
      <c r="A1448" s="2">
        <f>IFERROR(__xludf.DUMMYFUNCTION("""COMPUTED_VALUE"""),45502.0)</f>
        <v>45502</v>
      </c>
      <c r="B1448" s="1" t="str">
        <f>IFERROR(__xludf.DUMMYFUNCTION("""COMPUTED_VALUE"""),"Activision Blizzard")</f>
        <v>Activision Blizzard</v>
      </c>
      <c r="C1448" s="1" t="str">
        <f>IFERROR(__xludf.DUMMYFUNCTION("""COMPUTED_VALUE"""),"Staff Data Analyst")</f>
        <v>Staff Data Analyst</v>
      </c>
      <c r="D1448" s="1" t="str">
        <f>IFERROR(__xludf.DUMMYFUNCTION("""COMPUTED_VALUE"""),"Remote")</f>
        <v>Remote</v>
      </c>
      <c r="E1448" s="1" t="str">
        <f>IFERROR(__xludf.DUMMYFUNCTION("""COMPUTED_VALUE"""),"$112k - $207k")</f>
        <v>$112k - $207k</v>
      </c>
      <c r="F1448" s="1" t="str">
        <f>IFERROR(__xludf.DUMMYFUNCTION("""COMPUTED_VALUE"""),"N/A")</f>
        <v>N/A</v>
      </c>
      <c r="G1448" s="1" t="str">
        <f>IFERROR(__xludf.DUMMYFUNCTION("""COMPUTED_VALUE"""),"USA")</f>
        <v>USA</v>
      </c>
      <c r="H1448" s="4" t="str">
        <f>IFERROR(__xludf.DUMMYFUNCTION("""COMPUTED_VALUE"""),"https://www.linkedin.com/posts/yongmichelle_hiring-dataanalyst-activisionblizzard-ugcPost-7223762947993448448-QKuW?utm_source=share&amp;utm_medium=member_desktop")</f>
        <v>https://www.linkedin.com/posts/yongmichelle_hiring-dataanalyst-activisionblizzard-ugcPost-7223762947993448448-QKuW?utm_source=share&amp;utm_medium=member_desktop</v>
      </c>
    </row>
    <row r="1449">
      <c r="A1449" s="2">
        <f>IFERROR(__xludf.DUMMYFUNCTION("""COMPUTED_VALUE"""),45502.0)</f>
        <v>45502</v>
      </c>
      <c r="B1449" s="1" t="str">
        <f>IFERROR(__xludf.DUMMYFUNCTION("""COMPUTED_VALUE"""),"MCG Health")</f>
        <v>MCG Health</v>
      </c>
      <c r="C1449" s="1" t="str">
        <f>IFERROR(__xludf.DUMMYFUNCTION("""COMPUTED_VALUE"""),"Senior Data Analyst")</f>
        <v>Senior Data Analyst</v>
      </c>
      <c r="D1449" s="1" t="str">
        <f>IFERROR(__xludf.DUMMYFUNCTION("""COMPUTED_VALUE"""),"Remote")</f>
        <v>Remote</v>
      </c>
      <c r="E1449" s="1" t="str">
        <f>IFERROR(__xludf.DUMMYFUNCTION("""COMPUTED_VALUE"""),"$96k - $134k")</f>
        <v>$96k - $134k</v>
      </c>
      <c r="F1449" s="1" t="str">
        <f>IFERROR(__xludf.DUMMYFUNCTION("""COMPUTED_VALUE"""),"3 - 5")</f>
        <v>3 - 5</v>
      </c>
      <c r="G1449" s="1" t="str">
        <f>IFERROR(__xludf.DUMMYFUNCTION("""COMPUTED_VALUE"""),"USA")</f>
        <v>USA</v>
      </c>
      <c r="H1449" s="4" t="str">
        <f>IFERROR(__xludf.DUMMYFUNCTION("""COMPUTED_VALUE"""),"https://www.linkedin.com/posts/co-phi_senior-data-analyst-activity-7223764223162531840-wwkN?utm_source=share&amp;utm_medium=member_desktop")</f>
        <v>https://www.linkedin.com/posts/co-phi_senior-data-analyst-activity-7223764223162531840-wwkN?utm_source=share&amp;utm_medium=member_desktop</v>
      </c>
    </row>
    <row r="1450">
      <c r="A1450" s="2">
        <f>IFERROR(__xludf.DUMMYFUNCTION("""COMPUTED_VALUE"""),45502.0)</f>
        <v>45502</v>
      </c>
      <c r="B1450" s="1" t="str">
        <f>IFERROR(__xludf.DUMMYFUNCTION("""COMPUTED_VALUE"""),"Tapestry")</f>
        <v>Tapestry</v>
      </c>
      <c r="C1450" s="1" t="str">
        <f>IFERROR(__xludf.DUMMYFUNCTION("""COMPUTED_VALUE"""),"Sr. Analyst, Data Science Analytics")</f>
        <v>Sr. Analyst, Data Science Analytics</v>
      </c>
      <c r="D1450" s="1" t="str">
        <f>IFERROR(__xludf.DUMMYFUNCTION("""COMPUTED_VALUE"""),"Hybrid")</f>
        <v>Hybrid</v>
      </c>
      <c r="E1450" s="1" t="str">
        <f>IFERROR(__xludf.DUMMYFUNCTION("""COMPUTED_VALUE"""),"$95k - $115k")</f>
        <v>$95k - $115k</v>
      </c>
      <c r="F1450" s="1" t="str">
        <f>IFERROR(__xludf.DUMMYFUNCTION("""COMPUTED_VALUE"""),"3 - 5")</f>
        <v>3 - 5</v>
      </c>
      <c r="G1450" s="1" t="str">
        <f>IFERROR(__xludf.DUMMYFUNCTION("""COMPUTED_VALUE"""),"New York, NY")</f>
        <v>New York, NY</v>
      </c>
      <c r="H1450" s="4" t="str">
        <f>IFERROR(__xludf.DUMMYFUNCTION("""COMPUTED_VALUE"""),"https://www.linkedin.com/posts/roxanne-grodzki-201b8964_sr-analyst-data-science-analytics-activity-7223708728456294401-3SDj?utm_source=share&amp;utm_medium=member_desktop")</f>
        <v>https://www.linkedin.com/posts/roxanne-grodzki-201b8964_sr-analyst-data-science-analytics-activity-7223708728456294401-3SDj?utm_source=share&amp;utm_medium=member_desktop</v>
      </c>
    </row>
    <row r="1451">
      <c r="A1451" s="2">
        <f>IFERROR(__xludf.DUMMYFUNCTION("""COMPUTED_VALUE"""),45502.0)</f>
        <v>45502</v>
      </c>
      <c r="B1451" s="1" t="str">
        <f>IFERROR(__xludf.DUMMYFUNCTION("""COMPUTED_VALUE"""),"Humana")</f>
        <v>Humana</v>
      </c>
      <c r="C1451" s="1" t="str">
        <f>IFERROR(__xludf.DUMMYFUNCTION("""COMPUTED_VALUE"""),"Senior Data and Reporting Professional")</f>
        <v>Senior Data and Reporting Professional</v>
      </c>
      <c r="D1451" s="1" t="str">
        <f>IFERROR(__xludf.DUMMYFUNCTION("""COMPUTED_VALUE"""),"Remote")</f>
        <v>Remote</v>
      </c>
      <c r="E1451" s="1" t="str">
        <f>IFERROR(__xludf.DUMMYFUNCTION("""COMPUTED_VALUE"""),"$72k - $99k")</f>
        <v>$72k - $99k</v>
      </c>
      <c r="F1451" s="1" t="str">
        <f>IFERROR(__xludf.DUMMYFUNCTION("""COMPUTED_VALUE"""),"3 - 5")</f>
        <v>3 - 5</v>
      </c>
      <c r="G1451" s="1" t="str">
        <f>IFERROR(__xludf.DUMMYFUNCTION("""COMPUTED_VALUE"""),"USA")</f>
        <v>USA</v>
      </c>
      <c r="H1451" s="4" t="str">
        <f>IFERROR(__xludf.DUMMYFUNCTION("""COMPUTED_VALUE"""),"https://www.linkedin.com/posts/activity-7223707835145076736-9gmW?utm_source=share&amp;utm_medium=member_desktop")</f>
        <v>https://www.linkedin.com/posts/activity-7223707835145076736-9gmW?utm_source=share&amp;utm_medium=member_desktop</v>
      </c>
    </row>
    <row r="1452">
      <c r="A1452" s="2">
        <f>IFERROR(__xludf.DUMMYFUNCTION("""COMPUTED_VALUE"""),45502.0)</f>
        <v>45502</v>
      </c>
      <c r="B1452" s="1" t="str">
        <f>IFERROR(__xludf.DUMMYFUNCTION("""COMPUTED_VALUE"""),"Pavillion")</f>
        <v>Pavillion</v>
      </c>
      <c r="C1452" s="1" t="str">
        <f>IFERROR(__xludf.DUMMYFUNCTION("""COMPUTED_VALUE"""),"Data Operations Lead")</f>
        <v>Data Operations Lead</v>
      </c>
      <c r="D1452" s="1" t="str">
        <f>IFERROR(__xludf.DUMMYFUNCTION("""COMPUTED_VALUE"""),"On-Site")</f>
        <v>On-Site</v>
      </c>
      <c r="E1452" s="1" t="str">
        <f>IFERROR(__xludf.DUMMYFUNCTION("""COMPUTED_VALUE"""),"$144k - $153k")</f>
        <v>$144k - $153k</v>
      </c>
      <c r="F1452" s="1" t="str">
        <f>IFERROR(__xludf.DUMMYFUNCTION("""COMPUTED_VALUE"""),"3 - 5")</f>
        <v>3 - 5</v>
      </c>
      <c r="G1452" s="1" t="str">
        <f>IFERROR(__xludf.DUMMYFUNCTION("""COMPUTED_VALUE"""),"San Francisco, CA")</f>
        <v>San Francisco, CA</v>
      </c>
      <c r="H1452" s="4" t="str">
        <f>IFERROR(__xludf.DUMMYFUNCTION("""COMPUTED_VALUE"""),"https://www.linkedin.com/posts/felix-lau_data-operations-lead-activity-7223749124129447937-MMUD?utm_source=share&amp;utm_medium=member_desktop")</f>
        <v>https://www.linkedin.com/posts/felix-lau_data-operations-lead-activity-7223749124129447937-MMUD?utm_source=share&amp;utm_medium=member_desktop</v>
      </c>
    </row>
    <row r="1453">
      <c r="A1453" s="2">
        <f>IFERROR(__xludf.DUMMYFUNCTION("""COMPUTED_VALUE"""),45502.0)</f>
        <v>45502</v>
      </c>
      <c r="B1453" s="1" t="str">
        <f>IFERROR(__xludf.DUMMYFUNCTION("""COMPUTED_VALUE"""),"KCH Transportation")</f>
        <v>KCH Transportation</v>
      </c>
      <c r="C1453" s="1" t="str">
        <f>IFERROR(__xludf.DUMMYFUNCTION("""COMPUTED_VALUE"""),"Logistics Data Analyst")</f>
        <v>Logistics Data Analyst</v>
      </c>
      <c r="D1453" s="1" t="str">
        <f>IFERROR(__xludf.DUMMYFUNCTION("""COMPUTED_VALUE"""),"On-Site")</f>
        <v>On-Site</v>
      </c>
      <c r="E1453" s="1" t="str">
        <f>IFERROR(__xludf.DUMMYFUNCTION("""COMPUTED_VALUE"""),"N/A")</f>
        <v>N/A</v>
      </c>
      <c r="F1453" s="1" t="str">
        <f>IFERROR(__xludf.DUMMYFUNCTION("""COMPUTED_VALUE"""),"N/A")</f>
        <v>N/A</v>
      </c>
      <c r="G1453" s="1" t="str">
        <f>IFERROR(__xludf.DUMMYFUNCTION("""COMPUTED_VALUE"""),"Chattanooga, TN")</f>
        <v>Chattanooga, TN</v>
      </c>
      <c r="H1453" s="4" t="str">
        <f>IFERROR(__xludf.DUMMYFUNCTION("""COMPUTED_VALUE"""),"https://www.linkedin.com/posts/ugcPost-7223769048981934080--C74?utm_source=share&amp;utm_medium=member_desktop")</f>
        <v>https://www.linkedin.com/posts/ugcPost-7223769048981934080--C74?utm_source=share&amp;utm_medium=member_desktop</v>
      </c>
    </row>
    <row r="1454">
      <c r="A1454" s="2">
        <f>IFERROR(__xludf.DUMMYFUNCTION("""COMPUTED_VALUE"""),45502.0)</f>
        <v>45502</v>
      </c>
      <c r="B1454" s="1" t="str">
        <f>IFERROR(__xludf.DUMMYFUNCTION("""COMPUTED_VALUE"""),"HD Supply")</f>
        <v>HD Supply</v>
      </c>
      <c r="C1454" s="1" t="str">
        <f>IFERROR(__xludf.DUMMYFUNCTION("""COMPUTED_VALUE"""),"Implementation Analyst")</f>
        <v>Implementation Analyst</v>
      </c>
      <c r="D1454" s="1" t="str">
        <f>IFERROR(__xludf.DUMMYFUNCTION("""COMPUTED_VALUE"""),"Hybrid")</f>
        <v>Hybrid</v>
      </c>
      <c r="E1454" s="1" t="str">
        <f>IFERROR(__xludf.DUMMYFUNCTION("""COMPUTED_VALUE"""),"N/A")</f>
        <v>N/A</v>
      </c>
      <c r="F1454" s="1" t="str">
        <f>IFERROR(__xludf.DUMMYFUNCTION("""COMPUTED_VALUE"""),"3 - 5")</f>
        <v>3 - 5</v>
      </c>
      <c r="G1454" s="1" t="str">
        <f>IFERROR(__xludf.DUMMYFUNCTION("""COMPUTED_VALUE"""),"Atlanta, GA")</f>
        <v>Atlanta, GA</v>
      </c>
      <c r="H1454" s="4" t="str">
        <f>IFERROR(__xludf.DUMMYFUNCTION("""COMPUTED_VALUE"""),"https://www.linkedin.com/posts/reem-mansoura_hiring-activity-7223684821565214720-rpM2?utm_source=share&amp;utm_medium=member_desktop")</f>
        <v>https://www.linkedin.com/posts/reem-mansoura_hiring-activity-7223684821565214720-rpM2?utm_source=share&amp;utm_medium=member_desktop</v>
      </c>
    </row>
    <row r="1455">
      <c r="A1455" s="2">
        <f>IFERROR(__xludf.DUMMYFUNCTION("""COMPUTED_VALUE"""),45502.0)</f>
        <v>45502</v>
      </c>
      <c r="B1455" s="1" t="str">
        <f>IFERROR(__xludf.DUMMYFUNCTION("""COMPUTED_VALUE"""),"CBORD")</f>
        <v>CBORD</v>
      </c>
      <c r="C1455" s="1" t="str">
        <f>IFERROR(__xludf.DUMMYFUNCTION("""COMPUTED_VALUE"""),"Senior Financial Analyst")</f>
        <v>Senior Financial Analyst</v>
      </c>
      <c r="D1455" s="1" t="str">
        <f>IFERROR(__xludf.DUMMYFUNCTION("""COMPUTED_VALUE"""),"Hybrid")</f>
        <v>Hybrid</v>
      </c>
      <c r="E1455" s="1" t="str">
        <f>IFERROR(__xludf.DUMMYFUNCTION("""COMPUTED_VALUE"""),"$106k - $114k")</f>
        <v>$106k - $114k</v>
      </c>
      <c r="F1455" s="1" t="str">
        <f>IFERROR(__xludf.DUMMYFUNCTION("""COMPUTED_VALUE"""),"3 - 5")</f>
        <v>3 - 5</v>
      </c>
      <c r="G1455" s="1" t="str">
        <f>IFERROR(__xludf.DUMMYFUNCTION("""COMPUTED_VALUE"""),"Duluth, GA/Ithaca, NY")</f>
        <v>Duluth, GA/Ithaca, NY</v>
      </c>
      <c r="H1455" s="4" t="str">
        <f>IFERROR(__xludf.DUMMYFUNCTION("""COMPUTED_VALUE"""),"https://www.linkedin.com/posts/kenyatta-lewis-humanresources_hiring-seniorfinancialanalyst-financejobs-activity-7223774934651543554-grmx?utm_source=share&amp;utm_medium=member_desktop")</f>
        <v>https://www.linkedin.com/posts/kenyatta-lewis-humanresources_hiring-seniorfinancialanalyst-financejobs-activity-7223774934651543554-grmx?utm_source=share&amp;utm_medium=member_desktop</v>
      </c>
    </row>
    <row r="1456">
      <c r="A1456" s="2">
        <f>IFERROR(__xludf.DUMMYFUNCTION("""COMPUTED_VALUE"""),45502.0)</f>
        <v>45502</v>
      </c>
      <c r="B1456" s="1" t="str">
        <f>IFERROR(__xludf.DUMMYFUNCTION("""COMPUTED_VALUE"""),"Dutch Bros")</f>
        <v>Dutch Bros</v>
      </c>
      <c r="C1456" s="1" t="str">
        <f>IFERROR(__xludf.DUMMYFUNCTION("""COMPUTED_VALUE"""),"Senior BI Analyst")</f>
        <v>Senior BI Analyst</v>
      </c>
      <c r="D1456" s="1" t="str">
        <f>IFERROR(__xludf.DUMMYFUNCTION("""COMPUTED_VALUE"""),"Hybrid")</f>
        <v>Hybrid</v>
      </c>
      <c r="E1456" s="1" t="str">
        <f>IFERROR(__xludf.DUMMYFUNCTION("""COMPUTED_VALUE"""),"$92k")</f>
        <v>$92k</v>
      </c>
      <c r="F1456" s="1" t="str">
        <f>IFERROR(__xludf.DUMMYFUNCTION("""COMPUTED_VALUE"""),"3 - 5")</f>
        <v>3 - 5</v>
      </c>
      <c r="G1456" s="1" t="str">
        <f>IFERROR(__xludf.DUMMYFUNCTION("""COMPUTED_VALUE"""),"Scottsdale, AZ")</f>
        <v>Scottsdale, AZ</v>
      </c>
      <c r="H1456" s="4" t="str">
        <f>IFERROR(__xludf.DUMMYFUNCTION("""COMPUTED_VALUE"""),"https://www.linkedin.com/posts/pauldobbertin_senior-business-intelligence-analyst-activity-7223757320105644032-Rmdh?utm_source=share&amp;utm_medium=member_desktop")</f>
        <v>https://www.linkedin.com/posts/pauldobbertin_senior-business-intelligence-analyst-activity-7223757320105644032-Rmdh?utm_source=share&amp;utm_medium=member_desktop</v>
      </c>
    </row>
    <row r="1457">
      <c r="A1457" s="2">
        <f>IFERROR(__xludf.DUMMYFUNCTION("""COMPUTED_VALUE"""),45502.0)</f>
        <v>45502</v>
      </c>
      <c r="B1457" s="1" t="str">
        <f>IFERROR(__xludf.DUMMYFUNCTION("""COMPUTED_VALUE"""),"Emerald")</f>
        <v>Emerald</v>
      </c>
      <c r="C1457" s="1" t="str">
        <f>IFERROR(__xludf.DUMMYFUNCTION("""COMPUTED_VALUE"""),"Senior Financial Analyst")</f>
        <v>Senior Financial Analyst</v>
      </c>
      <c r="D1457" s="1" t="str">
        <f>IFERROR(__xludf.DUMMYFUNCTION("""COMPUTED_VALUE"""),"Hybrid")</f>
        <v>Hybrid</v>
      </c>
      <c r="E1457" s="1" t="str">
        <f>IFERROR(__xludf.DUMMYFUNCTION("""COMPUTED_VALUE"""),"$85k - $95k")</f>
        <v>$85k - $95k</v>
      </c>
      <c r="F1457" s="1" t="str">
        <f>IFERROR(__xludf.DUMMYFUNCTION("""COMPUTED_VALUE"""),"3 - 5")</f>
        <v>3 - 5</v>
      </c>
      <c r="G1457" s="1" t="str">
        <f>IFERROR(__xludf.DUMMYFUNCTION("""COMPUTED_VALUE"""),"New York, NY")</f>
        <v>New York, NY</v>
      </c>
      <c r="H1457" s="4" t="str">
        <f>IFERROR(__xludf.DUMMYFUNCTION("""COMPUTED_VALUE"""),"https://www.linkedin.com/posts/katesalava_emeralds-corporate-finance-team-under-the-ugcPost-7223785297593991169-Q_Pu?utm_source=share&amp;utm_medium=member_desktop")</f>
        <v>https://www.linkedin.com/posts/katesalava_emeralds-corporate-finance-team-under-the-ugcPost-7223785297593991169-Q_Pu?utm_source=share&amp;utm_medium=member_desktop</v>
      </c>
    </row>
    <row r="1458">
      <c r="A1458" s="2">
        <f>IFERROR(__xludf.DUMMYFUNCTION("""COMPUTED_VALUE"""),45502.0)</f>
        <v>45502</v>
      </c>
      <c r="B1458" s="1" t="str">
        <f>IFERROR(__xludf.DUMMYFUNCTION("""COMPUTED_VALUE"""),"Blend")</f>
        <v>Blend</v>
      </c>
      <c r="C1458" s="1" t="str">
        <f>IFERROR(__xludf.DUMMYFUNCTION("""COMPUTED_VALUE"""),"Business Intelligence Sr Analyst")</f>
        <v>Business Intelligence Sr Analyst</v>
      </c>
      <c r="D1458" s="1" t="str">
        <f>IFERROR(__xludf.DUMMYFUNCTION("""COMPUTED_VALUE"""),"On-Site")</f>
        <v>On-Site</v>
      </c>
      <c r="E1458" s="1" t="str">
        <f>IFERROR(__xludf.DUMMYFUNCTION("""COMPUTED_VALUE"""),"N/A")</f>
        <v>N/A</v>
      </c>
      <c r="F1458" s="1" t="str">
        <f>IFERROR(__xludf.DUMMYFUNCTION("""COMPUTED_VALUE"""),"3 - 5")</f>
        <v>3 - 5</v>
      </c>
      <c r="G1458" s="1" t="str">
        <f>IFERROR(__xludf.DUMMYFUNCTION("""COMPUTED_VALUE"""),"Columbia, MD")</f>
        <v>Columbia, MD</v>
      </c>
      <c r="H1458" s="4" t="str">
        <f>IFERROR(__xludf.DUMMYFUNCTION("""COMPUTED_VALUE"""),"https://www.linkedin.com/posts/aishwarya-poojary_analytics-analyticsjobs-consulting-activity-7223780207424421893-Gsdl?utm_source=share&amp;utm_medium=member_desktop")</f>
        <v>https://www.linkedin.com/posts/aishwarya-poojary_analytics-analyticsjobs-consulting-activity-7223780207424421893-Gsdl?utm_source=share&amp;utm_medium=member_desktop</v>
      </c>
    </row>
    <row r="1459">
      <c r="A1459" s="2">
        <f>IFERROR(__xludf.DUMMYFUNCTION("""COMPUTED_VALUE"""),45502.0)</f>
        <v>45502</v>
      </c>
      <c r="B1459" s="1" t="str">
        <f>IFERROR(__xludf.DUMMYFUNCTION("""COMPUTED_VALUE"""),"Allianz Life")</f>
        <v>Allianz Life</v>
      </c>
      <c r="C1459" s="1" t="str">
        <f>IFERROR(__xludf.DUMMYFUNCTION("""COMPUTED_VALUE"""),"Customer Experience Insights Analyst")</f>
        <v>Customer Experience Insights Analyst</v>
      </c>
      <c r="D1459" s="1" t="str">
        <f>IFERROR(__xludf.DUMMYFUNCTION("""COMPUTED_VALUE"""),"Hybrid")</f>
        <v>Hybrid</v>
      </c>
      <c r="E1459" s="1" t="str">
        <f>IFERROR(__xludf.DUMMYFUNCTION("""COMPUTED_VALUE"""),"N/A")</f>
        <v>N/A</v>
      </c>
      <c r="F1459" s="1" t="str">
        <f>IFERROR(__xludf.DUMMYFUNCTION("""COMPUTED_VALUE"""),"0 - 2")</f>
        <v>0 - 2</v>
      </c>
      <c r="G1459" s="1" t="str">
        <f>IFERROR(__xludf.DUMMYFUNCTION("""COMPUTED_VALUE"""),"Minneapolis, MN")</f>
        <v>Minneapolis, MN</v>
      </c>
      <c r="H1459" s="4" t="str">
        <f>IFERROR(__xludf.DUMMYFUNCTION("""COMPUTED_VALUE"""),"https://www.linkedin.com/posts/jessica-buchberger-96670638_hey-ux-and-analyst-friends-allianz-is-hiring-activity-7223772682331340800-4wCN?utm_source=share&amp;utm_medium=member_desktop")</f>
        <v>https://www.linkedin.com/posts/jessica-buchberger-96670638_hey-ux-and-analyst-friends-allianz-is-hiring-activity-7223772682331340800-4wCN?utm_source=share&amp;utm_medium=member_desktop</v>
      </c>
    </row>
    <row r="1460">
      <c r="A1460" s="2">
        <f>IFERROR(__xludf.DUMMYFUNCTION("""COMPUTED_VALUE"""),45502.0)</f>
        <v>45502</v>
      </c>
      <c r="B1460" s="1" t="str">
        <f>IFERROR(__xludf.DUMMYFUNCTION("""COMPUTED_VALUE"""),"Scale Marketing")</f>
        <v>Scale Marketing</v>
      </c>
      <c r="C1460" s="1" t="str">
        <f>IFERROR(__xludf.DUMMYFUNCTION("""COMPUTED_VALUE"""),"Data Scientist")</f>
        <v>Data Scientist</v>
      </c>
      <c r="D1460" s="1" t="str">
        <f>IFERROR(__xludf.DUMMYFUNCTION("""COMPUTED_VALUE"""),"Hybrid")</f>
        <v>Hybrid</v>
      </c>
      <c r="E1460" s="1" t="str">
        <f>IFERROR(__xludf.DUMMYFUNCTION("""COMPUTED_VALUE"""),"N/A")</f>
        <v>N/A</v>
      </c>
      <c r="F1460" s="1" t="str">
        <f>IFERROR(__xludf.DUMMYFUNCTION("""COMPUTED_VALUE"""),"10 +")</f>
        <v>10 +</v>
      </c>
      <c r="G1460" s="1" t="str">
        <f>IFERROR(__xludf.DUMMYFUNCTION("""COMPUTED_VALUE"""),"Chicago, IL")</f>
        <v>Chicago, IL</v>
      </c>
      <c r="H1460" s="4" t="str">
        <f>IFERROR(__xludf.DUMMYFUNCTION("""COMPUTED_VALUE"""),"https://www.linkedin.com/posts/laurie-koehler-73055970_mixedmediamodeling-datascientist-chicagojobs-activity-7223686065834934272-GwRb?utm_source=share&amp;utm_medium=member_desktop")</f>
        <v>https://www.linkedin.com/posts/laurie-koehler-73055970_mixedmediamodeling-datascientist-chicagojobs-activity-7223686065834934272-GwRb?utm_source=share&amp;utm_medium=member_desktop</v>
      </c>
    </row>
    <row r="1461">
      <c r="A1461" s="2">
        <f>IFERROR(__xludf.DUMMYFUNCTION("""COMPUTED_VALUE"""),45502.0)</f>
        <v>45502</v>
      </c>
      <c r="B1461" s="1" t="str">
        <f>IFERROR(__xludf.DUMMYFUNCTION("""COMPUTED_VALUE"""),"New York Football Giants")</f>
        <v>New York Football Giants</v>
      </c>
      <c r="C1461" s="1" t="str">
        <f>IFERROR(__xludf.DUMMYFUNCTION("""COMPUTED_VALUE"""),"Business Intelligence Analyst")</f>
        <v>Business Intelligence Analyst</v>
      </c>
      <c r="D1461" s="1" t="str">
        <f>IFERROR(__xludf.DUMMYFUNCTION("""COMPUTED_VALUE"""),"On-Site")</f>
        <v>On-Site</v>
      </c>
      <c r="E1461" s="1" t="str">
        <f>IFERROR(__xludf.DUMMYFUNCTION("""COMPUTED_VALUE"""),"N/A")</f>
        <v>N/A</v>
      </c>
      <c r="F1461" s="1" t="str">
        <f>IFERROR(__xludf.DUMMYFUNCTION("""COMPUTED_VALUE"""),"0 - 2")</f>
        <v>0 - 2</v>
      </c>
      <c r="G1461" s="1" t="str">
        <f>IFERROR(__xludf.DUMMYFUNCTION("""COMPUTED_VALUE"""),"East Rutherford, NJ")</f>
        <v>East Rutherford, NJ</v>
      </c>
      <c r="H1461" s="4" t="str">
        <f>IFERROR(__xludf.DUMMYFUNCTION("""COMPUTED_VALUE"""),"https://www.linkedin.com/posts/rscibetti_sportsbiz-analytics-activity-7222683718329511936-W0DW?utm_source=share&amp;utm_medium=member_desktop")</f>
        <v>https://www.linkedin.com/posts/rscibetti_sportsbiz-analytics-activity-7222683718329511936-W0DW?utm_source=share&amp;utm_medium=member_desktop</v>
      </c>
    </row>
    <row r="1462">
      <c r="A1462" s="2">
        <f>IFERROR(__xludf.DUMMYFUNCTION("""COMPUTED_VALUE"""),45502.0)</f>
        <v>45502</v>
      </c>
      <c r="B1462" s="1" t="str">
        <f>IFERROR(__xludf.DUMMYFUNCTION("""COMPUTED_VALUE"""),"Bryan Health")</f>
        <v>Bryan Health</v>
      </c>
      <c r="C1462" s="1" t="str">
        <f>IFERROR(__xludf.DUMMYFUNCTION("""COMPUTED_VALUE"""),"Data Engineer")</f>
        <v>Data Engineer</v>
      </c>
      <c r="D1462" s="1" t="str">
        <f>IFERROR(__xludf.DUMMYFUNCTION("""COMPUTED_VALUE"""),"On-Site")</f>
        <v>On-Site</v>
      </c>
      <c r="E1462" s="1" t="str">
        <f>IFERROR(__xludf.DUMMYFUNCTION("""COMPUTED_VALUE"""),"N/A")</f>
        <v>N/A</v>
      </c>
      <c r="F1462" s="1" t="str">
        <f>IFERROR(__xludf.DUMMYFUNCTION("""COMPUTED_VALUE"""),"3 - 5")</f>
        <v>3 - 5</v>
      </c>
      <c r="G1462" s="1" t="str">
        <f>IFERROR(__xludf.DUMMYFUNCTION("""COMPUTED_VALUE"""),"Lincoln, NE")</f>
        <v>Lincoln, NE</v>
      </c>
      <c r="H1462" s="4" t="str">
        <f>IFERROR(__xludf.DUMMYFUNCTION("""COMPUTED_VALUE"""),"https://www.linkedin.com/posts/katie-johnson-ph-d-7a06012_hiring-activity-7222234779453153280-9pqE?utm_source=share&amp;utm_medium=member_desktop")</f>
        <v>https://www.linkedin.com/posts/katie-johnson-ph-d-7a06012_hiring-activity-7222234779453153280-9pqE?utm_source=share&amp;utm_medium=member_desktop</v>
      </c>
    </row>
    <row r="1463">
      <c r="A1463" s="2">
        <f>IFERROR(__xludf.DUMMYFUNCTION("""COMPUTED_VALUE"""),45502.0)</f>
        <v>45502</v>
      </c>
      <c r="B1463" s="1" t="str">
        <f>IFERROR(__xludf.DUMMYFUNCTION("""COMPUTED_VALUE"""),"Amazon")</f>
        <v>Amazon</v>
      </c>
      <c r="C1463" s="1" t="str">
        <f>IFERROR(__xludf.DUMMYFUNCTION("""COMPUTED_VALUE"""),"Business Intelligence Engineer")</f>
        <v>Business Intelligence Engineer</v>
      </c>
      <c r="D1463" s="1" t="str">
        <f>IFERROR(__xludf.DUMMYFUNCTION("""COMPUTED_VALUE"""),"Hybrid")</f>
        <v>Hybrid</v>
      </c>
      <c r="E1463" s="1" t="str">
        <f>IFERROR(__xludf.DUMMYFUNCTION("""COMPUTED_VALUE"""),"$89k - $185k")</f>
        <v>$89k - $185k</v>
      </c>
      <c r="F1463" s="1" t="str">
        <f>IFERROR(__xludf.DUMMYFUNCTION("""COMPUTED_VALUE"""),"3 - 5")</f>
        <v>3 - 5</v>
      </c>
      <c r="G1463" s="1" t="str">
        <f>IFERROR(__xludf.DUMMYFUNCTION("""COMPUTED_VALUE"""),"Bellevue, WA/Austin, TX")</f>
        <v>Bellevue, WA/Austin, TX</v>
      </c>
      <c r="H1463" s="4" t="str">
        <f>IFERROR(__xludf.DUMMYFUNCTION("""COMPUTED_VALUE"""),"https://www.linkedin.com/posts/taylor-brown-96083110_business-intelligence-engineer-na-sales-activity-7222699048963559424-fvKW?utm_source=share&amp;utm_medium=member_desktop")</f>
        <v>https://www.linkedin.com/posts/taylor-brown-96083110_business-intelligence-engineer-na-sales-activity-7222699048963559424-fvKW?utm_source=share&amp;utm_medium=member_desktop</v>
      </c>
    </row>
    <row r="1464">
      <c r="A1464" s="2">
        <f>IFERROR(__xludf.DUMMYFUNCTION("""COMPUTED_VALUE"""),45502.0)</f>
        <v>45502</v>
      </c>
      <c r="B1464" s="1" t="str">
        <f>IFERROR(__xludf.DUMMYFUNCTION("""COMPUTED_VALUE"""),"Google")</f>
        <v>Google</v>
      </c>
      <c r="C1464" s="1" t="str">
        <f>IFERROR(__xludf.DUMMYFUNCTION("""COMPUTED_VALUE"""),"Senior Data Scientist, Research")</f>
        <v>Senior Data Scientist, Research</v>
      </c>
      <c r="D1464" s="1" t="str">
        <f>IFERROR(__xludf.DUMMYFUNCTION("""COMPUTED_VALUE"""),"On-Site")</f>
        <v>On-Site</v>
      </c>
      <c r="E1464" s="1" t="str">
        <f>IFERROR(__xludf.DUMMYFUNCTION("""COMPUTED_VALUE"""),"$150k - $223k")</f>
        <v>$150k - $223k</v>
      </c>
      <c r="F1464" s="1" t="str">
        <f>IFERROR(__xludf.DUMMYFUNCTION("""COMPUTED_VALUE"""),"6 - 9")</f>
        <v>6 - 9</v>
      </c>
      <c r="G1464" s="1" t="str">
        <f>IFERROR(__xludf.DUMMYFUNCTION("""COMPUTED_VALUE"""),"Mountain View, CA")</f>
        <v>Mountain View, CA</v>
      </c>
      <c r="H1464" s="4" t="str">
        <f>IFERROR(__xludf.DUMMYFUNCTION("""COMPUTED_VALUE"""),"https://www.linkedin.com/posts/steven-oliver-3409ba1_im-looking-for-talented-excited-and-creative-activity-7222750562637770752-zHRS?utm_source=share&amp;utm_medium=member_desktop")</f>
        <v>https://www.linkedin.com/posts/steven-oliver-3409ba1_im-looking-for-talented-excited-and-creative-activity-7222750562637770752-zHRS?utm_source=share&amp;utm_medium=member_desktop</v>
      </c>
    </row>
    <row r="1465">
      <c r="A1465" s="2">
        <f>IFERROR(__xludf.DUMMYFUNCTION("""COMPUTED_VALUE"""),45502.0)</f>
        <v>45502</v>
      </c>
      <c r="B1465" s="1" t="str">
        <f>IFERROR(__xludf.DUMMYFUNCTION("""COMPUTED_VALUE"""),"Google")</f>
        <v>Google</v>
      </c>
      <c r="C1465" s="1" t="str">
        <f>IFERROR(__xludf.DUMMYFUNCTION("""COMPUTED_VALUE"""),"Senior Data Scientist Manager")</f>
        <v>Senior Data Scientist Manager</v>
      </c>
      <c r="D1465" s="1" t="str">
        <f>IFERROR(__xludf.DUMMYFUNCTION("""COMPUTED_VALUE"""),"On-Site")</f>
        <v>On-Site</v>
      </c>
      <c r="E1465" s="1" t="str">
        <f>IFERROR(__xludf.DUMMYFUNCTION("""COMPUTED_VALUE"""),"$221k - $314k")</f>
        <v>$221k - $314k</v>
      </c>
      <c r="F1465" s="1" t="str">
        <f>IFERROR(__xludf.DUMMYFUNCTION("""COMPUTED_VALUE"""),"10 +")</f>
        <v>10 +</v>
      </c>
      <c r="G1465" s="1" t="str">
        <f>IFERROR(__xludf.DUMMYFUNCTION("""COMPUTED_VALUE"""),"Mountain View, CA")</f>
        <v>Mountain View, CA</v>
      </c>
      <c r="H1465" s="4" t="str">
        <f>IFERROR(__xludf.DUMMYFUNCTION("""COMPUTED_VALUE"""),"https://www.linkedin.com/posts/steven-oliver-3409ba1_im-looking-for-talented-excited-and-creative-activity-7222750562637770752-zHRS?utm_source=share&amp;utm_medium=member_desktop")</f>
        <v>https://www.linkedin.com/posts/steven-oliver-3409ba1_im-looking-for-talented-excited-and-creative-activity-7222750562637770752-zHRS?utm_source=share&amp;utm_medium=member_desktop</v>
      </c>
    </row>
    <row r="1466">
      <c r="A1466" s="2">
        <f>IFERROR(__xludf.DUMMYFUNCTION("""COMPUTED_VALUE"""),45502.0)</f>
        <v>45502</v>
      </c>
      <c r="B1466" s="1" t="str">
        <f>IFERROR(__xludf.DUMMYFUNCTION("""COMPUTED_VALUE"""),"American Association for Cancer Research")</f>
        <v>American Association for Cancer Research</v>
      </c>
      <c r="C1466" s="1" t="str">
        <f>IFERROR(__xludf.DUMMYFUNCTION("""COMPUTED_VALUE"""),"Business Analyst")</f>
        <v>Business Analyst</v>
      </c>
      <c r="D1466" s="1" t="str">
        <f>IFERROR(__xludf.DUMMYFUNCTION("""COMPUTED_VALUE"""),"On-Site")</f>
        <v>On-Site</v>
      </c>
      <c r="E1466" s="1" t="str">
        <f>IFERROR(__xludf.DUMMYFUNCTION("""COMPUTED_VALUE"""),"$65k - $85k")</f>
        <v>$65k - $85k</v>
      </c>
      <c r="F1466" s="1" t="str">
        <f>IFERROR(__xludf.DUMMYFUNCTION("""COMPUTED_VALUE"""),"0 - 2")</f>
        <v>0 - 2</v>
      </c>
      <c r="G1466" s="1" t="str">
        <f>IFERROR(__xludf.DUMMYFUNCTION("""COMPUTED_VALUE"""),"Philadelphia, PA")</f>
        <v>Philadelphia, PA</v>
      </c>
      <c r="H1466" s="4" t="str">
        <f>IFERROR(__xludf.DUMMYFUNCTION("""COMPUTED_VALUE"""),"https://www.linkedin.com/posts/stephen-ziobro-sphr-shrm-scp-a03a4912_great-opportunity-in-our-philadelphia-office-activity-7219720531816706048-vuMd?utm_source=share&amp;utm_medium=member_desktop")</f>
        <v>https://www.linkedin.com/posts/stephen-ziobro-sphr-shrm-scp-a03a4912_great-opportunity-in-our-philadelphia-office-activity-7219720531816706048-vuMd?utm_source=share&amp;utm_medium=member_desktop</v>
      </c>
    </row>
    <row r="1467">
      <c r="A1467" s="2">
        <f>IFERROR(__xludf.DUMMYFUNCTION("""COMPUTED_VALUE"""),45502.0)</f>
        <v>45502</v>
      </c>
      <c r="B1467" s="1" t="str">
        <f>IFERROR(__xludf.DUMMYFUNCTION("""COMPUTED_VALUE"""),"Moody's")</f>
        <v>Moody's</v>
      </c>
      <c r="C1467" s="1" t="str">
        <f>IFERROR(__xludf.DUMMYFUNCTION("""COMPUTED_VALUE"""),"Sr Data Visualization Designer")</f>
        <v>Sr Data Visualization Designer</v>
      </c>
      <c r="D1467" s="1" t="str">
        <f>IFERROR(__xludf.DUMMYFUNCTION("""COMPUTED_VALUE"""),"Remote")</f>
        <v>Remote</v>
      </c>
      <c r="E1467" s="1" t="str">
        <f>IFERROR(__xludf.DUMMYFUNCTION("""COMPUTED_VALUE"""),"$79k - $114k")</f>
        <v>$79k - $114k</v>
      </c>
      <c r="F1467" s="1" t="str">
        <f>IFERROR(__xludf.DUMMYFUNCTION("""COMPUTED_VALUE"""),"N/A")</f>
        <v>N/A</v>
      </c>
      <c r="G1467" s="1" t="str">
        <f>IFERROR(__xludf.DUMMYFUNCTION("""COMPUTED_VALUE"""),"USA")</f>
        <v>USA</v>
      </c>
      <c r="H1467" s="4" t="str">
        <f>IFERROR(__xludf.DUMMYFUNCTION("""COMPUTED_VALUE"""),"https://www.linkedin.com/posts/jakir-hossain-663689159_sr-data-visualization-designer-job-in-new-activity-7223781221053407232-rEU-?utm_source=share&amp;utm_medium=member_desktop")</f>
        <v>https://www.linkedin.com/posts/jakir-hossain-663689159_sr-data-visualization-designer-job-in-new-activity-7223781221053407232-rEU-?utm_source=share&amp;utm_medium=member_desktop</v>
      </c>
    </row>
    <row r="1468">
      <c r="A1468" s="2">
        <f>IFERROR(__xludf.DUMMYFUNCTION("""COMPUTED_VALUE"""),45502.0)</f>
        <v>45502</v>
      </c>
      <c r="B1468" s="1" t="str">
        <f>IFERROR(__xludf.DUMMYFUNCTION("""COMPUTED_VALUE"""),"Piper Maddox")</f>
        <v>Piper Maddox</v>
      </c>
      <c r="C1468" s="1" t="str">
        <f>IFERROR(__xludf.DUMMYFUNCTION("""COMPUTED_VALUE"""),"Sales Analyst (Part Time Contract)")</f>
        <v>Sales Analyst (Part Time Contract)</v>
      </c>
      <c r="D1468" s="1" t="str">
        <f>IFERROR(__xludf.DUMMYFUNCTION("""COMPUTED_VALUE"""),"Remote")</f>
        <v>Remote</v>
      </c>
      <c r="E1468" s="1" t="str">
        <f>IFERROR(__xludf.DUMMYFUNCTION("""COMPUTED_VALUE"""),"N/A")</f>
        <v>N/A</v>
      </c>
      <c r="F1468" s="1" t="str">
        <f>IFERROR(__xludf.DUMMYFUNCTION("""COMPUTED_VALUE"""),"0 - 2")</f>
        <v>0 - 2</v>
      </c>
      <c r="G1468" s="1" t="str">
        <f>IFERROR(__xludf.DUMMYFUNCTION("""COMPUTED_VALUE"""),"USA")</f>
        <v>USA</v>
      </c>
      <c r="H1468" s="4" t="str">
        <f>IFERROR(__xludf.DUMMYFUNCTION("""COMPUTED_VALUE"""),"https://www.linkedin.com/posts/laura-caswell-0a502593_another-role-teaming-up-with-piper-maddox-activity-7223818954127892480-0dcd?utm_source=share&amp;utm_medium=member_desktop")</f>
        <v>https://www.linkedin.com/posts/laura-caswell-0a502593_another-role-teaming-up-with-piper-maddox-activity-7223818954127892480-0dcd?utm_source=share&amp;utm_medium=member_desktop</v>
      </c>
    </row>
    <row r="1469">
      <c r="A1469" s="2">
        <f>IFERROR(__xludf.DUMMYFUNCTION("""COMPUTED_VALUE"""),45502.0)</f>
        <v>45502</v>
      </c>
      <c r="B1469" s="1" t="str">
        <f>IFERROR(__xludf.DUMMYFUNCTION("""COMPUTED_VALUE"""),"Regional Finance")</f>
        <v>Regional Finance</v>
      </c>
      <c r="C1469" s="1" t="str">
        <f>IFERROR(__xludf.DUMMYFUNCTION("""COMPUTED_VALUE"""),"Manager Data Science, Research Scientist")</f>
        <v>Manager Data Science, Research Scientist</v>
      </c>
      <c r="D1469" s="1" t="str">
        <f>IFERROR(__xludf.DUMMYFUNCTION("""COMPUTED_VALUE"""),"Remote")</f>
        <v>Remote</v>
      </c>
      <c r="E1469" s="1" t="str">
        <f>IFERROR(__xludf.DUMMYFUNCTION("""COMPUTED_VALUE"""),"N/A")</f>
        <v>N/A</v>
      </c>
      <c r="F1469" s="1" t="str">
        <f>IFERROR(__xludf.DUMMYFUNCTION("""COMPUTED_VALUE"""),"3 - 5")</f>
        <v>3 - 5</v>
      </c>
      <c r="G1469" s="1" t="str">
        <f>IFERROR(__xludf.DUMMYFUNCTION("""COMPUTED_VALUE"""),"USA")</f>
        <v>USA</v>
      </c>
      <c r="H1469" s="4" t="str">
        <f>IFERROR(__xludf.DUMMYFUNCTION("""COMPUTED_VALUE"""),"https://www.linkedin.com/posts/cbjorgol_manager-data-science-research-scientist-activity-7223784555915210752-ue1n?utm_source=share&amp;utm_medium=member_desktop")</f>
        <v>https://www.linkedin.com/posts/cbjorgol_manager-data-science-research-scientist-activity-7223784555915210752-ue1n?utm_source=share&amp;utm_medium=member_desktop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B103"/>
    <hyperlink r:id="rId103" ref="H103"/>
    <hyperlink r:id="rId104" ref="H104"/>
    <hyperlink r:id="rId105" ref="H105"/>
    <hyperlink r:id="rId106" ref="H106"/>
    <hyperlink r:id="rId107" ref="H107"/>
    <hyperlink r:id="rId108" ref="H108"/>
    <hyperlink r:id="rId109" ref="H109"/>
    <hyperlink r:id="rId110" ref="H110"/>
    <hyperlink r:id="rId111" ref="H111"/>
    <hyperlink r:id="rId112" ref="H112"/>
    <hyperlink r:id="rId113" ref="H113"/>
    <hyperlink r:id="rId114" ref="H114"/>
    <hyperlink r:id="rId115" ref="H115"/>
    <hyperlink r:id="rId116" ref="H116"/>
    <hyperlink r:id="rId117" ref="H117"/>
    <hyperlink r:id="rId118" ref="H118"/>
    <hyperlink r:id="rId119" ref="H119"/>
    <hyperlink r:id="rId120" ref="H120"/>
    <hyperlink r:id="rId121" ref="H121"/>
    <hyperlink r:id="rId122" ref="H122"/>
    <hyperlink r:id="rId123" ref="H123"/>
    <hyperlink r:id="rId124" ref="H124"/>
    <hyperlink r:id="rId125" ref="H125"/>
    <hyperlink r:id="rId126" ref="H126"/>
    <hyperlink r:id="rId127" ref="H127"/>
    <hyperlink r:id="rId128" ref="H128"/>
    <hyperlink r:id="rId129" ref="H129"/>
    <hyperlink r:id="rId130" ref="H130"/>
    <hyperlink r:id="rId131" ref="H131"/>
    <hyperlink r:id="rId132" ref="H132"/>
    <hyperlink r:id="rId133" ref="H133"/>
    <hyperlink r:id="rId134" ref="H134"/>
    <hyperlink r:id="rId135" ref="H135"/>
    <hyperlink r:id="rId136" ref="H136"/>
    <hyperlink r:id="rId137" ref="H137"/>
    <hyperlink r:id="rId138" ref="H138"/>
    <hyperlink r:id="rId139" ref="H139"/>
    <hyperlink r:id="rId140" ref="H140"/>
    <hyperlink r:id="rId141" ref="H141"/>
    <hyperlink r:id="rId142" ref="H142"/>
    <hyperlink r:id="rId143" ref="H143"/>
    <hyperlink r:id="rId144" ref="H144"/>
    <hyperlink r:id="rId145" ref="H145"/>
    <hyperlink r:id="rId146" ref="H146"/>
    <hyperlink r:id="rId147" ref="H147"/>
    <hyperlink r:id="rId148" ref="H148"/>
    <hyperlink r:id="rId149" ref="H149"/>
    <hyperlink r:id="rId150" ref="H150"/>
    <hyperlink r:id="rId151" ref="H151"/>
    <hyperlink r:id="rId152" ref="H152"/>
    <hyperlink r:id="rId153" ref="H153"/>
    <hyperlink r:id="rId154" ref="H154"/>
    <hyperlink r:id="rId155" ref="H155"/>
    <hyperlink r:id="rId156" ref="H156"/>
    <hyperlink r:id="rId157" ref="H157"/>
    <hyperlink r:id="rId158" ref="H158"/>
    <hyperlink r:id="rId159" ref="H159"/>
    <hyperlink r:id="rId160" ref="H160"/>
    <hyperlink r:id="rId161" ref="H161"/>
    <hyperlink r:id="rId162" ref="H162"/>
    <hyperlink r:id="rId163" ref="H163"/>
    <hyperlink r:id="rId164" ref="H164"/>
    <hyperlink r:id="rId165" ref="H165"/>
    <hyperlink r:id="rId166" ref="H166"/>
    <hyperlink r:id="rId167" ref="H167"/>
    <hyperlink r:id="rId168" ref="H168"/>
    <hyperlink r:id="rId169" ref="H169"/>
    <hyperlink r:id="rId170" ref="H170"/>
    <hyperlink r:id="rId171" ref="H171"/>
    <hyperlink r:id="rId172" ref="H172"/>
    <hyperlink r:id="rId173" ref="H173"/>
    <hyperlink r:id="rId174" ref="H174"/>
    <hyperlink r:id="rId175" ref="H175"/>
    <hyperlink r:id="rId176" ref="H176"/>
    <hyperlink r:id="rId177" ref="H177"/>
    <hyperlink r:id="rId178" ref="H178"/>
    <hyperlink r:id="rId179" ref="H179"/>
    <hyperlink r:id="rId180" ref="H180"/>
    <hyperlink r:id="rId181" ref="H181"/>
    <hyperlink r:id="rId182" ref="H182"/>
    <hyperlink r:id="rId183" ref="H183"/>
    <hyperlink r:id="rId184" ref="H184"/>
    <hyperlink r:id="rId185" ref="H185"/>
    <hyperlink r:id="rId186" ref="H186"/>
    <hyperlink r:id="rId187" ref="H187"/>
    <hyperlink r:id="rId188" ref="H188"/>
    <hyperlink r:id="rId189" ref="H189"/>
    <hyperlink r:id="rId190" ref="H190"/>
    <hyperlink r:id="rId191" ref="H191"/>
    <hyperlink r:id="rId192" ref="H192"/>
    <hyperlink r:id="rId193" ref="H193"/>
    <hyperlink r:id="rId194" ref="H194"/>
    <hyperlink r:id="rId195" ref="H195"/>
    <hyperlink r:id="rId196" ref="H196"/>
    <hyperlink r:id="rId197" ref="H197"/>
    <hyperlink r:id="rId198" ref="H198"/>
    <hyperlink r:id="rId199" ref="H199"/>
    <hyperlink r:id="rId200" ref="H200"/>
    <hyperlink r:id="rId201" ref="H201"/>
    <hyperlink r:id="rId202" ref="H202"/>
    <hyperlink r:id="rId203" ref="H203"/>
    <hyperlink r:id="rId204" ref="H204"/>
    <hyperlink r:id="rId205" ref="H205"/>
    <hyperlink r:id="rId206" ref="H206"/>
    <hyperlink r:id="rId207" ref="H207"/>
    <hyperlink r:id="rId208" ref="H208"/>
    <hyperlink r:id="rId209" ref="H209"/>
    <hyperlink r:id="rId210" ref="H210"/>
    <hyperlink r:id="rId211" ref="H211"/>
    <hyperlink r:id="rId212" ref="H212"/>
    <hyperlink r:id="rId213" ref="H213"/>
    <hyperlink r:id="rId214" ref="H214"/>
    <hyperlink r:id="rId215" ref="H215"/>
    <hyperlink r:id="rId216" ref="H216"/>
    <hyperlink r:id="rId217" ref="H217"/>
    <hyperlink r:id="rId218" ref="H218"/>
    <hyperlink r:id="rId219" ref="H219"/>
    <hyperlink r:id="rId220" ref="H220"/>
    <hyperlink r:id="rId221" ref="H221"/>
    <hyperlink r:id="rId222" ref="H222"/>
    <hyperlink r:id="rId223" ref="H223"/>
    <hyperlink r:id="rId224" ref="H224"/>
    <hyperlink r:id="rId225" ref="H225"/>
    <hyperlink r:id="rId226" ref="H226"/>
    <hyperlink r:id="rId227" ref="H227"/>
    <hyperlink r:id="rId228" ref="H228"/>
    <hyperlink r:id="rId229" ref="H229"/>
    <hyperlink r:id="rId230" ref="H230"/>
    <hyperlink r:id="rId231" ref="H231"/>
    <hyperlink r:id="rId232" ref="H232"/>
    <hyperlink r:id="rId233" ref="H233"/>
    <hyperlink r:id="rId234" ref="H234"/>
    <hyperlink r:id="rId235" ref="H235"/>
    <hyperlink r:id="rId236" ref="H236"/>
    <hyperlink r:id="rId237" ref="H237"/>
    <hyperlink r:id="rId238" ref="H238"/>
    <hyperlink r:id="rId239" ref="H239"/>
    <hyperlink r:id="rId240" ref="H240"/>
    <hyperlink r:id="rId241" ref="H241"/>
    <hyperlink r:id="rId242" ref="H242"/>
    <hyperlink r:id="rId243" ref="H243"/>
    <hyperlink r:id="rId244" ref="H244"/>
    <hyperlink r:id="rId245" ref="H245"/>
    <hyperlink r:id="rId246" ref="H246"/>
    <hyperlink r:id="rId247" ref="H247"/>
    <hyperlink r:id="rId248" ref="H248"/>
    <hyperlink r:id="rId249" ref="H249"/>
    <hyperlink r:id="rId250" ref="H250"/>
    <hyperlink r:id="rId251" ref="H251"/>
    <hyperlink r:id="rId252" ref="H252"/>
    <hyperlink r:id="rId253" ref="H253"/>
    <hyperlink r:id="rId254" ref="H254"/>
    <hyperlink r:id="rId255" ref="H255"/>
    <hyperlink r:id="rId256" ref="H256"/>
    <hyperlink r:id="rId257" ref="H257"/>
    <hyperlink r:id="rId258" ref="H258"/>
    <hyperlink r:id="rId259" ref="H259"/>
    <hyperlink r:id="rId260" ref="H260"/>
    <hyperlink r:id="rId261" ref="H261"/>
    <hyperlink r:id="rId262" ref="H262"/>
    <hyperlink r:id="rId263" ref="H263"/>
    <hyperlink r:id="rId264" ref="H264"/>
    <hyperlink r:id="rId265" ref="H265"/>
    <hyperlink r:id="rId266" ref="H266"/>
    <hyperlink r:id="rId267" ref="H267"/>
    <hyperlink r:id="rId268" ref="H268"/>
    <hyperlink r:id="rId269" ref="H269"/>
    <hyperlink r:id="rId270" ref="H270"/>
    <hyperlink r:id="rId271" ref="H271"/>
    <hyperlink r:id="rId272" ref="H272"/>
    <hyperlink r:id="rId273" ref="H273"/>
    <hyperlink r:id="rId274" ref="H274"/>
    <hyperlink r:id="rId275" ref="H275"/>
    <hyperlink r:id="rId276" ref="H276"/>
    <hyperlink r:id="rId277" ref="H277"/>
    <hyperlink r:id="rId278" ref="H278"/>
    <hyperlink r:id="rId279" ref="H279"/>
    <hyperlink r:id="rId280" ref="H280"/>
    <hyperlink r:id="rId281" ref="H281"/>
    <hyperlink r:id="rId282" ref="H282"/>
    <hyperlink r:id="rId283" ref="H283"/>
    <hyperlink r:id="rId284" ref="H284"/>
    <hyperlink r:id="rId285" ref="H285"/>
    <hyperlink r:id="rId286" ref="H286"/>
    <hyperlink r:id="rId287" ref="H287"/>
    <hyperlink r:id="rId288" ref="H288"/>
    <hyperlink r:id="rId289" ref="H289"/>
    <hyperlink r:id="rId290" ref="H290"/>
    <hyperlink r:id="rId291" ref="H291"/>
    <hyperlink r:id="rId292" ref="H292"/>
    <hyperlink r:id="rId293" ref="H293"/>
    <hyperlink r:id="rId294" ref="H294"/>
    <hyperlink r:id="rId295" ref="H295"/>
    <hyperlink r:id="rId296" ref="H296"/>
    <hyperlink r:id="rId297" ref="H297"/>
    <hyperlink r:id="rId298" ref="H298"/>
    <hyperlink r:id="rId299" ref="H299"/>
    <hyperlink r:id="rId300" ref="H300"/>
    <hyperlink r:id="rId301" ref="H301"/>
    <hyperlink r:id="rId302" ref="H302"/>
    <hyperlink r:id="rId303" ref="H303"/>
    <hyperlink r:id="rId304" ref="H304"/>
    <hyperlink r:id="rId305" ref="H305"/>
    <hyperlink r:id="rId306" ref="H306"/>
    <hyperlink r:id="rId307" ref="H307"/>
    <hyperlink r:id="rId308" ref="H308"/>
    <hyperlink r:id="rId309" ref="H309"/>
    <hyperlink r:id="rId310" ref="H310"/>
    <hyperlink r:id="rId311" ref="H311"/>
    <hyperlink r:id="rId312" ref="H312"/>
    <hyperlink r:id="rId313" ref="H313"/>
    <hyperlink r:id="rId314" ref="H314"/>
    <hyperlink r:id="rId315" ref="H315"/>
    <hyperlink r:id="rId316" ref="H316"/>
    <hyperlink r:id="rId317" ref="H317"/>
    <hyperlink r:id="rId318" ref="H318"/>
    <hyperlink r:id="rId319" ref="H319"/>
    <hyperlink r:id="rId320" ref="H320"/>
    <hyperlink r:id="rId321" ref="H321"/>
    <hyperlink r:id="rId322" ref="H322"/>
    <hyperlink r:id="rId323" ref="H323"/>
    <hyperlink r:id="rId324" ref="H324"/>
    <hyperlink r:id="rId325" ref="H325"/>
    <hyperlink r:id="rId326" ref="H326"/>
    <hyperlink r:id="rId327" ref="H327"/>
    <hyperlink r:id="rId328" ref="H328"/>
    <hyperlink r:id="rId329" ref="H329"/>
    <hyperlink r:id="rId330" ref="H330"/>
    <hyperlink r:id="rId331" ref="H331"/>
    <hyperlink r:id="rId332" ref="H332"/>
    <hyperlink r:id="rId333" ref="H333"/>
    <hyperlink r:id="rId334" ref="H334"/>
    <hyperlink r:id="rId335" ref="H335"/>
    <hyperlink r:id="rId336" ref="H336"/>
    <hyperlink r:id="rId337" ref="H337"/>
    <hyperlink r:id="rId338" ref="H338"/>
    <hyperlink r:id="rId339" ref="H339"/>
    <hyperlink r:id="rId340" ref="H340"/>
    <hyperlink r:id="rId341" ref="H341"/>
    <hyperlink r:id="rId342" ref="H342"/>
    <hyperlink r:id="rId343" ref="H343"/>
    <hyperlink r:id="rId344" ref="H344"/>
    <hyperlink r:id="rId345" ref="H345"/>
    <hyperlink r:id="rId346" ref="H346"/>
    <hyperlink r:id="rId347" ref="H347"/>
    <hyperlink r:id="rId348" ref="H348"/>
    <hyperlink r:id="rId349" ref="H349"/>
    <hyperlink r:id="rId350" ref="H350"/>
    <hyperlink r:id="rId351" ref="H351"/>
    <hyperlink r:id="rId352" ref="H352"/>
    <hyperlink r:id="rId353" ref="H353"/>
    <hyperlink r:id="rId354" ref="H354"/>
    <hyperlink r:id="rId355" ref="H355"/>
    <hyperlink r:id="rId356" ref="H356"/>
    <hyperlink r:id="rId357" ref="H357"/>
    <hyperlink r:id="rId358" ref="H358"/>
    <hyperlink r:id="rId359" ref="H359"/>
    <hyperlink r:id="rId360" ref="H360"/>
    <hyperlink r:id="rId361" ref="H361"/>
    <hyperlink r:id="rId362" ref="H362"/>
    <hyperlink r:id="rId363" ref="H363"/>
    <hyperlink r:id="rId364" ref="H364"/>
    <hyperlink r:id="rId365" ref="H365"/>
    <hyperlink r:id="rId366" ref="H366"/>
    <hyperlink r:id="rId367" ref="H367"/>
    <hyperlink r:id="rId368" ref="H368"/>
    <hyperlink r:id="rId369" ref="H369"/>
    <hyperlink r:id="rId370" ref="H370"/>
    <hyperlink r:id="rId371" ref="H371"/>
    <hyperlink r:id="rId372" ref="H372"/>
    <hyperlink r:id="rId373" ref="H373"/>
    <hyperlink r:id="rId374" ref="H374"/>
    <hyperlink r:id="rId375" ref="H375"/>
    <hyperlink r:id="rId376" ref="H376"/>
    <hyperlink r:id="rId377" ref="H377"/>
    <hyperlink r:id="rId378" ref="H378"/>
    <hyperlink r:id="rId379" ref="H379"/>
    <hyperlink r:id="rId380" ref="H380"/>
    <hyperlink r:id="rId381" ref="H381"/>
    <hyperlink r:id="rId382" ref="H382"/>
    <hyperlink r:id="rId383" ref="H383"/>
    <hyperlink r:id="rId384" ref="H384"/>
    <hyperlink r:id="rId385" ref="H385"/>
    <hyperlink r:id="rId386" ref="H386"/>
    <hyperlink r:id="rId387" ref="H387"/>
    <hyperlink r:id="rId388" ref="H388"/>
    <hyperlink r:id="rId389" ref="H389"/>
    <hyperlink r:id="rId390" ref="H390"/>
    <hyperlink r:id="rId391" ref="H391"/>
    <hyperlink r:id="rId392" ref="H392"/>
    <hyperlink r:id="rId393" ref="H393"/>
    <hyperlink r:id="rId394" ref="H394"/>
    <hyperlink r:id="rId395" ref="H395"/>
    <hyperlink r:id="rId396" ref="H396"/>
    <hyperlink r:id="rId397" ref="H397"/>
    <hyperlink r:id="rId398" ref="H398"/>
    <hyperlink r:id="rId399" ref="H399"/>
    <hyperlink r:id="rId400" ref="H400"/>
    <hyperlink r:id="rId401" ref="H401"/>
    <hyperlink r:id="rId402" ref="H402"/>
    <hyperlink r:id="rId403" ref="H403"/>
    <hyperlink r:id="rId404" ref="H404"/>
    <hyperlink r:id="rId405" ref="H405"/>
    <hyperlink r:id="rId406" ref="H406"/>
    <hyperlink r:id="rId407" ref="H407"/>
    <hyperlink r:id="rId408" ref="H408"/>
    <hyperlink r:id="rId409" ref="H409"/>
    <hyperlink r:id="rId410" ref="H410"/>
    <hyperlink r:id="rId411" ref="H411"/>
    <hyperlink r:id="rId412" ref="H412"/>
    <hyperlink r:id="rId413" ref="H413"/>
    <hyperlink r:id="rId414" ref="H414"/>
    <hyperlink r:id="rId415" ref="H415"/>
    <hyperlink r:id="rId416" ref="H416"/>
    <hyperlink r:id="rId417" ref="H417"/>
    <hyperlink r:id="rId418" ref="H418"/>
    <hyperlink r:id="rId419" ref="H419"/>
    <hyperlink r:id="rId420" ref="H420"/>
    <hyperlink r:id="rId421" ref="H421"/>
    <hyperlink r:id="rId422" ref="H422"/>
    <hyperlink r:id="rId423" ref="H423"/>
    <hyperlink r:id="rId424" ref="H424"/>
    <hyperlink r:id="rId425" ref="H425"/>
    <hyperlink r:id="rId426" ref="H426"/>
    <hyperlink r:id="rId427" ref="H427"/>
    <hyperlink r:id="rId428" ref="H428"/>
    <hyperlink r:id="rId429" ref="H429"/>
    <hyperlink r:id="rId430" ref="H430"/>
    <hyperlink r:id="rId431" ref="H431"/>
    <hyperlink r:id="rId432" ref="H432"/>
    <hyperlink r:id="rId433" ref="H433"/>
    <hyperlink r:id="rId434" ref="H434"/>
    <hyperlink r:id="rId435" ref="H435"/>
    <hyperlink r:id="rId436" ref="H436"/>
    <hyperlink r:id="rId437" ref="H437"/>
    <hyperlink r:id="rId438" ref="H438"/>
    <hyperlink r:id="rId439" ref="H439"/>
    <hyperlink r:id="rId440" ref="H440"/>
    <hyperlink r:id="rId441" ref="H441"/>
    <hyperlink r:id="rId442" ref="H442"/>
    <hyperlink r:id="rId443" ref="H443"/>
    <hyperlink r:id="rId444" ref="H444"/>
    <hyperlink r:id="rId445" ref="H445"/>
    <hyperlink r:id="rId446" ref="H446"/>
    <hyperlink r:id="rId447" ref="H447"/>
    <hyperlink r:id="rId448" ref="H448"/>
    <hyperlink r:id="rId449" ref="H449"/>
    <hyperlink r:id="rId450" ref="H450"/>
    <hyperlink r:id="rId451" ref="H451"/>
    <hyperlink r:id="rId452" ref="H452"/>
    <hyperlink r:id="rId453" ref="H453"/>
    <hyperlink r:id="rId454" ref="H454"/>
    <hyperlink r:id="rId455" ref="H455"/>
    <hyperlink r:id="rId456" ref="H456"/>
    <hyperlink r:id="rId457" ref="H457"/>
    <hyperlink r:id="rId458" ref="H458"/>
    <hyperlink r:id="rId459" ref="H459"/>
    <hyperlink r:id="rId460" ref="H460"/>
    <hyperlink r:id="rId461" ref="H461"/>
    <hyperlink r:id="rId462" ref="H462"/>
    <hyperlink r:id="rId463" ref="H463"/>
    <hyperlink r:id="rId464" ref="H464"/>
    <hyperlink r:id="rId465" ref="H465"/>
    <hyperlink r:id="rId466" ref="H466"/>
    <hyperlink r:id="rId467" ref="H467"/>
    <hyperlink r:id="rId468" ref="H468"/>
    <hyperlink r:id="rId469" ref="H469"/>
    <hyperlink r:id="rId470" ref="H470"/>
    <hyperlink r:id="rId471" ref="H471"/>
    <hyperlink r:id="rId472" ref="H472"/>
    <hyperlink r:id="rId473" ref="H473"/>
    <hyperlink r:id="rId474" ref="H474"/>
    <hyperlink r:id="rId475" ref="H475"/>
    <hyperlink r:id="rId476" ref="H476"/>
    <hyperlink r:id="rId477" ref="H477"/>
    <hyperlink r:id="rId478" ref="H478"/>
    <hyperlink r:id="rId479" ref="H479"/>
    <hyperlink r:id="rId480" ref="H480"/>
    <hyperlink r:id="rId481" ref="H481"/>
    <hyperlink r:id="rId482" ref="H482"/>
    <hyperlink r:id="rId483" ref="H483"/>
    <hyperlink r:id="rId484" ref="H484"/>
    <hyperlink r:id="rId485" ref="H485"/>
    <hyperlink r:id="rId486" ref="H486"/>
    <hyperlink r:id="rId487" ref="H487"/>
    <hyperlink r:id="rId488" ref="H488"/>
    <hyperlink r:id="rId489" ref="H489"/>
    <hyperlink r:id="rId490" ref="H490"/>
    <hyperlink r:id="rId491" ref="H491"/>
    <hyperlink r:id="rId492" ref="H492"/>
    <hyperlink r:id="rId493" ref="H493"/>
    <hyperlink r:id="rId494" ref="H494"/>
    <hyperlink r:id="rId495" ref="H495"/>
    <hyperlink r:id="rId496" ref="H496"/>
    <hyperlink r:id="rId497" ref="H497"/>
    <hyperlink r:id="rId498" ref="H498"/>
    <hyperlink r:id="rId499" ref="H499"/>
    <hyperlink r:id="rId500" ref="H500"/>
    <hyperlink r:id="rId501" ref="H501"/>
    <hyperlink r:id="rId502" ref="H502"/>
    <hyperlink r:id="rId503" ref="H503"/>
    <hyperlink r:id="rId504" ref="H504"/>
    <hyperlink r:id="rId505" ref="H505"/>
    <hyperlink r:id="rId506" ref="H506"/>
    <hyperlink r:id="rId507" ref="H507"/>
    <hyperlink r:id="rId508" ref="H508"/>
    <hyperlink r:id="rId509" ref="H509"/>
    <hyperlink r:id="rId510" ref="H510"/>
    <hyperlink r:id="rId511" ref="H511"/>
    <hyperlink r:id="rId512" ref="H512"/>
    <hyperlink r:id="rId513" ref="H513"/>
    <hyperlink r:id="rId514" ref="H514"/>
    <hyperlink r:id="rId515" ref="H515"/>
    <hyperlink r:id="rId516" ref="H516"/>
    <hyperlink r:id="rId517" ref="H517"/>
    <hyperlink r:id="rId518" ref="H518"/>
    <hyperlink r:id="rId519" ref="H519"/>
    <hyperlink r:id="rId520" ref="H520"/>
    <hyperlink r:id="rId521" ref="H521"/>
    <hyperlink r:id="rId522" ref="H522"/>
    <hyperlink r:id="rId523" ref="H523"/>
    <hyperlink r:id="rId524" ref="H524"/>
    <hyperlink r:id="rId525" ref="H525"/>
    <hyperlink r:id="rId526" ref="H526"/>
    <hyperlink r:id="rId527" ref="H527"/>
    <hyperlink r:id="rId528" ref="H528"/>
    <hyperlink r:id="rId529" ref="H529"/>
    <hyperlink r:id="rId530" ref="H530"/>
    <hyperlink r:id="rId531" ref="H531"/>
    <hyperlink r:id="rId532" ref="H532"/>
    <hyperlink r:id="rId533" ref="H533"/>
    <hyperlink r:id="rId534" ref="H534"/>
    <hyperlink r:id="rId535" ref="H535"/>
    <hyperlink r:id="rId536" ref="H536"/>
    <hyperlink r:id="rId537" ref="H537"/>
    <hyperlink r:id="rId538" ref="H538"/>
    <hyperlink r:id="rId539" ref="H539"/>
    <hyperlink r:id="rId540" ref="H540"/>
    <hyperlink r:id="rId541" ref="H541"/>
    <hyperlink r:id="rId542" ref="H542"/>
    <hyperlink r:id="rId543" ref="H543"/>
    <hyperlink r:id="rId544" ref="H544"/>
    <hyperlink r:id="rId545" ref="H545"/>
    <hyperlink r:id="rId546" ref="H546"/>
    <hyperlink r:id="rId547" ref="H547"/>
    <hyperlink r:id="rId548" ref="H548"/>
    <hyperlink r:id="rId549" ref="H549"/>
    <hyperlink r:id="rId550" ref="H550"/>
    <hyperlink r:id="rId551" ref="H551"/>
    <hyperlink r:id="rId552" ref="H552"/>
    <hyperlink r:id="rId553" ref="H553"/>
    <hyperlink r:id="rId554" ref="H554"/>
    <hyperlink r:id="rId555" ref="H555"/>
    <hyperlink r:id="rId556" ref="H556"/>
    <hyperlink r:id="rId557" ref="H557"/>
    <hyperlink r:id="rId558" ref="H558"/>
    <hyperlink r:id="rId559" ref="H559"/>
    <hyperlink r:id="rId560" ref="H560"/>
    <hyperlink r:id="rId561" ref="H561"/>
    <hyperlink r:id="rId562" ref="B562"/>
    <hyperlink r:id="rId563" ref="H562"/>
    <hyperlink r:id="rId564" ref="H563"/>
    <hyperlink r:id="rId565" ref="H564"/>
    <hyperlink r:id="rId566" ref="H565"/>
    <hyperlink r:id="rId567" ref="H566"/>
    <hyperlink r:id="rId568" ref="H567"/>
    <hyperlink r:id="rId569" ref="H568"/>
    <hyperlink r:id="rId570" ref="H569"/>
    <hyperlink r:id="rId571" ref="H570"/>
    <hyperlink r:id="rId572" ref="H571"/>
    <hyperlink r:id="rId573" ref="H572"/>
    <hyperlink r:id="rId574" ref="H573"/>
    <hyperlink r:id="rId575" ref="H574"/>
    <hyperlink r:id="rId576" ref="H575"/>
    <hyperlink r:id="rId577" ref="H576"/>
    <hyperlink r:id="rId578" ref="H577"/>
    <hyperlink r:id="rId579" ref="H578"/>
    <hyperlink r:id="rId580" ref="H579"/>
    <hyperlink r:id="rId581" ref="H580"/>
    <hyperlink r:id="rId582" ref="H581"/>
    <hyperlink r:id="rId583" ref="H582"/>
    <hyperlink r:id="rId584" ref="H583"/>
    <hyperlink r:id="rId585" ref="H584"/>
    <hyperlink r:id="rId586" ref="H585"/>
    <hyperlink r:id="rId587" ref="H586"/>
    <hyperlink r:id="rId588" ref="H587"/>
    <hyperlink r:id="rId589" ref="H588"/>
    <hyperlink r:id="rId590" ref="H589"/>
    <hyperlink r:id="rId591" ref="H590"/>
    <hyperlink r:id="rId592" ref="H591"/>
    <hyperlink r:id="rId593" ref="H592"/>
    <hyperlink r:id="rId594" ref="H593"/>
    <hyperlink r:id="rId595" ref="H594"/>
    <hyperlink r:id="rId596" ref="H595"/>
    <hyperlink r:id="rId597" ref="H596"/>
    <hyperlink r:id="rId598" ref="H597"/>
    <hyperlink r:id="rId599" ref="H598"/>
    <hyperlink r:id="rId600" ref="H599"/>
    <hyperlink r:id="rId601" ref="H600"/>
    <hyperlink r:id="rId602" ref="H601"/>
    <hyperlink r:id="rId603" ref="H602"/>
    <hyperlink r:id="rId604" ref="H603"/>
    <hyperlink r:id="rId605" ref="H604"/>
    <hyperlink r:id="rId606" ref="H605"/>
    <hyperlink r:id="rId607" ref="H606"/>
    <hyperlink r:id="rId608" ref="H607"/>
    <hyperlink r:id="rId609" ref="H608"/>
    <hyperlink r:id="rId610" ref="H609"/>
    <hyperlink r:id="rId611" ref="H610"/>
    <hyperlink r:id="rId612" ref="H611"/>
    <hyperlink r:id="rId613" ref="H612"/>
    <hyperlink r:id="rId614" ref="H613"/>
    <hyperlink r:id="rId615" ref="H614"/>
    <hyperlink r:id="rId616" ref="H615"/>
    <hyperlink r:id="rId617" ref="H616"/>
    <hyperlink r:id="rId618" ref="H617"/>
    <hyperlink r:id="rId619" ref="H618"/>
    <hyperlink r:id="rId620" ref="H619"/>
    <hyperlink r:id="rId621" ref="H620"/>
    <hyperlink r:id="rId622" ref="H621"/>
    <hyperlink r:id="rId623" ref="H622"/>
    <hyperlink r:id="rId624" ref="H623"/>
    <hyperlink r:id="rId625" ref="H624"/>
    <hyperlink r:id="rId626" ref="H625"/>
    <hyperlink r:id="rId627" ref="H626"/>
    <hyperlink r:id="rId628" ref="H627"/>
    <hyperlink r:id="rId629" ref="H628"/>
    <hyperlink r:id="rId630" ref="H629"/>
    <hyperlink r:id="rId631" ref="H630"/>
    <hyperlink r:id="rId632" ref="H631"/>
    <hyperlink r:id="rId633" ref="H632"/>
    <hyperlink r:id="rId634" ref="H633"/>
    <hyperlink r:id="rId635" ref="H634"/>
    <hyperlink r:id="rId636" ref="H635"/>
    <hyperlink r:id="rId637" ref="H636"/>
    <hyperlink r:id="rId638" ref="H637"/>
    <hyperlink r:id="rId639" ref="H638"/>
    <hyperlink r:id="rId640" ref="H639"/>
    <hyperlink r:id="rId641" ref="H640"/>
    <hyperlink r:id="rId642" ref="H641"/>
    <hyperlink r:id="rId643" ref="H642"/>
    <hyperlink r:id="rId644" ref="H643"/>
    <hyperlink r:id="rId645" ref="H644"/>
    <hyperlink r:id="rId646" ref="H645"/>
    <hyperlink r:id="rId647" ref="H646"/>
    <hyperlink r:id="rId648" ref="H647"/>
    <hyperlink r:id="rId649" ref="H648"/>
    <hyperlink r:id="rId650" ref="H649"/>
    <hyperlink r:id="rId651" ref="H650"/>
    <hyperlink r:id="rId652" ref="H651"/>
    <hyperlink r:id="rId653" ref="H652"/>
    <hyperlink r:id="rId654" ref="H653"/>
    <hyperlink r:id="rId655" ref="H654"/>
    <hyperlink r:id="rId656" ref="H655"/>
    <hyperlink r:id="rId657" ref="H656"/>
    <hyperlink r:id="rId658" ref="H657"/>
    <hyperlink r:id="rId659" ref="H658"/>
    <hyperlink r:id="rId660" ref="H659"/>
    <hyperlink r:id="rId661" ref="H660"/>
    <hyperlink r:id="rId662" ref="H661"/>
    <hyperlink r:id="rId663" ref="H662"/>
    <hyperlink r:id="rId664" ref="H663"/>
    <hyperlink r:id="rId665" ref="H664"/>
    <hyperlink r:id="rId666" ref="H665"/>
    <hyperlink r:id="rId667" ref="H666"/>
    <hyperlink r:id="rId668" ref="H667"/>
    <hyperlink r:id="rId669" ref="H668"/>
    <hyperlink r:id="rId670" ref="H669"/>
    <hyperlink r:id="rId671" ref="H670"/>
    <hyperlink r:id="rId672" ref="H671"/>
    <hyperlink r:id="rId673" ref="H672"/>
    <hyperlink r:id="rId674" ref="H673"/>
    <hyperlink r:id="rId675" ref="H674"/>
    <hyperlink r:id="rId676" ref="H675"/>
    <hyperlink r:id="rId677" ref="H676"/>
    <hyperlink r:id="rId678" ref="H677"/>
    <hyperlink r:id="rId679" ref="H678"/>
    <hyperlink r:id="rId680" ref="H679"/>
    <hyperlink r:id="rId681" ref="H680"/>
    <hyperlink r:id="rId682" ref="H681"/>
    <hyperlink r:id="rId683" ref="H682"/>
    <hyperlink r:id="rId684" ref="H683"/>
    <hyperlink r:id="rId685" ref="H684"/>
    <hyperlink r:id="rId686" ref="H685"/>
    <hyperlink r:id="rId687" ref="H686"/>
    <hyperlink r:id="rId688" ref="H687"/>
    <hyperlink r:id="rId689" ref="H688"/>
    <hyperlink r:id="rId690" ref="H689"/>
    <hyperlink r:id="rId691" ref="H690"/>
    <hyperlink r:id="rId692" ref="H691"/>
    <hyperlink r:id="rId693" ref="H692"/>
    <hyperlink r:id="rId694" ref="H693"/>
    <hyperlink r:id="rId695" ref="H694"/>
    <hyperlink r:id="rId696" ref="H695"/>
    <hyperlink r:id="rId697" ref="H696"/>
    <hyperlink r:id="rId698" ref="H697"/>
    <hyperlink r:id="rId699" ref="H698"/>
    <hyperlink r:id="rId700" ref="H699"/>
    <hyperlink r:id="rId701" ref="H700"/>
    <hyperlink r:id="rId702" ref="H701"/>
    <hyperlink r:id="rId703" ref="H702"/>
    <hyperlink r:id="rId704" ref="H703"/>
    <hyperlink r:id="rId705" ref="H704"/>
    <hyperlink r:id="rId706" ref="H705"/>
    <hyperlink r:id="rId707" ref="H706"/>
    <hyperlink r:id="rId708" ref="H707"/>
    <hyperlink r:id="rId709" ref="H708"/>
    <hyperlink r:id="rId710" ref="H709"/>
    <hyperlink r:id="rId711" ref="H710"/>
    <hyperlink r:id="rId712" ref="H711"/>
    <hyperlink r:id="rId713" ref="H712"/>
    <hyperlink r:id="rId714" ref="H713"/>
    <hyperlink r:id="rId715" ref="H714"/>
    <hyperlink r:id="rId716" ref="H715"/>
    <hyperlink r:id="rId717" ref="H716"/>
    <hyperlink r:id="rId718" ref="H717"/>
    <hyperlink r:id="rId719" ref="H718"/>
    <hyperlink r:id="rId720" ref="H719"/>
    <hyperlink r:id="rId721" ref="H720"/>
    <hyperlink r:id="rId722" ref="H721"/>
    <hyperlink r:id="rId723" ref="H722"/>
    <hyperlink r:id="rId724" ref="H723"/>
    <hyperlink r:id="rId725" ref="H724"/>
    <hyperlink r:id="rId726" ref="H725"/>
    <hyperlink r:id="rId727" ref="H726"/>
    <hyperlink r:id="rId728" ref="H727"/>
    <hyperlink r:id="rId729" ref="H728"/>
    <hyperlink r:id="rId730" ref="H729"/>
    <hyperlink r:id="rId731" ref="H730"/>
    <hyperlink r:id="rId732" ref="H731"/>
    <hyperlink r:id="rId733" ref="H732"/>
    <hyperlink r:id="rId734" ref="H733"/>
    <hyperlink r:id="rId735" ref="H734"/>
    <hyperlink r:id="rId736" ref="H735"/>
    <hyperlink r:id="rId737" ref="H736"/>
    <hyperlink r:id="rId738" ref="H737"/>
    <hyperlink r:id="rId739" ref="H738"/>
    <hyperlink r:id="rId740" ref="H739"/>
    <hyperlink r:id="rId741" ref="H740"/>
    <hyperlink r:id="rId742" ref="H741"/>
    <hyperlink r:id="rId743" ref="H742"/>
    <hyperlink r:id="rId744" ref="H743"/>
    <hyperlink r:id="rId745" ref="H744"/>
    <hyperlink r:id="rId746" ref="H745"/>
    <hyperlink r:id="rId747" ref="H746"/>
    <hyperlink r:id="rId748" ref="H747"/>
    <hyperlink r:id="rId749" ref="H748"/>
    <hyperlink r:id="rId750" ref="H749"/>
    <hyperlink r:id="rId751" ref="H750"/>
    <hyperlink r:id="rId752" ref="H751"/>
    <hyperlink r:id="rId753" ref="H752"/>
    <hyperlink r:id="rId754" ref="H753"/>
    <hyperlink r:id="rId755" ref="H754"/>
    <hyperlink r:id="rId756" ref="H755"/>
    <hyperlink r:id="rId757" ref="H756"/>
    <hyperlink r:id="rId758" ref="H757"/>
    <hyperlink r:id="rId759" ref="H758"/>
    <hyperlink r:id="rId760" ref="H759"/>
    <hyperlink r:id="rId761" ref="H760"/>
    <hyperlink r:id="rId762" ref="H761"/>
    <hyperlink r:id="rId763" ref="H762"/>
    <hyperlink r:id="rId764" ref="H763"/>
    <hyperlink r:id="rId765" ref="H764"/>
    <hyperlink r:id="rId766" ref="H765"/>
    <hyperlink r:id="rId767" ref="H766"/>
    <hyperlink r:id="rId768" ref="H767"/>
    <hyperlink r:id="rId769" ref="H768"/>
    <hyperlink r:id="rId770" ref="H769"/>
    <hyperlink r:id="rId771" ref="H770"/>
    <hyperlink r:id="rId772" ref="H771"/>
    <hyperlink r:id="rId773" ref="H772"/>
    <hyperlink r:id="rId774" ref="H773"/>
    <hyperlink r:id="rId775" ref="H774"/>
    <hyperlink r:id="rId776" ref="H775"/>
    <hyperlink r:id="rId777" ref="H776"/>
    <hyperlink r:id="rId778" ref="H777"/>
    <hyperlink r:id="rId779" ref="H778"/>
    <hyperlink r:id="rId780" ref="H779"/>
    <hyperlink r:id="rId781" ref="H780"/>
    <hyperlink r:id="rId782" ref="H781"/>
    <hyperlink r:id="rId783" ref="H782"/>
    <hyperlink r:id="rId784" ref="H783"/>
    <hyperlink r:id="rId785" ref="H784"/>
    <hyperlink r:id="rId786" ref="H785"/>
    <hyperlink r:id="rId787" ref="H786"/>
    <hyperlink r:id="rId788" ref="H787"/>
    <hyperlink r:id="rId789" ref="H788"/>
    <hyperlink r:id="rId790" ref="H789"/>
    <hyperlink r:id="rId791" ref="H790"/>
    <hyperlink r:id="rId792" ref="H791"/>
    <hyperlink r:id="rId793" ref="H792"/>
    <hyperlink r:id="rId794" ref="H793"/>
    <hyperlink r:id="rId795" ref="H794"/>
    <hyperlink r:id="rId796" ref="H795"/>
    <hyperlink r:id="rId797" ref="H796"/>
    <hyperlink r:id="rId798" ref="H797"/>
    <hyperlink r:id="rId799" ref="H798"/>
    <hyperlink r:id="rId800" ref="H799"/>
    <hyperlink r:id="rId801" ref="H800"/>
    <hyperlink r:id="rId802" ref="H801"/>
    <hyperlink r:id="rId803" ref="H802"/>
    <hyperlink r:id="rId804" ref="H803"/>
    <hyperlink r:id="rId805" ref="H804"/>
    <hyperlink r:id="rId806" ref="H805"/>
    <hyperlink r:id="rId807" ref="H806"/>
    <hyperlink r:id="rId808" ref="H807"/>
    <hyperlink r:id="rId809" ref="H808"/>
    <hyperlink r:id="rId810" ref="H809"/>
    <hyperlink r:id="rId811" ref="H810"/>
    <hyperlink r:id="rId812" ref="H811"/>
    <hyperlink r:id="rId813" ref="H812"/>
    <hyperlink r:id="rId814" ref="H813"/>
    <hyperlink r:id="rId815" ref="H814"/>
    <hyperlink r:id="rId816" ref="H815"/>
    <hyperlink r:id="rId817" ref="H816"/>
    <hyperlink r:id="rId818" ref="H817"/>
    <hyperlink r:id="rId819" ref="H818"/>
    <hyperlink r:id="rId820" ref="H819"/>
    <hyperlink r:id="rId821" ref="H820"/>
    <hyperlink r:id="rId822" ref="H821"/>
    <hyperlink r:id="rId823" ref="H822"/>
    <hyperlink r:id="rId824" ref="H823"/>
    <hyperlink r:id="rId825" ref="H824"/>
    <hyperlink r:id="rId826" ref="H825"/>
    <hyperlink r:id="rId827" ref="H826"/>
    <hyperlink r:id="rId828" ref="H827"/>
    <hyperlink r:id="rId829" ref="H828"/>
    <hyperlink r:id="rId830" ref="H829"/>
    <hyperlink r:id="rId831" ref="H830"/>
    <hyperlink r:id="rId832" ref="H831"/>
    <hyperlink r:id="rId833" ref="H832"/>
    <hyperlink r:id="rId834" ref="H833"/>
    <hyperlink r:id="rId835" ref="H834"/>
    <hyperlink r:id="rId836" ref="H835"/>
    <hyperlink r:id="rId837" ref="H836"/>
    <hyperlink r:id="rId838" ref="H837"/>
    <hyperlink r:id="rId839" ref="H838"/>
    <hyperlink r:id="rId840" ref="H839"/>
    <hyperlink r:id="rId841" ref="H840"/>
    <hyperlink r:id="rId842" ref="H841"/>
    <hyperlink r:id="rId843" ref="H842"/>
    <hyperlink r:id="rId844" ref="H843"/>
    <hyperlink r:id="rId845" ref="H844"/>
    <hyperlink r:id="rId846" ref="H845"/>
    <hyperlink r:id="rId847" ref="H846"/>
    <hyperlink r:id="rId848" ref="H847"/>
    <hyperlink r:id="rId849" ref="H848"/>
    <hyperlink r:id="rId850" ref="H849"/>
    <hyperlink r:id="rId851" ref="H850"/>
    <hyperlink r:id="rId852" ref="H851"/>
    <hyperlink r:id="rId853" ref="H852"/>
    <hyperlink r:id="rId854" ref="H853"/>
    <hyperlink r:id="rId855" ref="H854"/>
    <hyperlink r:id="rId856" ref="H855"/>
    <hyperlink r:id="rId857" ref="H856"/>
    <hyperlink r:id="rId858" ref="H857"/>
    <hyperlink r:id="rId859" ref="H858"/>
    <hyperlink r:id="rId860" ref="H859"/>
    <hyperlink r:id="rId861" ref="H860"/>
    <hyperlink r:id="rId862" ref="H861"/>
    <hyperlink r:id="rId863" ref="H862"/>
    <hyperlink r:id="rId864" ref="H863"/>
    <hyperlink r:id="rId865" ref="H864"/>
    <hyperlink r:id="rId866" ref="H865"/>
    <hyperlink r:id="rId867" ref="H866"/>
    <hyperlink r:id="rId868" ref="H867"/>
    <hyperlink r:id="rId869" ref="H868"/>
    <hyperlink r:id="rId870" ref="H869"/>
    <hyperlink r:id="rId871" ref="H870"/>
    <hyperlink r:id="rId872" ref="H871"/>
    <hyperlink r:id="rId873" ref="H872"/>
    <hyperlink r:id="rId874" ref="H873"/>
    <hyperlink r:id="rId875" ref="H874"/>
    <hyperlink r:id="rId876" ref="H875"/>
    <hyperlink r:id="rId877" ref="H876"/>
    <hyperlink r:id="rId878" ref="H877"/>
    <hyperlink r:id="rId879" ref="H878"/>
    <hyperlink r:id="rId880" ref="H879"/>
    <hyperlink r:id="rId881" ref="H880"/>
    <hyperlink r:id="rId882" ref="H881"/>
    <hyperlink r:id="rId883" ref="H882"/>
    <hyperlink r:id="rId884" ref="H883"/>
    <hyperlink r:id="rId885" ref="H884"/>
    <hyperlink r:id="rId886" ref="H885"/>
    <hyperlink r:id="rId887" ref="H886"/>
    <hyperlink r:id="rId888" ref="H887"/>
    <hyperlink r:id="rId889" ref="H888"/>
    <hyperlink r:id="rId890" ref="H889"/>
    <hyperlink r:id="rId891" ref="H890"/>
    <hyperlink r:id="rId892" ref="H891"/>
    <hyperlink r:id="rId893" ref="H892"/>
    <hyperlink r:id="rId894" ref="H893"/>
    <hyperlink r:id="rId895" ref="H894"/>
    <hyperlink r:id="rId896" ref="H895"/>
    <hyperlink r:id="rId897" ref="H896"/>
    <hyperlink r:id="rId898" ref="H897"/>
    <hyperlink r:id="rId899" ref="H898"/>
    <hyperlink r:id="rId900" ref="H899"/>
    <hyperlink r:id="rId901" ref="H900"/>
    <hyperlink r:id="rId902" ref="H901"/>
    <hyperlink r:id="rId903" ref="H902"/>
    <hyperlink r:id="rId904" ref="H903"/>
    <hyperlink r:id="rId905" ref="H904"/>
    <hyperlink r:id="rId906" ref="H905"/>
    <hyperlink r:id="rId907" ref="H906"/>
    <hyperlink r:id="rId908" ref="H907"/>
    <hyperlink r:id="rId909" ref="H908"/>
    <hyperlink r:id="rId910" ref="H909"/>
    <hyperlink r:id="rId911" ref="H910"/>
    <hyperlink r:id="rId912" ref="H911"/>
    <hyperlink r:id="rId913" ref="H912"/>
    <hyperlink r:id="rId914" ref="H913"/>
    <hyperlink r:id="rId915" ref="H914"/>
    <hyperlink r:id="rId916" ref="H915"/>
    <hyperlink r:id="rId917" ref="H916"/>
    <hyperlink r:id="rId918" ref="H917"/>
    <hyperlink r:id="rId919" ref="H918"/>
    <hyperlink r:id="rId920" ref="H919"/>
    <hyperlink r:id="rId921" ref="H920"/>
    <hyperlink r:id="rId922" ref="H921"/>
    <hyperlink r:id="rId923" ref="H922"/>
    <hyperlink r:id="rId924" ref="H923"/>
    <hyperlink r:id="rId925" ref="H924"/>
    <hyperlink r:id="rId926" ref="H925"/>
    <hyperlink r:id="rId927" ref="H926"/>
    <hyperlink r:id="rId928" ref="H927"/>
    <hyperlink r:id="rId929" ref="H928"/>
    <hyperlink r:id="rId930" ref="H929"/>
    <hyperlink r:id="rId931" ref="H930"/>
    <hyperlink r:id="rId932" ref="H931"/>
    <hyperlink r:id="rId933" ref="H932"/>
    <hyperlink r:id="rId934" ref="H933"/>
    <hyperlink r:id="rId935" ref="H934"/>
    <hyperlink r:id="rId936" ref="H935"/>
    <hyperlink r:id="rId937" ref="H936"/>
    <hyperlink r:id="rId938" ref="H937"/>
    <hyperlink r:id="rId939" ref="H938"/>
    <hyperlink r:id="rId940" ref="H939"/>
    <hyperlink r:id="rId941" ref="H940"/>
    <hyperlink r:id="rId942" ref="H941"/>
    <hyperlink r:id="rId943" ref="H942"/>
    <hyperlink r:id="rId944" ref="H943"/>
    <hyperlink r:id="rId945" ref="H944"/>
    <hyperlink r:id="rId946" ref="H945"/>
    <hyperlink r:id="rId947" ref="H946"/>
    <hyperlink r:id="rId948" ref="H947"/>
    <hyperlink r:id="rId949" ref="H948"/>
    <hyperlink r:id="rId950" ref="H949"/>
    <hyperlink r:id="rId951" ref="H950"/>
    <hyperlink r:id="rId952" ref="H951"/>
    <hyperlink r:id="rId953" ref="H952"/>
    <hyperlink r:id="rId954" ref="H953"/>
    <hyperlink r:id="rId955" ref="H954"/>
    <hyperlink r:id="rId956" ref="H955"/>
    <hyperlink r:id="rId957" ref="H956"/>
    <hyperlink r:id="rId958" ref="H957"/>
    <hyperlink r:id="rId959" ref="H958"/>
    <hyperlink r:id="rId960" ref="H959"/>
    <hyperlink r:id="rId961" ref="H960"/>
    <hyperlink r:id="rId962" ref="H961"/>
    <hyperlink r:id="rId963" ref="H962"/>
    <hyperlink r:id="rId964" ref="H963"/>
    <hyperlink r:id="rId965" ref="H964"/>
    <hyperlink r:id="rId966" ref="H965"/>
    <hyperlink r:id="rId967" ref="H966"/>
    <hyperlink r:id="rId968" ref="H967"/>
    <hyperlink r:id="rId969" ref="H968"/>
    <hyperlink r:id="rId970" ref="H969"/>
    <hyperlink r:id="rId971" ref="H970"/>
    <hyperlink r:id="rId972" ref="H971"/>
    <hyperlink r:id="rId973" ref="H972"/>
    <hyperlink r:id="rId974" ref="H973"/>
    <hyperlink r:id="rId975" ref="H974"/>
    <hyperlink r:id="rId976" ref="H975"/>
    <hyperlink r:id="rId977" ref="H976"/>
    <hyperlink r:id="rId978" ref="H977"/>
    <hyperlink r:id="rId979" ref="H978"/>
    <hyperlink r:id="rId980" ref="H979"/>
    <hyperlink r:id="rId981" ref="H980"/>
    <hyperlink r:id="rId982" ref="H981"/>
    <hyperlink r:id="rId983" ref="H982"/>
    <hyperlink r:id="rId984" ref="H983"/>
    <hyperlink r:id="rId985" ref="H984"/>
    <hyperlink r:id="rId986" ref="H985"/>
    <hyperlink r:id="rId987" ref="H986"/>
    <hyperlink r:id="rId988" ref="H987"/>
    <hyperlink r:id="rId989" ref="H988"/>
    <hyperlink r:id="rId990" ref="H989"/>
    <hyperlink r:id="rId991" ref="H990"/>
    <hyperlink r:id="rId992" ref="H991"/>
    <hyperlink r:id="rId993" ref="H992"/>
    <hyperlink r:id="rId994" ref="H993"/>
    <hyperlink r:id="rId995" ref="H994"/>
    <hyperlink r:id="rId996" ref="H995"/>
    <hyperlink r:id="rId997" ref="B996"/>
    <hyperlink r:id="rId998" ref="H996"/>
    <hyperlink r:id="rId999" ref="H997"/>
    <hyperlink r:id="rId1000" ref="H998"/>
    <hyperlink r:id="rId1001" ref="H999"/>
    <hyperlink r:id="rId1002" ref="H1000"/>
    <hyperlink r:id="rId1003" ref="H1001"/>
    <hyperlink r:id="rId1004" ref="H1002"/>
    <hyperlink r:id="rId1005" ref="H1003"/>
    <hyperlink r:id="rId1006" ref="H1004"/>
    <hyperlink r:id="rId1007" ref="H1005"/>
    <hyperlink r:id="rId1008" ref="H1006"/>
    <hyperlink r:id="rId1009" ref="H1007"/>
    <hyperlink r:id="rId1010" ref="H1008"/>
    <hyperlink r:id="rId1011" ref="H1009"/>
    <hyperlink r:id="rId1012" ref="H1010"/>
    <hyperlink r:id="rId1013" ref="H1011"/>
    <hyperlink r:id="rId1014" ref="H1012"/>
    <hyperlink r:id="rId1015" ref="H1013"/>
    <hyperlink r:id="rId1016" ref="H1014"/>
    <hyperlink r:id="rId1017" ref="H1015"/>
    <hyperlink r:id="rId1018" ref="H1016"/>
    <hyperlink r:id="rId1019" ref="H1017"/>
    <hyperlink r:id="rId1020" ref="H1018"/>
    <hyperlink r:id="rId1021" ref="H1019"/>
    <hyperlink r:id="rId1022" ref="H1020"/>
    <hyperlink r:id="rId1023" ref="H1021"/>
    <hyperlink r:id="rId1024" ref="H1022"/>
    <hyperlink r:id="rId1025" ref="H1023"/>
    <hyperlink r:id="rId1026" ref="H1024"/>
    <hyperlink r:id="rId1027" ref="H1025"/>
    <hyperlink r:id="rId1028" ref="H1026"/>
    <hyperlink r:id="rId1029" ref="H1027"/>
    <hyperlink r:id="rId1030" ref="H1028"/>
    <hyperlink r:id="rId1031" ref="H1029"/>
    <hyperlink r:id="rId1032" ref="H1030"/>
    <hyperlink r:id="rId1033" ref="H1031"/>
    <hyperlink r:id="rId1034" ref="H1032"/>
    <hyperlink r:id="rId1035" ref="H1033"/>
    <hyperlink r:id="rId1036" ref="H1034"/>
    <hyperlink r:id="rId1037" ref="H1035"/>
    <hyperlink r:id="rId1038" ref="H1036"/>
    <hyperlink r:id="rId1039" ref="H1037"/>
    <hyperlink r:id="rId1040" ref="H1038"/>
    <hyperlink r:id="rId1041" ref="H1039"/>
    <hyperlink r:id="rId1042" ref="H1040"/>
    <hyperlink r:id="rId1043" ref="H1041"/>
    <hyperlink r:id="rId1044" ref="H1042"/>
    <hyperlink r:id="rId1045" ref="H1043"/>
    <hyperlink r:id="rId1046" ref="H1044"/>
    <hyperlink r:id="rId1047" ref="H1045"/>
    <hyperlink r:id="rId1048" ref="H1046"/>
    <hyperlink r:id="rId1049" ref="H1047"/>
    <hyperlink r:id="rId1050" ref="H1048"/>
    <hyperlink r:id="rId1051" ref="H1049"/>
    <hyperlink r:id="rId1052" ref="H1050"/>
    <hyperlink r:id="rId1053" ref="H1051"/>
    <hyperlink r:id="rId1054" ref="H1052"/>
    <hyperlink r:id="rId1055" ref="H1053"/>
    <hyperlink r:id="rId1056" ref="H1054"/>
    <hyperlink r:id="rId1057" ref="H1055"/>
    <hyperlink r:id="rId1058" ref="H1056"/>
    <hyperlink r:id="rId1059" ref="H1057"/>
    <hyperlink r:id="rId1060" ref="H1058"/>
    <hyperlink r:id="rId1061" ref="H1059"/>
    <hyperlink r:id="rId1062" ref="H1060"/>
    <hyperlink r:id="rId1063" ref="H1061"/>
    <hyperlink r:id="rId1064" ref="H1062"/>
    <hyperlink r:id="rId1065" ref="H1063"/>
    <hyperlink r:id="rId1066" ref="H1064"/>
    <hyperlink r:id="rId1067" ref="H1065"/>
    <hyperlink r:id="rId1068" ref="H1066"/>
    <hyperlink r:id="rId1069" ref="H1067"/>
    <hyperlink r:id="rId1070" ref="H1068"/>
    <hyperlink r:id="rId1071" ref="H1069"/>
    <hyperlink r:id="rId1072" ref="H1070"/>
    <hyperlink r:id="rId1073" ref="H1071"/>
    <hyperlink r:id="rId1074" ref="H1072"/>
    <hyperlink r:id="rId1075" ref="H1073"/>
    <hyperlink r:id="rId1076" ref="H1074"/>
    <hyperlink r:id="rId1077" ref="H1075"/>
    <hyperlink r:id="rId1078" ref="H1076"/>
    <hyperlink r:id="rId1079" ref="H1077"/>
    <hyperlink r:id="rId1080" ref="H1078"/>
    <hyperlink r:id="rId1081" ref="H1079"/>
    <hyperlink r:id="rId1082" ref="H1080"/>
    <hyperlink r:id="rId1083" ref="H1081"/>
    <hyperlink r:id="rId1084" ref="H1082"/>
    <hyperlink r:id="rId1085" ref="H1083"/>
    <hyperlink r:id="rId1086" ref="H1084"/>
    <hyperlink r:id="rId1087" ref="H1085"/>
    <hyperlink r:id="rId1088" ref="H1086"/>
    <hyperlink r:id="rId1089" ref="H1087"/>
    <hyperlink r:id="rId1090" ref="H1088"/>
    <hyperlink r:id="rId1091" ref="H1089"/>
    <hyperlink r:id="rId1092" ref="H1090"/>
    <hyperlink r:id="rId1093" ref="H1091"/>
    <hyperlink r:id="rId1094" ref="H1092"/>
    <hyperlink r:id="rId1095" ref="H1093"/>
    <hyperlink r:id="rId1096" ref="H1094"/>
    <hyperlink r:id="rId1097" ref="H1095"/>
    <hyperlink r:id="rId1098" ref="H1096"/>
    <hyperlink r:id="rId1099" ref="H1097"/>
    <hyperlink r:id="rId1100" ref="H1098"/>
    <hyperlink r:id="rId1101" ref="H1099"/>
    <hyperlink r:id="rId1102" ref="H1100"/>
    <hyperlink r:id="rId1103" ref="H1101"/>
    <hyperlink r:id="rId1104" ref="H1102"/>
    <hyperlink r:id="rId1105" ref="H1103"/>
    <hyperlink r:id="rId1106" ref="H1104"/>
    <hyperlink r:id="rId1107" ref="H1105"/>
    <hyperlink r:id="rId1108" ref="H1106"/>
    <hyperlink r:id="rId1109" ref="H1107"/>
    <hyperlink r:id="rId1110" ref="H1108"/>
    <hyperlink r:id="rId1111" ref="H1109"/>
    <hyperlink r:id="rId1112" ref="H1110"/>
    <hyperlink r:id="rId1113" ref="H1111"/>
    <hyperlink r:id="rId1114" ref="H1112"/>
    <hyperlink r:id="rId1115" ref="H1113"/>
    <hyperlink r:id="rId1116" ref="H1114"/>
    <hyperlink r:id="rId1117" ref="H1115"/>
    <hyperlink r:id="rId1118" ref="H1116"/>
    <hyperlink r:id="rId1119" ref="H1117"/>
    <hyperlink r:id="rId1120" ref="H1118"/>
    <hyperlink r:id="rId1121" ref="H1119"/>
    <hyperlink r:id="rId1122" ref="H1120"/>
    <hyperlink r:id="rId1123" ref="H1121"/>
    <hyperlink r:id="rId1124" ref="H1122"/>
    <hyperlink r:id="rId1125" ref="H1123"/>
    <hyperlink r:id="rId1126" ref="H1124"/>
    <hyperlink r:id="rId1127" ref="H1125"/>
    <hyperlink r:id="rId1128" ref="H1126"/>
    <hyperlink r:id="rId1129" ref="H1127"/>
    <hyperlink r:id="rId1130" ref="H1128"/>
    <hyperlink r:id="rId1131" ref="H1129"/>
    <hyperlink r:id="rId1132" ref="H1130"/>
    <hyperlink r:id="rId1133" ref="H1131"/>
    <hyperlink r:id="rId1134" ref="H1132"/>
    <hyperlink r:id="rId1135" ref="H1133"/>
    <hyperlink r:id="rId1136" ref="H1134"/>
    <hyperlink r:id="rId1137" ref="H1135"/>
    <hyperlink r:id="rId1138" ref="H1136"/>
    <hyperlink r:id="rId1139" ref="H1137"/>
    <hyperlink r:id="rId1140" ref="H1138"/>
    <hyperlink r:id="rId1141" ref="H1139"/>
    <hyperlink r:id="rId1142" ref="H1140"/>
    <hyperlink r:id="rId1143" ref="H1141"/>
    <hyperlink r:id="rId1144" ref="H1142"/>
    <hyperlink r:id="rId1145" ref="H1143"/>
    <hyperlink r:id="rId1146" ref="H1144"/>
    <hyperlink r:id="rId1147" ref="H1145"/>
    <hyperlink r:id="rId1148" ref="H1146"/>
    <hyperlink r:id="rId1149" ref="H1147"/>
    <hyperlink r:id="rId1150" ref="H1148"/>
    <hyperlink r:id="rId1151" ref="H1149"/>
    <hyperlink r:id="rId1152" ref="H1150"/>
    <hyperlink r:id="rId1153" ref="H1151"/>
    <hyperlink r:id="rId1154" ref="H1152"/>
    <hyperlink r:id="rId1155" ref="H1153"/>
    <hyperlink r:id="rId1156" ref="H1154"/>
    <hyperlink r:id="rId1157" ref="H1155"/>
    <hyperlink r:id="rId1158" ref="H1156"/>
    <hyperlink r:id="rId1159" ref="H1157"/>
    <hyperlink r:id="rId1160" ref="H1158"/>
    <hyperlink r:id="rId1161" ref="H1159"/>
    <hyperlink r:id="rId1162" ref="H1160"/>
    <hyperlink r:id="rId1163" ref="H1161"/>
    <hyperlink r:id="rId1164" ref="H1162"/>
    <hyperlink r:id="rId1165" ref="H1163"/>
    <hyperlink r:id="rId1166" ref="H1164"/>
    <hyperlink r:id="rId1167" ref="H1165"/>
    <hyperlink r:id="rId1168" ref="H1166"/>
    <hyperlink r:id="rId1169" ref="H1167"/>
    <hyperlink r:id="rId1170" ref="H1168"/>
    <hyperlink r:id="rId1171" ref="H1169"/>
    <hyperlink r:id="rId1172" ref="H1170"/>
    <hyperlink r:id="rId1173" ref="H1171"/>
    <hyperlink r:id="rId1174" ref="H1172"/>
    <hyperlink r:id="rId1175" ref="H1173"/>
    <hyperlink r:id="rId1176" ref="H1174"/>
    <hyperlink r:id="rId1177" ref="H1175"/>
    <hyperlink r:id="rId1178" ref="H1176"/>
    <hyperlink r:id="rId1179" ref="H1177"/>
    <hyperlink r:id="rId1180" ref="H1178"/>
    <hyperlink r:id="rId1181" ref="H1179"/>
    <hyperlink r:id="rId1182" ref="H1180"/>
    <hyperlink r:id="rId1183" ref="H1181"/>
    <hyperlink r:id="rId1184" ref="H1182"/>
    <hyperlink r:id="rId1185" ref="H1183"/>
    <hyperlink r:id="rId1186" ref="H1184"/>
    <hyperlink r:id="rId1187" ref="H1185"/>
    <hyperlink r:id="rId1188" ref="H1186"/>
    <hyperlink r:id="rId1189" ref="H1187"/>
    <hyperlink r:id="rId1190" ref="H1188"/>
    <hyperlink r:id="rId1191" ref="H1189"/>
    <hyperlink r:id="rId1192" ref="H1190"/>
    <hyperlink r:id="rId1193" ref="H1191"/>
    <hyperlink r:id="rId1194" ref="H1192"/>
    <hyperlink r:id="rId1195" ref="H1193"/>
    <hyperlink r:id="rId1196" ref="H1194"/>
    <hyperlink r:id="rId1197" ref="H1195"/>
    <hyperlink r:id="rId1198" ref="H1196"/>
    <hyperlink r:id="rId1199" ref="H1197"/>
    <hyperlink r:id="rId1200" ref="H1198"/>
    <hyperlink r:id="rId1201" ref="H1199"/>
    <hyperlink r:id="rId1202" ref="H1200"/>
    <hyperlink r:id="rId1203" ref="H1201"/>
    <hyperlink r:id="rId1204" ref="H1202"/>
    <hyperlink r:id="rId1205" ref="H1203"/>
    <hyperlink r:id="rId1206" ref="H1204"/>
    <hyperlink r:id="rId1207" ref="H1205"/>
    <hyperlink r:id="rId1208" ref="H1206"/>
    <hyperlink r:id="rId1209" ref="H1207"/>
    <hyperlink r:id="rId1210" ref="H1208"/>
    <hyperlink r:id="rId1211" ref="H1209"/>
    <hyperlink r:id="rId1212" ref="H1210"/>
    <hyperlink r:id="rId1213" ref="H1211"/>
    <hyperlink r:id="rId1214" ref="H1212"/>
    <hyperlink r:id="rId1215" ref="H1213"/>
    <hyperlink r:id="rId1216" ref="H1214"/>
    <hyperlink r:id="rId1217" ref="H1215"/>
    <hyperlink r:id="rId1218" ref="H1216"/>
    <hyperlink r:id="rId1219" ref="H1217"/>
    <hyperlink r:id="rId1220" ref="H1218"/>
    <hyperlink r:id="rId1221" ref="H1219"/>
    <hyperlink r:id="rId1222" ref="H1220"/>
    <hyperlink r:id="rId1223" ref="H1221"/>
    <hyperlink r:id="rId1224" ref="H1222"/>
    <hyperlink r:id="rId1225" ref="H1223"/>
    <hyperlink r:id="rId1226" ref="H1224"/>
    <hyperlink r:id="rId1227" ref="H1225"/>
    <hyperlink r:id="rId1228" ref="H1226"/>
    <hyperlink r:id="rId1229" ref="H1227"/>
    <hyperlink r:id="rId1230" ref="H1228"/>
    <hyperlink r:id="rId1231" ref="H1229"/>
    <hyperlink r:id="rId1232" ref="H1230"/>
    <hyperlink r:id="rId1233" ref="H1231"/>
    <hyperlink r:id="rId1234" ref="H1232"/>
    <hyperlink r:id="rId1235" ref="H1233"/>
    <hyperlink r:id="rId1236" ref="H1234"/>
    <hyperlink r:id="rId1237" ref="H1235"/>
    <hyperlink r:id="rId1238" ref="H1236"/>
    <hyperlink r:id="rId1239" ref="H1237"/>
    <hyperlink r:id="rId1240" ref="H1238"/>
    <hyperlink r:id="rId1241" ref="H1239"/>
    <hyperlink r:id="rId1242" ref="H1240"/>
    <hyperlink r:id="rId1243" ref="H1241"/>
    <hyperlink r:id="rId1244" ref="H1242"/>
    <hyperlink r:id="rId1245" ref="H1243"/>
    <hyperlink r:id="rId1246" ref="H1244"/>
    <hyperlink r:id="rId1247" ref="H1245"/>
    <hyperlink r:id="rId1248" ref="H1246"/>
    <hyperlink r:id="rId1249" ref="H1247"/>
    <hyperlink r:id="rId1250" ref="H1248"/>
    <hyperlink r:id="rId1251" ref="H1249"/>
    <hyperlink r:id="rId1252" ref="H1250"/>
    <hyperlink r:id="rId1253" ref="H1251"/>
    <hyperlink r:id="rId1254" ref="H1252"/>
    <hyperlink r:id="rId1255" ref="H1253"/>
    <hyperlink r:id="rId1256" ref="H1254"/>
    <hyperlink r:id="rId1257" ref="H1255"/>
    <hyperlink r:id="rId1258" ref="H1256"/>
    <hyperlink r:id="rId1259" ref="H1257"/>
    <hyperlink r:id="rId1260" ref="H1258"/>
    <hyperlink r:id="rId1261" ref="H1259"/>
    <hyperlink r:id="rId1262" ref="H1260"/>
    <hyperlink r:id="rId1263" ref="H1261"/>
    <hyperlink r:id="rId1264" ref="H1262"/>
    <hyperlink r:id="rId1265" ref="H1263"/>
    <hyperlink r:id="rId1266" ref="H1264"/>
    <hyperlink r:id="rId1267" ref="H1265"/>
    <hyperlink r:id="rId1268" ref="H1266"/>
    <hyperlink r:id="rId1269" ref="H1267"/>
    <hyperlink r:id="rId1270" ref="H1268"/>
    <hyperlink r:id="rId1271" ref="H1269"/>
    <hyperlink r:id="rId1272" ref="H1270"/>
    <hyperlink r:id="rId1273" ref="H1271"/>
    <hyperlink r:id="rId1274" ref="H1272"/>
    <hyperlink r:id="rId1275" ref="H1273"/>
    <hyperlink r:id="rId1276" ref="H1274"/>
    <hyperlink r:id="rId1277" ref="H1275"/>
    <hyperlink r:id="rId1278" ref="H1276"/>
    <hyperlink r:id="rId1279" ref="H1277"/>
    <hyperlink r:id="rId1280" ref="H1278"/>
    <hyperlink r:id="rId1281" ref="H1279"/>
    <hyperlink r:id="rId1282" ref="H1280"/>
    <hyperlink r:id="rId1283" ref="H1281"/>
    <hyperlink r:id="rId1284" ref="H1282"/>
    <hyperlink r:id="rId1285" ref="H1283"/>
    <hyperlink r:id="rId1286" ref="H1284"/>
    <hyperlink r:id="rId1287" ref="H1285"/>
    <hyperlink r:id="rId1288" ref="H1286"/>
    <hyperlink r:id="rId1289" ref="H1287"/>
    <hyperlink r:id="rId1290" ref="H1288"/>
    <hyperlink r:id="rId1291" ref="H1289"/>
    <hyperlink r:id="rId1292" ref="H1290"/>
    <hyperlink r:id="rId1293" ref="H1291"/>
    <hyperlink r:id="rId1294" ref="H1292"/>
    <hyperlink r:id="rId1295" ref="H1293"/>
    <hyperlink r:id="rId1296" ref="H1294"/>
    <hyperlink r:id="rId1297" ref="H1295"/>
    <hyperlink r:id="rId1298" ref="H1296"/>
    <hyperlink r:id="rId1299" ref="H1297"/>
    <hyperlink r:id="rId1300" ref="H1298"/>
    <hyperlink r:id="rId1301" ref="H1299"/>
    <hyperlink r:id="rId1302" ref="H1300"/>
    <hyperlink r:id="rId1303" ref="H1301"/>
    <hyperlink r:id="rId1304" ref="H1302"/>
    <hyperlink r:id="rId1305" ref="H1303"/>
    <hyperlink r:id="rId1306" ref="H1304"/>
    <hyperlink r:id="rId1307" ref="H1305"/>
    <hyperlink r:id="rId1308" ref="H1306"/>
    <hyperlink r:id="rId1309" ref="H1307"/>
    <hyperlink r:id="rId1310" ref="H1308"/>
    <hyperlink r:id="rId1311" ref="H1309"/>
    <hyperlink r:id="rId1312" ref="H1310"/>
    <hyperlink r:id="rId1313" ref="H1311"/>
    <hyperlink r:id="rId1314" ref="H1312"/>
    <hyperlink r:id="rId1315" ref="H1313"/>
    <hyperlink r:id="rId1316" ref="H1314"/>
    <hyperlink r:id="rId1317" ref="H1315"/>
    <hyperlink r:id="rId1318" ref="H1316"/>
    <hyperlink r:id="rId1319" ref="H1317"/>
    <hyperlink r:id="rId1320" ref="H1318"/>
    <hyperlink r:id="rId1321" ref="H1319"/>
    <hyperlink r:id="rId1322" ref="H1320"/>
    <hyperlink r:id="rId1323" ref="H1321"/>
    <hyperlink r:id="rId1324" ref="H1322"/>
    <hyperlink r:id="rId1325" ref="H1323"/>
    <hyperlink r:id="rId1326" ref="H1324"/>
    <hyperlink r:id="rId1327" ref="H1325"/>
    <hyperlink r:id="rId1328" ref="H1326"/>
    <hyperlink r:id="rId1329" ref="H1327"/>
    <hyperlink r:id="rId1330" ref="H1328"/>
    <hyperlink r:id="rId1331" ref="H1329"/>
    <hyperlink r:id="rId1332" ref="H1330"/>
    <hyperlink r:id="rId1333" ref="H1331"/>
    <hyperlink r:id="rId1334" ref="H1332"/>
    <hyperlink r:id="rId1335" ref="H1333"/>
    <hyperlink r:id="rId1336" ref="H1334"/>
    <hyperlink r:id="rId1337" ref="H1335"/>
    <hyperlink r:id="rId1338" ref="H1336"/>
    <hyperlink r:id="rId1339" ref="H1337"/>
    <hyperlink r:id="rId1340" ref="H1338"/>
    <hyperlink r:id="rId1341" ref="H1339"/>
    <hyperlink r:id="rId1342" ref="H1340"/>
    <hyperlink r:id="rId1343" ref="H1341"/>
    <hyperlink r:id="rId1344" ref="H1342"/>
    <hyperlink r:id="rId1345" ref="H1343"/>
    <hyperlink r:id="rId1346" ref="H1344"/>
    <hyperlink r:id="rId1347" ref="H1345"/>
    <hyperlink r:id="rId1348" ref="H1346"/>
    <hyperlink r:id="rId1349" ref="H1347"/>
    <hyperlink r:id="rId1350" ref="H1348"/>
    <hyperlink r:id="rId1351" ref="H1349"/>
    <hyperlink r:id="rId1352" ref="H1350"/>
    <hyperlink r:id="rId1353" ref="H1351"/>
    <hyperlink r:id="rId1354" ref="H1352"/>
    <hyperlink r:id="rId1355" ref="H1353"/>
    <hyperlink r:id="rId1356" ref="H1354"/>
    <hyperlink r:id="rId1357" ref="H1355"/>
    <hyperlink r:id="rId1358" ref="H1356"/>
    <hyperlink r:id="rId1359" ref="H1357"/>
    <hyperlink r:id="rId1360" ref="H1358"/>
    <hyperlink r:id="rId1361" ref="H1359"/>
    <hyperlink r:id="rId1362" ref="H1360"/>
    <hyperlink r:id="rId1363" ref="H1361"/>
    <hyperlink r:id="rId1364" ref="H1362"/>
    <hyperlink r:id="rId1365" ref="H1363"/>
    <hyperlink r:id="rId1366" ref="H1364"/>
    <hyperlink r:id="rId1367" ref="H1365"/>
    <hyperlink r:id="rId1368" ref="H1366"/>
    <hyperlink r:id="rId1369" ref="H1367"/>
    <hyperlink r:id="rId1370" ref="H1368"/>
    <hyperlink r:id="rId1371" ref="H1369"/>
    <hyperlink r:id="rId1372" ref="H1370"/>
    <hyperlink r:id="rId1373" ref="H1371"/>
    <hyperlink r:id="rId1374" ref="H1372"/>
    <hyperlink r:id="rId1375" ref="H1373"/>
    <hyperlink r:id="rId1376" ref="H1374"/>
    <hyperlink r:id="rId1377" ref="H1375"/>
    <hyperlink r:id="rId1378" ref="H1376"/>
    <hyperlink r:id="rId1379" ref="H1377"/>
    <hyperlink r:id="rId1380" ref="H1378"/>
    <hyperlink r:id="rId1381" ref="H1379"/>
    <hyperlink r:id="rId1382" ref="H1380"/>
    <hyperlink r:id="rId1383" ref="H1381"/>
    <hyperlink r:id="rId1384" ref="H1382"/>
    <hyperlink r:id="rId1385" ref="H1383"/>
    <hyperlink r:id="rId1386" ref="H1384"/>
    <hyperlink r:id="rId1387" ref="H1385"/>
    <hyperlink r:id="rId1388" ref="H1386"/>
    <hyperlink r:id="rId1389" ref="H1387"/>
    <hyperlink r:id="rId1390" ref="H1388"/>
    <hyperlink r:id="rId1391" ref="H1389"/>
    <hyperlink r:id="rId1392" ref="H1390"/>
    <hyperlink r:id="rId1393" ref="H1391"/>
    <hyperlink r:id="rId1394" ref="H1392"/>
    <hyperlink r:id="rId1395" ref="H1393"/>
    <hyperlink r:id="rId1396" ref="H1394"/>
    <hyperlink r:id="rId1397" ref="H1395"/>
    <hyperlink r:id="rId1398" ref="H1396"/>
    <hyperlink r:id="rId1399" ref="H1397"/>
    <hyperlink r:id="rId1400" ref="H1398"/>
    <hyperlink r:id="rId1401" ref="H1399"/>
    <hyperlink r:id="rId1402" ref="H1400"/>
    <hyperlink r:id="rId1403" ref="H1401"/>
    <hyperlink r:id="rId1404" ref="H1402"/>
    <hyperlink r:id="rId1405" ref="H1403"/>
    <hyperlink r:id="rId1406" ref="H1404"/>
    <hyperlink r:id="rId1407" ref="H1405"/>
    <hyperlink r:id="rId1408" ref="H1406"/>
    <hyperlink r:id="rId1409" ref="H1407"/>
    <hyperlink r:id="rId1410" ref="H1408"/>
    <hyperlink r:id="rId1411" ref="H1409"/>
    <hyperlink r:id="rId1412" ref="H1410"/>
    <hyperlink r:id="rId1413" ref="H1411"/>
    <hyperlink r:id="rId1414" ref="H1412"/>
    <hyperlink r:id="rId1415" ref="H1413"/>
    <hyperlink r:id="rId1416" ref="H1414"/>
    <hyperlink r:id="rId1417" ref="H1415"/>
    <hyperlink r:id="rId1418" ref="H1416"/>
    <hyperlink r:id="rId1419" ref="H1417"/>
    <hyperlink r:id="rId1420" ref="H1418"/>
    <hyperlink r:id="rId1421" ref="H1419"/>
    <hyperlink r:id="rId1422" ref="H1420"/>
    <hyperlink r:id="rId1423" ref="H1421"/>
    <hyperlink r:id="rId1424" ref="H1422"/>
    <hyperlink r:id="rId1425" ref="H1423"/>
    <hyperlink r:id="rId1426" ref="H1424"/>
    <hyperlink r:id="rId1427" ref="H1425"/>
    <hyperlink r:id="rId1428" ref="H1426"/>
    <hyperlink r:id="rId1429" ref="H1427"/>
    <hyperlink r:id="rId1430" ref="H1428"/>
    <hyperlink r:id="rId1431" ref="H1429"/>
    <hyperlink r:id="rId1432" ref="H1430"/>
    <hyperlink r:id="rId1433" ref="H1431"/>
    <hyperlink r:id="rId1434" ref="H1432"/>
    <hyperlink r:id="rId1435" ref="H1433"/>
    <hyperlink r:id="rId1436" ref="H1434"/>
    <hyperlink r:id="rId1437" ref="H1435"/>
    <hyperlink r:id="rId1438" ref="H1436"/>
    <hyperlink r:id="rId1439" ref="H1437"/>
    <hyperlink r:id="rId1440" ref="H1438"/>
    <hyperlink r:id="rId1441" ref="H1439"/>
    <hyperlink r:id="rId1442" ref="H1440"/>
    <hyperlink r:id="rId1443" ref="H1441"/>
    <hyperlink r:id="rId1444" ref="H1442"/>
    <hyperlink r:id="rId1445" ref="H1443"/>
    <hyperlink r:id="rId1446" ref="H1444"/>
    <hyperlink r:id="rId1447" ref="H1445"/>
    <hyperlink r:id="rId1448" ref="H1446"/>
    <hyperlink r:id="rId1449" ref="H1447"/>
    <hyperlink r:id="rId1450" ref="H1448"/>
    <hyperlink r:id="rId1451" ref="H1449"/>
    <hyperlink r:id="rId1452" ref="H1450"/>
    <hyperlink r:id="rId1453" ref="H1451"/>
    <hyperlink r:id="rId1454" ref="H1452"/>
    <hyperlink r:id="rId1455" ref="H1453"/>
    <hyperlink r:id="rId1456" ref="H1454"/>
    <hyperlink r:id="rId1457" ref="H1455"/>
    <hyperlink r:id="rId1458" ref="H1456"/>
    <hyperlink r:id="rId1459" ref="H1457"/>
    <hyperlink r:id="rId1460" ref="H1458"/>
    <hyperlink r:id="rId1461" ref="H1459"/>
    <hyperlink r:id="rId1462" ref="H1460"/>
    <hyperlink r:id="rId1463" ref="H1461"/>
    <hyperlink r:id="rId1464" ref="H1462"/>
    <hyperlink r:id="rId1465" ref="H1463"/>
    <hyperlink r:id="rId1466" ref="H1464"/>
    <hyperlink r:id="rId1467" ref="H1465"/>
    <hyperlink r:id="rId1468" ref="H1466"/>
    <hyperlink r:id="rId1469" ref="H1467"/>
    <hyperlink r:id="rId1470" ref="H1468"/>
    <hyperlink r:id="rId1471" ref="H1469"/>
  </hyperlinks>
  <drawing r:id="rId14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" t="s">
        <v>0</v>
      </c>
      <c r="C3" s="7"/>
      <c r="D3" s="8"/>
      <c r="E3" s="9" t="s">
        <v>0</v>
      </c>
      <c r="G3" s="8"/>
      <c r="H3" s="9" t="s">
        <v>1</v>
      </c>
      <c r="J3" s="8"/>
      <c r="K3" s="9" t="s">
        <v>2</v>
      </c>
      <c r="M3" s="8"/>
    </row>
    <row r="4">
      <c r="B4" s="10" t="s">
        <v>3</v>
      </c>
      <c r="C4" s="11">
        <v>45544.0</v>
      </c>
      <c r="D4" s="8"/>
      <c r="E4" s="8" t="s">
        <v>4</v>
      </c>
      <c r="F4" s="12">
        <f>COUNTIFS(Database!$A:$A,"&gt;=" &amp; $C$4,Database!$A:$A,"&lt;=" &amp; $C$5)</f>
        <v>200</v>
      </c>
      <c r="G4" s="8"/>
      <c r="H4" s="8" t="s">
        <v>4</v>
      </c>
      <c r="I4" s="12">
        <f>COUNTIFS(Database!$A:$A,"&gt;=" &amp; $C$11,Database!$A:$A,"&lt;=" &amp; $C$12)</f>
        <v>135</v>
      </c>
      <c r="J4" s="8"/>
      <c r="K4" s="8" t="s">
        <v>4</v>
      </c>
      <c r="L4" s="13">
        <f t="shared" ref="L4:L7" si="1">F4-I4</f>
        <v>65</v>
      </c>
      <c r="M4" s="14">
        <f t="shared" ref="M4:M7" si="2">L4/I4</f>
        <v>0.4814814815</v>
      </c>
    </row>
    <row r="5">
      <c r="B5" s="15" t="s">
        <v>5</v>
      </c>
      <c r="C5" s="16">
        <v>45550.0</v>
      </c>
      <c r="D5" s="8"/>
      <c r="E5" s="8" t="s">
        <v>6</v>
      </c>
      <c r="F5" s="12">
        <f>COUNTIFS(Database!$A:$A,"&gt;=" &amp; $C$4,Database!$A:$A,"&lt;=" &amp; $C$5,Database!$D:$D,$E5,Database!$E:$E,"&lt;&gt;N/A")</f>
        <v>54</v>
      </c>
      <c r="G5" s="8"/>
      <c r="H5" s="8" t="s">
        <v>6</v>
      </c>
      <c r="I5" s="12">
        <f>COUNTIFS(Database!$A:$A,"&gt;=" &amp; $C$11,Database!$A:$A,"&lt;=" &amp; $C$12,Database!$D:$D,$E5,Database!$E:$E,"&lt;&gt;N/A")</f>
        <v>30</v>
      </c>
      <c r="J5" s="8"/>
      <c r="K5" s="8" t="s">
        <v>6</v>
      </c>
      <c r="L5" s="13">
        <f t="shared" si="1"/>
        <v>24</v>
      </c>
      <c r="M5" s="14">
        <f t="shared" si="2"/>
        <v>0.8</v>
      </c>
    </row>
    <row r="6">
      <c r="B6" s="8"/>
      <c r="C6" s="8"/>
      <c r="D6" s="8"/>
      <c r="E6" s="8" t="s">
        <v>7</v>
      </c>
      <c r="F6" s="12">
        <f>COUNTIFS(Database!$A:$A,"&gt;=" &amp; $C$4,Database!$A:$A,"&lt;=" &amp; $C$5,Database!$D:$D,$E6,Database!$E:$E,"&lt;&gt;N/A")</f>
        <v>55</v>
      </c>
      <c r="G6" s="8"/>
      <c r="H6" s="8" t="s">
        <v>7</v>
      </c>
      <c r="I6" s="12">
        <f>COUNTIFS(Database!$A:$A,"&gt;=" &amp; $C$11,Database!$A:$A,"&lt;=" &amp; $C$12,Database!$D:$D,$E6,Database!$E:$E,"&lt;&gt;N/A")</f>
        <v>25</v>
      </c>
      <c r="J6" s="8"/>
      <c r="K6" s="8" t="s">
        <v>7</v>
      </c>
      <c r="L6" s="13">
        <f t="shared" si="1"/>
        <v>30</v>
      </c>
      <c r="M6" s="14">
        <f t="shared" si="2"/>
        <v>1.2</v>
      </c>
    </row>
    <row r="7">
      <c r="B7" s="8"/>
      <c r="C7" s="8"/>
      <c r="D7" s="8"/>
      <c r="E7" s="8" t="s">
        <v>8</v>
      </c>
      <c r="F7" s="12">
        <f>COUNTIFS(Database!$A:$A,"&gt;=" &amp; $C$4,Database!$A:$A,"&lt;=" &amp; $C$5,Database!$D:$D,$E7,Database!$E:$E,"&lt;&gt;N/A")</f>
        <v>23</v>
      </c>
      <c r="G7" s="8"/>
      <c r="H7" s="8" t="s">
        <v>8</v>
      </c>
      <c r="I7" s="12">
        <f>COUNTIFS(Database!$A:$A,"&gt;=" &amp; $C$11,Database!$A:$A,"&lt;=" &amp; $C$12,Database!$D:$D,$E7,Database!$E:$E,"&lt;&gt;N/A")</f>
        <v>14</v>
      </c>
      <c r="J7" s="8"/>
      <c r="K7" s="8" t="s">
        <v>8</v>
      </c>
      <c r="L7" s="13">
        <f t="shared" si="1"/>
        <v>9</v>
      </c>
      <c r="M7" s="14">
        <f t="shared" si="2"/>
        <v>0.6428571429</v>
      </c>
    </row>
    <row r="8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B9" s="8"/>
      <c r="C9" s="8"/>
      <c r="D9" s="8"/>
      <c r="E9" s="8" t="s">
        <v>9</v>
      </c>
      <c r="F9" s="12">
        <f>COUNTIFS(Database!$A:$A,"&gt;=" &amp; $C$4,Database!$A:$A,"&lt;=" &amp; $C$5,Database!$F:$F,$E9,Database!$E:$E,"&lt;&gt;N/A")</f>
        <v>41</v>
      </c>
      <c r="G9" s="8"/>
      <c r="H9" s="8" t="s">
        <v>9</v>
      </c>
      <c r="I9" s="12">
        <f>COUNTIFS(Database!$A:$A,"&gt;=" &amp; $C$11,Database!$A:$A,"&lt;=" &amp; $C$12,Database!$F:$F,$E9,Database!$E:$E,"&lt;&gt;N/A")</f>
        <v>18</v>
      </c>
      <c r="J9" s="8"/>
      <c r="K9" s="8" t="s">
        <v>9</v>
      </c>
      <c r="L9" s="13">
        <f t="shared" ref="L9:L12" si="3">F9-I9</f>
        <v>23</v>
      </c>
      <c r="M9" s="14">
        <f t="shared" ref="M9:M12" si="4">L9/I9</f>
        <v>1.277777778</v>
      </c>
    </row>
    <row r="10">
      <c r="B10" s="6" t="s">
        <v>1</v>
      </c>
      <c r="C10" s="7"/>
      <c r="D10" s="8"/>
      <c r="E10" s="8" t="s">
        <v>10</v>
      </c>
      <c r="F10" s="12">
        <f>COUNTIFS(Database!$A:$A,"&gt;=" &amp; $C$4,Database!$A:$A,"&lt;=" &amp; $C$5,Database!$F:$F,$E10,Database!$E:$E,"&lt;&gt;N/A")</f>
        <v>66</v>
      </c>
      <c r="G10" s="8"/>
      <c r="H10" s="8" t="s">
        <v>10</v>
      </c>
      <c r="I10" s="12">
        <f>COUNTIFS(Database!$A:$A,"&gt;=" &amp; $C$11,Database!$A:$A,"&lt;=" &amp; $C$12,Database!$F:$F,$E10,Database!$E:$E,"&lt;&gt;N/A")</f>
        <v>38</v>
      </c>
      <c r="J10" s="8"/>
      <c r="K10" s="8" t="s">
        <v>10</v>
      </c>
      <c r="L10" s="13">
        <f t="shared" si="3"/>
        <v>28</v>
      </c>
      <c r="M10" s="14">
        <f t="shared" si="4"/>
        <v>0.7368421053</v>
      </c>
    </row>
    <row r="11">
      <c r="B11" s="10" t="s">
        <v>3</v>
      </c>
      <c r="C11" s="11">
        <v>45537.0</v>
      </c>
      <c r="D11" s="8"/>
      <c r="E11" s="8" t="s">
        <v>11</v>
      </c>
      <c r="F11" s="12">
        <f>COUNTIFS(Database!$A:$A,"&gt;=" &amp; $C$4,Database!$A:$A,"&lt;=" &amp; $C$5,Database!$F:$F,$E11,Database!$E:$E,"&lt;&gt;N/A")</f>
        <v>21</v>
      </c>
      <c r="G11" s="8"/>
      <c r="H11" s="8" t="s">
        <v>11</v>
      </c>
      <c r="I11" s="12">
        <f>COUNTIFS(Database!$A:$A,"&gt;=" &amp; $C$11,Database!$A:$A,"&lt;=" &amp; $C$12,Database!$F:$F,$E11,Database!$E:$E,"&lt;&gt;N/A")</f>
        <v>12</v>
      </c>
      <c r="J11" s="8"/>
      <c r="K11" s="8" t="s">
        <v>11</v>
      </c>
      <c r="L11" s="13">
        <f t="shared" si="3"/>
        <v>9</v>
      </c>
      <c r="M11" s="14">
        <f t="shared" si="4"/>
        <v>0.75</v>
      </c>
    </row>
    <row r="12">
      <c r="B12" s="15" t="s">
        <v>5</v>
      </c>
      <c r="C12" s="16">
        <v>45543.0</v>
      </c>
      <c r="D12" s="8"/>
      <c r="E12" s="8" t="s">
        <v>12</v>
      </c>
      <c r="F12" s="12">
        <f>COUNTIFS(Database!$A:$A,"&gt;=" &amp; $C$4,Database!$A:$A,"&lt;=" &amp; $C$5,Database!$F:$F,$E12,Database!$E:$E,"&lt;&gt;N/A")</f>
        <v>3</v>
      </c>
      <c r="G12" s="8"/>
      <c r="H12" s="8" t="s">
        <v>12</v>
      </c>
      <c r="I12" s="12">
        <f>COUNTIFS(Database!$A:$A,"&gt;=" &amp; $C$11,Database!$A:$A,"&lt;=" &amp; $C$12,Database!$F:$F,$E12,Database!$E:$E,"&lt;&gt;N/A")</f>
        <v>1</v>
      </c>
      <c r="J12" s="8"/>
      <c r="K12" s="8" t="s">
        <v>12</v>
      </c>
      <c r="L12" s="13">
        <f t="shared" si="3"/>
        <v>2</v>
      </c>
      <c r="M12" s="14">
        <f t="shared" si="4"/>
        <v>2</v>
      </c>
    </row>
    <row r="15">
      <c r="D15" s="17" t="s">
        <v>13</v>
      </c>
      <c r="E15" s="17" t="s">
        <v>4</v>
      </c>
      <c r="F15" s="17" t="s">
        <v>14</v>
      </c>
      <c r="G15" s="17" t="s">
        <v>15</v>
      </c>
      <c r="J15" s="17" t="s">
        <v>13</v>
      </c>
      <c r="K15" s="17" t="s">
        <v>4</v>
      </c>
      <c r="L15" s="17" t="s">
        <v>14</v>
      </c>
      <c r="M15" s="17" t="s">
        <v>15</v>
      </c>
    </row>
    <row r="16">
      <c r="D16" s="17" t="s">
        <v>6</v>
      </c>
      <c r="E16" s="12">
        <f>COUNTIFS(Database!$A:$A,"&gt;=" &amp; $C$4,Database!$A:$A,"&lt;=" &amp; $C$5,Database!$D:$D,"Remote")</f>
        <v>80</v>
      </c>
      <c r="F16" s="1">
        <f t="shared" ref="F16:F18" si="5">F5</f>
        <v>54</v>
      </c>
      <c r="G16" s="18">
        <f t="shared" ref="G16:G18" si="6">E16-F16</f>
        <v>26</v>
      </c>
      <c r="H16" s="19">
        <f t="shared" ref="H16:H19" si="7">F16/E16</f>
        <v>0.675</v>
      </c>
      <c r="J16" s="17" t="s">
        <v>6</v>
      </c>
      <c r="K16" s="12">
        <f>COUNTIF(Database!$D:$D,"Remote")</f>
        <v>571</v>
      </c>
      <c r="L16" s="12">
        <f>COUNTIFS(Database!$D:$D,"Remote",Database!$E:$E,"&lt;&gt;N/A")</f>
        <v>382</v>
      </c>
      <c r="M16" s="18">
        <f t="shared" ref="M16:M18" si="8">K16-L16</f>
        <v>189</v>
      </c>
      <c r="N16" s="19">
        <f t="shared" ref="N16:N19" si="9">L16/K16</f>
        <v>0.6690017513</v>
      </c>
    </row>
    <row r="17">
      <c r="D17" s="17" t="s">
        <v>7</v>
      </c>
      <c r="E17" s="12">
        <f>COUNTIFS(Database!$A:$A,"&gt;=" &amp; $C$4,Database!$A:$A,"&lt;=" &amp; $C$5,Database!$D:$D,"Hybrid")</f>
        <v>80</v>
      </c>
      <c r="F17" s="1">
        <f t="shared" si="5"/>
        <v>55</v>
      </c>
      <c r="G17" s="18">
        <f t="shared" si="6"/>
        <v>25</v>
      </c>
      <c r="H17" s="19">
        <f t="shared" si="7"/>
        <v>0.6875</v>
      </c>
      <c r="J17" s="17" t="s">
        <v>7</v>
      </c>
      <c r="K17" s="12">
        <f>COUNTIF(Database!$D:$D,"Hybrid")</f>
        <v>612</v>
      </c>
      <c r="L17" s="12">
        <f>COUNTIFS(Database!$D:$D,"Hybrid",Database!$E:$E,"&lt;&gt;N/A")</f>
        <v>362</v>
      </c>
      <c r="M17" s="18">
        <f t="shared" si="8"/>
        <v>250</v>
      </c>
      <c r="N17" s="19">
        <f t="shared" si="9"/>
        <v>0.591503268</v>
      </c>
    </row>
    <row r="18">
      <c r="D18" s="17" t="s">
        <v>8</v>
      </c>
      <c r="E18" s="12">
        <f>COUNTIFS(Database!$A:$A,"&gt;=" &amp; $C$4,Database!$A:$A,"&lt;=" &amp; $C$5,Database!$D:$D,"On-Site")</f>
        <v>40</v>
      </c>
      <c r="F18" s="1">
        <f t="shared" si="5"/>
        <v>23</v>
      </c>
      <c r="G18" s="18">
        <f t="shared" si="6"/>
        <v>17</v>
      </c>
      <c r="H18" s="19">
        <f t="shared" si="7"/>
        <v>0.575</v>
      </c>
      <c r="J18" s="17" t="s">
        <v>8</v>
      </c>
      <c r="K18" s="12">
        <f>COUNTIF(Database!$D:$D,"On-Site")</f>
        <v>285</v>
      </c>
      <c r="L18" s="12">
        <f>COUNTIFS(Database!$D:$D,"On-Site",Database!$E:$E,"&lt;&gt;N/A")</f>
        <v>131</v>
      </c>
      <c r="M18" s="18">
        <f t="shared" si="8"/>
        <v>154</v>
      </c>
      <c r="N18" s="19">
        <f t="shared" si="9"/>
        <v>0.4596491228</v>
      </c>
    </row>
    <row r="19">
      <c r="D19" s="17" t="s">
        <v>16</v>
      </c>
      <c r="E19" s="1">
        <f t="shared" ref="E19:G19" si="10">SUM(E16:E18)</f>
        <v>200</v>
      </c>
      <c r="F19" s="1">
        <f t="shared" si="10"/>
        <v>132</v>
      </c>
      <c r="G19" s="18">
        <f t="shared" si="10"/>
        <v>68</v>
      </c>
      <c r="H19" s="19">
        <f t="shared" si="7"/>
        <v>0.66</v>
      </c>
      <c r="J19" s="17" t="s">
        <v>16</v>
      </c>
      <c r="K19" s="1">
        <f t="shared" ref="K19:M19" si="11">SUM(K16:K18)</f>
        <v>1468</v>
      </c>
      <c r="L19" s="1">
        <f t="shared" si="11"/>
        <v>875</v>
      </c>
      <c r="M19" s="18">
        <f t="shared" si="11"/>
        <v>593</v>
      </c>
      <c r="N19" s="19">
        <f t="shared" si="9"/>
        <v>0.5960490463</v>
      </c>
    </row>
  </sheetData>
  <mergeCells count="5">
    <mergeCell ref="B3:C3"/>
    <mergeCell ref="E3:F3"/>
    <mergeCell ref="H3:I3"/>
    <mergeCell ref="K3:L3"/>
    <mergeCell ref="B10:C10"/>
  </mergeCells>
  <drawing r:id="rId1"/>
</worksheet>
</file>