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charts/chartEx2.xml" ContentType="application/vnd.ms-office.chartex+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5.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4.xml" ContentType="application/vnd.openxmlformats-officedocument.spreadsheetml.pivotTab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drawings/drawing10.xml" ContentType="application/vnd.openxmlformats-officedocument.drawing+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1.xml" ContentType="application/vnd.openxmlformats-officedocument.drawing+xml"/>
  <Override PartName="/xl/tables/table10.xml" ContentType="application/vnd.openxmlformats-officedocument.spreadsheetml.table+xml"/>
  <Override PartName="/xl/pivotTables/pivotTable7.xml" ContentType="application/vnd.openxmlformats-officedocument.spreadsheetml.pivotTable+xml"/>
  <Override PartName="/xl/drawings/drawing1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1.xml" ContentType="application/vnd.openxmlformats-officedocument.spreadsheetml.table+xml"/>
  <Override PartName="/xl/slicers/slicer3.xml" ContentType="application/vnd.ms-excel.slicer+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drawings/drawing13.xml" ContentType="application/vnd.openxmlformats-officedocument.drawing+xml"/>
  <Override PartName="/xl/slicers/slicer4.xml" ContentType="application/vnd.ms-excel.slicer+xml"/>
  <Override PartName="/xl/comments1.xml" ContentType="application/vnd.openxmlformats-officedocument.spreadsheetml.comments+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4.xml" ContentType="application/vnd.openxmlformats-officedocument.drawing+xml"/>
  <Override PartName="/xl/pivotTables/pivotTable9.xml" ContentType="application/vnd.openxmlformats-officedocument.spreadsheetml.pivotTable+xml"/>
  <Override PartName="/xl/drawings/drawing15.xml" ContentType="application/vnd.openxmlformats-officedocument.drawing+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updateLinks="always" codeName="ThisWorkbook" hidePivotFieldList="1"/>
  <mc:AlternateContent xmlns:mc="http://schemas.openxmlformats.org/markup-compatibility/2006">
    <mc:Choice Requires="x15">
      <x15ac:absPath xmlns:x15ac="http://schemas.microsoft.com/office/spreadsheetml/2010/11/ac" url="C:\Users\jsbro\Downloads\"/>
    </mc:Choice>
  </mc:AlternateContent>
  <xr:revisionPtr revIDLastSave="0" documentId="13_ncr:1_{A281B94F-DFDE-448C-806A-39BA721C7C25}" xr6:coauthVersionLast="47" xr6:coauthVersionMax="47" xr10:uidLastSave="{00000000-0000-0000-0000-000000000000}"/>
  <bookViews>
    <workbookView xWindow="-108" yWindow="-108" windowWidth="23256" windowHeight="12720" tabRatio="1000" xr2:uid="{62806ADE-C71A-4FDF-A1FF-D255E6FC7735}"/>
  </bookViews>
  <sheets>
    <sheet name="Cover Page" sheetId="1" r:id="rId1"/>
    <sheet name="Dash Board" sheetId="31" r:id="rId2"/>
    <sheet name="Academy student" sheetId="9" r:id="rId3"/>
    <sheet name="Placement score sclicer" sheetId="44" r:id="rId4"/>
    <sheet name="Class A" sheetId="7" r:id="rId5"/>
    <sheet name="Class  B" sheetId="20" r:id="rId6"/>
    <sheet name="Class C" sheetId="39" r:id="rId7"/>
    <sheet name="Class  D" sheetId="45" r:id="rId8"/>
    <sheet name="Class F " sheetId="30" r:id="rId9"/>
    <sheet name="Teacher Class assighnments" sheetId="12" r:id="rId10"/>
    <sheet name="Event Staffing" sheetId="11" r:id="rId11"/>
    <sheet name="Internship" sheetId="47" r:id="rId12"/>
    <sheet name="Library Fees" sheetId="46" r:id="rId13"/>
    <sheet name="Tuition" sheetId="40" r:id="rId14"/>
    <sheet name="End Year Report" sheetId="16" r:id="rId15"/>
  </sheets>
  <externalReferences>
    <externalReference r:id="rId16"/>
    <externalReference r:id="rId17"/>
  </externalReferences>
  <definedNames>
    <definedName name="_xlnm._FilterDatabase" localSheetId="2" hidden="1">'Academy student'!$A$4:$F$4</definedName>
    <definedName name="_xlnm._FilterDatabase" localSheetId="5" hidden="1">'Class  B'!$A$1:$D$1</definedName>
    <definedName name="_xlnm._FilterDatabase" localSheetId="7" hidden="1">'Class  D'!$A$3:$M$30</definedName>
    <definedName name="_xlnm._FilterDatabase" localSheetId="10" hidden="1">'Event Staffing'!$I$9:$P$31</definedName>
    <definedName name="_xlnm._FilterDatabase" localSheetId="11" hidden="1">Internship!$A$1:$A$65</definedName>
    <definedName name="_xlchart.v1.0" hidden="1">'Academy student'!$B$5:$B$104</definedName>
    <definedName name="_xlchart.v1.1" hidden="1">'Academy student'!$F$5:$F$104</definedName>
    <definedName name="_xlchart.v1.2" hidden="1">'Academy student'!$B$5:$B$104</definedName>
    <definedName name="_xlchart.v1.3" hidden="1">'Academy student'!$F$5:$F$104</definedName>
    <definedName name="_xlcn.WorksheetConnection_CS48FinalProjectREPAIR.xlsmClassAT11" hidden="1">ClassAT1[]</definedName>
    <definedName name="_xlcn.WorksheetConnection_CS48FinalProjectREPAIR.xlsmClassAT21" hidden="1">ClassAT2[]</definedName>
    <definedName name="_xlcn.WorksheetConnection_CS48FinalProjectREPAIR.xlsmClassAT31" hidden="1">ClassAT3[]</definedName>
    <definedName name="_xlcn.WorksheetConnection_CS48FinalProjectREPAIR.xlsmClassAT41" hidden="1">ClassAT4[]</definedName>
    <definedName name="_xlcn.WorksheetConnection_CS48FinalProjectREPAIR.xlsmTable10161" hidden="1">Table1016</definedName>
    <definedName name="Aexclusive" localSheetId="11">'[1]Class A'!$M$6:$P$24</definedName>
    <definedName name="Aexclusive">'Class A'!$M$6:$P$24</definedName>
    <definedName name="Annual_school_trip">'Event Staffing'!$H$6:$H$167</definedName>
    <definedName name="Baseball_Club" localSheetId="11">#REF!</definedName>
    <definedName name="Baseball_Club">#REF!</definedName>
    <definedName name="Bexclusive" localSheetId="11">'[1]Class  B'!$R$30:$V$35</definedName>
    <definedName name="Bexclusive">'Class  B'!$R$30:$V$35</definedName>
    <definedName name="Books1" localSheetId="11">'[1]Library Fees'!$E$40:$E$66</definedName>
    <definedName name="Books1">'Library Fees'!$E$40:$E$66</definedName>
    <definedName name="Books2" localSheetId="11">'[1]Library Fees'!$E$74:$E$100</definedName>
    <definedName name="Books2">'Library Fees'!$E$74:$E$100</definedName>
    <definedName name="Books3" localSheetId="11">'[1]Library Fees'!$E$108:$E$134</definedName>
    <definedName name="Books3">'Library Fees'!$E$108:$E$134</definedName>
    <definedName name="Books4" localSheetId="11">'[1]Library Fees'!$E$142:$E$168</definedName>
    <definedName name="Books4">'Library Fees'!$E$142:$E$168</definedName>
    <definedName name="Cexclusive" localSheetId="11">'[1]Class C'!$N$13:$S$17</definedName>
    <definedName name="Cexclusive">'Class C'!$N$13:$S$17</definedName>
    <definedName name="Class_A_FinalGPA" localSheetId="11">[1]!ClassAT4[Final GPA]</definedName>
    <definedName name="Class_A_FinalGPA">ClassAT4[Final GPA]</definedName>
    <definedName name="Class_A_GPA1" localSheetId="11">[1]!ClassAT1[GPA]</definedName>
    <definedName name="Class_A_GPA1">ClassAT1[GPA]</definedName>
    <definedName name="Class_A_GPA2" localSheetId="11">[1]!ClassAT2[GPA]</definedName>
    <definedName name="Class_A_GPA2">ClassAT2[GPA]</definedName>
    <definedName name="Class_A_GPA3" localSheetId="11">[1]!ClassAT3[Letter Grade]</definedName>
    <definedName name="Class_A_GPA3">ClassAT3[Letter Grade]</definedName>
    <definedName name="ClassA" localSheetId="11">'[1]Academy student'!$A$92:$A$104</definedName>
    <definedName name="ClassA">'Academy student'!$A$92:$A$104</definedName>
    <definedName name="ClassAID" localSheetId="11">[1]!ClassAT1[Student ID]</definedName>
    <definedName name="ClassAID">ClassAT1[Student ID]</definedName>
    <definedName name="ClassALetter" localSheetId="11">[1]!ClassAT4[Letter Grade]</definedName>
    <definedName name="ClassALetter">ClassAT4[Letter Grade]</definedName>
    <definedName name="ClassARank" localSheetId="11">[1]!ClassAT4[Rank]</definedName>
    <definedName name="ClassARank">ClassAT4[Rank]</definedName>
    <definedName name="ClassAStudents" localSheetId="11">[1]!ClassAT1[[Student ID]:[First Names]]</definedName>
    <definedName name="ClassAStudents">ClassAT1[[Student ID]:[First Names]]</definedName>
    <definedName name="ClassB" localSheetId="11">'[1]Academy student'!$A$80:$A$91</definedName>
    <definedName name="ClassB">'Academy student'!$A$80:$A$91</definedName>
    <definedName name="CLASSBGPA1">'Class  B'!$K$4:$K$15</definedName>
    <definedName name="CLASSBGPA2">'Class  B'!$K$18:$K$29</definedName>
    <definedName name="CLASSBGPA3">'Class  B'!$K$32:$K$43</definedName>
    <definedName name="CLASSBGPA4">'Class  B'!$K$46:$K$57</definedName>
    <definedName name="ClassBLetter" localSheetId="11">'[1]Class  B'!$J$46:$J$57</definedName>
    <definedName name="ClassBLetter">'Class  B'!$J$46:$J$57</definedName>
    <definedName name="ClassBRank">'Class  B'!$L$46:$L$57</definedName>
    <definedName name="ClassBStudents">'Class  B'!$A$4:$C$15</definedName>
    <definedName name="ClassC" localSheetId="11">'[1]Academy student'!$A$42:$A$79</definedName>
    <definedName name="ClassC">'Academy student'!$A$42:$A$79</definedName>
    <definedName name="ClassCGPA4">'Class C'!$I$132:$I$169</definedName>
    <definedName name="ClassCLetter" localSheetId="11">'[1]Class C'!$J$132:$J$169</definedName>
    <definedName name="ClassCLetter">'Class C'!$J$132:$J$169</definedName>
    <definedName name="ClassCrank">'Class C'!$K$132:$K$169</definedName>
    <definedName name="ClassD" localSheetId="11">'[1]Academy student'!$A$15:$A$41</definedName>
    <definedName name="ClassD">'Academy student'!$A$15:$A$41</definedName>
    <definedName name="ClassD.0">'Class  D'!$O$106:$O$132</definedName>
    <definedName name="ClassDFinalGPA">'Class  D'!$P$106:$P$132</definedName>
    <definedName name="ClassDLetter" localSheetId="11">'[1]Class  D'!$L$106:$L$132</definedName>
    <definedName name="ClassDLetter">'Class  D'!$L$106:$L$132</definedName>
    <definedName name="ClassDRank">'Class  D'!$N$106:$N$132</definedName>
    <definedName name="Classes" localSheetId="11">Internship!$D$2:$D$65</definedName>
    <definedName name="Classes">#REF!</definedName>
    <definedName name="ClassF" localSheetId="11">'[1]Academy student'!$A$5:$A$14</definedName>
    <definedName name="ClassF">'Academy student'!$A$5:$A$14</definedName>
    <definedName name="ClassFGPA4" localSheetId="11">[1]!Table7[GPA]</definedName>
    <definedName name="ClassFGPA4">Table7[GPA]</definedName>
    <definedName name="ClassFLetter" localSheetId="11">[1]!Table7[Letter Grade]</definedName>
    <definedName name="ClassFLetter">Table7[Letter Grade]</definedName>
    <definedName name="ClassfRank" localSheetId="11">[1]!Table7[Rank]</definedName>
    <definedName name="ClassfRank">Table7[Rank]</definedName>
    <definedName name="ClassFStudents" localSheetId="11">[1]!Table8[[Student ID]:[First Names]]</definedName>
    <definedName name="ClassFStudents">Table8[[Student ID]:[First Names]]</definedName>
    <definedName name="Classrank">'Class C'!$K$132:$K$169</definedName>
    <definedName name="_xlnm.Criteria" localSheetId="7">'Class  D'!$P$33:$P$35</definedName>
    <definedName name="_xlnm.Criteria" localSheetId="10">'Event Staffing'!$B$6</definedName>
    <definedName name="Employee_ID" localSheetId="11">'[1]Event Staffing'!$B$5:$B$54</definedName>
    <definedName name="Employee_ID">'Event Staffing'!$B$6:$B$55</definedName>
    <definedName name="_xlnm.Extract" localSheetId="7">'Class  D'!$O$39:$AA$39</definedName>
    <definedName name="Fees" localSheetId="11">#REF!</definedName>
    <definedName name="Fees" localSheetId="12">'Library Fees'!$H$40:$H$66</definedName>
    <definedName name="Fees">#REF!</definedName>
    <definedName name="Fexclusive" localSheetId="11">'[1]Class F '!$N$4:$U$8</definedName>
    <definedName name="Fexclusive">'Class F '!$N$4:$U$8</definedName>
    <definedName name="FinalGPA" localSheetId="7">'Class  D'!$O$106:$O$132</definedName>
    <definedName name="FinalGPA" localSheetId="11">#REF!</definedName>
    <definedName name="FinalGPA" localSheetId="12">'Class  D'!$O$106:$O$132</definedName>
    <definedName name="FinalGPA">#REF!</definedName>
    <definedName name="FinalGrade1">'Class  D'!$K$3:$K$30</definedName>
    <definedName name="FirstName" localSheetId="7">'Class  D'!#REF!</definedName>
    <definedName name="FirstName" localSheetId="11">#REF!</definedName>
    <definedName name="FirstName" localSheetId="12">'Class  D'!#REF!</definedName>
    <definedName name="FirstName">#REF!</definedName>
    <definedName name="Grades" localSheetId="7">'Class  D'!#REF!</definedName>
    <definedName name="Grades" localSheetId="8">'[2]Class  D(Suraj McCune)'!$E$2:$E$21</definedName>
    <definedName name="Grades" localSheetId="11">#REF!</definedName>
    <definedName name="Grades" localSheetId="12">'Class  D'!#REF!</definedName>
    <definedName name="Grades">#REF!</definedName>
    <definedName name="Holloween_dance">'Event Staffing'!$F$6:$F$167</definedName>
    <definedName name="Internclasses" localSheetId="11">Internship!$D$2:$D$65</definedName>
    <definedName name="Internclasses">#REF!</definedName>
    <definedName name="LastName" localSheetId="7">'Class  D'!#REF!</definedName>
    <definedName name="LastName" localSheetId="8">'[2]Class  D(Suraj McCune)'!$C$2:$C$21</definedName>
    <definedName name="LastName" localSheetId="11">#REF!</definedName>
    <definedName name="LastName" localSheetId="12">'Class  D'!#REF!</definedName>
    <definedName name="LastName">#REF!</definedName>
    <definedName name="Major" localSheetId="11">Internship!$E$2:$E$65</definedName>
    <definedName name="Major">#REF!</definedName>
    <definedName name="PlacementExam_1">'Academy student'!$D$5:$D$104</definedName>
    <definedName name="PlacementExam_2">'Academy student'!$E$5:$E$104</definedName>
    <definedName name="PlacementScore" localSheetId="11">'[1]Academy student'!$F$5:$F$104</definedName>
    <definedName name="PlacementScore">'Academy student'!$F$5:$F$104</definedName>
    <definedName name="Prom">'Event Staffing'!$G$6:$G$183</definedName>
    <definedName name="Returned1" localSheetId="11">'[1]Library Fees'!$G$40:$G$66</definedName>
    <definedName name="Returned1">'Library Fees'!$G$40:$G$66</definedName>
    <definedName name="Returned2" localSheetId="11">'[1]Library Fees'!$G$74:$G$100</definedName>
    <definedName name="Returned2">'Library Fees'!$G$74:$G$100</definedName>
    <definedName name="Returned3" localSheetId="11">'[1]Library Fees'!$G$108:$G$134</definedName>
    <definedName name="Returned3">'Library Fees'!$G$108:$G$134</definedName>
    <definedName name="Returned4" localSheetId="11">'[1]Library Fees'!$G$142:$G$168</definedName>
    <definedName name="Returned4">'Library Fees'!$G$142:$G$168</definedName>
    <definedName name="SFirst_Names" localSheetId="11">'[1]Academy student'!$C$5:$C$104</definedName>
    <definedName name="SFirst_Names">'Academy student'!$C$5:$C$104</definedName>
    <definedName name="SLast_Name" localSheetId="11">'[1]Academy student'!$B$5:$B$104</definedName>
    <definedName name="SLast_Name">'Academy student'!$B$5:$B$104</definedName>
    <definedName name="Slicer_d">#N/A</definedName>
    <definedName name="Slicer_d1">#N/A</definedName>
    <definedName name="Slicer_PlacementScore">#N/A</definedName>
    <definedName name="Slicer_Total_fees">#N/A</definedName>
    <definedName name="solver_adj" localSheetId="13" hidden="1">Tuition!$B$30,Tuition!$B$31,Tuition!$B$33</definedName>
    <definedName name="solver_cvg" localSheetId="13" hidden="1">0.0001</definedName>
    <definedName name="solver_drv" localSheetId="13" hidden="1">1</definedName>
    <definedName name="solver_eng" localSheetId="13" hidden="1">1</definedName>
    <definedName name="solver_est" localSheetId="13" hidden="1">1</definedName>
    <definedName name="solver_itr" localSheetId="13" hidden="1">2147483647</definedName>
    <definedName name="solver_lhs1" localSheetId="13" hidden="1">Tuition!$B$30</definedName>
    <definedName name="solver_lhs2" localSheetId="13" hidden="1">Tuition!$B$31</definedName>
    <definedName name="solver_lhs3" localSheetId="13" hidden="1">Tuition!$B$31</definedName>
    <definedName name="solver_lhs4" localSheetId="13" hidden="1">Tuition!$B$33</definedName>
    <definedName name="solver_lhs5" localSheetId="13" hidden="1">Tuition!$B$33</definedName>
    <definedName name="solver_mip" localSheetId="13" hidden="1">2147483647</definedName>
    <definedName name="solver_mni" localSheetId="13" hidden="1">30</definedName>
    <definedName name="solver_mrt" localSheetId="13" hidden="1">0.075</definedName>
    <definedName name="solver_msl" localSheetId="13" hidden="1">2</definedName>
    <definedName name="solver_neg" localSheetId="13" hidden="1">1</definedName>
    <definedName name="solver_nod" localSheetId="13" hidden="1">2147483647</definedName>
    <definedName name="solver_num" localSheetId="13" hidden="1">5</definedName>
    <definedName name="solver_nwt" localSheetId="13" hidden="1">1</definedName>
    <definedName name="solver_opt" localSheetId="13" hidden="1">Tuition!$B$36</definedName>
    <definedName name="solver_pre" localSheetId="13" hidden="1">0.000001</definedName>
    <definedName name="solver_rbv" localSheetId="13" hidden="1">1</definedName>
    <definedName name="solver_rel1" localSheetId="13" hidden="1">1</definedName>
    <definedName name="solver_rel2" localSheetId="13" hidden="1">1</definedName>
    <definedName name="solver_rel3" localSheetId="13" hidden="1">3</definedName>
    <definedName name="solver_rel4" localSheetId="13" hidden="1">1</definedName>
    <definedName name="solver_rel5" localSheetId="13" hidden="1">4</definedName>
    <definedName name="solver_rhs1" localSheetId="13" hidden="1">22000</definedName>
    <definedName name="solver_rhs2" localSheetId="13" hidden="1">6%</definedName>
    <definedName name="solver_rhs3" localSheetId="13" hidden="1">3%</definedName>
    <definedName name="solver_rhs4" localSheetId="13" hidden="1">13</definedName>
    <definedName name="solver_rhs5" localSheetId="13" hidden="1">integer</definedName>
    <definedName name="solver_rlx" localSheetId="13" hidden="1">2</definedName>
    <definedName name="solver_rsd" localSheetId="13" hidden="1">0</definedName>
    <definedName name="solver_scl" localSheetId="13" hidden="1">1</definedName>
    <definedName name="solver_sho" localSheetId="13" hidden="1">2</definedName>
    <definedName name="solver_ssz" localSheetId="13" hidden="1">100</definedName>
    <definedName name="solver_tim" localSheetId="13" hidden="1">2147483647</definedName>
    <definedName name="solver_tol" localSheetId="13" hidden="1">0.01</definedName>
    <definedName name="solver_typ" localSheetId="13" hidden="1">3</definedName>
    <definedName name="solver_val" localSheetId="13" hidden="1">150</definedName>
    <definedName name="solver_ver" localSheetId="13" hidden="1">3</definedName>
    <definedName name="Student_ID" localSheetId="11">'[1]Academy student'!$A$5:$A$104</definedName>
    <definedName name="Student_ID">'Academy student'!$A$5:$A$104</definedName>
    <definedName name="Table" localSheetId="7">'Class  D'!#REF!</definedName>
    <definedName name="Table" localSheetId="11">#REF!</definedName>
    <definedName name="Table" localSheetId="12">'Class  D'!#REF!</definedName>
    <definedName name="Table">#REF!</definedName>
    <definedName name="TeacherClassA">'Teacher Class assighnments'!$E$19:$E$48</definedName>
    <definedName name="TeacherClassb">'Teacher Class assighnments'!$F$19:$F$48</definedName>
    <definedName name="TeacherClassC">'Teacher Class assighnments'!$G$19:$G$48</definedName>
    <definedName name="TeacherClassD">'Teacher Class assighnments'!$H$19:$H$48</definedName>
    <definedName name="TeacherClassF">'Teacher Class assighnments'!$I$19:$I$48</definedName>
    <definedName name="TFirstName">'Event Staffing'!$D$6:$D$35</definedName>
    <definedName name="TLastName">'Event Staffing'!$C$6:$C$35</definedName>
    <definedName name="Valentines_day_dance">'Event Staffing'!$E$6:$E$247</definedName>
  </definedNames>
  <calcPr calcId="191028"/>
  <pivotCaches>
    <pivotCache cacheId="0" r:id="rId18"/>
    <pivotCache cacheId="1" r:id="rId19"/>
    <pivotCache cacheId="2" r:id="rId20"/>
    <pivotCache cacheId="3" r:id="rId21"/>
    <pivotCache cacheId="4" r:id="rId22"/>
    <pivotCache cacheId="5" r:id="rId23"/>
    <pivotCache cacheId="6" r:id="rId24"/>
    <pivotCache cacheId="7" r:id="rId25"/>
  </pivotCaches>
  <extLst>
    <ext xmlns:x14="http://schemas.microsoft.com/office/spreadsheetml/2009/9/main" uri="{BBE1A952-AA13-448e-AADC-164F8A28A991}">
      <x14:slicerCaches>
        <x14:slicerCache r:id="rId26"/>
        <x14:slicerCache r:id="rId27"/>
        <x14:slicerCache r:id="rId28"/>
        <x14:slicerCache r:id="rId2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016" name="Table1016" connection="WorksheetConnection_CS48Final ProjectREPAIR.xlsm!Table1016"/>
          <x15:modelTable id="ClassAT4" name="ClassAT4" connection="WorksheetConnection_CS48Final ProjectREPAIR.xlsm!ClassAT4"/>
          <x15:modelTable id="ClassAT3" name="ClassAT3" connection="WorksheetConnection_CS48Final ProjectREPAIR.xlsm!ClassAT3"/>
          <x15:modelTable id="ClassAT2" name="ClassAT2" connection="WorksheetConnection_CS48Final ProjectREPAIR.xlsm!ClassAT2"/>
          <x15:modelTable id="ClassAT1" name="ClassAT1" connection="WorksheetConnection_CS48Final ProjectREPAIR.xlsm!ClassAT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8" i="45" l="1"/>
  <c r="J7" i="45"/>
  <c r="J5" i="45"/>
  <c r="J4" i="45"/>
  <c r="E2" i="47"/>
  <c r="P32" i="47" s="1"/>
  <c r="S16" i="47" s="1"/>
  <c r="I2" i="47"/>
  <c r="H2" i="47"/>
  <c r="H3" i="47"/>
  <c r="E3" i="47"/>
  <c r="I3" i="47"/>
  <c r="E4" i="47"/>
  <c r="H4" i="47"/>
  <c r="I4" i="47"/>
  <c r="E5" i="47"/>
  <c r="H5" i="47"/>
  <c r="I5" i="47"/>
  <c r="E6" i="47"/>
  <c r="H6" i="47"/>
  <c r="I6" i="47"/>
  <c r="E7" i="47"/>
  <c r="H7" i="47"/>
  <c r="I7" i="47"/>
  <c r="E8" i="47"/>
  <c r="H8" i="47"/>
  <c r="I8" i="47"/>
  <c r="E9" i="47"/>
  <c r="H9" i="47"/>
  <c r="I9" i="47"/>
  <c r="E10" i="47"/>
  <c r="H10" i="47"/>
  <c r="I10" i="47"/>
  <c r="E11" i="47"/>
  <c r="H11" i="47"/>
  <c r="I11" i="47"/>
  <c r="E12" i="47"/>
  <c r="H12" i="47"/>
  <c r="I12" i="47"/>
  <c r="E13" i="47"/>
  <c r="H13" i="47"/>
  <c r="I13" i="47"/>
  <c r="E14" i="47"/>
  <c r="H14" i="47"/>
  <c r="I14" i="47"/>
  <c r="E15" i="47"/>
  <c r="H15" i="47"/>
  <c r="I15" i="47"/>
  <c r="E16" i="47"/>
  <c r="H16" i="47"/>
  <c r="I16" i="47"/>
  <c r="E17" i="47"/>
  <c r="H17" i="47"/>
  <c r="I17" i="47"/>
  <c r="E18" i="47"/>
  <c r="H18" i="47"/>
  <c r="I18" i="47"/>
  <c r="E19" i="47"/>
  <c r="H19" i="47"/>
  <c r="I19" i="47"/>
  <c r="E20" i="47"/>
  <c r="H20" i="47"/>
  <c r="I20" i="47"/>
  <c r="E21" i="47"/>
  <c r="H21" i="47"/>
  <c r="I21" i="47"/>
  <c r="E22" i="47"/>
  <c r="H22" i="47"/>
  <c r="I22" i="47"/>
  <c r="E23" i="47"/>
  <c r="H23" i="47"/>
  <c r="I23" i="47"/>
  <c r="E24" i="47"/>
  <c r="H24" i="47"/>
  <c r="I24" i="47"/>
  <c r="E25" i="47"/>
  <c r="H25" i="47"/>
  <c r="I25" i="47"/>
  <c r="E26" i="47"/>
  <c r="H26" i="47"/>
  <c r="I26" i="47"/>
  <c r="E27" i="47"/>
  <c r="H27" i="47"/>
  <c r="I27" i="47"/>
  <c r="E28" i="47"/>
  <c r="H28" i="47"/>
  <c r="I28" i="47"/>
  <c r="E29" i="47"/>
  <c r="H29" i="47"/>
  <c r="I29" i="47"/>
  <c r="E30" i="47"/>
  <c r="H30" i="47"/>
  <c r="I30" i="47"/>
  <c r="E31" i="47"/>
  <c r="H31" i="47"/>
  <c r="I31" i="47"/>
  <c r="E32" i="47"/>
  <c r="H32" i="47"/>
  <c r="I32" i="47"/>
  <c r="E33" i="47"/>
  <c r="H33" i="47"/>
  <c r="I33" i="47"/>
  <c r="E34" i="47"/>
  <c r="H34" i="47"/>
  <c r="I34" i="47"/>
  <c r="E35" i="47"/>
  <c r="H35" i="47"/>
  <c r="I35" i="47"/>
  <c r="E36" i="47"/>
  <c r="H36" i="47"/>
  <c r="I36" i="47"/>
  <c r="E37" i="47"/>
  <c r="H37" i="47"/>
  <c r="I37" i="47"/>
  <c r="E38" i="47"/>
  <c r="H38" i="47"/>
  <c r="I38" i="47"/>
  <c r="E39" i="47"/>
  <c r="H39" i="47"/>
  <c r="I39" i="47"/>
  <c r="E40" i="47"/>
  <c r="H40" i="47"/>
  <c r="I40" i="47"/>
  <c r="E41" i="47"/>
  <c r="H41" i="47"/>
  <c r="I41" i="47"/>
  <c r="E42" i="47"/>
  <c r="H42" i="47"/>
  <c r="I42" i="47"/>
  <c r="E43" i="47"/>
  <c r="H43" i="47"/>
  <c r="I43" i="47"/>
  <c r="E44" i="47"/>
  <c r="H44" i="47"/>
  <c r="I44" i="47"/>
  <c r="E45" i="47"/>
  <c r="H45" i="47"/>
  <c r="I45" i="47"/>
  <c r="E46" i="47"/>
  <c r="H46" i="47"/>
  <c r="I46" i="47"/>
  <c r="E47" i="47"/>
  <c r="H47" i="47"/>
  <c r="I47" i="47"/>
  <c r="E48" i="47"/>
  <c r="H48" i="47"/>
  <c r="I48" i="47"/>
  <c r="E49" i="47"/>
  <c r="H49" i="47"/>
  <c r="I49" i="47"/>
  <c r="E50" i="47"/>
  <c r="H50" i="47"/>
  <c r="I50" i="47"/>
  <c r="E51" i="47"/>
  <c r="H51" i="47"/>
  <c r="I51" i="47"/>
  <c r="E52" i="47"/>
  <c r="H52" i="47"/>
  <c r="I52" i="47"/>
  <c r="E53" i="47"/>
  <c r="H53" i="47"/>
  <c r="I53" i="47"/>
  <c r="E54" i="47"/>
  <c r="H54" i="47"/>
  <c r="I54" i="47"/>
  <c r="E55" i="47"/>
  <c r="H55" i="47"/>
  <c r="I55" i="47"/>
  <c r="E56" i="47"/>
  <c r="H56" i="47"/>
  <c r="I56" i="47"/>
  <c r="E57" i="47"/>
  <c r="H57" i="47"/>
  <c r="I57" i="47"/>
  <c r="E58" i="47"/>
  <c r="H58" i="47"/>
  <c r="I58" i="47"/>
  <c r="E59" i="47"/>
  <c r="H59" i="47"/>
  <c r="I59" i="47"/>
  <c r="E60" i="47"/>
  <c r="H60" i="47"/>
  <c r="I60" i="47"/>
  <c r="E61" i="47"/>
  <c r="H61" i="47"/>
  <c r="I61" i="47"/>
  <c r="E62" i="47"/>
  <c r="H62" i="47"/>
  <c r="I62" i="47"/>
  <c r="E63" i="47"/>
  <c r="H63" i="47"/>
  <c r="I63" i="47"/>
  <c r="E64" i="47"/>
  <c r="H64" i="47"/>
  <c r="I64" i="47"/>
  <c r="E65" i="47"/>
  <c r="H65" i="47"/>
  <c r="I65" i="47"/>
  <c r="K5" i="45" a="1"/>
  <c r="K5" i="45" s="1"/>
  <c r="J1" i="20"/>
  <c r="J43" i="47" l="1"/>
  <c r="J27" i="47"/>
  <c r="J19" i="47"/>
  <c r="O32" i="47"/>
  <c r="R16" i="47" s="1"/>
  <c r="J31" i="47"/>
  <c r="N32" i="47"/>
  <c r="Q16" i="47" s="1"/>
  <c r="M32" i="47"/>
  <c r="P16" i="47" s="1"/>
  <c r="J4" i="47"/>
  <c r="J15" i="47"/>
  <c r="J49" i="47"/>
  <c r="J64" i="47"/>
  <c r="J65" i="47"/>
  <c r="J18" i="47"/>
  <c r="J38" i="47"/>
  <c r="J34" i="47"/>
  <c r="J22" i="47"/>
  <c r="J25" i="47"/>
  <c r="J12" i="47"/>
  <c r="J8" i="47"/>
  <c r="J37" i="47"/>
  <c r="J63" i="47"/>
  <c r="J55" i="47"/>
  <c r="J7" i="47"/>
  <c r="J52" i="47"/>
  <c r="J44" i="47"/>
  <c r="J40" i="47"/>
  <c r="J32" i="47"/>
  <c r="J61" i="47"/>
  <c r="J46" i="47"/>
  <c r="J24" i="47"/>
  <c r="J62" i="47"/>
  <c r="J58" i="47"/>
  <c r="J35" i="47"/>
  <c r="J50" i="47"/>
  <c r="J21" i="47"/>
  <c r="J53" i="47"/>
  <c r="J9" i="47"/>
  <c r="J33" i="47"/>
  <c r="J10" i="47"/>
  <c r="J56" i="47"/>
  <c r="J51" i="47"/>
  <c r="J41" i="47"/>
  <c r="J13" i="47"/>
  <c r="J23" i="47"/>
  <c r="J59" i="47"/>
  <c r="J36" i="47"/>
  <c r="J57" i="47"/>
  <c r="J11" i="47"/>
  <c r="J60" i="47"/>
  <c r="M31" i="47"/>
  <c r="P15" i="47" s="1"/>
  <c r="J39" i="47"/>
  <c r="J45" i="47"/>
  <c r="J28" i="47"/>
  <c r="J48" i="47"/>
  <c r="J6" i="47"/>
  <c r="J54" i="47"/>
  <c r="J26" i="47"/>
  <c r="J42" i="47"/>
  <c r="J14" i="47"/>
  <c r="J17" i="47"/>
  <c r="J30" i="47"/>
  <c r="J20" i="47"/>
  <c r="J16" i="47"/>
  <c r="J47" i="47"/>
  <c r="J29" i="47"/>
  <c r="J5" i="47"/>
  <c r="D85" i="47" a="1"/>
  <c r="D85" i="47" s="1"/>
  <c r="M29" i="47"/>
  <c r="P13" i="47" s="1"/>
  <c r="P31" i="47"/>
  <c r="S15" i="47" s="1"/>
  <c r="O31" i="47"/>
  <c r="R15" i="47" s="1"/>
  <c r="N31" i="47"/>
  <c r="Q15" i="47" s="1"/>
  <c r="N29" i="47"/>
  <c r="Q13" i="47" s="1"/>
  <c r="M30" i="47"/>
  <c r="P14" i="47" s="1"/>
  <c r="P29" i="47"/>
  <c r="S13" i="47" s="1"/>
  <c r="O30" i="47"/>
  <c r="R14" i="47" s="1"/>
  <c r="N30" i="47"/>
  <c r="Q14" i="47" s="1"/>
  <c r="O29" i="47"/>
  <c r="R13" i="47" s="1"/>
  <c r="P30" i="47"/>
  <c r="S14" i="47" s="1"/>
  <c r="F20" i="12"/>
  <c r="G20" i="12"/>
  <c r="H20" i="12"/>
  <c r="I20" i="12"/>
  <c r="J20" i="12"/>
  <c r="E6" i="16" a="1"/>
  <c r="E6" i="16" s="1"/>
  <c r="E16" i="16" a="1"/>
  <c r="E16" i="16" s="1"/>
  <c r="E43" i="16" a="1"/>
  <c r="E43" i="16" s="1"/>
  <c r="E93" i="16" a="1"/>
  <c r="E93" i="16" s="1"/>
  <c r="C105" i="9"/>
  <c r="B105" i="9"/>
  <c r="A105" i="9"/>
  <c r="D105" i="9"/>
  <c r="E105" i="9"/>
  <c r="F5" i="9"/>
  <c r="F74" i="9"/>
  <c r="F105" i="9"/>
  <c r="E16" i="12"/>
  <c r="D16" i="12"/>
  <c r="E14" i="12"/>
  <c r="D14" i="12"/>
  <c r="E12" i="12"/>
  <c r="D12" i="12"/>
  <c r="E10" i="12"/>
  <c r="D10" i="12"/>
  <c r="E8" i="12"/>
  <c r="D8" i="12"/>
  <c r="H16" i="12"/>
  <c r="H14" i="12"/>
  <c r="H12" i="12"/>
  <c r="H10" i="12"/>
  <c r="H8" i="12"/>
  <c r="F19" i="12"/>
  <c r="G19" i="12"/>
  <c r="H21" i="12"/>
  <c r="H19" i="12"/>
  <c r="I19" i="12"/>
  <c r="J19" i="12"/>
  <c r="H1" i="30"/>
  <c r="J1" i="45"/>
  <c r="J1" i="39"/>
  <c r="C6" i="16" a="1"/>
  <c r="C6" i="16" s="1"/>
  <c r="B6" i="16" a="1"/>
  <c r="B6" i="16" s="1"/>
  <c r="A6" i="16" a="1"/>
  <c r="A6" i="16" s="1"/>
  <c r="B35" i="40"/>
  <c r="B34" i="40"/>
  <c r="F168" i="46"/>
  <c r="F167" i="46"/>
  <c r="F166" i="46"/>
  <c r="F165" i="46"/>
  <c r="F164" i="46"/>
  <c r="F163" i="46"/>
  <c r="F162" i="46"/>
  <c r="F161" i="46"/>
  <c r="F160" i="46"/>
  <c r="F159" i="46"/>
  <c r="F158" i="46"/>
  <c r="F157" i="46"/>
  <c r="F156" i="46"/>
  <c r="F155" i="46"/>
  <c r="F154" i="46"/>
  <c r="F153" i="46"/>
  <c r="F152" i="46"/>
  <c r="F151" i="46"/>
  <c r="F150" i="46"/>
  <c r="F149" i="46"/>
  <c r="F148" i="46"/>
  <c r="F147" i="46"/>
  <c r="F146" i="46"/>
  <c r="F145" i="46"/>
  <c r="F144" i="46"/>
  <c r="F143" i="46"/>
  <c r="H142" i="46" a="1"/>
  <c r="G32" i="46" s="1"/>
  <c r="F142" i="46"/>
  <c r="F134" i="46"/>
  <c r="F133" i="46"/>
  <c r="F132" i="46"/>
  <c r="F131" i="46"/>
  <c r="F130" i="46"/>
  <c r="F129" i="46"/>
  <c r="F128" i="46"/>
  <c r="F127" i="46"/>
  <c r="F126" i="46"/>
  <c r="F125" i="46"/>
  <c r="F124" i="46"/>
  <c r="F123" i="46"/>
  <c r="F122" i="46"/>
  <c r="F121" i="46"/>
  <c r="F120" i="46"/>
  <c r="F119" i="46"/>
  <c r="F118" i="46"/>
  <c r="F117" i="46"/>
  <c r="F116" i="46"/>
  <c r="F115" i="46"/>
  <c r="F114" i="46"/>
  <c r="F113" i="46"/>
  <c r="F112" i="46"/>
  <c r="F111" i="46"/>
  <c r="F110" i="46"/>
  <c r="F109" i="46"/>
  <c r="H108" i="46" a="1"/>
  <c r="F32" i="46"/>
  <c r="F108" i="46"/>
  <c r="F100" i="46"/>
  <c r="F99" i="46"/>
  <c r="F98" i="46"/>
  <c r="F97" i="46"/>
  <c r="F96" i="46"/>
  <c r="F95" i="46"/>
  <c r="F94" i="46"/>
  <c r="F93" i="46"/>
  <c r="F92" i="46"/>
  <c r="F91" i="46"/>
  <c r="F90" i="46"/>
  <c r="F89" i="46"/>
  <c r="F88" i="46"/>
  <c r="F87" i="46"/>
  <c r="F86" i="46"/>
  <c r="F85" i="46"/>
  <c r="F84" i="46"/>
  <c r="F83" i="46"/>
  <c r="F82" i="46"/>
  <c r="F81" i="46"/>
  <c r="F80" i="46"/>
  <c r="F79" i="46"/>
  <c r="F78" i="46"/>
  <c r="F77" i="46"/>
  <c r="F76" i="46"/>
  <c r="F75" i="46"/>
  <c r="H74" i="46" a="1"/>
  <c r="E14" i="46" s="1"/>
  <c r="H74" i="46"/>
  <c r="E6" i="46"/>
  <c r="F74" i="46"/>
  <c r="F66" i="46"/>
  <c r="F65" i="46"/>
  <c r="F64" i="46"/>
  <c r="F63" i="46"/>
  <c r="F62" i="46"/>
  <c r="F61" i="46"/>
  <c r="F60" i="46"/>
  <c r="F59" i="46"/>
  <c r="F58" i="46"/>
  <c r="F57" i="46"/>
  <c r="F56" i="46"/>
  <c r="F55" i="46"/>
  <c r="F54" i="46"/>
  <c r="F53" i="46"/>
  <c r="F52" i="46"/>
  <c r="F51" i="46"/>
  <c r="F50" i="46"/>
  <c r="F49" i="46"/>
  <c r="F48" i="46"/>
  <c r="F47" i="46"/>
  <c r="F46" i="46"/>
  <c r="F45" i="46"/>
  <c r="F44" i="46"/>
  <c r="F43" i="46"/>
  <c r="F42" i="46"/>
  <c r="F41" i="46"/>
  <c r="H40" i="46" a="1"/>
  <c r="D32" i="46" s="1"/>
  <c r="F40" i="46"/>
  <c r="E21" i="46"/>
  <c r="E35" i="11"/>
  <c r="F35" i="11" s="1"/>
  <c r="G35" i="11" s="1"/>
  <c r="H35" i="11" s="1"/>
  <c r="E34" i="11"/>
  <c r="F34" i="11" s="1"/>
  <c r="G34" i="11" s="1"/>
  <c r="H34" i="11" s="1"/>
  <c r="E33" i="11"/>
  <c r="F33" i="11" s="1"/>
  <c r="G33" i="11" s="1"/>
  <c r="H33" i="11" s="1"/>
  <c r="E32" i="11"/>
  <c r="F32" i="11" s="1"/>
  <c r="G32" i="11" s="1"/>
  <c r="H32" i="11" s="1"/>
  <c r="E31" i="11"/>
  <c r="F31" i="11" s="1"/>
  <c r="G31" i="11" s="1"/>
  <c r="H31" i="11" s="1"/>
  <c r="E30" i="11"/>
  <c r="F30" i="11" s="1"/>
  <c r="G30" i="11" s="1"/>
  <c r="H30" i="11" s="1"/>
  <c r="E29" i="11"/>
  <c r="F29" i="11" s="1"/>
  <c r="G29" i="11" s="1"/>
  <c r="H29" i="11" s="1"/>
  <c r="E28" i="11"/>
  <c r="F28" i="11" s="1"/>
  <c r="G28" i="11" s="1"/>
  <c r="H28" i="11" s="1"/>
  <c r="E27" i="11"/>
  <c r="F27" i="11" s="1"/>
  <c r="G27" i="11" s="1"/>
  <c r="H27" i="11" s="1"/>
  <c r="E26" i="11"/>
  <c r="F26" i="11" s="1"/>
  <c r="G26" i="11" s="1"/>
  <c r="H26" i="11" s="1"/>
  <c r="E25" i="11"/>
  <c r="F25" i="11" s="1"/>
  <c r="G25" i="11" s="1"/>
  <c r="H25" i="11" s="1"/>
  <c r="E24" i="11"/>
  <c r="F24" i="11" s="1"/>
  <c r="G24" i="11" s="1"/>
  <c r="H24" i="11" s="1"/>
  <c r="E23" i="11"/>
  <c r="F23" i="11" s="1"/>
  <c r="G23" i="11" s="1"/>
  <c r="H23" i="11" s="1"/>
  <c r="E22" i="11"/>
  <c r="F22" i="11" s="1"/>
  <c r="G22" i="11" s="1"/>
  <c r="H22" i="11" s="1"/>
  <c r="E21" i="11"/>
  <c r="F21" i="11" s="1"/>
  <c r="G21" i="11" s="1"/>
  <c r="H21" i="11" s="1"/>
  <c r="E20" i="11"/>
  <c r="F20" i="11" s="1"/>
  <c r="G20" i="11" s="1"/>
  <c r="H20" i="11" s="1"/>
  <c r="E19" i="11"/>
  <c r="F19" i="11" s="1"/>
  <c r="G19" i="11" s="1"/>
  <c r="H19" i="11" s="1"/>
  <c r="E18" i="11"/>
  <c r="F18" i="11" s="1"/>
  <c r="G18" i="11" s="1"/>
  <c r="H18" i="11" s="1"/>
  <c r="E17" i="11"/>
  <c r="F17" i="11" s="1"/>
  <c r="G17" i="11" s="1"/>
  <c r="H17" i="11" s="1"/>
  <c r="E16" i="11"/>
  <c r="F16" i="11" s="1"/>
  <c r="G16" i="11" s="1"/>
  <c r="H16" i="11" s="1"/>
  <c r="E15" i="11"/>
  <c r="F15" i="11" s="1"/>
  <c r="G15" i="11" s="1"/>
  <c r="H15" i="11" s="1"/>
  <c r="E14" i="11"/>
  <c r="F14" i="11" s="1"/>
  <c r="G14" i="11" s="1"/>
  <c r="H14" i="11" s="1"/>
  <c r="E13" i="11"/>
  <c r="F13" i="11" s="1"/>
  <c r="G13" i="11" s="1"/>
  <c r="H13" i="11" s="1"/>
  <c r="E12" i="11"/>
  <c r="F12" i="11" s="1"/>
  <c r="E11" i="11"/>
  <c r="F11" i="11" s="1"/>
  <c r="G11" i="11" s="1"/>
  <c r="H11" i="11" s="1"/>
  <c r="E10" i="11"/>
  <c r="F10" i="11" s="1"/>
  <c r="G10" i="11" s="1"/>
  <c r="H10" i="11" s="1"/>
  <c r="E9" i="11"/>
  <c r="F9" i="11" s="1"/>
  <c r="G9" i="11" s="1"/>
  <c r="E8" i="11"/>
  <c r="F8" i="11" s="1"/>
  <c r="G8" i="11" s="1"/>
  <c r="H8" i="11" s="1"/>
  <c r="E7" i="11"/>
  <c r="F7" i="11" s="1"/>
  <c r="G7" i="11" s="1"/>
  <c r="H7" i="11" s="1"/>
  <c r="E6" i="11"/>
  <c r="F6" i="11" s="1"/>
  <c r="D2" i="11"/>
  <c r="C2" i="11"/>
  <c r="K50" i="12"/>
  <c r="J50" i="12"/>
  <c r="I50" i="12"/>
  <c r="H50" i="12"/>
  <c r="G50" i="12"/>
  <c r="F50" i="12"/>
  <c r="E50" i="12"/>
  <c r="K49" i="12"/>
  <c r="E49" i="12"/>
  <c r="F48" i="12"/>
  <c r="G48" i="12"/>
  <c r="I47" i="12"/>
  <c r="H47" i="12"/>
  <c r="G46" i="12"/>
  <c r="H46" i="12"/>
  <c r="J45" i="12"/>
  <c r="I44" i="12"/>
  <c r="J44" i="12"/>
  <c r="I43" i="12"/>
  <c r="J43" i="12"/>
  <c r="H42" i="12"/>
  <c r="I42" i="12"/>
  <c r="G41" i="12"/>
  <c r="H41" i="12"/>
  <c r="F40" i="12"/>
  <c r="G40" i="12"/>
  <c r="H40" i="12"/>
  <c r="J39" i="12"/>
  <c r="G38" i="12"/>
  <c r="H38" i="12"/>
  <c r="I38" i="12"/>
  <c r="J38" i="12"/>
  <c r="F37" i="12"/>
  <c r="G37" i="12"/>
  <c r="H36" i="12"/>
  <c r="I36" i="12"/>
  <c r="J36" i="12"/>
  <c r="I35" i="12"/>
  <c r="J35" i="12"/>
  <c r="G34" i="12"/>
  <c r="H34" i="12"/>
  <c r="F33" i="12"/>
  <c r="G33" i="12"/>
  <c r="H33" i="12"/>
  <c r="F32" i="12"/>
  <c r="G32" i="12"/>
  <c r="J31" i="12"/>
  <c r="G30" i="12"/>
  <c r="F29" i="12"/>
  <c r="G29" i="12"/>
  <c r="J28" i="12"/>
  <c r="H27" i="12"/>
  <c r="I27" i="12"/>
  <c r="G26" i="12"/>
  <c r="H26" i="12"/>
  <c r="F25" i="12"/>
  <c r="F24" i="12"/>
  <c r="F23" i="12"/>
  <c r="I22" i="12"/>
  <c r="J22" i="12"/>
  <c r="I21" i="12"/>
  <c r="J21" i="12"/>
  <c r="E4" i="12"/>
  <c r="D4" i="12"/>
  <c r="C4" i="12"/>
  <c r="B4" i="12"/>
  <c r="K53" i="30"/>
  <c r="I53" i="30"/>
  <c r="K52" i="30"/>
  <c r="I52" i="30"/>
  <c r="K51" i="30"/>
  <c r="L51" i="30"/>
  <c r="I51" i="30"/>
  <c r="K50" i="30"/>
  <c r="L50" i="30"/>
  <c r="I50" i="30"/>
  <c r="K49" i="30"/>
  <c r="I49" i="30"/>
  <c r="K48" i="30"/>
  <c r="I48" i="30"/>
  <c r="K47" i="30"/>
  <c r="L47" i="30"/>
  <c r="I47" i="30"/>
  <c r="K46" i="30"/>
  <c r="L52" i="30"/>
  <c r="I46" i="30"/>
  <c r="K45" i="30"/>
  <c r="I45" i="30"/>
  <c r="K44" i="30"/>
  <c r="I44" i="30"/>
  <c r="K40" i="30"/>
  <c r="I40" i="30"/>
  <c r="K39" i="30"/>
  <c r="I39" i="30"/>
  <c r="K38" i="30"/>
  <c r="I38" i="30"/>
  <c r="K37" i="30"/>
  <c r="I37" i="30"/>
  <c r="K36" i="30"/>
  <c r="I36" i="30"/>
  <c r="K35" i="30"/>
  <c r="I35" i="30"/>
  <c r="K34" i="30"/>
  <c r="I34" i="30"/>
  <c r="K33" i="30"/>
  <c r="I33" i="30"/>
  <c r="K32" i="30"/>
  <c r="I32" i="30"/>
  <c r="K31" i="30"/>
  <c r="I31" i="30"/>
  <c r="K27" i="30"/>
  <c r="I27" i="30"/>
  <c r="K26" i="30"/>
  <c r="I26" i="30"/>
  <c r="K25" i="30"/>
  <c r="I25" i="30"/>
  <c r="K24" i="30"/>
  <c r="I24" i="30"/>
  <c r="K23" i="30"/>
  <c r="I23" i="30"/>
  <c r="K22" i="30"/>
  <c r="I22" i="30"/>
  <c r="K21" i="30"/>
  <c r="I21" i="30"/>
  <c r="K20" i="30"/>
  <c r="I20" i="30"/>
  <c r="K19" i="30"/>
  <c r="I19" i="30"/>
  <c r="K18" i="30"/>
  <c r="I18" i="30"/>
  <c r="K13" i="30"/>
  <c r="I13" i="30"/>
  <c r="K12" i="30"/>
  <c r="I12" i="30"/>
  <c r="K11" i="30"/>
  <c r="I11" i="30"/>
  <c r="K10" i="30"/>
  <c r="I10" i="30"/>
  <c r="K9" i="30"/>
  <c r="I9" i="30"/>
  <c r="K8" i="30"/>
  <c r="I8" i="30"/>
  <c r="U7" i="30"/>
  <c r="K7" i="30"/>
  <c r="I7" i="30"/>
  <c r="U6" i="30"/>
  <c r="K6" i="30"/>
  <c r="I6" i="30"/>
  <c r="U5" i="30"/>
  <c r="K5" i="30"/>
  <c r="I5" i="30"/>
  <c r="U4" i="30"/>
  <c r="K4" i="30"/>
  <c r="I4" i="30"/>
  <c r="P132" i="45"/>
  <c r="K132" i="45" a="1"/>
  <c r="K132" i="45"/>
  <c r="L132" i="45" a="1"/>
  <c r="L132" i="45"/>
  <c r="M132" i="45"/>
  <c r="J132" i="45"/>
  <c r="P131" i="45"/>
  <c r="K131" i="45" a="1"/>
  <c r="K131" i="45"/>
  <c r="L131" i="45" a="1"/>
  <c r="L131" i="45"/>
  <c r="M131" i="45"/>
  <c r="J131" i="45"/>
  <c r="P130" i="45"/>
  <c r="K130" i="45" a="1"/>
  <c r="K130" i="45"/>
  <c r="J130" i="45"/>
  <c r="P129" i="45"/>
  <c r="K129" i="45" a="1"/>
  <c r="K129" i="45"/>
  <c r="L129" i="45" a="1"/>
  <c r="L129" i="45"/>
  <c r="M129" i="45"/>
  <c r="J129" i="45"/>
  <c r="P128" i="45"/>
  <c r="K128" i="45" a="1"/>
  <c r="K128" i="45"/>
  <c r="L128" i="45" a="1"/>
  <c r="L128" i="45"/>
  <c r="M128" i="45"/>
  <c r="J128" i="45"/>
  <c r="P127" i="45"/>
  <c r="K127" i="45" a="1"/>
  <c r="K127" i="45"/>
  <c r="J127" i="45"/>
  <c r="P126" i="45"/>
  <c r="K126" i="45" a="1"/>
  <c r="K126" i="45"/>
  <c r="J126" i="45"/>
  <c r="P125" i="45"/>
  <c r="K125" i="45"/>
  <c r="L125" i="45" a="1"/>
  <c r="L125" i="45"/>
  <c r="M125" i="45"/>
  <c r="K125" i="45" a="1"/>
  <c r="J125" i="45"/>
  <c r="P124" i="45"/>
  <c r="K124" i="45" a="1"/>
  <c r="K124" i="45"/>
  <c r="J124" i="45"/>
  <c r="P123" i="45"/>
  <c r="K123" i="45" a="1"/>
  <c r="K123" i="45"/>
  <c r="J123" i="45"/>
  <c r="P122" i="45"/>
  <c r="L122" i="45" a="1"/>
  <c r="L122" i="45"/>
  <c r="M122" i="45"/>
  <c r="K122" i="45" a="1"/>
  <c r="K122" i="45"/>
  <c r="J122" i="45"/>
  <c r="P121" i="45"/>
  <c r="K121" i="45"/>
  <c r="L121" i="45" a="1"/>
  <c r="L121" i="45"/>
  <c r="M121" i="45"/>
  <c r="K121" i="45" a="1"/>
  <c r="J121" i="45"/>
  <c r="P120" i="45"/>
  <c r="K120" i="45" a="1"/>
  <c r="K120" i="45"/>
  <c r="L120" i="45" a="1"/>
  <c r="L120" i="45"/>
  <c r="M120" i="45"/>
  <c r="J120" i="45"/>
  <c r="P119" i="45"/>
  <c r="K119" i="45" a="1"/>
  <c r="K119" i="45"/>
  <c r="J119" i="45"/>
  <c r="P118" i="45"/>
  <c r="K118" i="45" a="1"/>
  <c r="K118" i="45"/>
  <c r="J118" i="45"/>
  <c r="P117" i="45"/>
  <c r="K117" i="45" a="1"/>
  <c r="K117" i="45"/>
  <c r="L117" i="45" a="1"/>
  <c r="L117" i="45"/>
  <c r="M117" i="45"/>
  <c r="J117" i="45"/>
  <c r="P116" i="45"/>
  <c r="K116" i="45" a="1"/>
  <c r="K116" i="45"/>
  <c r="L116" i="45" a="1"/>
  <c r="L116" i="45"/>
  <c r="M116" i="45"/>
  <c r="J116" i="45"/>
  <c r="P115" i="45"/>
  <c r="K115" i="45" a="1"/>
  <c r="K115" i="45"/>
  <c r="J115" i="45"/>
  <c r="P114" i="45"/>
  <c r="K114" i="45" a="1"/>
  <c r="K114" i="45"/>
  <c r="J114" i="45"/>
  <c r="P113" i="45"/>
  <c r="K113" i="45" a="1"/>
  <c r="K113" i="45"/>
  <c r="L113" i="45" a="1"/>
  <c r="L113" i="45"/>
  <c r="M113" i="45"/>
  <c r="J113" i="45"/>
  <c r="P112" i="45"/>
  <c r="K112" i="45" a="1"/>
  <c r="K112" i="45"/>
  <c r="J112" i="45"/>
  <c r="P111" i="45"/>
  <c r="K111" i="45" a="1"/>
  <c r="K111" i="45"/>
  <c r="J111" i="45"/>
  <c r="P110" i="45"/>
  <c r="K110" i="45" a="1"/>
  <c r="K110" i="45"/>
  <c r="L110" i="45" a="1"/>
  <c r="L110" i="45"/>
  <c r="M110" i="45"/>
  <c r="J110" i="45"/>
  <c r="P109" i="45"/>
  <c r="K109" i="45" a="1"/>
  <c r="K109" i="45"/>
  <c r="J109" i="45"/>
  <c r="P108" i="45"/>
  <c r="K108" i="45" a="1"/>
  <c r="K108" i="45"/>
  <c r="J108" i="45"/>
  <c r="P107" i="45"/>
  <c r="K107" i="45" a="1"/>
  <c r="K107" i="45"/>
  <c r="J107" i="45"/>
  <c r="P106" i="45"/>
  <c r="K106" i="45" a="1"/>
  <c r="K106" i="45"/>
  <c r="J106" i="45"/>
  <c r="M98" i="45"/>
  <c r="K98" i="45" a="1"/>
  <c r="K98" i="45"/>
  <c r="L98" i="45" a="1"/>
  <c r="L98" i="45"/>
  <c r="J98" i="45"/>
  <c r="K97" i="45" a="1"/>
  <c r="K97" i="45"/>
  <c r="L97" i="45" a="1"/>
  <c r="L97" i="45"/>
  <c r="M97" i="45"/>
  <c r="J97" i="45"/>
  <c r="K96" i="45"/>
  <c r="L96" i="45" a="1"/>
  <c r="L96" i="45"/>
  <c r="M96" i="45"/>
  <c r="K96" i="45" a="1"/>
  <c r="J96" i="45"/>
  <c r="L95" i="45" a="1"/>
  <c r="L95" i="45"/>
  <c r="M95" i="45"/>
  <c r="K95" i="45" a="1"/>
  <c r="K95" i="45"/>
  <c r="J95" i="45"/>
  <c r="L94" i="45" a="1"/>
  <c r="L94" i="45"/>
  <c r="M94" i="45"/>
  <c r="K94" i="45" a="1"/>
  <c r="K94" i="45"/>
  <c r="J94" i="45"/>
  <c r="K93" i="45" a="1"/>
  <c r="K93" i="45"/>
  <c r="L93" i="45" a="1"/>
  <c r="L93" i="45"/>
  <c r="M93" i="45"/>
  <c r="J93" i="45"/>
  <c r="K92" i="45"/>
  <c r="L92" i="45" a="1"/>
  <c r="L92" i="45"/>
  <c r="M92" i="45"/>
  <c r="K92" i="45" a="1"/>
  <c r="J92" i="45"/>
  <c r="K91" i="45" a="1"/>
  <c r="K91" i="45"/>
  <c r="L91" i="45" a="1"/>
  <c r="L91" i="45"/>
  <c r="M91" i="45"/>
  <c r="J91" i="45"/>
  <c r="K90" i="45" a="1"/>
  <c r="K90" i="45"/>
  <c r="L90" i="45" a="1"/>
  <c r="L90" i="45"/>
  <c r="M90" i="45"/>
  <c r="J90" i="45"/>
  <c r="K89" i="45" a="1"/>
  <c r="K89" i="45"/>
  <c r="L89" i="45" a="1"/>
  <c r="L89" i="45"/>
  <c r="M89" i="45"/>
  <c r="J89" i="45"/>
  <c r="K88" i="45"/>
  <c r="L88" i="45" a="1"/>
  <c r="L88" i="45"/>
  <c r="M88" i="45"/>
  <c r="K88" i="45" a="1"/>
  <c r="J88" i="45"/>
  <c r="K87" i="45" a="1"/>
  <c r="K87" i="45"/>
  <c r="L87" i="45" a="1"/>
  <c r="L87" i="45"/>
  <c r="M87" i="45"/>
  <c r="J87" i="45"/>
  <c r="L86" i="45" a="1"/>
  <c r="L86" i="45"/>
  <c r="M86" i="45"/>
  <c r="K86" i="45" a="1"/>
  <c r="K86" i="45"/>
  <c r="J86" i="45"/>
  <c r="K85" i="45" a="1"/>
  <c r="K85" i="45"/>
  <c r="L85" i="45" a="1"/>
  <c r="L85" i="45"/>
  <c r="M85" i="45"/>
  <c r="J85" i="45"/>
  <c r="K84" i="45"/>
  <c r="L84" i="45" a="1"/>
  <c r="L84" i="45"/>
  <c r="M84" i="45"/>
  <c r="K84" i="45" a="1"/>
  <c r="J84" i="45"/>
  <c r="K83" i="45" a="1"/>
  <c r="K83" i="45"/>
  <c r="L83" i="45" a="1"/>
  <c r="L83" i="45"/>
  <c r="M83" i="45"/>
  <c r="J83" i="45"/>
  <c r="K82" i="45" a="1"/>
  <c r="K82" i="45"/>
  <c r="L82" i="45" a="1"/>
  <c r="L82" i="45"/>
  <c r="M82" i="45"/>
  <c r="J82" i="45"/>
  <c r="K81" i="45"/>
  <c r="L81" i="45" a="1"/>
  <c r="L81" i="45"/>
  <c r="M81" i="45"/>
  <c r="K81" i="45" a="1"/>
  <c r="J81" i="45"/>
  <c r="K80" i="45" a="1"/>
  <c r="K80" i="45"/>
  <c r="L80" i="45" a="1"/>
  <c r="L80" i="45"/>
  <c r="M80" i="45"/>
  <c r="J80" i="45"/>
  <c r="K79" i="45"/>
  <c r="L79" i="45" a="1"/>
  <c r="L79" i="45"/>
  <c r="M79" i="45"/>
  <c r="K79" i="45" a="1"/>
  <c r="J79" i="45"/>
  <c r="K78" i="45"/>
  <c r="L78" i="45" a="1"/>
  <c r="L78" i="45"/>
  <c r="M78" i="45"/>
  <c r="K78" i="45" a="1"/>
  <c r="J78" i="45"/>
  <c r="K77" i="45" a="1"/>
  <c r="K77" i="45"/>
  <c r="L77" i="45" a="1"/>
  <c r="L77" i="45"/>
  <c r="M77" i="45"/>
  <c r="J77" i="45"/>
  <c r="K76" i="45" a="1"/>
  <c r="K76" i="45"/>
  <c r="L76" i="45" a="1"/>
  <c r="L76" i="45"/>
  <c r="M76" i="45"/>
  <c r="J76" i="45"/>
  <c r="K75" i="45" a="1"/>
  <c r="K75" i="45"/>
  <c r="L75" i="45" a="1"/>
  <c r="L75" i="45"/>
  <c r="M75" i="45"/>
  <c r="J75" i="45"/>
  <c r="K74" i="45" a="1"/>
  <c r="K74" i="45"/>
  <c r="L74" i="45" a="1"/>
  <c r="L74" i="45"/>
  <c r="M74" i="45"/>
  <c r="J74" i="45"/>
  <c r="K73" i="45" a="1"/>
  <c r="K73" i="45"/>
  <c r="L73" i="45" a="1"/>
  <c r="L73" i="45"/>
  <c r="M73" i="45"/>
  <c r="J73" i="45"/>
  <c r="K72" i="45" a="1"/>
  <c r="K72" i="45"/>
  <c r="L72" i="45" a="1"/>
  <c r="L72" i="45"/>
  <c r="M72" i="45"/>
  <c r="J72" i="45"/>
  <c r="K64" i="45" a="1"/>
  <c r="K64" i="45"/>
  <c r="L64" i="45" a="1"/>
  <c r="L64" i="45"/>
  <c r="M64" i="45"/>
  <c r="J64" i="45"/>
  <c r="K63" i="45" a="1"/>
  <c r="K63" i="45"/>
  <c r="L63" i="45" a="1"/>
  <c r="L63" i="45"/>
  <c r="M63" i="45"/>
  <c r="J63" i="45"/>
  <c r="K62" i="45"/>
  <c r="L62" i="45" a="1"/>
  <c r="L62" i="45"/>
  <c r="M62" i="45"/>
  <c r="K62" i="45" a="1"/>
  <c r="J62" i="45"/>
  <c r="K61" i="45"/>
  <c r="L61" i="45" a="1"/>
  <c r="L61" i="45"/>
  <c r="M61" i="45"/>
  <c r="K61" i="45" a="1"/>
  <c r="J61" i="45"/>
  <c r="K60" i="45" a="1"/>
  <c r="K60" i="45"/>
  <c r="L60" i="45" a="1"/>
  <c r="L60" i="45"/>
  <c r="M60" i="45"/>
  <c r="J60" i="45"/>
  <c r="K59" i="45"/>
  <c r="L59" i="45" a="1"/>
  <c r="L59" i="45"/>
  <c r="M59" i="45"/>
  <c r="K59" i="45" a="1"/>
  <c r="J59" i="45"/>
  <c r="K58" i="45" a="1"/>
  <c r="K58" i="45"/>
  <c r="L58" i="45" a="1"/>
  <c r="L58" i="45"/>
  <c r="M58" i="45"/>
  <c r="J58" i="45"/>
  <c r="K57" i="45"/>
  <c r="L57" i="45" a="1"/>
  <c r="L57" i="45"/>
  <c r="M57" i="45"/>
  <c r="K57" i="45" a="1"/>
  <c r="J57" i="45"/>
  <c r="L56" i="45"/>
  <c r="M56" i="45"/>
  <c r="K56" i="45" a="1"/>
  <c r="K56" i="45"/>
  <c r="L56" i="45" a="1"/>
  <c r="J56" i="45"/>
  <c r="K55" i="45"/>
  <c r="L55" i="45" a="1"/>
  <c r="L55" i="45"/>
  <c r="M55" i="45"/>
  <c r="K55" i="45" a="1"/>
  <c r="J55" i="45"/>
  <c r="K54" i="45" a="1"/>
  <c r="K54" i="45"/>
  <c r="L54" i="45" a="1"/>
  <c r="L54" i="45"/>
  <c r="M54" i="45"/>
  <c r="J54" i="45"/>
  <c r="K53" i="45" a="1"/>
  <c r="K53" i="45"/>
  <c r="L53" i="45" a="1"/>
  <c r="L53" i="45"/>
  <c r="M53" i="45"/>
  <c r="J53" i="45"/>
  <c r="K52" i="45" a="1"/>
  <c r="K52" i="45"/>
  <c r="L52" i="45" a="1"/>
  <c r="L52" i="45"/>
  <c r="M52" i="45"/>
  <c r="J52" i="45"/>
  <c r="K51" i="45"/>
  <c r="L51" i="45" a="1"/>
  <c r="L51" i="45"/>
  <c r="M51" i="45"/>
  <c r="K51" i="45" a="1"/>
  <c r="J51" i="45"/>
  <c r="K50" i="45" a="1"/>
  <c r="K50" i="45"/>
  <c r="L50" i="45" a="1"/>
  <c r="L50" i="45"/>
  <c r="M50" i="45"/>
  <c r="J50" i="45"/>
  <c r="K49" i="45" a="1"/>
  <c r="K49" i="45"/>
  <c r="L49" i="45" a="1"/>
  <c r="L49" i="45"/>
  <c r="M49" i="45"/>
  <c r="J49" i="45"/>
  <c r="K48" i="45" a="1"/>
  <c r="K48" i="45"/>
  <c r="L48" i="45" a="1"/>
  <c r="L48" i="45"/>
  <c r="M48" i="45"/>
  <c r="J48" i="45"/>
  <c r="K47" i="45" a="1"/>
  <c r="K47" i="45"/>
  <c r="L47" i="45" a="1"/>
  <c r="L47" i="45"/>
  <c r="M47" i="45"/>
  <c r="J47" i="45"/>
  <c r="K46" i="45" a="1"/>
  <c r="K46" i="45"/>
  <c r="L46" i="45" a="1"/>
  <c r="L46" i="45"/>
  <c r="M46" i="45"/>
  <c r="J46" i="45"/>
  <c r="K45" i="45"/>
  <c r="L45" i="45" a="1"/>
  <c r="L45" i="45"/>
  <c r="M45" i="45"/>
  <c r="K45" i="45" a="1"/>
  <c r="J45" i="45"/>
  <c r="L44" i="45"/>
  <c r="M44" i="45"/>
  <c r="K44" i="45" a="1"/>
  <c r="K44" i="45"/>
  <c r="L44" i="45" a="1"/>
  <c r="J44" i="45"/>
  <c r="K43" i="45" a="1"/>
  <c r="K43" i="45"/>
  <c r="L43" i="45" a="1"/>
  <c r="L43" i="45"/>
  <c r="M43" i="45"/>
  <c r="J43" i="45"/>
  <c r="K42" i="45" a="1"/>
  <c r="K42" i="45"/>
  <c r="L42" i="45" a="1"/>
  <c r="L42" i="45"/>
  <c r="M42" i="45"/>
  <c r="J42" i="45"/>
  <c r="K41" i="45" a="1"/>
  <c r="K41" i="45"/>
  <c r="L41" i="45" a="1"/>
  <c r="L41" i="45"/>
  <c r="M41" i="45"/>
  <c r="J41" i="45"/>
  <c r="K40" i="45" a="1"/>
  <c r="K40" i="45"/>
  <c r="L40" i="45" a="1"/>
  <c r="L40" i="45"/>
  <c r="M40" i="45"/>
  <c r="J40" i="45"/>
  <c r="K39" i="45" a="1"/>
  <c r="K39" i="45"/>
  <c r="L39" i="45" a="1"/>
  <c r="L39" i="45"/>
  <c r="M39" i="45"/>
  <c r="J39" i="45"/>
  <c r="K38" i="45" a="1"/>
  <c r="K38" i="45"/>
  <c r="L38" i="45" a="1"/>
  <c r="L38" i="45"/>
  <c r="M38" i="45"/>
  <c r="J38" i="45"/>
  <c r="K30" i="45" a="1"/>
  <c r="K30" i="45"/>
  <c r="L30" i="45" a="1"/>
  <c r="L30" i="45"/>
  <c r="M30" i="45"/>
  <c r="J30" i="45"/>
  <c r="L29" i="45"/>
  <c r="M29" i="45"/>
  <c r="K29" i="45" a="1"/>
  <c r="K29" i="45"/>
  <c r="L29" i="45" a="1"/>
  <c r="J29" i="45"/>
  <c r="K28" i="45"/>
  <c r="L28" i="45" a="1"/>
  <c r="L28" i="45"/>
  <c r="M28" i="45"/>
  <c r="K28" i="45" a="1"/>
  <c r="J28" i="45"/>
  <c r="K27" i="45" a="1"/>
  <c r="K27" i="45"/>
  <c r="L27" i="45" a="1"/>
  <c r="L27" i="45"/>
  <c r="M27" i="45"/>
  <c r="J27" i="45"/>
  <c r="K26" i="45"/>
  <c r="L26" i="45" a="1"/>
  <c r="L26" i="45"/>
  <c r="M26" i="45"/>
  <c r="K26" i="45" a="1"/>
  <c r="J26" i="45"/>
  <c r="K25" i="45" a="1"/>
  <c r="K25" i="45"/>
  <c r="L25" i="45" a="1"/>
  <c r="L25" i="45"/>
  <c r="M25" i="45"/>
  <c r="J25" i="45"/>
  <c r="K24" i="45"/>
  <c r="L24" i="45" a="1"/>
  <c r="L24" i="45"/>
  <c r="M24" i="45"/>
  <c r="K24" i="45" a="1"/>
  <c r="J24" i="45"/>
  <c r="K23" i="45"/>
  <c r="L23" i="45" a="1"/>
  <c r="L23" i="45"/>
  <c r="M23" i="45"/>
  <c r="K23" i="45" a="1"/>
  <c r="J23" i="45"/>
  <c r="K22" i="45" a="1"/>
  <c r="K22" i="45"/>
  <c r="L22" i="45" a="1"/>
  <c r="L22" i="45"/>
  <c r="M22" i="45"/>
  <c r="J22" i="45"/>
  <c r="K21" i="45" a="1"/>
  <c r="K21" i="45"/>
  <c r="L21" i="45" a="1"/>
  <c r="L21" i="45"/>
  <c r="M21" i="45"/>
  <c r="J21" i="45"/>
  <c r="K20" i="45" a="1"/>
  <c r="K20" i="45"/>
  <c r="L20" i="45" a="1"/>
  <c r="L20" i="45"/>
  <c r="M20" i="45"/>
  <c r="O122" i="45"/>
  <c r="J20" i="45"/>
  <c r="K19" i="45" a="1"/>
  <c r="K19" i="45"/>
  <c r="L19" i="45" a="1"/>
  <c r="L19" i="45"/>
  <c r="M19" i="45"/>
  <c r="O121" i="45"/>
  <c r="J19" i="45"/>
  <c r="K18" i="45" a="1"/>
  <c r="K18" i="45"/>
  <c r="L18" i="45" a="1"/>
  <c r="L18" i="45"/>
  <c r="M18" i="45"/>
  <c r="J18" i="45"/>
  <c r="K17" i="45"/>
  <c r="L17" i="45" a="1"/>
  <c r="L17" i="45"/>
  <c r="M17" i="45"/>
  <c r="K17" i="45" a="1"/>
  <c r="J17" i="45"/>
  <c r="K16" i="45" a="1"/>
  <c r="K16" i="45"/>
  <c r="L16" i="45" a="1"/>
  <c r="L16" i="45"/>
  <c r="M16" i="45"/>
  <c r="J16" i="45"/>
  <c r="K15" i="45" a="1"/>
  <c r="K15" i="45"/>
  <c r="L15" i="45" a="1"/>
  <c r="L15" i="45"/>
  <c r="M15" i="45"/>
  <c r="O117" i="45"/>
  <c r="J15" i="45"/>
  <c r="K14" i="45"/>
  <c r="L14" i="45" a="1"/>
  <c r="L14" i="45"/>
  <c r="M14" i="45"/>
  <c r="O116" i="45"/>
  <c r="K14" i="45" a="1"/>
  <c r="J14" i="45"/>
  <c r="K13" i="45" a="1"/>
  <c r="K13" i="45"/>
  <c r="L13" i="45" a="1"/>
  <c r="L13" i="45"/>
  <c r="M13" i="45"/>
  <c r="J13" i="45"/>
  <c r="K12" i="45" a="1"/>
  <c r="K12" i="45"/>
  <c r="L12" i="45" a="1"/>
  <c r="L12" i="45"/>
  <c r="M12" i="45"/>
  <c r="J12" i="45"/>
  <c r="K11" i="45"/>
  <c r="L11" i="45" a="1"/>
  <c r="L11" i="45"/>
  <c r="M11" i="45"/>
  <c r="K11" i="45" a="1"/>
  <c r="J11" i="45"/>
  <c r="K10" i="45" a="1"/>
  <c r="K10" i="45"/>
  <c r="L10" i="45" a="1"/>
  <c r="L10" i="45"/>
  <c r="M10" i="45"/>
  <c r="J10" i="45"/>
  <c r="K9" i="45"/>
  <c r="L9" i="45" a="1"/>
  <c r="L9" i="45"/>
  <c r="M9" i="45"/>
  <c r="K9" i="45" a="1"/>
  <c r="J9" i="45"/>
  <c r="K8" i="45" a="1"/>
  <c r="K8" i="45"/>
  <c r="L8" i="45" a="1"/>
  <c r="L8" i="45"/>
  <c r="M8" i="45"/>
  <c r="O110" i="45"/>
  <c r="K7" i="45" a="1"/>
  <c r="K7" i="45"/>
  <c r="L7" i="45" a="1"/>
  <c r="L7" i="45"/>
  <c r="M7" i="45"/>
  <c r="L5" i="45" a="1"/>
  <c r="L5" i="45" s="1"/>
  <c r="M5" i="45" s="1"/>
  <c r="O107" i="45" s="1"/>
  <c r="K4" i="45" a="1"/>
  <c r="K4" i="45" s="1"/>
  <c r="L4" i="45" s="1" a="1"/>
  <c r="L4" i="45" s="1"/>
  <c r="M4" i="45" s="1"/>
  <c r="O106" i="45" s="1"/>
  <c r="Q23" i="45"/>
  <c r="I169" i="39"/>
  <c r="K169" i="39"/>
  <c r="I168" i="39"/>
  <c r="K167" i="39"/>
  <c r="I167" i="39"/>
  <c r="K166" i="39"/>
  <c r="I166" i="39"/>
  <c r="K165" i="39"/>
  <c r="I165" i="39"/>
  <c r="I164" i="39"/>
  <c r="I163" i="39"/>
  <c r="K163" i="39"/>
  <c r="I162" i="39"/>
  <c r="K161" i="39"/>
  <c r="I161" i="39"/>
  <c r="K160" i="39"/>
  <c r="I160" i="39"/>
  <c r="K159" i="39"/>
  <c r="I159" i="39"/>
  <c r="I158" i="39"/>
  <c r="I157" i="39"/>
  <c r="K157" i="39"/>
  <c r="I156" i="39"/>
  <c r="K155" i="39"/>
  <c r="I155" i="39"/>
  <c r="K154" i="39"/>
  <c r="I154" i="39"/>
  <c r="K153" i="39"/>
  <c r="I153" i="39"/>
  <c r="I152" i="39"/>
  <c r="I151" i="39"/>
  <c r="K151" i="39"/>
  <c r="I150" i="39"/>
  <c r="K149" i="39"/>
  <c r="I149" i="39"/>
  <c r="K148" i="39"/>
  <c r="I148" i="39"/>
  <c r="K147" i="39"/>
  <c r="I147" i="39"/>
  <c r="I146" i="39"/>
  <c r="I145" i="39"/>
  <c r="K145" i="39"/>
  <c r="I144" i="39"/>
  <c r="K143" i="39"/>
  <c r="I143" i="39"/>
  <c r="K142" i="39"/>
  <c r="I142" i="39"/>
  <c r="K141" i="39"/>
  <c r="I141" i="39"/>
  <c r="I140" i="39"/>
  <c r="I139" i="39"/>
  <c r="K139" i="39"/>
  <c r="I138" i="39"/>
  <c r="K137" i="39"/>
  <c r="I137" i="39"/>
  <c r="K136" i="39"/>
  <c r="I136" i="39"/>
  <c r="K135" i="39"/>
  <c r="I135" i="39"/>
  <c r="I134" i="39"/>
  <c r="I133" i="39"/>
  <c r="K133" i="39"/>
  <c r="I132" i="39"/>
  <c r="K125" i="39"/>
  <c r="I125" i="39"/>
  <c r="J125" i="39"/>
  <c r="K124" i="39"/>
  <c r="J124" i="39"/>
  <c r="I124" i="39"/>
  <c r="I123" i="39"/>
  <c r="J123" i="39"/>
  <c r="J122" i="39"/>
  <c r="I122" i="39"/>
  <c r="I121" i="39"/>
  <c r="J121" i="39"/>
  <c r="K120" i="39"/>
  <c r="J120" i="39"/>
  <c r="I120" i="39"/>
  <c r="K119" i="39"/>
  <c r="I119" i="39"/>
  <c r="J119" i="39"/>
  <c r="J118" i="39"/>
  <c r="I118" i="39"/>
  <c r="K118" i="39"/>
  <c r="I117" i="39"/>
  <c r="J117" i="39"/>
  <c r="J116" i="39"/>
  <c r="I116" i="39"/>
  <c r="I115" i="39"/>
  <c r="J115" i="39"/>
  <c r="J114" i="39"/>
  <c r="I114" i="39"/>
  <c r="I113" i="39"/>
  <c r="J113" i="39"/>
  <c r="J112" i="39"/>
  <c r="I112" i="39"/>
  <c r="I111" i="39"/>
  <c r="J111" i="39"/>
  <c r="J110" i="39"/>
  <c r="I110" i="39"/>
  <c r="K109" i="39"/>
  <c r="I109" i="39"/>
  <c r="J109" i="39"/>
  <c r="J108" i="39"/>
  <c r="I108" i="39"/>
  <c r="I107" i="39"/>
  <c r="J107" i="39"/>
  <c r="J106" i="39"/>
  <c r="I106" i="39"/>
  <c r="I105" i="39"/>
  <c r="J105" i="39"/>
  <c r="J104" i="39"/>
  <c r="I104" i="39"/>
  <c r="I103" i="39"/>
  <c r="J103" i="39"/>
  <c r="J102" i="39"/>
  <c r="I102" i="39"/>
  <c r="I101" i="39"/>
  <c r="J101" i="39"/>
  <c r="K100" i="39"/>
  <c r="J100" i="39"/>
  <c r="I100" i="39"/>
  <c r="J99" i="39"/>
  <c r="I99" i="39"/>
  <c r="K99" i="39"/>
  <c r="J98" i="39"/>
  <c r="I98" i="39"/>
  <c r="K98" i="39"/>
  <c r="I97" i="39"/>
  <c r="J97" i="39"/>
  <c r="J96" i="39"/>
  <c r="I96" i="39"/>
  <c r="I95" i="39"/>
  <c r="K95" i="39"/>
  <c r="I94" i="39"/>
  <c r="K90" i="39"/>
  <c r="I93" i="39"/>
  <c r="J93" i="39"/>
  <c r="J92" i="39"/>
  <c r="I92" i="39"/>
  <c r="J91" i="39"/>
  <c r="I91" i="39"/>
  <c r="I90" i="39"/>
  <c r="J90" i="39"/>
  <c r="I89" i="39"/>
  <c r="J89" i="39"/>
  <c r="J88" i="39"/>
  <c r="I88" i="39"/>
  <c r="K82" i="39"/>
  <c r="J82" i="39"/>
  <c r="I82" i="39"/>
  <c r="J81" i="39"/>
  <c r="I81" i="39"/>
  <c r="K81" i="39"/>
  <c r="I80" i="39"/>
  <c r="J80" i="39"/>
  <c r="J79" i="39"/>
  <c r="I79" i="39"/>
  <c r="J78" i="39"/>
  <c r="I78" i="39"/>
  <c r="K75" i="39"/>
  <c r="I77" i="39"/>
  <c r="K77" i="39"/>
  <c r="I76" i="39"/>
  <c r="J76" i="39"/>
  <c r="J75" i="39"/>
  <c r="I75" i="39"/>
  <c r="I74" i="39"/>
  <c r="K73" i="39"/>
  <c r="J73" i="39"/>
  <c r="I73" i="39"/>
  <c r="I72" i="39"/>
  <c r="J72" i="39"/>
  <c r="J71" i="39"/>
  <c r="I71" i="39"/>
  <c r="K71" i="39"/>
  <c r="J70" i="39"/>
  <c r="I70" i="39"/>
  <c r="K69" i="39"/>
  <c r="J69" i="39"/>
  <c r="I69" i="39"/>
  <c r="I68" i="39"/>
  <c r="J68" i="39"/>
  <c r="I67" i="39"/>
  <c r="K67" i="39"/>
  <c r="I66" i="39"/>
  <c r="K66" i="39"/>
  <c r="J65" i="39"/>
  <c r="I65" i="39"/>
  <c r="K64" i="39"/>
  <c r="I64" i="39"/>
  <c r="J64" i="39"/>
  <c r="I63" i="39"/>
  <c r="J63" i="39"/>
  <c r="J62" i="39"/>
  <c r="I62" i="39"/>
  <c r="I61" i="39"/>
  <c r="K60" i="39"/>
  <c r="I60" i="39"/>
  <c r="J60" i="39"/>
  <c r="J59" i="39"/>
  <c r="I59" i="39"/>
  <c r="K59" i="39"/>
  <c r="J58" i="39"/>
  <c r="I58" i="39"/>
  <c r="K58" i="39"/>
  <c r="J57" i="39"/>
  <c r="I57" i="39"/>
  <c r="K56" i="39"/>
  <c r="I56" i="39"/>
  <c r="J56" i="39"/>
  <c r="I55" i="39"/>
  <c r="K55" i="39"/>
  <c r="I54" i="39"/>
  <c r="K54" i="39"/>
  <c r="I53" i="39"/>
  <c r="K53" i="39"/>
  <c r="J52" i="39"/>
  <c r="I52" i="39"/>
  <c r="K52" i="39"/>
  <c r="I51" i="39"/>
  <c r="K51" i="39"/>
  <c r="I50" i="39"/>
  <c r="K50" i="39"/>
  <c r="I49" i="39"/>
  <c r="K49" i="39"/>
  <c r="J48" i="39"/>
  <c r="I48" i="39"/>
  <c r="K48" i="39"/>
  <c r="I47" i="39"/>
  <c r="K47" i="39"/>
  <c r="I46" i="39"/>
  <c r="K46" i="39"/>
  <c r="I45" i="39"/>
  <c r="K45" i="39"/>
  <c r="H41" i="39"/>
  <c r="G41" i="39"/>
  <c r="F41" i="39"/>
  <c r="E41" i="39"/>
  <c r="D41" i="39"/>
  <c r="H40" i="39"/>
  <c r="G40" i="39"/>
  <c r="F40" i="39"/>
  <c r="E40" i="39"/>
  <c r="D40" i="39"/>
  <c r="H39" i="39"/>
  <c r="G39" i="39"/>
  <c r="F39" i="39"/>
  <c r="E39" i="39"/>
  <c r="D39" i="39"/>
  <c r="H38" i="39"/>
  <c r="G38" i="39"/>
  <c r="F38" i="39"/>
  <c r="E38" i="39"/>
  <c r="D38" i="39"/>
  <c r="H37" i="39"/>
  <c r="G37" i="39"/>
  <c r="F37" i="39"/>
  <c r="E37" i="39"/>
  <c r="D37" i="39"/>
  <c r="H36" i="39"/>
  <c r="G36" i="39"/>
  <c r="F36" i="39"/>
  <c r="E36" i="39"/>
  <c r="D36" i="39"/>
  <c r="T35" i="39"/>
  <c r="H35" i="39"/>
  <c r="G35" i="39"/>
  <c r="F35" i="39"/>
  <c r="E35" i="39"/>
  <c r="D35" i="39"/>
  <c r="H34" i="39"/>
  <c r="G34" i="39"/>
  <c r="F34" i="39"/>
  <c r="E34" i="39"/>
  <c r="D34" i="39"/>
  <c r="H33" i="39"/>
  <c r="G33" i="39"/>
  <c r="F33" i="39"/>
  <c r="E33" i="39"/>
  <c r="D33" i="39"/>
  <c r="H32" i="39"/>
  <c r="G32" i="39"/>
  <c r="F32" i="39"/>
  <c r="E32" i="39"/>
  <c r="D32" i="39"/>
  <c r="H31" i="39"/>
  <c r="G31" i="39"/>
  <c r="F31" i="39"/>
  <c r="E31" i="39"/>
  <c r="D31" i="39"/>
  <c r="H30" i="39"/>
  <c r="G30" i="39"/>
  <c r="F30" i="39"/>
  <c r="E30" i="39"/>
  <c r="D30" i="39"/>
  <c r="H29" i="39"/>
  <c r="G29" i="39"/>
  <c r="F29" i="39"/>
  <c r="E29" i="39"/>
  <c r="D29" i="39"/>
  <c r="T28" i="39"/>
  <c r="J28" i="39"/>
  <c r="I28" i="39"/>
  <c r="I27" i="39"/>
  <c r="J27" i="39"/>
  <c r="J26" i="39"/>
  <c r="I26" i="39"/>
  <c r="I25" i="39"/>
  <c r="J24" i="39"/>
  <c r="I24" i="39"/>
  <c r="J23" i="39"/>
  <c r="I23" i="39"/>
  <c r="J22" i="39"/>
  <c r="I22" i="39"/>
  <c r="J21" i="39"/>
  <c r="I21" i="39"/>
  <c r="T20" i="39"/>
  <c r="I20" i="39"/>
  <c r="I19" i="39"/>
  <c r="J18" i="39"/>
  <c r="I18" i="39"/>
  <c r="S17" i="39"/>
  <c r="J17" i="39"/>
  <c r="I17" i="39"/>
  <c r="S16" i="39"/>
  <c r="T32" i="39"/>
  <c r="U32" i="39"/>
  <c r="J16" i="39"/>
  <c r="I16" i="39"/>
  <c r="S15" i="39"/>
  <c r="J15" i="39"/>
  <c r="I15" i="39"/>
  <c r="S14" i="39"/>
  <c r="T24" i="39"/>
  <c r="U24" i="39"/>
  <c r="J14" i="39"/>
  <c r="I14" i="39"/>
  <c r="S13" i="39"/>
  <c r="U20" i="39"/>
  <c r="J13" i="39"/>
  <c r="I13" i="39"/>
  <c r="I12" i="39"/>
  <c r="J11" i="39"/>
  <c r="I11" i="39"/>
  <c r="I10" i="39"/>
  <c r="J10" i="39"/>
  <c r="J9" i="39"/>
  <c r="I9" i="39"/>
  <c r="I8" i="39"/>
  <c r="J7" i="39"/>
  <c r="I7" i="39"/>
  <c r="I6" i="39"/>
  <c r="J6" i="39"/>
  <c r="J5" i="39"/>
  <c r="I5" i="39"/>
  <c r="I4" i="39"/>
  <c r="K57" i="20"/>
  <c r="L47" i="20" s="1"/>
  <c r="I57" i="20"/>
  <c r="K56" i="20"/>
  <c r="J56" i="20" s="1"/>
  <c r="L56" i="20"/>
  <c r="I56" i="20"/>
  <c r="K55" i="20"/>
  <c r="I55" i="20"/>
  <c r="K54" i="20"/>
  <c r="J54" i="20" s="1"/>
  <c r="I54" i="20"/>
  <c r="K53" i="20"/>
  <c r="L53" i="20"/>
  <c r="J53" i="20"/>
  <c r="I53" i="20"/>
  <c r="K52" i="20"/>
  <c r="L52" i="20" s="1"/>
  <c r="I52" i="20"/>
  <c r="K51" i="20"/>
  <c r="J51" i="20"/>
  <c r="I51" i="20"/>
  <c r="K50" i="20"/>
  <c r="J50" i="20" s="1"/>
  <c r="L50" i="20"/>
  <c r="I50" i="20"/>
  <c r="K49" i="20"/>
  <c r="J49" i="20" s="1"/>
  <c r="L49" i="20"/>
  <c r="I49" i="20"/>
  <c r="K48" i="20"/>
  <c r="J48" i="20" s="1"/>
  <c r="I48" i="20"/>
  <c r="K47" i="20"/>
  <c r="L55" i="20" s="1"/>
  <c r="I47" i="20"/>
  <c r="K46" i="20"/>
  <c r="L57" i="20"/>
  <c r="I46" i="20"/>
  <c r="K43" i="20"/>
  <c r="L43" i="20" s="1"/>
  <c r="I43" i="20"/>
  <c r="K42" i="20"/>
  <c r="J42" i="20"/>
  <c r="I42" i="20"/>
  <c r="K41" i="20"/>
  <c r="I41" i="20"/>
  <c r="K40" i="20"/>
  <c r="L41" i="20" s="1"/>
  <c r="I40" i="20"/>
  <c r="K39" i="20"/>
  <c r="J39" i="20" s="1"/>
  <c r="I39" i="20"/>
  <c r="K38" i="20"/>
  <c r="I38" i="20"/>
  <c r="K37" i="20"/>
  <c r="L38" i="20" s="1"/>
  <c r="I37" i="20"/>
  <c r="K36" i="20"/>
  <c r="J36" i="20" s="1"/>
  <c r="L36" i="20"/>
  <c r="I36" i="20"/>
  <c r="V35" i="20"/>
  <c r="K35" i="20"/>
  <c r="J35" i="20"/>
  <c r="I35" i="20"/>
  <c r="V34" i="20"/>
  <c r="K34" i="20"/>
  <c r="I34" i="20"/>
  <c r="V33" i="20"/>
  <c r="K33" i="20"/>
  <c r="J33" i="20" s="1"/>
  <c r="I33" i="20"/>
  <c r="V32" i="20"/>
  <c r="Y32" i="20" s="1"/>
  <c r="K32" i="20"/>
  <c r="L42" i="20" s="1"/>
  <c r="I32" i="20"/>
  <c r="V31" i="20"/>
  <c r="V30" i="20"/>
  <c r="K29" i="20"/>
  <c r="L29" i="20" s="1"/>
  <c r="I29" i="20"/>
  <c r="K28" i="20"/>
  <c r="J28" i="20"/>
  <c r="I28" i="20"/>
  <c r="K27" i="20"/>
  <c r="I27" i="20"/>
  <c r="K26" i="20"/>
  <c r="J26" i="20" s="1"/>
  <c r="I26" i="20"/>
  <c r="K25" i="20"/>
  <c r="J25" i="20" s="1"/>
  <c r="I25" i="20"/>
  <c r="K24" i="20"/>
  <c r="J24" i="20" s="1"/>
  <c r="I24" i="20"/>
  <c r="K23" i="20"/>
  <c r="J23" i="20" s="1"/>
  <c r="I23" i="20"/>
  <c r="K22" i="20"/>
  <c r="J22" i="20" s="1"/>
  <c r="I22" i="20"/>
  <c r="K21" i="20"/>
  <c r="I21" i="20"/>
  <c r="K20" i="20"/>
  <c r="L20" i="20" s="1"/>
  <c r="I20" i="20"/>
  <c r="K19" i="20"/>
  <c r="J19" i="20"/>
  <c r="I19" i="20"/>
  <c r="K18" i="20"/>
  <c r="L18" i="20" s="1"/>
  <c r="I18" i="20"/>
  <c r="K15" i="20"/>
  <c r="J15" i="20"/>
  <c r="I15" i="20"/>
  <c r="K14" i="20"/>
  <c r="I14" i="20"/>
  <c r="K13" i="20"/>
  <c r="I13" i="20"/>
  <c r="K12" i="20"/>
  <c r="I12" i="20"/>
  <c r="K11" i="20"/>
  <c r="J11" i="20"/>
  <c r="I11" i="20"/>
  <c r="K10" i="20"/>
  <c r="J10" i="20" s="1"/>
  <c r="I10" i="20"/>
  <c r="K9" i="20"/>
  <c r="J9" i="20" s="1"/>
  <c r="I9" i="20"/>
  <c r="K8" i="20"/>
  <c r="I8" i="20"/>
  <c r="K7" i="20"/>
  <c r="I7" i="20"/>
  <c r="K6" i="20"/>
  <c r="J6" i="20"/>
  <c r="I6" i="20"/>
  <c r="K5" i="20"/>
  <c r="I5" i="20"/>
  <c r="K4" i="20"/>
  <c r="J4" i="20" s="1"/>
  <c r="I4" i="20"/>
  <c r="J67" i="7"/>
  <c r="I67" i="7"/>
  <c r="I66" i="7"/>
  <c r="J65" i="7"/>
  <c r="I65" i="7"/>
  <c r="I64" i="7"/>
  <c r="J64" i="7"/>
  <c r="J63" i="7"/>
  <c r="I63" i="7"/>
  <c r="I62" i="7"/>
  <c r="J61" i="7"/>
  <c r="I61" i="7"/>
  <c r="I60" i="7"/>
  <c r="J60" i="7"/>
  <c r="J59" i="7"/>
  <c r="I59" i="7"/>
  <c r="I58" i="7"/>
  <c r="J57" i="7"/>
  <c r="I57" i="7"/>
  <c r="I56" i="7"/>
  <c r="J56" i="7"/>
  <c r="J55" i="7"/>
  <c r="I55" i="7"/>
  <c r="I51" i="7"/>
  <c r="J50" i="7"/>
  <c r="I50" i="7"/>
  <c r="I49" i="7"/>
  <c r="J49" i="7"/>
  <c r="J48" i="7"/>
  <c r="I48" i="7"/>
  <c r="I47" i="7"/>
  <c r="J46" i="7"/>
  <c r="I46" i="7"/>
  <c r="I45" i="7"/>
  <c r="J45" i="7"/>
  <c r="J44" i="7"/>
  <c r="I44" i="7"/>
  <c r="I43" i="7"/>
  <c r="J42" i="7"/>
  <c r="I42" i="7"/>
  <c r="I41" i="7"/>
  <c r="J41" i="7"/>
  <c r="J40" i="7"/>
  <c r="I40" i="7"/>
  <c r="I39" i="7"/>
  <c r="J35" i="7"/>
  <c r="I35" i="7"/>
  <c r="I34" i="7"/>
  <c r="J34" i="7"/>
  <c r="I33" i="7"/>
  <c r="I32" i="7"/>
  <c r="J31" i="7"/>
  <c r="I31" i="7"/>
  <c r="I30" i="7"/>
  <c r="J30" i="7"/>
  <c r="I29" i="7"/>
  <c r="I28" i="7"/>
  <c r="J27" i="7"/>
  <c r="I27" i="7"/>
  <c r="I26" i="7"/>
  <c r="J26" i="7"/>
  <c r="I25" i="7"/>
  <c r="I24" i="7"/>
  <c r="J23" i="7"/>
  <c r="I23" i="7"/>
  <c r="I19" i="7"/>
  <c r="J19" i="7"/>
  <c r="J18" i="7"/>
  <c r="I18" i="7"/>
  <c r="I17" i="7"/>
  <c r="J16" i="7"/>
  <c r="I16" i="7"/>
  <c r="I15" i="7"/>
  <c r="J15" i="7"/>
  <c r="J14" i="7"/>
  <c r="I14" i="7"/>
  <c r="I13" i="7"/>
  <c r="J12" i="7"/>
  <c r="I12" i="7"/>
  <c r="I11" i="7"/>
  <c r="J11" i="7"/>
  <c r="J10" i="7"/>
  <c r="I10" i="7"/>
  <c r="I9" i="7"/>
  <c r="J8" i="7"/>
  <c r="I8" i="7"/>
  <c r="I7" i="7"/>
  <c r="J7" i="7"/>
  <c r="J1" i="7"/>
  <c r="F104" i="9"/>
  <c r="F103" i="9"/>
  <c r="F102" i="9"/>
  <c r="F101" i="9"/>
  <c r="F99" i="9"/>
  <c r="F98" i="9"/>
  <c r="F97" i="9"/>
  <c r="F96" i="9"/>
  <c r="F95" i="9"/>
  <c r="F94" i="9"/>
  <c r="F93" i="9"/>
  <c r="F92" i="9"/>
  <c r="F91" i="9"/>
  <c r="F90" i="9"/>
  <c r="F89" i="9"/>
  <c r="F88" i="9"/>
  <c r="F87" i="9"/>
  <c r="F86" i="9"/>
  <c r="F85" i="9"/>
  <c r="F84" i="9"/>
  <c r="F83" i="9"/>
  <c r="F82" i="9"/>
  <c r="F81" i="9"/>
  <c r="F80" i="9"/>
  <c r="F79" i="9"/>
  <c r="F78" i="9"/>
  <c r="F77" i="9"/>
  <c r="F76" i="9"/>
  <c r="F75" i="9"/>
  <c r="F73" i="9"/>
  <c r="F72" i="9"/>
  <c r="F71" i="9"/>
  <c r="F70" i="9"/>
  <c r="F69" i="9"/>
  <c r="F68" i="9"/>
  <c r="F67" i="9"/>
  <c r="F66" i="9"/>
  <c r="F65" i="9"/>
  <c r="F64" i="9"/>
  <c r="F63" i="9"/>
  <c r="F62" i="9"/>
  <c r="F61" i="9"/>
  <c r="F60" i="9"/>
  <c r="F59" i="9"/>
  <c r="F58" i="9"/>
  <c r="F57" i="9"/>
  <c r="F56" i="9"/>
  <c r="F55" i="9"/>
  <c r="F54" i="9"/>
  <c r="F53" i="9"/>
  <c r="F52" i="9"/>
  <c r="F51" i="9"/>
  <c r="F50" i="9"/>
  <c r="F49" i="9"/>
  <c r="F48" i="9"/>
  <c r="F47" i="9"/>
  <c r="F46" i="9"/>
  <c r="F45" i="9"/>
  <c r="F44" i="9"/>
  <c r="F43" i="9"/>
  <c r="F42" i="9"/>
  <c r="F41" i="9"/>
  <c r="F40" i="9"/>
  <c r="F39" i="9"/>
  <c r="F38" i="9"/>
  <c r="F37" i="9"/>
  <c r="F36" i="9"/>
  <c r="F35" i="9"/>
  <c r="F34" i="9"/>
  <c r="F33" i="9"/>
  <c r="F32" i="9"/>
  <c r="F31" i="9"/>
  <c r="F30" i="9"/>
  <c r="F29" i="9"/>
  <c r="F28" i="9"/>
  <c r="F27" i="9"/>
  <c r="F26" i="9"/>
  <c r="F25" i="9"/>
  <c r="F24" i="9"/>
  <c r="F23" i="9"/>
  <c r="F22" i="9"/>
  <c r="F21" i="9"/>
  <c r="F20" i="9"/>
  <c r="F19" i="9"/>
  <c r="F18" i="9"/>
  <c r="F17" i="9"/>
  <c r="F16" i="9"/>
  <c r="F15" i="9"/>
  <c r="F14" i="9"/>
  <c r="F13" i="9"/>
  <c r="F12" i="9"/>
  <c r="F11" i="9"/>
  <c r="F10" i="9"/>
  <c r="F9" i="9"/>
  <c r="F8" i="9"/>
  <c r="F7" i="9"/>
  <c r="F6" i="9"/>
  <c r="C18" i="31"/>
  <c r="B18" i="31"/>
  <c r="G12" i="31"/>
  <c r="D12" i="31"/>
  <c r="C12" i="31"/>
  <c r="G10" i="31"/>
  <c r="D10" i="31"/>
  <c r="C10" i="31"/>
  <c r="G8" i="31"/>
  <c r="D8" i="31"/>
  <c r="C8" i="31"/>
  <c r="G6" i="31"/>
  <c r="D6" i="31"/>
  <c r="C6" i="31"/>
  <c r="G4" i="31"/>
  <c r="D4" i="31"/>
  <c r="C4" i="31"/>
  <c r="E7" i="46"/>
  <c r="D23" i="46"/>
  <c r="D31" i="46"/>
  <c r="E10" i="46"/>
  <c r="F13" i="46"/>
  <c r="F21" i="46"/>
  <c r="F29" i="46"/>
  <c r="F7" i="46"/>
  <c r="F15" i="46"/>
  <c r="E23" i="46"/>
  <c r="E31" i="46"/>
  <c r="H108" i="46"/>
  <c r="F6" i="46"/>
  <c r="E8" i="46"/>
  <c r="E16" i="46"/>
  <c r="F23" i="46"/>
  <c r="F31" i="46"/>
  <c r="E17" i="46"/>
  <c r="D25" i="46"/>
  <c r="F9" i="46"/>
  <c r="F17" i="46"/>
  <c r="E25" i="46"/>
  <c r="H25" i="46" s="1"/>
  <c r="F25" i="46"/>
  <c r="D19" i="46"/>
  <c r="D27" i="46"/>
  <c r="F11" i="46"/>
  <c r="F19" i="46"/>
  <c r="F27" i="46"/>
  <c r="D21" i="46"/>
  <c r="D29" i="46"/>
  <c r="H30" i="12"/>
  <c r="I30" i="12"/>
  <c r="J30" i="12"/>
  <c r="H48" i="12"/>
  <c r="I48" i="12"/>
  <c r="J48" i="12"/>
  <c r="I34" i="12"/>
  <c r="J34" i="12"/>
  <c r="N106" i="45"/>
  <c r="O128" i="45"/>
  <c r="O113" i="45"/>
  <c r="O120" i="45"/>
  <c r="K16" i="7"/>
  <c r="K12" i="7"/>
  <c r="K8" i="7"/>
  <c r="K9" i="7"/>
  <c r="K11" i="7"/>
  <c r="K18" i="7"/>
  <c r="J25" i="7"/>
  <c r="K19" i="7"/>
  <c r="K15" i="7"/>
  <c r="K7" i="7"/>
  <c r="K10" i="7"/>
  <c r="K14" i="7"/>
  <c r="J9" i="7"/>
  <c r="K17" i="7"/>
  <c r="J33" i="7"/>
  <c r="J17" i="7"/>
  <c r="J8" i="39"/>
  <c r="J25" i="39"/>
  <c r="K43" i="7"/>
  <c r="J43" i="7"/>
  <c r="K51" i="7"/>
  <c r="J51" i="7"/>
  <c r="K62" i="7"/>
  <c r="J62" i="7"/>
  <c r="O125" i="45"/>
  <c r="O129" i="45"/>
  <c r="U28" i="39"/>
  <c r="J29" i="7"/>
  <c r="K13" i="7"/>
  <c r="J13" i="7"/>
  <c r="K35" i="7"/>
  <c r="K31" i="7"/>
  <c r="K27" i="7"/>
  <c r="K23" i="7"/>
  <c r="K34" i="7"/>
  <c r="K26" i="7"/>
  <c r="K30" i="7"/>
  <c r="K25" i="7"/>
  <c r="K29" i="7"/>
  <c r="K33" i="7"/>
  <c r="K24" i="7"/>
  <c r="J24" i="7"/>
  <c r="J12" i="20"/>
  <c r="J4" i="39"/>
  <c r="K32" i="7"/>
  <c r="J32" i="7"/>
  <c r="W35" i="20"/>
  <c r="Y35" i="20" s="1"/>
  <c r="J12" i="39"/>
  <c r="K50" i="7"/>
  <c r="K46" i="7"/>
  <c r="K42" i="7"/>
  <c r="K49" i="7"/>
  <c r="K41" i="7"/>
  <c r="K45" i="7"/>
  <c r="K40" i="7"/>
  <c r="K39" i="7"/>
  <c r="K48" i="7"/>
  <c r="K44" i="7"/>
  <c r="J39" i="7"/>
  <c r="K47" i="7"/>
  <c r="J47" i="7"/>
  <c r="K65" i="7"/>
  <c r="K61" i="7"/>
  <c r="K57" i="7"/>
  <c r="K58" i="7"/>
  <c r="K64" i="7"/>
  <c r="K56" i="7"/>
  <c r="K60" i="7"/>
  <c r="K59" i="7"/>
  <c r="K63" i="7"/>
  <c r="K67" i="7"/>
  <c r="K55" i="7"/>
  <c r="J58" i="7"/>
  <c r="K66" i="7"/>
  <c r="J66" i="7"/>
  <c r="W32" i="20"/>
  <c r="X32" i="20"/>
  <c r="K28" i="7"/>
  <c r="J28" i="7"/>
  <c r="U35" i="39"/>
  <c r="O132" i="45"/>
  <c r="K105" i="39"/>
  <c r="N121" i="45"/>
  <c r="N129" i="45"/>
  <c r="N117" i="45"/>
  <c r="N114" i="45"/>
  <c r="N125" i="45"/>
  <c r="N128" i="45"/>
  <c r="J21" i="20"/>
  <c r="J27" i="20"/>
  <c r="J34" i="20"/>
  <c r="J38" i="20"/>
  <c r="J41" i="20"/>
  <c r="J46" i="20"/>
  <c r="J52" i="20"/>
  <c r="J55" i="20"/>
  <c r="J61" i="39"/>
  <c r="K65" i="39"/>
  <c r="J74" i="39"/>
  <c r="K78" i="39"/>
  <c r="K96" i="39"/>
  <c r="K110" i="39"/>
  <c r="K115" i="39"/>
  <c r="L106" i="45" a="1"/>
  <c r="L106" i="45"/>
  <c r="L114" i="45" a="1"/>
  <c r="L114" i="45"/>
  <c r="M114" i="45"/>
  <c r="O114" i="45"/>
  <c r="N109" i="45"/>
  <c r="L109" i="45" a="1"/>
  <c r="L109" i="45"/>
  <c r="M109" i="45"/>
  <c r="O109" i="45"/>
  <c r="N112" i="45"/>
  <c r="N123" i="45"/>
  <c r="L34" i="20"/>
  <c r="L46" i="20"/>
  <c r="J19" i="39"/>
  <c r="J45" i="39"/>
  <c r="J49" i="39"/>
  <c r="J53" i="39"/>
  <c r="K57" i="39"/>
  <c r="J66" i="39"/>
  <c r="K70" i="39"/>
  <c r="K88" i="39"/>
  <c r="K97" i="39"/>
  <c r="K106" i="39"/>
  <c r="K111" i="39"/>
  <c r="L112" i="45" a="1"/>
  <c r="L112" i="45"/>
  <c r="M112" i="45"/>
  <c r="O112" i="45"/>
  <c r="L123" i="45" a="1"/>
  <c r="L123" i="45"/>
  <c r="M123" i="45"/>
  <c r="O123" i="45"/>
  <c r="N126" i="45"/>
  <c r="G25" i="12"/>
  <c r="J13" i="20"/>
  <c r="K79" i="39"/>
  <c r="K93" i="39"/>
  <c r="K116" i="39"/>
  <c r="K121" i="39"/>
  <c r="K132" i="39"/>
  <c r="K138" i="39"/>
  <c r="K144" i="39"/>
  <c r="K150" i="39"/>
  <c r="K156" i="39"/>
  <c r="K162" i="39"/>
  <c r="K168" i="39"/>
  <c r="O131" i="45"/>
  <c r="N115" i="45"/>
  <c r="L115" i="45" a="1"/>
  <c r="L115" i="45"/>
  <c r="M115" i="45"/>
  <c r="O115" i="45"/>
  <c r="L126" i="45" a="1"/>
  <c r="L126" i="45"/>
  <c r="M126" i="45"/>
  <c r="K62" i="39"/>
  <c r="K89" i="39"/>
  <c r="K102" i="39"/>
  <c r="K107" i="39"/>
  <c r="N107" i="45"/>
  <c r="N118" i="45"/>
  <c r="L118" i="45" a="1"/>
  <c r="L118" i="45"/>
  <c r="M118" i="45"/>
  <c r="O118" i="45"/>
  <c r="J20" i="39"/>
  <c r="J46" i="39"/>
  <c r="J50" i="39"/>
  <c r="J54" i="39"/>
  <c r="J67" i="39"/>
  <c r="K80" i="39"/>
  <c r="J94" i="39"/>
  <c r="K112" i="39"/>
  <c r="K117" i="39"/>
  <c r="L107" i="45" a="1"/>
  <c r="L107" i="45"/>
  <c r="M107" i="45"/>
  <c r="N124" i="45"/>
  <c r="L124" i="45" a="1"/>
  <c r="L124" i="45"/>
  <c r="M124" i="45"/>
  <c r="O124" i="45"/>
  <c r="K76" i="39"/>
  <c r="K94" i="39"/>
  <c r="K103" i="39"/>
  <c r="K122" i="39"/>
  <c r="N110" i="45"/>
  <c r="N127" i="45"/>
  <c r="L127" i="45" a="1"/>
  <c r="L127" i="45"/>
  <c r="M127" i="45"/>
  <c r="O127" i="45"/>
  <c r="K61" i="39"/>
  <c r="K74" i="39"/>
  <c r="K92" i="39"/>
  <c r="K108" i="39"/>
  <c r="K113" i="39"/>
  <c r="K134" i="39"/>
  <c r="K140" i="39"/>
  <c r="K146" i="39"/>
  <c r="K152" i="39"/>
  <c r="K158" i="39"/>
  <c r="K164" i="39"/>
  <c r="N119" i="45"/>
  <c r="N130" i="45"/>
  <c r="L130" i="45" a="1"/>
  <c r="L130" i="45"/>
  <c r="M130" i="45"/>
  <c r="O130" i="45"/>
  <c r="K63" i="39"/>
  <c r="K72" i="39"/>
  <c r="J47" i="39"/>
  <c r="J51" i="39"/>
  <c r="J55" i="39"/>
  <c r="K68" i="39"/>
  <c r="J77" i="39"/>
  <c r="J95" i="39"/>
  <c r="K123" i="39"/>
  <c r="N108" i="45"/>
  <c r="L108" i="45" a="1"/>
  <c r="L108" i="45"/>
  <c r="M108" i="45"/>
  <c r="N113" i="45"/>
  <c r="N116" i="45"/>
  <c r="L119" i="45" a="1"/>
  <c r="L119" i="45"/>
  <c r="M119" i="45"/>
  <c r="O119" i="45"/>
  <c r="J7" i="20"/>
  <c r="K104" i="39"/>
  <c r="L111" i="45" a="1"/>
  <c r="L111" i="45"/>
  <c r="M111" i="45"/>
  <c r="O111" i="45"/>
  <c r="N111" i="45"/>
  <c r="K101" i="39"/>
  <c r="L37" i="20"/>
  <c r="L48" i="20"/>
  <c r="L51" i="20"/>
  <c r="L54" i="20"/>
  <c r="K91" i="39"/>
  <c r="K114" i="39"/>
  <c r="O126" i="45"/>
  <c r="N122" i="45"/>
  <c r="N131" i="45"/>
  <c r="J42" i="12"/>
  <c r="N120" i="45"/>
  <c r="N132" i="45"/>
  <c r="L45" i="30"/>
  <c r="L49" i="30"/>
  <c r="L53" i="30"/>
  <c r="I26" i="12"/>
  <c r="J26" i="12"/>
  <c r="L46" i="30"/>
  <c r="F49" i="12"/>
  <c r="G23" i="12"/>
  <c r="H23" i="12"/>
  <c r="I23" i="12"/>
  <c r="B36" i="40"/>
  <c r="J27" i="12"/>
  <c r="H32" i="12"/>
  <c r="I32" i="12"/>
  <c r="J32" i="12"/>
  <c r="I40" i="12"/>
  <c r="J40" i="12"/>
  <c r="G24" i="12"/>
  <c r="H24" i="12"/>
  <c r="H29" i="12"/>
  <c r="I29" i="12"/>
  <c r="I46" i="12"/>
  <c r="J46" i="12"/>
  <c r="L44" i="30"/>
  <c r="L48" i="30"/>
  <c r="I33" i="12"/>
  <c r="J33" i="12"/>
  <c r="H37" i="12"/>
  <c r="I37" i="12"/>
  <c r="I41" i="12"/>
  <c r="J41" i="12"/>
  <c r="J47" i="12"/>
  <c r="D7" i="46"/>
  <c r="D9" i="46"/>
  <c r="D11" i="46"/>
  <c r="D13" i="46"/>
  <c r="D15" i="46"/>
  <c r="D17" i="46"/>
  <c r="G9" i="46"/>
  <c r="H40" i="46"/>
  <c r="D6" i="46"/>
  <c r="G19" i="46"/>
  <c r="G25" i="46"/>
  <c r="D8" i="46"/>
  <c r="D10" i="46"/>
  <c r="D12" i="46"/>
  <c r="D14" i="46"/>
  <c r="D16" i="46"/>
  <c r="D18" i="46"/>
  <c r="H142" i="46"/>
  <c r="G6" i="46" s="1"/>
  <c r="D20" i="46"/>
  <c r="D22" i="46"/>
  <c r="D24" i="46"/>
  <c r="D26" i="46"/>
  <c r="D28" i="46"/>
  <c r="D30" i="46"/>
  <c r="F8" i="46"/>
  <c r="F10" i="46"/>
  <c r="F12" i="46"/>
  <c r="F14" i="46"/>
  <c r="F16" i="46"/>
  <c r="F18" i="46"/>
  <c r="E22" i="46"/>
  <c r="E24" i="46"/>
  <c r="E26" i="46"/>
  <c r="E28" i="46"/>
  <c r="E30" i="46"/>
  <c r="G12" i="46"/>
  <c r="F20" i="46"/>
  <c r="F22" i="46"/>
  <c r="F24" i="46"/>
  <c r="F26" i="46"/>
  <c r="F28" i="46"/>
  <c r="F30" i="46"/>
  <c r="G24" i="46"/>
  <c r="H24" i="46" s="1"/>
  <c r="G49" i="12"/>
  <c r="I24" i="12"/>
  <c r="J24" i="12"/>
  <c r="J29" i="12"/>
  <c r="X35" i="20"/>
  <c r="H25" i="12"/>
  <c r="H49" i="12"/>
  <c r="N15" i="40"/>
  <c r="I15" i="40"/>
  <c r="G20" i="40"/>
  <c r="J37" i="12"/>
  <c r="B37" i="40"/>
  <c r="M106" i="45"/>
  <c r="J23" i="12"/>
  <c r="I25" i="12"/>
  <c r="J25" i="12"/>
  <c r="J49" i="12"/>
  <c r="I49" i="12"/>
  <c r="H6" i="46" l="1"/>
  <c r="H19" i="46"/>
  <c r="H9" i="46"/>
  <c r="H21" i="46"/>
  <c r="H31" i="46"/>
  <c r="H32" i="46"/>
  <c r="G22" i="46"/>
  <c r="H22" i="46" s="1"/>
  <c r="G7" i="46"/>
  <c r="H7" i="46" s="1"/>
  <c r="G20" i="46"/>
  <c r="G8" i="46"/>
  <c r="H8" i="46" s="1"/>
  <c r="G23" i="46"/>
  <c r="H23" i="46" s="1"/>
  <c r="E11" i="46"/>
  <c r="H11" i="46" s="1"/>
  <c r="E29" i="46"/>
  <c r="H29" i="46" s="1"/>
  <c r="E12" i="46"/>
  <c r="H12" i="46" s="1"/>
  <c r="G10" i="46"/>
  <c r="H10" i="46" s="1"/>
  <c r="G21" i="46"/>
  <c r="E32" i="46"/>
  <c r="E18" i="46"/>
  <c r="H18" i="46" s="1"/>
  <c r="E15" i="46"/>
  <c r="E13" i="46"/>
  <c r="H13" i="46" s="1"/>
  <c r="G31" i="46"/>
  <c r="G17" i="46"/>
  <c r="H17" i="46" s="1"/>
  <c r="G30" i="46"/>
  <c r="H30" i="46" s="1"/>
  <c r="G28" i="46"/>
  <c r="H28" i="46" s="1"/>
  <c r="G16" i="46"/>
  <c r="H16" i="46" s="1"/>
  <c r="E20" i="46"/>
  <c r="G29" i="46"/>
  <c r="G13" i="46"/>
  <c r="E27" i="46"/>
  <c r="E9" i="46"/>
  <c r="G18" i="46"/>
  <c r="G15" i="46"/>
  <c r="G26" i="46"/>
  <c r="H26" i="46" s="1"/>
  <c r="G14" i="46"/>
  <c r="H14" i="46" s="1"/>
  <c r="G27" i="46"/>
  <c r="G11" i="46"/>
  <c r="E19" i="46"/>
  <c r="D66" i="47"/>
  <c r="B66" i="47"/>
  <c r="L4" i="20"/>
  <c r="L6" i="20"/>
  <c r="L12" i="20"/>
  <c r="L8" i="20"/>
  <c r="L7" i="20"/>
  <c r="L14" i="20"/>
  <c r="L27" i="20"/>
  <c r="L24" i="20"/>
  <c r="L26" i="20"/>
  <c r="L23" i="20"/>
  <c r="L25" i="20"/>
  <c r="L33" i="20"/>
  <c r="L39" i="20"/>
  <c r="L32" i="20"/>
  <c r="J20" i="20"/>
  <c r="W30" i="20"/>
  <c r="X30" i="20" s="1"/>
  <c r="L5" i="20"/>
  <c r="J8" i="20"/>
  <c r="J18" i="20"/>
  <c r="J29" i="20"/>
  <c r="J43" i="20"/>
  <c r="L22" i="20"/>
  <c r="W33" i="20"/>
  <c r="L19" i="20"/>
  <c r="J5" i="20"/>
  <c r="J40" i="20"/>
  <c r="L15" i="20"/>
  <c r="L40" i="20"/>
  <c r="L21" i="20"/>
  <c r="W31" i="20"/>
  <c r="X31" i="20" s="1"/>
  <c r="J37" i="20"/>
  <c r="J57" i="20"/>
  <c r="E81" i="16" s="1" a="1"/>
  <c r="E81" i="16" s="1"/>
  <c r="L35" i="20"/>
  <c r="L9" i="20"/>
  <c r="J14" i="20"/>
  <c r="J32" i="20"/>
  <c r="W34" i="20"/>
  <c r="J47" i="20"/>
  <c r="L13" i="20"/>
  <c r="L11" i="20"/>
  <c r="L10" i="20"/>
  <c r="L28" i="20"/>
  <c r="E3" i="16"/>
  <c r="D3" i="16"/>
  <c r="C3" i="16"/>
  <c r="B3" i="16"/>
  <c r="E2" i="11"/>
  <c r="I31" i="39"/>
  <c r="J31" i="39" s="1"/>
  <c r="I40" i="39"/>
  <c r="J40" i="39" s="1"/>
  <c r="I38" i="39"/>
  <c r="J38" i="39" s="1"/>
  <c r="I29" i="39"/>
  <c r="I32" i="39"/>
  <c r="J32" i="39" s="1"/>
  <c r="I36" i="39"/>
  <c r="J36" i="39" s="1"/>
  <c r="I39" i="39"/>
  <c r="J39" i="39" s="1"/>
  <c r="I30" i="39"/>
  <c r="J30" i="39" s="1"/>
  <c r="I34" i="39"/>
  <c r="J34" i="39" s="1"/>
  <c r="I41" i="39"/>
  <c r="J41" i="39" s="1"/>
  <c r="I35" i="39"/>
  <c r="J35" i="39" s="1"/>
  <c r="I37" i="39"/>
  <c r="I33" i="39"/>
  <c r="J33" i="39" s="1"/>
  <c r="F2" i="11"/>
  <c r="E36" i="11"/>
  <c r="E37" i="11" s="1"/>
  <c r="G6" i="11"/>
  <c r="F36" i="11"/>
  <c r="F37" i="11" s="1"/>
  <c r="G2" i="11"/>
  <c r="H9" i="11"/>
  <c r="H2" i="11" s="1"/>
  <c r="G12" i="11"/>
  <c r="E18" i="31"/>
  <c r="D18" i="31"/>
  <c r="H15" i="46" l="1"/>
  <c r="H27" i="46"/>
  <c r="H20" i="46"/>
  <c r="L18" i="46" s="1"/>
  <c r="Y31" i="20"/>
  <c r="X34" i="20"/>
  <c r="Y34" i="20" s="1"/>
  <c r="X33" i="20"/>
  <c r="Y33" i="20" s="1"/>
  <c r="Y30" i="20"/>
  <c r="K41" i="39"/>
  <c r="K23" i="39"/>
  <c r="K39" i="39"/>
  <c r="K12" i="39"/>
  <c r="K8" i="39"/>
  <c r="K13" i="39"/>
  <c r="K26" i="39"/>
  <c r="K16" i="39"/>
  <c r="J29" i="39"/>
  <c r="K29" i="39"/>
  <c r="K30" i="39"/>
  <c r="K36" i="39"/>
  <c r="K38" i="39"/>
  <c r="J37" i="39"/>
  <c r="K4" i="39"/>
  <c r="K28" i="39"/>
  <c r="K20" i="39"/>
  <c r="K11" i="39"/>
  <c r="K31" i="39"/>
  <c r="K14" i="39"/>
  <c r="K24" i="39"/>
  <c r="K15" i="39"/>
  <c r="K25" i="39"/>
  <c r="K9" i="39"/>
  <c r="K17" i="39"/>
  <c r="K5" i="39"/>
  <c r="K37" i="39"/>
  <c r="K19" i="39"/>
  <c r="K22" i="39"/>
  <c r="K34" i="39"/>
  <c r="K32" i="39"/>
  <c r="K7" i="39"/>
  <c r="K27" i="39"/>
  <c r="K18" i="39"/>
  <c r="K21" i="39"/>
  <c r="K6" i="39"/>
  <c r="K10" i="39"/>
  <c r="K35" i="39"/>
  <c r="K40" i="39"/>
  <c r="K33" i="39"/>
  <c r="F18" i="31"/>
  <c r="H12" i="11"/>
  <c r="G18" i="31" s="1"/>
  <c r="H6" i="11"/>
  <c r="G36" i="11"/>
  <c r="G37" i="11" s="1"/>
  <c r="I24" i="46" l="1"/>
  <c r="I7" i="46"/>
  <c r="I13" i="46"/>
  <c r="I22" i="46"/>
  <c r="I12" i="46"/>
  <c r="I25" i="46"/>
  <c r="I11" i="46"/>
  <c r="I18" i="46"/>
  <c r="I30" i="46"/>
  <c r="I31" i="46"/>
  <c r="I29" i="46"/>
  <c r="I6" i="46"/>
  <c r="I14" i="46"/>
  <c r="I23" i="46"/>
  <c r="I17" i="46"/>
  <c r="I26" i="46"/>
  <c r="I21" i="46"/>
  <c r="I8" i="46"/>
  <c r="I16" i="46"/>
  <c r="I32" i="46"/>
  <c r="I10" i="46"/>
  <c r="I9" i="46"/>
  <c r="I19" i="46"/>
  <c r="I28" i="46"/>
  <c r="I20" i="46"/>
  <c r="I27" i="46"/>
  <c r="I15" i="46"/>
  <c r="H36" i="11"/>
  <c r="H37" i="11" s="1"/>
  <c r="J3" i="47" l="1"/>
  <c r="F66" i="47" s="1"/>
  <c r="J2" i="47"/>
  <c r="H66" i="47" s="1"/>
  <c r="J66" i="47" l="1"/>
  <c r="K6" i="45" l="1" a="1"/>
  <c r="K6" i="45" s="1"/>
  <c r="L6" i="45" s="1" a="1"/>
  <c r="L6" i="45" s="1"/>
  <c r="M6" i="45" s="1"/>
  <c r="O108" i="45" s="1"/>
  <c r="J6" i="4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Suraj Mccune</author>
  </authors>
  <commentList>
    <comment ref="K33" authorId="0" shapeId="0" xr:uid="{092E27E0-B348-4D71-9F1F-3830D657B625}">
      <text>
        <r>
          <rPr>
            <sz val="9"/>
            <color indexed="81"/>
            <rFont val="Tahoma"/>
            <family val="2"/>
          </rPr>
          <t xml:space="preserve">I've put a chart of Term 1 to call attention to the stark difference between initial and final library fees.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CS48Final ProjectREPAIR.xlsm!ClassAT1" type="102" refreshedVersion="8" minRefreshableVersion="5">
    <extLst>
      <ext xmlns:x15="http://schemas.microsoft.com/office/spreadsheetml/2010/11/main" uri="{DE250136-89BD-433C-8126-D09CA5730AF9}">
        <x15:connection id="ClassAT1">
          <x15:rangePr sourceName="_xlcn.WorksheetConnection_CS48FinalProjectREPAIR.xlsmClassAT11"/>
        </x15:connection>
      </ext>
    </extLst>
  </connection>
  <connection id="3" xr16:uid="{00000000-0015-0000-FFFF-FFFF02000000}" name="WorksheetConnection_CS48Final ProjectREPAIR.xlsm!ClassAT2" type="102" refreshedVersion="8" minRefreshableVersion="5">
    <extLst>
      <ext xmlns:x15="http://schemas.microsoft.com/office/spreadsheetml/2010/11/main" uri="{DE250136-89BD-433C-8126-D09CA5730AF9}">
        <x15:connection id="ClassAT2">
          <x15:rangePr sourceName="_xlcn.WorksheetConnection_CS48FinalProjectREPAIR.xlsmClassAT21"/>
        </x15:connection>
      </ext>
    </extLst>
  </connection>
  <connection id="4" xr16:uid="{00000000-0015-0000-FFFF-FFFF03000000}" name="WorksheetConnection_CS48Final ProjectREPAIR.xlsm!ClassAT3" type="102" refreshedVersion="8" minRefreshableVersion="5">
    <extLst>
      <ext xmlns:x15="http://schemas.microsoft.com/office/spreadsheetml/2010/11/main" uri="{DE250136-89BD-433C-8126-D09CA5730AF9}">
        <x15:connection id="ClassAT3">
          <x15:rangePr sourceName="_xlcn.WorksheetConnection_CS48FinalProjectREPAIR.xlsmClassAT31"/>
        </x15:connection>
      </ext>
    </extLst>
  </connection>
  <connection id="5" xr16:uid="{00000000-0015-0000-FFFF-FFFF04000000}" name="WorksheetConnection_CS48Final ProjectREPAIR.xlsm!ClassAT4" type="102" refreshedVersion="8" minRefreshableVersion="5">
    <extLst>
      <ext xmlns:x15="http://schemas.microsoft.com/office/spreadsheetml/2010/11/main" uri="{DE250136-89BD-433C-8126-D09CA5730AF9}">
        <x15:connection id="ClassAT4">
          <x15:rangePr sourceName="_xlcn.WorksheetConnection_CS48FinalProjectREPAIR.xlsmClassAT41"/>
        </x15:connection>
      </ext>
    </extLst>
  </connection>
  <connection id="6" xr16:uid="{00000000-0015-0000-FFFF-FFFF05000000}" name="WorksheetConnection_CS48Final ProjectREPAIR.xlsm!Table1016" type="102" refreshedVersion="8" minRefreshableVersion="5">
    <extLst>
      <ext xmlns:x15="http://schemas.microsoft.com/office/spreadsheetml/2010/11/main" uri="{DE250136-89BD-433C-8126-D09CA5730AF9}">
        <x15:connection id="Table1016">
          <x15:rangePr sourceName="_xlcn.WorksheetConnection_CS48FinalProjectREPAIR.xlsmTable1016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<sst xmlns="http://schemas.openxmlformats.org/spreadsheetml/2006/main" count="2651" uniqueCount="453">
  <si>
    <t>Student ID</t>
  </si>
  <si>
    <t>Final Grade</t>
  </si>
  <si>
    <t>GPA</t>
  </si>
  <si>
    <t>SLast Name</t>
  </si>
  <si>
    <t>SFirst Names</t>
  </si>
  <si>
    <t>PlacementExam 1</t>
  </si>
  <si>
    <t>PlacementExam 2</t>
  </si>
  <si>
    <t>PlacementScore</t>
  </si>
  <si>
    <t>Wilson</t>
  </si>
  <si>
    <t>Misa</t>
  </si>
  <si>
    <t>Elric</t>
  </si>
  <si>
    <t>Edward</t>
  </si>
  <si>
    <t>McCarthy</t>
  </si>
  <si>
    <t>Sonny</t>
  </si>
  <si>
    <t>Cruise</t>
  </si>
  <si>
    <t>Tom</t>
  </si>
  <si>
    <t>Cromwell</t>
  </si>
  <si>
    <t>Jason</t>
  </si>
  <si>
    <t>Richardson</t>
  </si>
  <si>
    <t>Lachlan</t>
  </si>
  <si>
    <t>Khan</t>
  </si>
  <si>
    <t>Sakib</t>
  </si>
  <si>
    <t>Oberoi</t>
  </si>
  <si>
    <t>Vivek</t>
  </si>
  <si>
    <t>Burke</t>
  </si>
  <si>
    <t>Louis</t>
  </si>
  <si>
    <t>Duke</t>
  </si>
  <si>
    <t>Zoe</t>
  </si>
  <si>
    <t>Newton</t>
  </si>
  <si>
    <t>Flora</t>
  </si>
  <si>
    <t>Gallen</t>
  </si>
  <si>
    <t>Zac</t>
  </si>
  <si>
    <t>Kapoor</t>
  </si>
  <si>
    <t>Sanjay</t>
  </si>
  <si>
    <t>Singleton</t>
  </si>
  <si>
    <t>Perry</t>
  </si>
  <si>
    <t>Walker</t>
  </si>
  <si>
    <t>Allen</t>
  </si>
  <si>
    <t>Scarlet</t>
  </si>
  <si>
    <t>Ezra</t>
  </si>
  <si>
    <t>Forger</t>
  </si>
  <si>
    <t>Anya</t>
  </si>
  <si>
    <t>Hunt</t>
  </si>
  <si>
    <t>Ethan</t>
  </si>
  <si>
    <t>Kapur</t>
  </si>
  <si>
    <t>Aditya</t>
  </si>
  <si>
    <t>Zimmerman</t>
  </si>
  <si>
    <t>Cory</t>
  </si>
  <si>
    <t>Park</t>
  </si>
  <si>
    <t>John</t>
  </si>
  <si>
    <t xml:space="preserve">Heyman </t>
  </si>
  <si>
    <t>Paul</t>
  </si>
  <si>
    <t>Salman</t>
  </si>
  <si>
    <t>Best</t>
  </si>
  <si>
    <t>Sakura</t>
  </si>
  <si>
    <t>Reynolds</t>
  </si>
  <si>
    <t>Charlie</t>
  </si>
  <si>
    <t>Watkins</t>
  </si>
  <si>
    <t>Demi</t>
  </si>
  <si>
    <t>Saif Ali</t>
  </si>
  <si>
    <t>Frank</t>
  </si>
  <si>
    <t>Joesph</t>
  </si>
  <si>
    <t>Thorne</t>
  </si>
  <si>
    <t>Alexia</t>
  </si>
  <si>
    <t>Yeager</t>
  </si>
  <si>
    <t>Eren</t>
  </si>
  <si>
    <t>Reid</t>
  </si>
  <si>
    <t>Ssammie</t>
  </si>
  <si>
    <t>Lopez</t>
  </si>
  <si>
    <t>Omar</t>
  </si>
  <si>
    <t>Townsend</t>
  </si>
  <si>
    <t>Solomon</t>
  </si>
  <si>
    <t>Holmes</t>
  </si>
  <si>
    <t>Sherlock</t>
  </si>
  <si>
    <t>Brady</t>
  </si>
  <si>
    <t>Matthew</t>
  </si>
  <si>
    <t>Valentine</t>
  </si>
  <si>
    <t>Valentina</t>
  </si>
  <si>
    <t>Sherman</t>
  </si>
  <si>
    <t>Eddie</t>
  </si>
  <si>
    <t>Stone</t>
  </si>
  <si>
    <t>Lukas</t>
  </si>
  <si>
    <t>Bachchan</t>
  </si>
  <si>
    <t>Aishwaria</t>
  </si>
  <si>
    <t>Bell</t>
  </si>
  <si>
    <t>Jack</t>
  </si>
  <si>
    <t>Kurosaki</t>
  </si>
  <si>
    <t>Ichigo</t>
  </si>
  <si>
    <t>Brown</t>
  </si>
  <si>
    <t>Gray</t>
  </si>
  <si>
    <t>Weaver</t>
  </si>
  <si>
    <t>Prince</t>
  </si>
  <si>
    <t>Cox</t>
  </si>
  <si>
    <t>Jennifer</t>
  </si>
  <si>
    <t>Woods</t>
  </si>
  <si>
    <t>Melissa</t>
  </si>
  <si>
    <t>Walsh</t>
  </si>
  <si>
    <t>Rhea</t>
  </si>
  <si>
    <t>Smith</t>
  </si>
  <si>
    <t>Erwin</t>
  </si>
  <si>
    <t>Betty</t>
  </si>
  <si>
    <t>James</t>
  </si>
  <si>
    <t>Acosta</t>
  </si>
  <si>
    <t>Micheal</t>
  </si>
  <si>
    <t>Holland</t>
  </si>
  <si>
    <t>Amelia</t>
  </si>
  <si>
    <t>Aamir</t>
  </si>
  <si>
    <t>Hayes</t>
  </si>
  <si>
    <t>Carmelo</t>
  </si>
  <si>
    <t>Strickland</t>
  </si>
  <si>
    <t>Kye</t>
  </si>
  <si>
    <t>Barrera</t>
  </si>
  <si>
    <t>Blanche</t>
  </si>
  <si>
    <t>Pineda</t>
  </si>
  <si>
    <t>Denis</t>
  </si>
  <si>
    <t>Mann</t>
  </si>
  <si>
    <t>Glen</t>
  </si>
  <si>
    <t>Meyers</t>
  </si>
  <si>
    <t>Wilber</t>
  </si>
  <si>
    <t>Amitabh</t>
  </si>
  <si>
    <t>Long</t>
  </si>
  <si>
    <t>Josiah</t>
  </si>
  <si>
    <t>Frederick</t>
  </si>
  <si>
    <t>Sylvia</t>
  </si>
  <si>
    <t>Kumar</t>
  </si>
  <si>
    <t>Akshay</t>
  </si>
  <si>
    <t>Campos</t>
  </si>
  <si>
    <t>Lee</t>
  </si>
  <si>
    <t>Deol</t>
  </si>
  <si>
    <t>Sunny</t>
  </si>
  <si>
    <t>Steven</t>
  </si>
  <si>
    <t>Christopher</t>
  </si>
  <si>
    <t>Ramirez</t>
  </si>
  <si>
    <t>Mercy</t>
  </si>
  <si>
    <t>Krtchum</t>
  </si>
  <si>
    <t>Ash</t>
  </si>
  <si>
    <t>Mustang</t>
  </si>
  <si>
    <t>Roy</t>
  </si>
  <si>
    <t>Villatteal</t>
  </si>
  <si>
    <t>Dory</t>
  </si>
  <si>
    <t>Ferguson</t>
  </si>
  <si>
    <t>Claudia</t>
  </si>
  <si>
    <t>Anil</t>
  </si>
  <si>
    <t>Griffith</t>
  </si>
  <si>
    <t>Allison</t>
  </si>
  <si>
    <t>Theory</t>
  </si>
  <si>
    <t xml:space="preserve">Austin </t>
  </si>
  <si>
    <t>O'Reilly</t>
  </si>
  <si>
    <t>Robin</t>
  </si>
  <si>
    <t>Andreq</t>
  </si>
  <si>
    <t>Ashley</t>
  </si>
  <si>
    <t>Cannon</t>
  </si>
  <si>
    <t>Shirley</t>
  </si>
  <si>
    <t>Shraddha</t>
  </si>
  <si>
    <t>Crawford</t>
  </si>
  <si>
    <t>Esme</t>
  </si>
  <si>
    <t>Ball</t>
  </si>
  <si>
    <t>Billie</t>
  </si>
  <si>
    <t>Clements</t>
  </si>
  <si>
    <t>Mary</t>
  </si>
  <si>
    <t>Stewart</t>
  </si>
  <si>
    <t>Robert</t>
  </si>
  <si>
    <t>Devgan</t>
  </si>
  <si>
    <t>Ajay</t>
  </si>
  <si>
    <t>Hawkins</t>
  </si>
  <si>
    <t>Owen</t>
  </si>
  <si>
    <t>Oliver</t>
  </si>
  <si>
    <t>Abishek</t>
  </si>
  <si>
    <t>Ford</t>
  </si>
  <si>
    <t>Harrison</t>
  </si>
  <si>
    <t xml:space="preserve">Josh </t>
  </si>
  <si>
    <t xml:space="preserve">Shahrukh </t>
  </si>
  <si>
    <t>Hinata</t>
  </si>
  <si>
    <t>Shoyo</t>
  </si>
  <si>
    <t>Akerman</t>
  </si>
  <si>
    <t>Levi</t>
  </si>
  <si>
    <t>Chaney</t>
  </si>
  <si>
    <t>Kevin</t>
  </si>
  <si>
    <t>Bobby</t>
  </si>
  <si>
    <t>Carpenter</t>
  </si>
  <si>
    <t>Penelope</t>
  </si>
  <si>
    <t>Alphonse</t>
  </si>
  <si>
    <t>Kento</t>
  </si>
  <si>
    <t>nanami</t>
  </si>
  <si>
    <t>Koirala</t>
  </si>
  <si>
    <t>Manisha</t>
  </si>
  <si>
    <t>Sonam</t>
  </si>
  <si>
    <t>Nico</t>
  </si>
  <si>
    <t>Reyes</t>
  </si>
  <si>
    <t>Donald</t>
  </si>
  <si>
    <t>Brando</t>
  </si>
  <si>
    <t>Dio</t>
  </si>
  <si>
    <t>Term 1</t>
  </si>
  <si>
    <t>Last Name</t>
  </si>
  <si>
    <t>First Names</t>
  </si>
  <si>
    <t>Exam 1</t>
  </si>
  <si>
    <t>Exam 2</t>
  </si>
  <si>
    <t>Exam 3</t>
  </si>
  <si>
    <t>Exam 4</t>
  </si>
  <si>
    <t>Homework precent</t>
  </si>
  <si>
    <t>Letter Grade</t>
  </si>
  <si>
    <t>Class Rank</t>
  </si>
  <si>
    <t>Term 2</t>
  </si>
  <si>
    <t>Term 3</t>
  </si>
  <si>
    <t>Term 4</t>
  </si>
  <si>
    <t>Final GPA</t>
  </si>
  <si>
    <t>Employee ID</t>
  </si>
  <si>
    <t>TLastName</t>
  </si>
  <si>
    <t>TFirstName</t>
  </si>
  <si>
    <t>Valentines day dance</t>
  </si>
  <si>
    <t>Holloween dance</t>
  </si>
  <si>
    <t>Prom</t>
  </si>
  <si>
    <t>Annual school trip</t>
  </si>
  <si>
    <t>Yes</t>
  </si>
  <si>
    <t>No</t>
  </si>
  <si>
    <t>Cortez</t>
  </si>
  <si>
    <t>Alice</t>
  </si>
  <si>
    <t>Oneill</t>
  </si>
  <si>
    <t>Briana</t>
  </si>
  <si>
    <t>Reggie</t>
  </si>
  <si>
    <t>Rogers</t>
  </si>
  <si>
    <t>Lindsay</t>
  </si>
  <si>
    <t>Cowan</t>
  </si>
  <si>
    <t>Marcella</t>
  </si>
  <si>
    <t>Glenn</t>
  </si>
  <si>
    <t>Daryl</t>
  </si>
  <si>
    <t>Mcknight</t>
  </si>
  <si>
    <t>Violet</t>
  </si>
  <si>
    <t>Boyd</t>
  </si>
  <si>
    <t>Burton</t>
  </si>
  <si>
    <t>Duffy</t>
  </si>
  <si>
    <t>Mariana</t>
  </si>
  <si>
    <t>Grant</t>
  </si>
  <si>
    <t>Jonathon</t>
  </si>
  <si>
    <t>Barajas</t>
  </si>
  <si>
    <t>Stanley</t>
  </si>
  <si>
    <t>Melvin</t>
  </si>
  <si>
    <t>Atkinson</t>
  </si>
  <si>
    <t>Carrol</t>
  </si>
  <si>
    <t>Bush</t>
  </si>
  <si>
    <t>Mavis</t>
  </si>
  <si>
    <t>Merritt</t>
  </si>
  <si>
    <t>Juarez</t>
  </si>
  <si>
    <t>Barton</t>
  </si>
  <si>
    <t>Sharp</t>
  </si>
  <si>
    <t>Herb</t>
  </si>
  <si>
    <t>Luna</t>
  </si>
  <si>
    <t>Dolores</t>
  </si>
  <si>
    <t>Reese</t>
  </si>
  <si>
    <t>Amado</t>
  </si>
  <si>
    <t>Orozco</t>
  </si>
  <si>
    <t>Ivy</t>
  </si>
  <si>
    <t>Archer</t>
  </si>
  <si>
    <t>Pearl</t>
  </si>
  <si>
    <t>Roberts</t>
  </si>
  <si>
    <t>Wilfredo</t>
  </si>
  <si>
    <t>Ortiz</t>
  </si>
  <si>
    <t>Jessica</t>
  </si>
  <si>
    <t>Cline</t>
  </si>
  <si>
    <t>Johnathan</t>
  </si>
  <si>
    <t>Kirby</t>
  </si>
  <si>
    <t>Cassandra</t>
  </si>
  <si>
    <t>Patrick</t>
  </si>
  <si>
    <t>Gabriel</t>
  </si>
  <si>
    <t>Hoffman</t>
  </si>
  <si>
    <t>Quentin</t>
  </si>
  <si>
    <t>Coy</t>
  </si>
  <si>
    <t>Morrow</t>
  </si>
  <si>
    <t>Lois</t>
  </si>
  <si>
    <t>David</t>
  </si>
  <si>
    <t>Dale</t>
  </si>
  <si>
    <t>Total chaperones</t>
  </si>
  <si>
    <t>Ratio teachers to students</t>
  </si>
  <si>
    <t xml:space="preserve">6/30/2025	</t>
  </si>
  <si>
    <t>Countdown until First day of School !!</t>
  </si>
  <si>
    <t>Days</t>
  </si>
  <si>
    <t>Hours</t>
  </si>
  <si>
    <t>Minutes</t>
  </si>
  <si>
    <t>Seconds:</t>
  </si>
  <si>
    <t>LastName</t>
  </si>
  <si>
    <t>FirstName</t>
  </si>
  <si>
    <t>Class A</t>
  </si>
  <si>
    <t>Class B</t>
  </si>
  <si>
    <t>Class C</t>
  </si>
  <si>
    <t>Class D</t>
  </si>
  <si>
    <t>Class F</t>
  </si>
  <si>
    <t>Grand Total</t>
  </si>
  <si>
    <t>Wilson Total</t>
  </si>
  <si>
    <t>Josh</t>
  </si>
  <si>
    <t>Stewart Total</t>
  </si>
  <si>
    <t>Kapoor Total</t>
  </si>
  <si>
    <t>Hawkins Total</t>
  </si>
  <si>
    <t>Gray Total</t>
  </si>
  <si>
    <t>Ford Total</t>
  </si>
  <si>
    <t>Devgan Total</t>
  </si>
  <si>
    <t>Crawford Total</t>
  </si>
  <si>
    <t>Clements Total</t>
  </si>
  <si>
    <t>Cannon Total</t>
  </si>
  <si>
    <t>Ball Total</t>
  </si>
  <si>
    <t>Bachchan Total</t>
  </si>
  <si>
    <t>Abhishek</t>
  </si>
  <si>
    <t>Sum of Student ID</t>
  </si>
  <si>
    <t>First Name</t>
  </si>
  <si>
    <t>Average</t>
  </si>
  <si>
    <t>Final Exam</t>
  </si>
  <si>
    <t>Project</t>
  </si>
  <si>
    <t>Homework</t>
  </si>
  <si>
    <t>F</t>
  </si>
  <si>
    <t>D</t>
  </si>
  <si>
    <t>C</t>
  </si>
  <si>
    <t>B</t>
  </si>
  <si>
    <t>A</t>
  </si>
  <si>
    <t>Points</t>
  </si>
  <si>
    <t>Grade</t>
  </si>
  <si>
    <t>HW</t>
  </si>
  <si>
    <t xml:space="preserve">Exam 1 </t>
  </si>
  <si>
    <t>Weight</t>
  </si>
  <si>
    <t xml:space="preserve"> GPA</t>
  </si>
  <si>
    <t xml:space="preserve">Final Grade </t>
  </si>
  <si>
    <t>Rank</t>
  </si>
  <si>
    <t>UA Academy</t>
  </si>
  <si>
    <t>Total students in class:</t>
  </si>
  <si>
    <t>Average of Grades</t>
  </si>
  <si>
    <t>Row Labels</t>
  </si>
  <si>
    <t>Sum of Final GPA</t>
  </si>
  <si>
    <t>Column Labels</t>
  </si>
  <si>
    <t>B+</t>
  </si>
  <si>
    <t>Count of Employee ID</t>
  </si>
  <si>
    <t>B-</t>
  </si>
  <si>
    <t>Test 2</t>
  </si>
  <si>
    <t>Test 1</t>
  </si>
  <si>
    <t>Term4</t>
  </si>
  <si>
    <t>A-</t>
  </si>
  <si>
    <t>D+</t>
  </si>
  <si>
    <t>C+</t>
  </si>
  <si>
    <t>Substutute teachers</t>
  </si>
  <si>
    <t>LETTER GRADE</t>
  </si>
  <si>
    <t>PROJECT</t>
  </si>
  <si>
    <t>HOMEWORK</t>
  </si>
  <si>
    <t>FINAL EXAM</t>
  </si>
  <si>
    <t>EXAM 2</t>
  </si>
  <si>
    <t>EXAM 1</t>
  </si>
  <si>
    <t>FIRST NAME</t>
  </si>
  <si>
    <t>LAST NAME</t>
  </si>
  <si>
    <t>STUDENT ID</t>
  </si>
  <si>
    <t>TERM 4</t>
  </si>
  <si>
    <t>TERM 3</t>
  </si>
  <si>
    <t>TERM 2</t>
  </si>
  <si>
    <t>TERM 1</t>
  </si>
  <si>
    <t>FINAL GPA</t>
  </si>
  <si>
    <t>School events Charopones</t>
  </si>
  <si>
    <t>Classroom Teachers</t>
  </si>
  <si>
    <t>INTEREST RATE</t>
  </si>
  <si>
    <t>END DATE</t>
  </si>
  <si>
    <t>START DATE</t>
  </si>
  <si>
    <t>YEARS OF SAVING</t>
  </si>
  <si>
    <t>BANK INTEREST RATE</t>
  </si>
  <si>
    <t>NO. YEARS IN SCHOOL</t>
  </si>
  <si>
    <t>ANNUAL TUITION</t>
  </si>
  <si>
    <t>FV</t>
  </si>
  <si>
    <t>PMT</t>
  </si>
  <si>
    <t>Monthly Rate</t>
  </si>
  <si>
    <t>Number of Periods</t>
  </si>
  <si>
    <t>MONTHLY</t>
  </si>
  <si>
    <t>PAYMENT BASIS</t>
  </si>
  <si>
    <t>Years of Loan</t>
  </si>
  <si>
    <t>APR</t>
  </si>
  <si>
    <t>Periods Per Year</t>
  </si>
  <si>
    <t>LOAN AMOUNT</t>
  </si>
  <si>
    <t>TUITION COST</t>
  </si>
  <si>
    <t>PARENT TAKES OUT A LOAN TO HELP PAY FOR TUITION</t>
  </si>
  <si>
    <t>STUDENT LOAN</t>
  </si>
  <si>
    <t>Journalism</t>
  </si>
  <si>
    <t>English</t>
  </si>
  <si>
    <t>Biology</t>
  </si>
  <si>
    <t>Anthroplogy</t>
  </si>
  <si>
    <t>Average of PlacementExam 1</t>
  </si>
  <si>
    <t>Average of PlacementExam 2</t>
  </si>
  <si>
    <t>Average of PlacementScore</t>
  </si>
  <si>
    <t>Sum of hours</t>
  </si>
  <si>
    <t>Internships</t>
  </si>
  <si>
    <t>Subjscts</t>
  </si>
  <si>
    <t>Valentinrs day</t>
  </si>
  <si>
    <t>Ranks</t>
  </si>
  <si>
    <t>Term GPA</t>
  </si>
  <si>
    <t>Homework %</t>
  </si>
  <si>
    <t xml:space="preserve">C </t>
  </si>
  <si>
    <t>Advanced Filter</t>
  </si>
  <si>
    <t>Advanced Filter (Students who received 'C' and 'D')</t>
  </si>
  <si>
    <t>(current)</t>
  </si>
  <si>
    <t>N</t>
  </si>
  <si>
    <t>Y</t>
  </si>
  <si>
    <t>Fees</t>
  </si>
  <si>
    <t>Returned</t>
  </si>
  <si>
    <t>Due Date (30d)</t>
  </si>
  <si>
    <t># of Books</t>
  </si>
  <si>
    <t>Checked out</t>
  </si>
  <si>
    <t>Count of Status</t>
  </si>
  <si>
    <t>Sum of Total fees</t>
  </si>
  <si>
    <t>Sum of Term 4</t>
  </si>
  <si>
    <t>Sum of Term 3</t>
  </si>
  <si>
    <t>Sum of Term 2</t>
  </si>
  <si>
    <t xml:space="preserve">Sum of Term 1 </t>
  </si>
  <si>
    <t xml:space="preserve">Average of Total Fees neglecting those who don't owe any amount. </t>
  </si>
  <si>
    <t>"=IF(Returned ="N", Books*4.99,0)</t>
  </si>
  <si>
    <t>Fees formula</t>
  </si>
  <si>
    <t>"=CHOOSE(RANDBETWEEN(1,2), "Y","N")"</t>
  </si>
  <si>
    <t>Return formula</t>
  </si>
  <si>
    <t xml:space="preserve">#ofBooks is randomized </t>
  </si>
  <si>
    <t>"=RANDBETWEEN(Term dates)"</t>
  </si>
  <si>
    <t>Checked out formula</t>
  </si>
  <si>
    <t>Term 4 (Spring)</t>
  </si>
  <si>
    <t>Term 3 (Fall)</t>
  </si>
  <si>
    <t>Term 2 (Spring)</t>
  </si>
  <si>
    <t>Term 1 (Fall)</t>
  </si>
  <si>
    <t>End</t>
  </si>
  <si>
    <t>Begin</t>
  </si>
  <si>
    <t>Term dates</t>
  </si>
  <si>
    <t>Status</t>
  </si>
  <si>
    <t>Total fees</t>
  </si>
  <si>
    <t xml:space="preserve">Term 1 </t>
  </si>
  <si>
    <t xml:space="preserve">Library Fees: All accumulated fees incurred during the course of 2 years go into the evaluation of whether the student is allowed to graduate his/her Class. </t>
  </si>
  <si>
    <t>Library Fees</t>
  </si>
  <si>
    <t>Staff</t>
  </si>
  <si>
    <t xml:space="preserve"> Students</t>
  </si>
  <si>
    <t>Total</t>
  </si>
  <si>
    <t>Class</t>
  </si>
  <si>
    <t>unweighted GPA</t>
  </si>
  <si>
    <t>alice</t>
  </si>
  <si>
    <t>marcella</t>
  </si>
  <si>
    <t>stanley</t>
  </si>
  <si>
    <t>omar</t>
  </si>
  <si>
    <t>wilfredo</t>
  </si>
  <si>
    <t xml:space="preserve">Classroom </t>
  </si>
  <si>
    <t>Total students per class</t>
  </si>
  <si>
    <t>Count of Student ID</t>
  </si>
  <si>
    <t>DOUBLE VARIABLE DATA</t>
  </si>
  <si>
    <t>Jul</t>
  </si>
  <si>
    <t>Jun</t>
  </si>
  <si>
    <t>Aug</t>
  </si>
  <si>
    <t>End times</t>
  </si>
  <si>
    <t>Start times</t>
  </si>
  <si>
    <t>Majors</t>
  </si>
  <si>
    <t>Total Hours per day</t>
  </si>
  <si>
    <t xml:space="preserve"> End Time</t>
  </si>
  <si>
    <t>Start Time</t>
  </si>
  <si>
    <t>End Date</t>
  </si>
  <si>
    <t>Start Date</t>
  </si>
  <si>
    <t>Major</t>
  </si>
  <si>
    <t>Classes</t>
  </si>
  <si>
    <t>Subtotal</t>
  </si>
  <si>
    <t xml:space="preserve">Select the student based on their ID to view their final grades </t>
  </si>
  <si>
    <t>Student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</si>
</sst>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6" formatCode="&quot;$&quot;#,##0_);[Red]\(&quot;$&quot;#,##0\)"/>
    <numFmt numFmtId="8" formatCode="&quot;$&quot;#,##0.00_);[Red]\(&quot;$&quot;#,##0.00\)"/>
    <numFmt numFmtId="44" formatCode="_(&quot;$&quot;* #,##0.00_);_(&quot;$&quot;* \(#,##0.00\);_(&quot;$&quot;* &quot;-&quot;??_);_(@_)"/>
    <numFmt numFmtId="164" formatCode="0.0"/>
    <numFmt numFmtId="165" formatCode="0.000%"/>
    <numFmt numFmtId="166" formatCode="_(&quot;$&quot;* #,##0_);_(&quot;$&quot;* \(#,##0\);_(&quot;$&quot;* &quot;-&quot;??_);_(@_)"/>
    <numFmt numFmtId="167" formatCode="&quot;PMT&quot;"/>
    <numFmt numFmtId="168" formatCode="[$-F400]h:mm:ss\ AM/PM"/>
    <numFmt numFmtId="169" formatCode="_([$$-409]* #,##0.00_);_([$$-409]* \(#,##0.00\);_([$$-409]* &quot;-&quot;??_);_(@_)"/>
  </numFmts>
  <fonts count="75" x14ac:knownFonts="1">
    <font>
      <sz val="11"/>
      <color theme="1"/>
      <name val="Garamond"/>
      <family val="2"/>
      <scheme val="minor"/>
    </font>
    <font>
      <sz val="11"/>
      <color theme="1"/>
      <name val="Garamond"/>
      <family val="2"/>
      <scheme val="minor"/>
    </font>
    <font>
      <b/>
      <sz val="11"/>
      <color theme="0"/>
      <name val="Garamond"/>
      <family val="2"/>
      <scheme val="minor"/>
    </font>
    <font>
      <sz val="11"/>
      <color rgb="FF000000"/>
      <name val="Garamond"/>
      <family val="2"/>
      <scheme val="minor"/>
    </font>
    <font>
      <sz val="12"/>
      <color rgb="FF000000"/>
      <name val="Algerian"/>
      <family val="5"/>
    </font>
    <font>
      <sz val="12"/>
      <color theme="1"/>
      <name val="Algerian"/>
      <family val="5"/>
    </font>
    <font>
      <sz val="36"/>
      <color rgb="FF000000"/>
      <name val="Bodoni MT Poster Compressed"/>
      <family val="1"/>
    </font>
    <font>
      <sz val="11"/>
      <color theme="0"/>
      <name val="Garamond"/>
      <family val="2"/>
      <scheme val="minor"/>
    </font>
    <font>
      <sz val="11"/>
      <color theme="4" tint="0.59999389629810485"/>
      <name val="Garamond"/>
      <family val="2"/>
      <scheme val="minor"/>
    </font>
    <font>
      <sz val="11"/>
      <color theme="1"/>
      <name val="Calibri"/>
      <family val="2"/>
    </font>
    <font>
      <i/>
      <sz val="11"/>
      <color theme="1"/>
      <name val="Garamond"/>
      <family val="2"/>
      <scheme val="minor"/>
    </font>
    <font>
      <sz val="11"/>
      <color theme="1"/>
      <name val="Times New Roman"/>
      <family val="1"/>
    </font>
    <font>
      <sz val="11"/>
      <color rgb="FF000000"/>
      <name val="Times New Roman"/>
      <family val="1"/>
    </font>
    <font>
      <b/>
      <sz val="14"/>
      <color theme="1"/>
      <name val="Times New Roman"/>
      <family val="1"/>
    </font>
    <font>
      <b/>
      <i/>
      <u/>
      <sz val="28"/>
      <color rgb="FF00B0F0"/>
      <name val="Times New Roman"/>
      <family val="1"/>
    </font>
    <font>
      <i/>
      <sz val="22"/>
      <color theme="0"/>
      <name val="Times New Roman"/>
      <family val="1"/>
    </font>
    <font>
      <b/>
      <i/>
      <u/>
      <sz val="26"/>
      <color theme="9" tint="0.39997558519241921"/>
      <name val="Times New Roman"/>
      <family val="1"/>
    </font>
    <font>
      <b/>
      <i/>
      <u/>
      <sz val="26"/>
      <color rgb="FFFF0000"/>
      <name val="Times New Roman"/>
      <family val="1"/>
    </font>
    <font>
      <b/>
      <sz val="11"/>
      <color theme="1"/>
      <name val="Garamond"/>
      <family val="2"/>
      <scheme val="minor"/>
    </font>
    <font>
      <sz val="11"/>
      <name val="Aptos Narrow"/>
      <family val="2"/>
    </font>
    <font>
      <sz val="11"/>
      <name val="Garamond"/>
      <family val="2"/>
      <scheme val="minor"/>
    </font>
    <font>
      <b/>
      <i/>
      <u/>
      <sz val="28"/>
      <name val="Times New Roman"/>
      <family val="1"/>
    </font>
    <font>
      <sz val="22"/>
      <color theme="1"/>
      <name val="Alasassy Caps"/>
    </font>
    <font>
      <sz val="36"/>
      <color rgb="FFFF0000"/>
      <name val="Algerian"/>
      <family val="5"/>
    </font>
    <font>
      <b/>
      <sz val="11"/>
      <name val="Garamond"/>
      <family val="2"/>
      <scheme val="minor"/>
    </font>
    <font>
      <b/>
      <sz val="11"/>
      <color theme="1"/>
      <name val="Algerian"/>
      <family val="5"/>
    </font>
    <font>
      <sz val="11"/>
      <color rgb="FFFFFF00"/>
      <name val="Garamond"/>
      <family val="2"/>
      <scheme val="minor"/>
    </font>
    <font>
      <sz val="11"/>
      <color rgb="FFFFFF00"/>
      <name val="Calibri"/>
      <family val="2"/>
    </font>
    <font>
      <sz val="11"/>
      <color rgb="FFFF0000"/>
      <name val="Calibri"/>
      <family val="2"/>
    </font>
    <font>
      <b/>
      <sz val="11"/>
      <color rgb="FFFFFF00"/>
      <name val="Garamond"/>
      <family val="2"/>
      <scheme val="minor"/>
    </font>
    <font>
      <sz val="11"/>
      <color theme="2"/>
      <name val="Garamond"/>
      <family val="2"/>
      <scheme val="minor"/>
    </font>
    <font>
      <sz val="11"/>
      <color theme="0"/>
      <name val="Calibri"/>
      <family val="2"/>
    </font>
    <font>
      <sz val="12"/>
      <color theme="0"/>
      <name val="Algerian"/>
      <family val="5"/>
    </font>
    <font>
      <sz val="11"/>
      <color theme="4" tint="0.79998168889431442"/>
      <name val="Garamond"/>
      <family val="2"/>
      <scheme val="minor"/>
    </font>
    <font>
      <sz val="12"/>
      <color theme="4" tint="0.79998168889431442"/>
      <name val="Algerian"/>
      <family val="5"/>
    </font>
    <font>
      <sz val="12"/>
      <name val="Algerian"/>
      <family val="5"/>
    </font>
    <font>
      <sz val="10"/>
      <color rgb="FF000000"/>
      <name val="Arial"/>
      <family val="2"/>
    </font>
    <font>
      <sz val="11"/>
      <color rgb="FF000000"/>
      <name val="Aptos Narrow"/>
      <family val="2"/>
    </font>
    <font>
      <sz val="11"/>
      <color rgb="FF9C0006"/>
      <name val="Aptos Narrow"/>
      <family val="2"/>
    </font>
    <font>
      <sz val="11"/>
      <color rgb="FF006100"/>
      <name val="Aptos Narrow"/>
      <family val="2"/>
    </font>
    <font>
      <b/>
      <sz val="11"/>
      <color rgb="FF000000"/>
      <name val="Aptos Narrow"/>
      <family val="2"/>
    </font>
    <font>
      <b/>
      <i/>
      <sz val="18"/>
      <color rgb="FF000000"/>
      <name val="Arial Black"/>
      <family val="2"/>
    </font>
    <font>
      <sz val="11"/>
      <color rgb="FF000000"/>
      <name val="Calibri"/>
      <family val="2"/>
    </font>
    <font>
      <b/>
      <sz val="12"/>
      <color rgb="FF000000"/>
      <name val="Algerian"/>
      <family val="5"/>
    </font>
    <font>
      <sz val="24"/>
      <color theme="0"/>
      <name val="Arial Nova Light"/>
      <family val="2"/>
    </font>
    <font>
      <b/>
      <sz val="10"/>
      <color rgb="FF000000"/>
      <name val="Arial"/>
      <family val="2"/>
    </font>
    <font>
      <b/>
      <sz val="11"/>
      <color rgb="FF145F82"/>
      <name val="Aptos Narrow"/>
      <family val="2"/>
    </font>
    <font>
      <b/>
      <sz val="11"/>
      <color theme="1"/>
      <name val="Aptos Narrow"/>
      <family val="2"/>
    </font>
    <font>
      <b/>
      <sz val="11"/>
      <color rgb="FFFF0000"/>
      <name val="Aptos Narrow"/>
      <family val="2"/>
    </font>
    <font>
      <b/>
      <sz val="14"/>
      <color rgb="FF000000"/>
      <name val="Arial"/>
      <family val="2"/>
    </font>
    <font>
      <sz val="18"/>
      <color rgb="FFFF0000"/>
      <name val="Aptos Narrow"/>
      <family val="2"/>
    </font>
    <font>
      <sz val="10"/>
      <color theme="0"/>
      <name val="Arial"/>
      <family val="2"/>
    </font>
    <font>
      <sz val="36"/>
      <color rgb="FFC00000"/>
      <name val="Bodoni MT Poster Compressed"/>
      <family val="1"/>
    </font>
    <font>
      <sz val="11"/>
      <color rgb="FFC00000"/>
      <name val="Garamond"/>
      <family val="2"/>
      <scheme val="minor"/>
    </font>
    <font>
      <sz val="16"/>
      <color rgb="FF000000"/>
      <name val="ADLaM Display"/>
    </font>
    <font>
      <b/>
      <sz val="12"/>
      <color theme="1"/>
      <name val="Algerian"/>
      <family val="5"/>
    </font>
    <font>
      <b/>
      <sz val="11"/>
      <color rgb="FF000000"/>
      <name val="Garamond"/>
      <family val="2"/>
      <scheme val="minor"/>
    </font>
    <font>
      <b/>
      <sz val="12"/>
      <color rgb="FF000000"/>
      <name val="Artifakt Element"/>
      <family val="2"/>
    </font>
    <font>
      <b/>
      <sz val="12"/>
      <color theme="1"/>
      <name val="Artifakt Element"/>
      <family val="2"/>
    </font>
    <font>
      <sz val="8"/>
      <name val="Garamond"/>
      <family val="2"/>
      <scheme val="minor"/>
    </font>
    <font>
      <sz val="9"/>
      <color indexed="81"/>
      <name val="Tahoma"/>
      <family val="2"/>
    </font>
    <font>
      <b/>
      <sz val="11"/>
      <name val="Algerian"/>
      <family val="5"/>
    </font>
    <font>
      <b/>
      <sz val="16"/>
      <color theme="1"/>
      <name val="Algerian"/>
      <family val="5"/>
    </font>
    <font>
      <b/>
      <sz val="18"/>
      <color theme="1"/>
      <name val="Algerian"/>
      <family val="5"/>
    </font>
    <font>
      <b/>
      <sz val="20"/>
      <color theme="1"/>
      <name val="Algerian"/>
      <family val="5"/>
    </font>
    <font>
      <b/>
      <sz val="22"/>
      <color theme="1"/>
      <name val="Algerian"/>
      <family val="5"/>
    </font>
    <font>
      <b/>
      <sz val="24"/>
      <color theme="1"/>
      <name val="Algerian"/>
      <family val="5"/>
    </font>
    <font>
      <sz val="11"/>
      <color theme="0"/>
      <name val="Algerian"/>
      <family val="5"/>
    </font>
    <font>
      <sz val="14"/>
      <color theme="1"/>
      <name val="Times New Roman"/>
      <family val="1"/>
    </font>
    <font>
      <sz val="14"/>
      <color rgb="FF000000"/>
      <name val="Times New Roman"/>
      <family val="1"/>
    </font>
    <font>
      <b/>
      <sz val="14"/>
      <color theme="0"/>
      <name val="Times New Roman"/>
      <family val="1"/>
    </font>
    <font>
      <sz val="8"/>
      <color rgb="FF000000"/>
      <name val="Segoe UI"/>
      <family val="2"/>
    </font>
    <font>
      <sz val="11"/>
      <color theme="4"/>
      <name val="Garamond"/>
      <family val="2"/>
      <scheme val="minor"/>
    </font>
    <font>
      <b/>
      <sz val="14"/>
      <color theme="7"/>
      <name val="Garamond"/>
      <family val="1"/>
      <scheme val="minor"/>
    </font>
    <font>
      <sz val="16"/>
      <color theme="1"/>
      <name val="Garamond"/>
      <family val="1"/>
      <scheme val="minor"/>
    </font>
  </fonts>
  <fills count="42">
    <fill>
      <patternFill patternType="none"/>
    </fill>
    <fill>
      <patternFill patternType="gray125"/>
    </fill>
    <fill>
      <patternFill patternType="solid">
        <fgColor theme="0"/>
        <bgColor indexed="64"/>
      </patternFill>
    </fill>
    <fill>
      <patternFill patternType="solid">
        <fgColor theme="5" tint="0.79998168889431442"/>
        <bgColor indexed="65"/>
      </patternFill>
    </fill>
    <fill>
      <patternFill patternType="solid">
        <fgColor rgb="FF00B0F0"/>
        <bgColor indexed="64"/>
      </patternFill>
    </fill>
    <fill>
      <patternFill patternType="solid">
        <fgColor rgb="FFFFC000"/>
        <bgColor rgb="FF000000"/>
      </patternFill>
    </fill>
    <fill>
      <patternFill patternType="solid">
        <fgColor theme="4"/>
        <bgColor indexed="64"/>
      </patternFill>
    </fill>
    <fill>
      <patternFill patternType="solid">
        <fgColor theme="5"/>
        <bgColor indexed="64"/>
      </patternFill>
    </fill>
    <fill>
      <patternFill patternType="solid">
        <fgColor theme="7"/>
        <bgColor indexed="64"/>
      </patternFill>
    </fill>
    <fill>
      <patternFill patternType="solid">
        <fgColor theme="2"/>
        <bgColor indexed="64"/>
      </patternFill>
    </fill>
    <fill>
      <patternFill patternType="solid">
        <fgColor theme="9"/>
        <bgColor indexed="64"/>
      </patternFill>
    </fill>
    <fill>
      <patternFill patternType="solid">
        <fgColor theme="7" tint="0.39997558519241921"/>
        <bgColor indexed="64"/>
      </patternFill>
    </fill>
    <fill>
      <patternFill patternType="solid">
        <fgColor rgb="FFFF0000"/>
        <bgColor indexed="64"/>
      </patternFill>
    </fill>
    <fill>
      <patternFill patternType="solid">
        <fgColor rgb="FFFFC000"/>
        <bgColor indexed="64"/>
      </patternFill>
    </fill>
    <fill>
      <patternFill patternType="solid">
        <fgColor theme="4" tint="0.79998168889431442"/>
        <bgColor indexed="64"/>
      </patternFill>
    </fill>
    <fill>
      <patternFill patternType="solid">
        <fgColor theme="9" tint="0.79998168889431442"/>
        <bgColor indexed="65"/>
      </patternFill>
    </fill>
    <fill>
      <patternFill patternType="solid">
        <fgColor rgb="FFC0E4F5"/>
        <bgColor rgb="FF000000"/>
      </patternFill>
    </fill>
    <fill>
      <patternFill patternType="solid">
        <fgColor rgb="FFFFC7CE"/>
        <bgColor rgb="FF000000"/>
      </patternFill>
    </fill>
    <fill>
      <patternFill patternType="solid">
        <fgColor rgb="FFC6EFCE"/>
        <bgColor rgb="FF000000"/>
      </patternFill>
    </fill>
    <fill>
      <patternFill patternType="solid">
        <fgColor rgb="FFCAEDFB"/>
        <bgColor rgb="FF000000"/>
      </patternFill>
    </fill>
    <fill>
      <patternFill patternType="solid">
        <fgColor rgb="FF61CBF3"/>
        <bgColor rgb="FF000000"/>
      </patternFill>
    </fill>
    <fill>
      <patternFill patternType="solid">
        <fgColor rgb="FF0C769E"/>
        <bgColor rgb="FF000000"/>
      </patternFill>
    </fill>
    <fill>
      <patternFill patternType="solid">
        <fgColor rgb="FFFBE2D5"/>
        <bgColor rgb="FF000000"/>
      </patternFill>
    </fill>
    <fill>
      <patternFill patternType="solid">
        <fgColor rgb="FFF1A983"/>
        <bgColor rgb="FF000000"/>
      </patternFill>
    </fill>
    <fill>
      <patternFill patternType="solid">
        <fgColor rgb="FFB5E6A2"/>
        <bgColor rgb="FF000000"/>
      </patternFill>
    </fill>
    <fill>
      <patternFill patternType="solid">
        <fgColor rgb="FF3C7D22"/>
        <bgColor rgb="FF000000"/>
      </patternFill>
    </fill>
    <fill>
      <patternFill patternType="solid">
        <fgColor theme="5" tint="0.79998168889431442"/>
        <bgColor theme="5" tint="0.79998168889431442"/>
      </patternFill>
    </fill>
    <fill>
      <patternFill patternType="solid">
        <fgColor rgb="FFDAF2D0"/>
        <bgColor rgb="FF000000"/>
      </patternFill>
    </fill>
    <fill>
      <patternFill patternType="solid">
        <fgColor rgb="FF82CAEC"/>
        <bgColor rgb="FF000000"/>
      </patternFill>
    </fill>
    <fill>
      <patternFill patternType="solid">
        <fgColor rgb="FF4D93D9"/>
        <bgColor rgb="FF000000"/>
      </patternFill>
    </fill>
    <fill>
      <patternFill patternType="solid">
        <fgColor rgb="FF0070C0"/>
        <bgColor indexed="64"/>
      </patternFill>
    </fill>
    <fill>
      <patternFill patternType="solid">
        <fgColor rgb="FF92D050"/>
        <bgColor indexed="64"/>
      </patternFill>
    </fill>
    <fill>
      <patternFill patternType="solid">
        <fgColor theme="7"/>
        <bgColor theme="4"/>
      </patternFill>
    </fill>
    <fill>
      <patternFill patternType="solid">
        <fgColor theme="0"/>
        <bgColor rgb="FF000000"/>
      </patternFill>
    </fill>
    <fill>
      <patternFill patternType="solid">
        <fgColor theme="7"/>
        <bgColor rgb="FF000000"/>
      </patternFill>
    </fill>
    <fill>
      <patternFill patternType="solid">
        <fgColor theme="7"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79998168889431442"/>
        <bgColor theme="4" tint="0.79998168889431442"/>
      </patternFill>
    </fill>
    <fill>
      <patternFill patternType="solid">
        <fgColor theme="5"/>
        <bgColor theme="4"/>
      </patternFill>
    </fill>
  </fills>
  <borders count="6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rgb="FF000000"/>
      </left>
      <right style="thin">
        <color rgb="FF000000"/>
      </right>
      <top style="thin">
        <color rgb="FF000000"/>
      </top>
      <bottom style="thin">
        <color rgb="FF000000"/>
      </bottom>
      <diagonal/>
    </border>
    <border>
      <left/>
      <right style="thin">
        <color indexed="64"/>
      </right>
      <top style="thin">
        <color indexed="64"/>
      </top>
      <bottom style="thin">
        <color indexed="64"/>
      </bottom>
      <diagonal/>
    </border>
    <border>
      <left/>
      <right/>
      <top/>
      <bottom style="thin">
        <color indexed="64"/>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style="thin">
        <color indexed="64"/>
      </left>
      <right/>
      <top/>
      <bottom style="thin">
        <color rgb="FF000000"/>
      </bottom>
      <diagonal/>
    </border>
    <border>
      <left/>
      <right/>
      <top/>
      <bottom style="thin">
        <color rgb="FF000000"/>
      </bottom>
      <diagonal/>
    </border>
    <border>
      <left/>
      <right/>
      <top style="thin">
        <color rgb="FF000000"/>
      </top>
      <bottom style="thin">
        <color indexed="64"/>
      </bottom>
      <diagonal/>
    </border>
    <border>
      <left/>
      <right/>
      <top style="thin">
        <color rgb="FF000000"/>
      </top>
      <bottom style="thin">
        <color rgb="FF000000"/>
      </bottom>
      <diagonal/>
    </border>
    <border>
      <left style="thin">
        <color indexed="64"/>
      </left>
      <right/>
      <top/>
      <bottom/>
      <diagonal/>
    </border>
    <border>
      <left/>
      <right/>
      <top style="thin">
        <color theme="5" tint="0.39997558519241921"/>
      </top>
      <bottom style="thin">
        <color theme="5" tint="0.39997558519241921"/>
      </bottom>
      <diagonal/>
    </border>
    <border>
      <left/>
      <right/>
      <top style="thin">
        <color rgb="FF000000"/>
      </top>
      <bottom/>
      <diagonal/>
    </border>
    <border>
      <left style="thin">
        <color rgb="FF000000"/>
      </left>
      <right/>
      <top style="thin">
        <color theme="5" tint="0.39997558519241921"/>
      </top>
      <bottom style="thin">
        <color theme="5" tint="0.39997558519241921"/>
      </bottom>
      <diagonal/>
    </border>
    <border>
      <left/>
      <right/>
      <top style="thin">
        <color indexed="64"/>
      </top>
      <bottom style="thin">
        <color indexed="64"/>
      </bottom>
      <diagonal/>
    </border>
    <border>
      <left/>
      <right/>
      <top/>
      <bottom style="mediumDashDotDot">
        <color indexed="64"/>
      </bottom>
      <diagonal/>
    </border>
    <border>
      <left style="mediumDashDotDot">
        <color indexed="64"/>
      </left>
      <right/>
      <top style="mediumDashDotDot">
        <color indexed="64"/>
      </top>
      <bottom/>
      <diagonal/>
    </border>
    <border>
      <left/>
      <right/>
      <top style="mediumDashDotDot">
        <color indexed="64"/>
      </top>
      <bottom/>
      <diagonal/>
    </border>
    <border>
      <left/>
      <right style="mediumDashDotDot">
        <color indexed="64"/>
      </right>
      <top style="mediumDashDotDot">
        <color indexed="64"/>
      </top>
      <bottom/>
      <diagonal/>
    </border>
    <border>
      <left style="mediumDashDotDot">
        <color indexed="64"/>
      </left>
      <right/>
      <top/>
      <bottom style="mediumDashDotDot">
        <color indexed="64"/>
      </bottom>
      <diagonal/>
    </border>
    <border>
      <left/>
      <right style="mediumDashDotDot">
        <color indexed="64"/>
      </right>
      <top/>
      <bottom style="mediumDashDotDot">
        <color indexed="64"/>
      </bottom>
      <diagonal/>
    </border>
    <border>
      <left style="mediumDashDotDot">
        <color indexed="64"/>
      </left>
      <right/>
      <top style="mediumDashDotDot">
        <color indexed="64"/>
      </top>
      <bottom style="mediumDashDotDot">
        <color indexed="64"/>
      </bottom>
      <diagonal/>
    </border>
    <border>
      <left/>
      <right/>
      <top style="mediumDashDotDot">
        <color indexed="64"/>
      </top>
      <bottom style="mediumDashDotDot">
        <color indexed="64"/>
      </bottom>
      <diagonal/>
    </border>
    <border>
      <left/>
      <right style="mediumDashDotDot">
        <color indexed="64"/>
      </right>
      <top style="mediumDashDotDot">
        <color indexed="64"/>
      </top>
      <bottom style="mediumDashDotDot">
        <color indexed="64"/>
      </bottom>
      <diagonal/>
    </border>
    <border>
      <left style="mediumDashDotDot">
        <color indexed="64"/>
      </left>
      <right/>
      <top/>
      <bottom/>
      <diagonal/>
    </border>
    <border>
      <left/>
      <right style="mediumDashDotDot">
        <color indexed="64"/>
      </right>
      <top/>
      <bottom/>
      <diagonal/>
    </border>
    <border>
      <left style="mediumDashDotDot">
        <color indexed="64"/>
      </left>
      <right/>
      <top style="mediumDashDotDot">
        <color indexed="64"/>
      </top>
      <bottom style="medium">
        <color indexed="64"/>
      </bottom>
      <diagonal/>
    </border>
    <border>
      <left/>
      <right/>
      <top style="mediumDashDotDot">
        <color indexed="64"/>
      </top>
      <bottom style="medium">
        <color indexed="64"/>
      </bottom>
      <diagonal/>
    </border>
    <border>
      <left/>
      <right style="mediumDashDotDot">
        <color indexed="64"/>
      </right>
      <top style="mediumDashDotDot">
        <color indexed="64"/>
      </top>
      <bottom style="medium">
        <color indexed="64"/>
      </bottom>
      <diagonal/>
    </border>
    <border>
      <left style="thin">
        <color rgb="FF000000"/>
      </left>
      <right/>
      <top style="thin">
        <color theme="5" tint="0.39997558519241921"/>
      </top>
      <bottom/>
      <diagonal/>
    </border>
    <border>
      <left/>
      <right/>
      <top style="thin">
        <color theme="5" tint="0.39997558519241921"/>
      </top>
      <bottom/>
      <diagonal/>
    </border>
    <border>
      <left style="thin">
        <color rgb="FF000000"/>
      </left>
      <right style="thin">
        <color indexed="64"/>
      </right>
      <top style="thin">
        <color rgb="FF000000"/>
      </top>
      <bottom style="thin">
        <color rgb="FF000000"/>
      </bottom>
      <diagonal/>
    </border>
    <border>
      <left/>
      <right/>
      <top style="thin">
        <color indexed="64"/>
      </top>
      <bottom/>
      <diagonal/>
    </border>
    <border>
      <left style="mediumDashDot">
        <color indexed="64"/>
      </left>
      <right style="mediumDashDot">
        <color indexed="64"/>
      </right>
      <top style="mediumDashDot">
        <color indexed="64"/>
      </top>
      <bottom style="mediumDashDot">
        <color indexed="64"/>
      </bottom>
      <diagonal/>
    </border>
    <border>
      <left style="mediumDashDot">
        <color indexed="64"/>
      </left>
      <right/>
      <top style="mediumDashDot">
        <color indexed="64"/>
      </top>
      <bottom style="mediumDashDot">
        <color indexed="64"/>
      </bottom>
      <diagonal/>
    </border>
    <border>
      <left/>
      <right/>
      <top style="mediumDashDot">
        <color indexed="64"/>
      </top>
      <bottom style="mediumDashDot">
        <color indexed="64"/>
      </bottom>
      <diagonal/>
    </border>
    <border>
      <left/>
      <right style="mediumDashDot">
        <color indexed="64"/>
      </right>
      <top style="mediumDashDot">
        <color indexed="64"/>
      </top>
      <bottom style="mediumDashDot">
        <color indexed="64"/>
      </bottom>
      <diagonal/>
    </border>
    <border>
      <left style="mediumDashDot">
        <color indexed="64"/>
      </left>
      <right/>
      <top style="mediumDashDot">
        <color indexed="64"/>
      </top>
      <bottom/>
      <diagonal/>
    </border>
    <border>
      <left/>
      <right/>
      <top style="mediumDashDot">
        <color indexed="64"/>
      </top>
      <bottom/>
      <diagonal/>
    </border>
    <border>
      <left/>
      <right style="mediumDashDot">
        <color indexed="64"/>
      </right>
      <top style="mediumDashDot">
        <color indexed="64"/>
      </top>
      <bottom/>
      <diagonal/>
    </border>
    <border>
      <left/>
      <right style="mediumDashDot">
        <color indexed="64"/>
      </right>
      <top/>
      <bottom/>
      <diagonal/>
    </border>
    <border>
      <left style="mediumDashDot">
        <color indexed="64"/>
      </left>
      <right/>
      <top/>
      <bottom style="mediumDashDot">
        <color indexed="64"/>
      </bottom>
      <diagonal/>
    </border>
    <border>
      <left/>
      <right/>
      <top/>
      <bottom style="mediumDashDot">
        <color indexed="64"/>
      </bottom>
      <diagonal/>
    </border>
    <border>
      <left/>
      <right style="mediumDashDot">
        <color indexed="64"/>
      </right>
      <top/>
      <bottom style="mediumDashDot">
        <color indexed="64"/>
      </bottom>
      <diagonal/>
    </border>
    <border>
      <left style="thin">
        <color indexed="64"/>
      </left>
      <right style="thin">
        <color rgb="FF505050"/>
      </right>
      <top style="thin">
        <color indexed="64"/>
      </top>
      <bottom style="thin">
        <color indexed="64"/>
      </bottom>
      <diagonal/>
    </border>
    <border>
      <left/>
      <right style="thin">
        <color rgb="FF505050"/>
      </right>
      <top/>
      <bottom/>
      <diagonal/>
    </border>
    <border>
      <left/>
      <right style="thin">
        <color indexed="64"/>
      </right>
      <top/>
      <bottom/>
      <diagonal/>
    </border>
    <border>
      <left/>
      <right/>
      <top/>
      <bottom style="thin">
        <color theme="4" tint="0.39997558519241921"/>
      </bottom>
      <diagonal/>
    </border>
    <border>
      <left style="thin">
        <color indexed="64"/>
      </left>
      <right/>
      <top style="thin">
        <color theme="4" tint="0.39997558519241921"/>
      </top>
      <bottom style="thin">
        <color theme="4" tint="0.39997558519241921"/>
      </bottom>
      <diagonal/>
    </border>
    <border>
      <left style="thin">
        <color indexed="64"/>
      </left>
      <right style="thin">
        <color rgb="FF000000"/>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DashDotDot">
        <color indexed="64"/>
      </left>
      <right style="mediumDashDotDot">
        <color indexed="64"/>
      </right>
      <top style="mediumDashDotDot">
        <color indexed="64"/>
      </top>
      <bottom style="mediumDashDotDot">
        <color indexed="64"/>
      </bottom>
      <diagonal/>
    </border>
    <border>
      <left style="mediumDashDot">
        <color indexed="64"/>
      </left>
      <right style="mediumDashDot">
        <color indexed="64"/>
      </right>
      <top/>
      <bottom/>
      <diagonal/>
    </border>
    <border>
      <left style="mediumDashDot">
        <color indexed="64"/>
      </left>
      <right style="mediumDashDot">
        <color indexed="64"/>
      </right>
      <top style="mediumDashDot">
        <color indexed="64"/>
      </top>
      <bottom/>
      <diagonal/>
    </border>
  </borders>
  <cellStyleXfs count="6">
    <xf numFmtId="0" fontId="0" fillId="0" borderId="0"/>
    <xf numFmtId="0" fontId="1" fillId="3" borderId="0" applyNumberFormat="0" applyBorder="0" applyAlignment="0" applyProtection="0"/>
    <xf numFmtId="0" fontId="1" fillId="15" borderId="0" applyNumberFormat="0" applyBorder="0" applyAlignment="0" applyProtection="0"/>
    <xf numFmtId="0" fontId="36" fillId="0" borderId="0"/>
    <xf numFmtId="44" fontId="36" fillId="0" borderId="0" applyFont="0" applyFill="0" applyBorder="0" applyAlignment="0" applyProtection="0"/>
    <xf numFmtId="9" fontId="36" fillId="0" borderId="0" applyFont="0" applyFill="0" applyBorder="0" applyAlignment="0" applyProtection="0"/>
  </cellStyleXfs>
  <cellXfs count="355">
    <xf numFmtId="0" fontId="0" fillId="0" borderId="0" xfId="0"/>
    <xf numFmtId="0" fontId="0" fillId="2" borderId="0" xfId="0" applyFill="1"/>
    <xf numFmtId="0" fontId="0" fillId="0" borderId="1" xfId="0" applyBorder="1"/>
    <xf numFmtId="0" fontId="11" fillId="0" borderId="0" xfId="0" applyFont="1"/>
    <xf numFmtId="0" fontId="11" fillId="0" borderId="0" xfId="0" pivotButton="1" applyFont="1"/>
    <xf numFmtId="0" fontId="11" fillId="2" borderId="5" xfId="0" applyFont="1" applyFill="1" applyBorder="1"/>
    <xf numFmtId="0" fontId="12" fillId="2" borderId="5" xfId="0" applyFont="1" applyFill="1" applyBorder="1"/>
    <xf numFmtId="0" fontId="13" fillId="2" borderId="5" xfId="0" applyFont="1" applyFill="1" applyBorder="1"/>
    <xf numFmtId="0" fontId="11" fillId="2" borderId="8" xfId="0" applyFont="1" applyFill="1" applyBorder="1"/>
    <xf numFmtId="0" fontId="11" fillId="2" borderId="9" xfId="0" applyFont="1" applyFill="1" applyBorder="1"/>
    <xf numFmtId="0" fontId="12" fillId="2" borderId="8" xfId="0" applyFont="1" applyFill="1" applyBorder="1"/>
    <xf numFmtId="0" fontId="13" fillId="2" borderId="10" xfId="0" applyFont="1" applyFill="1" applyBorder="1"/>
    <xf numFmtId="0" fontId="13" fillId="2" borderId="11" xfId="0" applyFont="1" applyFill="1" applyBorder="1"/>
    <xf numFmtId="0" fontId="15" fillId="2" borderId="0" xfId="0" applyFont="1" applyFill="1"/>
    <xf numFmtId="0" fontId="0" fillId="0" borderId="0" xfId="0" pivotButton="1"/>
    <xf numFmtId="0" fontId="1" fillId="2" borderId="0" xfId="1" applyFill="1" applyBorder="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5" xfId="0" applyBorder="1"/>
    <xf numFmtId="0" fontId="2" fillId="2" borderId="0" xfId="1" applyFont="1" applyFill="1" applyBorder="1"/>
    <xf numFmtId="0" fontId="25" fillId="11" borderId="0" xfId="0" applyFont="1" applyFill="1"/>
    <xf numFmtId="0" fontId="0" fillId="11" borderId="0" xfId="0" applyFill="1"/>
    <xf numFmtId="0" fontId="32" fillId="2" borderId="0" xfId="0" applyFont="1" applyFill="1"/>
    <xf numFmtId="0" fontId="0" fillId="14" borderId="0" xfId="0" applyFill="1"/>
    <xf numFmtId="0" fontId="1" fillId="8" borderId="0" xfId="1" applyFill="1" applyBorder="1"/>
    <xf numFmtId="0" fontId="0" fillId="8" borderId="0" xfId="0" applyFill="1"/>
    <xf numFmtId="0" fontId="0" fillId="0" borderId="19" xfId="0" applyBorder="1"/>
    <xf numFmtId="0" fontId="0" fillId="0" borderId="21" xfId="0" applyBorder="1"/>
    <xf numFmtId="0" fontId="20" fillId="2" borderId="0" xfId="0" applyFont="1" applyFill="1"/>
    <xf numFmtId="0" fontId="36" fillId="0" borderId="0" xfId="3"/>
    <xf numFmtId="0" fontId="37" fillId="16" borderId="5" xfId="3" applyFont="1" applyFill="1" applyBorder="1"/>
    <xf numFmtId="0" fontId="38" fillId="17" borderId="5" xfId="3" applyFont="1" applyFill="1" applyBorder="1"/>
    <xf numFmtId="0" fontId="39" fillId="18" borderId="5" xfId="3" applyFont="1" applyFill="1" applyBorder="1"/>
    <xf numFmtId="0" fontId="37" fillId="19" borderId="5" xfId="3" applyFont="1" applyFill="1" applyBorder="1"/>
    <xf numFmtId="0" fontId="37" fillId="19" borderId="8" xfId="3" applyFont="1" applyFill="1" applyBorder="1"/>
    <xf numFmtId="0" fontId="40" fillId="20" borderId="8" xfId="3" applyFont="1" applyFill="1" applyBorder="1"/>
    <xf numFmtId="0" fontId="40" fillId="20" borderId="5" xfId="3" applyFont="1" applyFill="1" applyBorder="1"/>
    <xf numFmtId="0" fontId="37" fillId="21" borderId="0" xfId="3" applyFont="1" applyFill="1"/>
    <xf numFmtId="0" fontId="41" fillId="21" borderId="0" xfId="3" applyFont="1" applyFill="1"/>
    <xf numFmtId="0" fontId="37" fillId="22" borderId="5" xfId="3" applyFont="1" applyFill="1" applyBorder="1"/>
    <xf numFmtId="0" fontId="40" fillId="23" borderId="8" xfId="3" applyFont="1" applyFill="1" applyBorder="1"/>
    <xf numFmtId="0" fontId="37" fillId="5" borderId="0" xfId="3" applyFont="1" applyFill="1"/>
    <xf numFmtId="0" fontId="41" fillId="5" borderId="0" xfId="3" applyFont="1" applyFill="1"/>
    <xf numFmtId="0" fontId="37" fillId="24" borderId="5" xfId="3" applyFont="1" applyFill="1" applyBorder="1"/>
    <xf numFmtId="0" fontId="37" fillId="25" borderId="5" xfId="3" applyFont="1" applyFill="1" applyBorder="1"/>
    <xf numFmtId="0" fontId="37" fillId="25" borderId="0" xfId="3" applyFont="1" applyFill="1"/>
    <xf numFmtId="0" fontId="41" fillId="25" borderId="0" xfId="3" applyFont="1" applyFill="1"/>
    <xf numFmtId="0" fontId="0" fillId="11" borderId="22" xfId="1" applyFont="1" applyFill="1" applyBorder="1"/>
    <xf numFmtId="0" fontId="0" fillId="11" borderId="20" xfId="1" applyFont="1" applyFill="1" applyBorder="1"/>
    <xf numFmtId="0" fontId="37" fillId="0" borderId="0" xfId="3" applyFont="1"/>
    <xf numFmtId="0" fontId="36" fillId="8" borderId="0" xfId="3" applyFill="1"/>
    <xf numFmtId="0" fontId="7" fillId="10" borderId="0" xfId="0" applyFont="1" applyFill="1" applyAlignment="1">
      <alignment horizontal="center"/>
    </xf>
    <xf numFmtId="0" fontId="7" fillId="10" borderId="0" xfId="0" applyFont="1" applyFill="1"/>
    <xf numFmtId="0" fontId="31" fillId="10" borderId="0" xfId="1" applyFont="1" applyFill="1" applyBorder="1"/>
    <xf numFmtId="1" fontId="7" fillId="10" borderId="0" xfId="0" applyNumberFormat="1" applyFont="1" applyFill="1"/>
    <xf numFmtId="0" fontId="30" fillId="10" borderId="0" xfId="0" applyFont="1" applyFill="1"/>
    <xf numFmtId="164" fontId="30" fillId="10" borderId="0" xfId="0" applyNumberFormat="1" applyFont="1" applyFill="1"/>
    <xf numFmtId="0" fontId="7" fillId="10" borderId="0" xfId="1" applyFont="1" applyFill="1" applyBorder="1"/>
    <xf numFmtId="1" fontId="30" fillId="10" borderId="0" xfId="0" applyNumberFormat="1" applyFont="1" applyFill="1"/>
    <xf numFmtId="0" fontId="7" fillId="2" borderId="0" xfId="0" applyFont="1" applyFill="1"/>
    <xf numFmtId="0" fontId="18" fillId="13" borderId="0" xfId="0" applyFont="1" applyFill="1" applyAlignment="1">
      <alignment horizontal="center"/>
    </xf>
    <xf numFmtId="0" fontId="18" fillId="13" borderId="0" xfId="0" applyFont="1" applyFill="1"/>
    <xf numFmtId="0" fontId="9" fillId="13" borderId="0" xfId="1" applyFont="1" applyFill="1" applyBorder="1"/>
    <xf numFmtId="0" fontId="0" fillId="13" borderId="0" xfId="0" applyFill="1"/>
    <xf numFmtId="1" fontId="0" fillId="13" borderId="0" xfId="0" applyNumberFormat="1" applyFill="1"/>
    <xf numFmtId="164" fontId="0" fillId="13" borderId="0" xfId="0" applyNumberFormat="1" applyFill="1"/>
    <xf numFmtId="0" fontId="18" fillId="4" borderId="0" xfId="0" applyFont="1" applyFill="1" applyAlignment="1">
      <alignment horizontal="center"/>
    </xf>
    <xf numFmtId="0" fontId="18" fillId="4" borderId="0" xfId="0" applyFont="1" applyFill="1"/>
    <xf numFmtId="0" fontId="9" fillId="4" borderId="0" xfId="1" applyFont="1" applyFill="1" applyBorder="1"/>
    <xf numFmtId="0" fontId="0" fillId="4" borderId="0" xfId="0" applyFill="1"/>
    <xf numFmtId="1" fontId="0" fillId="4" borderId="0" xfId="0" applyNumberFormat="1" applyFill="1"/>
    <xf numFmtId="164" fontId="0" fillId="4" borderId="0" xfId="0" applyNumberFormat="1" applyFill="1"/>
    <xf numFmtId="0" fontId="29" fillId="12" borderId="0" xfId="0" applyFont="1" applyFill="1" applyAlignment="1">
      <alignment horizontal="center"/>
    </xf>
    <xf numFmtId="0" fontId="29" fillId="12" borderId="0" xfId="0" applyFont="1" applyFill="1"/>
    <xf numFmtId="0" fontId="27" fillId="12" borderId="0" xfId="1" applyFont="1" applyFill="1" applyBorder="1"/>
    <xf numFmtId="0" fontId="26" fillId="12" borderId="0" xfId="0" applyFont="1" applyFill="1"/>
    <xf numFmtId="1" fontId="26" fillId="12" borderId="0" xfId="0" applyNumberFormat="1" applyFont="1" applyFill="1"/>
    <xf numFmtId="164" fontId="26" fillId="12" borderId="0" xfId="0" applyNumberFormat="1" applyFont="1" applyFill="1"/>
    <xf numFmtId="0" fontId="28" fillId="12" borderId="0" xfId="1" applyFont="1" applyFill="1" applyBorder="1"/>
    <xf numFmtId="0" fontId="24" fillId="11" borderId="0" xfId="1" applyFont="1" applyFill="1" applyBorder="1" applyAlignment="1">
      <alignment horizontal="left"/>
    </xf>
    <xf numFmtId="0" fontId="0" fillId="2" borderId="0" xfId="0" applyFill="1" applyAlignment="1">
      <alignment horizontal="left"/>
    </xf>
    <xf numFmtId="0" fontId="0" fillId="11" borderId="0" xfId="0" applyFill="1" applyAlignment="1">
      <alignment horizontal="left"/>
    </xf>
    <xf numFmtId="44" fontId="0" fillId="0" borderId="0" xfId="4" applyFont="1" applyAlignment="1"/>
    <xf numFmtId="9" fontId="37" fillId="27" borderId="0" xfId="3" applyNumberFormat="1" applyFont="1" applyFill="1"/>
    <xf numFmtId="0" fontId="40" fillId="24" borderId="0" xfId="3" applyFont="1" applyFill="1"/>
    <xf numFmtId="14" fontId="37" fillId="27" borderId="0" xfId="3" applyNumberFormat="1" applyFont="1" applyFill="1"/>
    <xf numFmtId="0" fontId="37" fillId="24" borderId="0" xfId="3" applyFont="1" applyFill="1"/>
    <xf numFmtId="0" fontId="37" fillId="27" borderId="0" xfId="3" applyFont="1" applyFill="1"/>
    <xf numFmtId="10" fontId="37" fillId="28" borderId="0" xfId="3" applyNumberFormat="1" applyFont="1" applyFill="1"/>
    <xf numFmtId="0" fontId="40" fillId="29" borderId="0" xfId="3" applyFont="1" applyFill="1"/>
    <xf numFmtId="0" fontId="37" fillId="28" borderId="0" xfId="3" applyFont="1" applyFill="1"/>
    <xf numFmtId="44" fontId="0" fillId="0" borderId="0" xfId="4" applyFont="1"/>
    <xf numFmtId="10" fontId="0" fillId="30" borderId="0" xfId="5" applyNumberFormat="1" applyFont="1" applyFill="1"/>
    <xf numFmtId="10" fontId="36" fillId="30" borderId="0" xfId="3" applyNumberFormat="1" applyFill="1"/>
    <xf numFmtId="6" fontId="37" fillId="28" borderId="0" xfId="3" applyNumberFormat="1" applyFont="1" applyFill="1"/>
    <xf numFmtId="8" fontId="45" fillId="6" borderId="1" xfId="3" applyNumberFormat="1" applyFont="1" applyFill="1" applyBorder="1"/>
    <xf numFmtId="0" fontId="45" fillId="6" borderId="1" xfId="3" applyFont="1" applyFill="1" applyBorder="1"/>
    <xf numFmtId="165" fontId="45" fillId="6" borderId="1" xfId="5" applyNumberFormat="1" applyFont="1" applyFill="1" applyBorder="1" applyAlignment="1"/>
    <xf numFmtId="10" fontId="45" fillId="6" borderId="1" xfId="3" applyNumberFormat="1" applyFont="1" applyFill="1" applyBorder="1"/>
    <xf numFmtId="44" fontId="0" fillId="30" borderId="0" xfId="4" applyFont="1" applyFill="1" applyAlignment="1"/>
    <xf numFmtId="44" fontId="0" fillId="31" borderId="0" xfId="4" applyFont="1" applyFill="1"/>
    <xf numFmtId="166" fontId="0" fillId="30" borderId="0" xfId="4" applyNumberFormat="1" applyFont="1" applyFill="1" applyAlignment="1"/>
    <xf numFmtId="8" fontId="36" fillId="31" borderId="0" xfId="3" applyNumberFormat="1" applyFill="1"/>
    <xf numFmtId="3" fontId="45" fillId="6" borderId="1" xfId="3" applyNumberFormat="1" applyFont="1" applyFill="1" applyBorder="1"/>
    <xf numFmtId="0" fontId="47" fillId="6" borderId="1" xfId="3" applyFont="1" applyFill="1" applyBorder="1"/>
    <xf numFmtId="0" fontId="49" fillId="6" borderId="0" xfId="3" applyFont="1" applyFill="1"/>
    <xf numFmtId="0" fontId="36" fillId="2" borderId="0" xfId="3" applyFill="1"/>
    <xf numFmtId="44" fontId="0" fillId="2" borderId="0" xfId="4" applyFont="1" applyFill="1" applyAlignment="1"/>
    <xf numFmtId="0" fontId="37" fillId="2" borderId="0" xfId="3" applyFont="1" applyFill="1"/>
    <xf numFmtId="0" fontId="49" fillId="2" borderId="0" xfId="3" applyFont="1" applyFill="1"/>
    <xf numFmtId="0" fontId="48" fillId="33" borderId="0" xfId="3" applyFont="1" applyFill="1"/>
    <xf numFmtId="0" fontId="46" fillId="33" borderId="5" xfId="3" applyFont="1" applyFill="1" applyBorder="1"/>
    <xf numFmtId="6" fontId="46" fillId="33" borderId="5" xfId="3" applyNumberFormat="1" applyFont="1" applyFill="1" applyBorder="1"/>
    <xf numFmtId="0" fontId="46" fillId="33" borderId="5" xfId="3" applyFont="1" applyFill="1" applyBorder="1" applyAlignment="1">
      <alignment wrapText="1"/>
    </xf>
    <xf numFmtId="9" fontId="46" fillId="33" borderId="5" xfId="3" applyNumberFormat="1" applyFont="1" applyFill="1" applyBorder="1"/>
    <xf numFmtId="167" fontId="36" fillId="30" borderId="0" xfId="3" applyNumberFormat="1" applyFill="1" applyAlignment="1">
      <alignment horizontal="left"/>
    </xf>
    <xf numFmtId="0" fontId="50" fillId="34" borderId="0" xfId="3" applyFont="1" applyFill="1"/>
    <xf numFmtId="14" fontId="0" fillId="0" borderId="0" xfId="0" applyNumberFormat="1"/>
    <xf numFmtId="0" fontId="20" fillId="2" borderId="0" xfId="0" quotePrefix="1" applyFont="1" applyFill="1"/>
    <xf numFmtId="20" fontId="20" fillId="2" borderId="0" xfId="0" applyNumberFormat="1" applyFont="1" applyFill="1"/>
    <xf numFmtId="0" fontId="20" fillId="8" borderId="0" xfId="0" applyFont="1" applyFill="1"/>
    <xf numFmtId="12" fontId="20" fillId="8" borderId="0" xfId="0" quotePrefix="1" applyNumberFormat="1" applyFont="1" applyFill="1"/>
    <xf numFmtId="0" fontId="20" fillId="35" borderId="0" xfId="0" applyFont="1" applyFill="1" applyAlignment="1">
      <alignment horizontal="left"/>
    </xf>
    <xf numFmtId="0" fontId="20" fillId="8" borderId="0" xfId="0" applyFont="1" applyFill="1" applyAlignment="1">
      <alignment horizontal="left"/>
    </xf>
    <xf numFmtId="0" fontId="20" fillId="11" borderId="0" xfId="0" applyFont="1" applyFill="1"/>
    <xf numFmtId="0" fontId="24" fillId="32" borderId="0" xfId="0" applyFont="1" applyFill="1"/>
    <xf numFmtId="0" fontId="20" fillId="36" borderId="0" xfId="0" applyFont="1" applyFill="1"/>
    <xf numFmtId="2" fontId="0" fillId="0" borderId="5" xfId="0" applyNumberFormat="1" applyBorder="1"/>
    <xf numFmtId="1" fontId="0" fillId="0" borderId="5" xfId="0" applyNumberFormat="1" applyBorder="1"/>
    <xf numFmtId="1" fontId="9" fillId="37" borderId="5" xfId="1" applyNumberFormat="1" applyFont="1" applyFill="1" applyBorder="1"/>
    <xf numFmtId="1" fontId="9" fillId="26" borderId="5" xfId="1" applyNumberFormat="1" applyFont="1" applyFill="1" applyBorder="1"/>
    <xf numFmtId="1" fontId="9" fillId="15" borderId="5" xfId="2" applyNumberFormat="1" applyFont="1" applyBorder="1"/>
    <xf numFmtId="0" fontId="9" fillId="15" borderId="5" xfId="2" applyFont="1" applyBorder="1"/>
    <xf numFmtId="0" fontId="9" fillId="26" borderId="5" xfId="1" applyFont="1" applyFill="1" applyBorder="1"/>
    <xf numFmtId="1" fontId="9" fillId="0" borderId="5" xfId="1" applyNumberFormat="1" applyFont="1" applyFill="1" applyBorder="1"/>
    <xf numFmtId="0" fontId="9" fillId="0" borderId="5" xfId="1" applyFont="1" applyFill="1" applyBorder="1"/>
    <xf numFmtId="0" fontId="0" fillId="38" borderId="5" xfId="0" applyFill="1" applyBorder="1"/>
    <xf numFmtId="1" fontId="1" fillId="37" borderId="5" xfId="1" applyNumberFormat="1" applyFill="1" applyBorder="1"/>
    <xf numFmtId="1" fontId="1" fillId="26" borderId="5" xfId="1" applyNumberFormat="1" applyFill="1" applyBorder="1"/>
    <xf numFmtId="1" fontId="1" fillId="15" borderId="5" xfId="2" applyNumberFormat="1" applyBorder="1"/>
    <xf numFmtId="0" fontId="1" fillId="15" borderId="5" xfId="2" applyBorder="1"/>
    <xf numFmtId="0" fontId="1" fillId="26" borderId="5" xfId="1" applyFill="1" applyBorder="1"/>
    <xf numFmtId="1" fontId="1" fillId="0" borderId="5" xfId="1" applyNumberFormat="1" applyFill="1" applyBorder="1"/>
    <xf numFmtId="0" fontId="1" fillId="0" borderId="5" xfId="1" applyFill="1" applyBorder="1"/>
    <xf numFmtId="0" fontId="0" fillId="38" borderId="2" xfId="0" applyFill="1" applyBorder="1"/>
    <xf numFmtId="0" fontId="0" fillId="38" borderId="12" xfId="0" applyFill="1" applyBorder="1"/>
    <xf numFmtId="2" fontId="0" fillId="0" borderId="1" xfId="0" applyNumberFormat="1" applyBorder="1"/>
    <xf numFmtId="0" fontId="0" fillId="38" borderId="1" xfId="0" applyFill="1" applyBorder="1"/>
    <xf numFmtId="0" fontId="1" fillId="15" borderId="12" xfId="2" applyBorder="1"/>
    <xf numFmtId="169" fontId="0" fillId="0" borderId="0" xfId="0" applyNumberFormat="1"/>
    <xf numFmtId="14" fontId="9" fillId="15" borderId="5" xfId="2" applyNumberFormat="1" applyFont="1" applyBorder="1"/>
    <xf numFmtId="169" fontId="0" fillId="0" borderId="5" xfId="0" applyNumberFormat="1" applyBorder="1"/>
    <xf numFmtId="14" fontId="0" fillId="0" borderId="5" xfId="0" applyNumberFormat="1" applyBorder="1"/>
    <xf numFmtId="0" fontId="0" fillId="38" borderId="0" xfId="0" applyFill="1"/>
    <xf numFmtId="0" fontId="0" fillId="6" borderId="0" xfId="0" applyFill="1"/>
    <xf numFmtId="0" fontId="0" fillId="6" borderId="0" xfId="0" applyFill="1" applyAlignment="1">
      <alignment horizontal="left"/>
    </xf>
    <xf numFmtId="0" fontId="37" fillId="33" borderId="0" xfId="3" applyFont="1" applyFill="1"/>
    <xf numFmtId="0" fontId="38" fillId="33" borderId="0" xfId="3" applyFont="1" applyFill="1"/>
    <xf numFmtId="0" fontId="0" fillId="11" borderId="38" xfId="1" applyFont="1" applyFill="1" applyBorder="1"/>
    <xf numFmtId="0" fontId="0" fillId="11" borderId="39" xfId="1" applyFont="1" applyFill="1" applyBorder="1"/>
    <xf numFmtId="0" fontId="38" fillId="17" borderId="8" xfId="3" applyFont="1" applyFill="1" applyBorder="1"/>
    <xf numFmtId="0" fontId="37" fillId="22" borderId="8" xfId="3" applyFont="1" applyFill="1" applyBorder="1"/>
    <xf numFmtId="0" fontId="51" fillId="2" borderId="0" xfId="3" applyFont="1" applyFill="1"/>
    <xf numFmtId="0" fontId="4" fillId="2" borderId="0" xfId="0" applyFont="1" applyFill="1"/>
    <xf numFmtId="0" fontId="0" fillId="2" borderId="0" xfId="1" applyFont="1" applyFill="1" applyBorder="1"/>
    <xf numFmtId="0" fontId="37" fillId="24" borderId="8" xfId="3" applyFont="1" applyFill="1" applyBorder="1"/>
    <xf numFmtId="0" fontId="37" fillId="16" borderId="8" xfId="3" applyFont="1" applyFill="1" applyBorder="1"/>
    <xf numFmtId="0" fontId="0" fillId="38" borderId="13" xfId="0" applyFill="1" applyBorder="1"/>
    <xf numFmtId="0" fontId="0" fillId="0" borderId="13" xfId="0" applyBorder="1"/>
    <xf numFmtId="0" fontId="0" fillId="38" borderId="40" xfId="0" applyFill="1" applyBorder="1"/>
    <xf numFmtId="0" fontId="0" fillId="0" borderId="40" xfId="0" applyBorder="1"/>
    <xf numFmtId="0" fontId="0" fillId="0" borderId="14" xfId="0" applyBorder="1"/>
    <xf numFmtId="0" fontId="9" fillId="26" borderId="1" xfId="1" applyFont="1" applyFill="1" applyBorder="1"/>
    <xf numFmtId="0" fontId="9" fillId="15" borderId="1" xfId="2" applyFont="1" applyBorder="1"/>
    <xf numFmtId="1" fontId="9" fillId="15" borderId="1" xfId="2" applyNumberFormat="1" applyFont="1" applyBorder="1"/>
    <xf numFmtId="1" fontId="9" fillId="26" borderId="1" xfId="1" applyNumberFormat="1" applyFont="1" applyFill="1" applyBorder="1"/>
    <xf numFmtId="1" fontId="9" fillId="37" borderId="1" xfId="1" applyNumberFormat="1" applyFont="1" applyFill="1" applyBorder="1"/>
    <xf numFmtId="1" fontId="0" fillId="0" borderId="1" xfId="0" applyNumberFormat="1" applyBorder="1"/>
    <xf numFmtId="0" fontId="9" fillId="0" borderId="1" xfId="1" applyFont="1" applyFill="1" applyBorder="1"/>
    <xf numFmtId="1" fontId="9" fillId="0" borderId="1" xfId="1" applyNumberFormat="1" applyFont="1" applyFill="1" applyBorder="1"/>
    <xf numFmtId="0" fontId="35" fillId="2" borderId="0" xfId="0" applyFont="1" applyFill="1"/>
    <xf numFmtId="0" fontId="13" fillId="2" borderId="41" xfId="0" applyFont="1" applyFill="1" applyBorder="1"/>
    <xf numFmtId="0" fontId="12" fillId="2" borderId="13" xfId="0" applyFont="1" applyFill="1" applyBorder="1"/>
    <xf numFmtId="0" fontId="12" fillId="33" borderId="0" xfId="0" applyFont="1" applyFill="1"/>
    <xf numFmtId="0" fontId="0" fillId="14" borderId="0" xfId="0" applyFill="1" applyAlignment="1">
      <alignment horizontal="left"/>
    </xf>
    <xf numFmtId="0" fontId="25" fillId="7" borderId="0" xfId="0" applyFont="1" applyFill="1"/>
    <xf numFmtId="0" fontId="63" fillId="11" borderId="0" xfId="0" applyFont="1" applyFill="1"/>
    <xf numFmtId="0" fontId="64" fillId="11" borderId="0" xfId="0" applyFont="1" applyFill="1"/>
    <xf numFmtId="0" fontId="65" fillId="11" borderId="0" xfId="0" applyFont="1" applyFill="1"/>
    <xf numFmtId="0" fontId="66" fillId="11" borderId="0" xfId="0" applyFont="1" applyFill="1"/>
    <xf numFmtId="0" fontId="0" fillId="2" borderId="0" xfId="0" applyFill="1" applyAlignment="1">
      <alignment horizontal="left" indent="1"/>
    </xf>
    <xf numFmtId="0" fontId="18" fillId="2" borderId="0" xfId="0" applyFont="1" applyFill="1"/>
    <xf numFmtId="0" fontId="11" fillId="2" borderId="0" xfId="0" applyFont="1" applyFill="1"/>
    <xf numFmtId="0" fontId="61" fillId="2" borderId="0" xfId="0" applyFont="1" applyFill="1"/>
    <xf numFmtId="0" fontId="8" fillId="2" borderId="0" xfId="0" applyFont="1" applyFill="1"/>
    <xf numFmtId="0" fontId="33" fillId="2" borderId="0" xfId="0" applyFont="1" applyFill="1"/>
    <xf numFmtId="0" fontId="3" fillId="2" borderId="0" xfId="0" applyFont="1" applyFill="1"/>
    <xf numFmtId="0" fontId="54" fillId="2" borderId="0" xfId="0" applyFont="1" applyFill="1"/>
    <xf numFmtId="0" fontId="62" fillId="2" borderId="0" xfId="0" applyFont="1" applyFill="1" applyAlignment="1">
      <alignment horizontal="center" vertical="center"/>
    </xf>
    <xf numFmtId="0" fontId="25" fillId="2" borderId="0" xfId="0" applyFont="1" applyFill="1"/>
    <xf numFmtId="0" fontId="58" fillId="2" borderId="24" xfId="0" applyFont="1" applyFill="1" applyBorder="1"/>
    <xf numFmtId="0" fontId="57" fillId="2" borderId="30" xfId="0" applyFont="1" applyFill="1" applyBorder="1" applyAlignment="1">
      <alignment horizontal="left"/>
    </xf>
    <xf numFmtId="0" fontId="58" fillId="2" borderId="31" xfId="0" applyFont="1" applyFill="1" applyBorder="1"/>
    <xf numFmtId="0" fontId="58" fillId="2" borderId="32" xfId="0" applyFont="1" applyFill="1" applyBorder="1"/>
    <xf numFmtId="0" fontId="57" fillId="2" borderId="28" xfId="0" applyFont="1" applyFill="1" applyBorder="1" applyAlignment="1">
      <alignment horizontal="left"/>
    </xf>
    <xf numFmtId="0" fontId="58" fillId="2" borderId="29" xfId="0" applyFont="1" applyFill="1" applyBorder="1"/>
    <xf numFmtId="0" fontId="56" fillId="2" borderId="0" xfId="0" applyFont="1" applyFill="1"/>
    <xf numFmtId="0" fontId="43" fillId="2" borderId="0" xfId="0" applyFont="1" applyFill="1"/>
    <xf numFmtId="14" fontId="55" fillId="2" borderId="0" xfId="0" applyNumberFormat="1" applyFont="1" applyFill="1" applyAlignment="1">
      <alignment horizontal="left"/>
    </xf>
    <xf numFmtId="14" fontId="43" fillId="2" borderId="0" xfId="0" applyNumberFormat="1" applyFont="1" applyFill="1" applyAlignment="1">
      <alignment horizontal="left"/>
    </xf>
    <xf numFmtId="0" fontId="57" fillId="2" borderId="33" xfId="0" applyFont="1" applyFill="1" applyBorder="1" applyAlignment="1">
      <alignment horizontal="left"/>
    </xf>
    <xf numFmtId="0" fontId="58" fillId="2" borderId="0" xfId="0" applyFont="1" applyFill="1"/>
    <xf numFmtId="0" fontId="58" fillId="2" borderId="26" xfId="0" applyFont="1" applyFill="1" applyBorder="1"/>
    <xf numFmtId="0" fontId="58" fillId="2" borderId="30" xfId="0" applyFont="1" applyFill="1" applyBorder="1"/>
    <xf numFmtId="0" fontId="43" fillId="2" borderId="0" xfId="0" applyFont="1" applyFill="1" applyAlignment="1">
      <alignment horizontal="left"/>
    </xf>
    <xf numFmtId="0" fontId="0" fillId="2" borderId="34" xfId="0" applyFill="1" applyBorder="1"/>
    <xf numFmtId="0" fontId="57" fillId="2" borderId="31" xfId="0" applyFont="1" applyFill="1" applyBorder="1" applyAlignment="1">
      <alignment horizontal="left"/>
    </xf>
    <xf numFmtId="0" fontId="58" fillId="2" borderId="34" xfId="0" applyFont="1" applyFill="1" applyBorder="1"/>
    <xf numFmtId="0" fontId="57" fillId="2" borderId="0" xfId="0" applyFont="1" applyFill="1" applyAlignment="1">
      <alignment horizontal="left"/>
    </xf>
    <xf numFmtId="0" fontId="58" fillId="2" borderId="25" xfId="0" applyFont="1" applyFill="1" applyBorder="1"/>
    <xf numFmtId="0" fontId="58" fillId="2" borderId="27" xfId="0" applyFont="1" applyFill="1" applyBorder="1"/>
    <xf numFmtId="0" fontId="57" fillId="2" borderId="26" xfId="0" applyFont="1" applyFill="1" applyBorder="1" applyAlignment="1">
      <alignment horizontal="left"/>
    </xf>
    <xf numFmtId="0" fontId="57" fillId="2" borderId="24" xfId="0" applyFont="1" applyFill="1" applyBorder="1" applyAlignment="1">
      <alignment horizontal="left"/>
    </xf>
    <xf numFmtId="0" fontId="18" fillId="2" borderId="33" xfId="0" applyFont="1" applyFill="1" applyBorder="1"/>
    <xf numFmtId="0" fontId="5" fillId="2" borderId="0" xfId="0" applyFont="1" applyFill="1"/>
    <xf numFmtId="0" fontId="0" fillId="2" borderId="1" xfId="0" applyFill="1" applyBorder="1"/>
    <xf numFmtId="0" fontId="0" fillId="2" borderId="1" xfId="0" applyFill="1" applyBorder="1" applyAlignment="1">
      <alignment horizontal="center"/>
    </xf>
    <xf numFmtId="0" fontId="0" fillId="2" borderId="0" xfId="0" applyFill="1" applyAlignment="1">
      <alignment horizontal="center"/>
    </xf>
    <xf numFmtId="0" fontId="53" fillId="2" borderId="49" xfId="0" applyFont="1" applyFill="1" applyBorder="1"/>
    <xf numFmtId="0" fontId="6" fillId="2" borderId="50" xfId="0" applyFont="1" applyFill="1" applyBorder="1" applyAlignment="1">
      <alignment horizontal="center"/>
    </xf>
    <xf numFmtId="0" fontId="6" fillId="2" borderId="51" xfId="0" applyFont="1" applyFill="1" applyBorder="1" applyAlignment="1">
      <alignment horizontal="center" vertical="top"/>
    </xf>
    <xf numFmtId="0" fontId="6" fillId="2" borderId="51" xfId="0" applyFont="1" applyFill="1" applyBorder="1" applyAlignment="1">
      <alignment horizontal="center"/>
    </xf>
    <xf numFmtId="0" fontId="0" fillId="2" borderId="51" xfId="0" applyFill="1" applyBorder="1"/>
    <xf numFmtId="0" fontId="0" fillId="2" borderId="52" xfId="0" applyFill="1" applyBorder="1"/>
    <xf numFmtId="0" fontId="52" fillId="2" borderId="44" xfId="0" applyFont="1" applyFill="1" applyBorder="1"/>
    <xf numFmtId="0" fontId="53" fillId="2" borderId="45" xfId="0" applyFont="1" applyFill="1" applyBorder="1"/>
    <xf numFmtId="0" fontId="52" fillId="2" borderId="43" xfId="0" applyFont="1" applyFill="1" applyBorder="1" applyAlignment="1">
      <alignment horizontal="left" vertical="center"/>
    </xf>
    <xf numFmtId="0" fontId="57" fillId="6" borderId="43" xfId="0" applyFont="1" applyFill="1" applyBorder="1"/>
    <xf numFmtId="0" fontId="58" fillId="6" borderId="44" xfId="0" applyFont="1" applyFill="1" applyBorder="1"/>
    <xf numFmtId="0" fontId="58" fillId="6" borderId="45" xfId="0" applyFont="1" applyFill="1" applyBorder="1"/>
    <xf numFmtId="0" fontId="57" fillId="6" borderId="28" xfId="0" applyFont="1" applyFill="1" applyBorder="1" applyAlignment="1">
      <alignment horizontal="right"/>
    </xf>
    <xf numFmtId="0" fontId="58" fillId="6" borderId="24" xfId="0" applyFont="1" applyFill="1" applyBorder="1"/>
    <xf numFmtId="0" fontId="58" fillId="6" borderId="29" xfId="0" applyFont="1" applyFill="1" applyBorder="1"/>
    <xf numFmtId="0" fontId="57" fillId="6" borderId="35" xfId="0" applyFont="1" applyFill="1" applyBorder="1" applyAlignment="1">
      <alignment horizontal="right"/>
    </xf>
    <xf numFmtId="0" fontId="58" fillId="6" borderId="36" xfId="0" applyFont="1" applyFill="1" applyBorder="1"/>
    <xf numFmtId="0" fontId="58" fillId="6" borderId="37" xfId="0" applyFont="1" applyFill="1" applyBorder="1"/>
    <xf numFmtId="0" fontId="0" fillId="2" borderId="53" xfId="0" applyFill="1" applyBorder="1"/>
    <xf numFmtId="0" fontId="0" fillId="2" borderId="53" xfId="0" applyFill="1" applyBorder="1" applyAlignment="1">
      <alignment horizontal="center"/>
    </xf>
    <xf numFmtId="0" fontId="0" fillId="2" borderId="54" xfId="0" applyFill="1" applyBorder="1"/>
    <xf numFmtId="164" fontId="0" fillId="2" borderId="53" xfId="0" applyNumberFormat="1" applyFill="1" applyBorder="1"/>
    <xf numFmtId="0" fontId="0" fillId="8" borderId="54" xfId="0" applyFill="1" applyBorder="1"/>
    <xf numFmtId="0" fontId="0" fillId="35" borderId="1" xfId="0" applyFill="1" applyBorder="1"/>
    <xf numFmtId="0" fontId="0" fillId="35" borderId="53" xfId="0" applyFill="1" applyBorder="1"/>
    <xf numFmtId="0" fontId="0" fillId="7" borderId="1" xfId="0" applyFill="1" applyBorder="1">
      <extLst>
        <ext xmlns:xfpb="http://schemas.microsoft.com/office/spreadsheetml/2022/featurepropertybag" uri="{C7286773-470A-42A8-94C5-96B5CB345126}">
          <xfpb:xfComplement i="0"/>
        </ext>
      </extLst>
    </xf>
    <xf numFmtId="0" fontId="0" fillId="7" borderId="1" xfId="0" applyFill="1" applyBorder="1" applyAlignment="1">
      <alignment horizontal="center"/>
      <extLst>
        <ext xmlns:xfpb="http://schemas.microsoft.com/office/spreadsheetml/2022/featurepropertybag" uri="{C7286773-470A-42A8-94C5-96B5CB345126}">
          <xfpb:xfComplement i="0"/>
        </ext>
      </extLst>
    </xf>
    <xf numFmtId="0" fontId="0" fillId="7" borderId="53" xfId="0" applyFill="1" applyBorder="1">
      <extLst>
        <ext xmlns:xfpb="http://schemas.microsoft.com/office/spreadsheetml/2022/featurepropertybag" uri="{C7286773-470A-42A8-94C5-96B5CB345126}">
          <xfpb:xfComplement i="0"/>
        </ext>
      </extLst>
    </xf>
    <xf numFmtId="0" fontId="57" fillId="39" borderId="28" xfId="0" applyFont="1" applyFill="1" applyBorder="1" applyAlignment="1">
      <alignment horizontal="left"/>
    </xf>
    <xf numFmtId="0" fontId="1" fillId="0" borderId="0" xfId="1" applyFill="1" applyBorder="1"/>
    <xf numFmtId="0" fontId="42" fillId="0" borderId="0" xfId="1" applyFont="1" applyFill="1" applyBorder="1"/>
    <xf numFmtId="0" fontId="12" fillId="2" borderId="0" xfId="0" applyFont="1" applyFill="1"/>
    <xf numFmtId="0" fontId="11" fillId="0" borderId="55" xfId="0" applyFont="1" applyBorder="1"/>
    <xf numFmtId="0" fontId="26" fillId="2" borderId="0" xfId="0" applyFont="1" applyFill="1"/>
    <xf numFmtId="0" fontId="0" fillId="2" borderId="41" xfId="0" applyFill="1" applyBorder="1"/>
    <xf numFmtId="0" fontId="18" fillId="40" borderId="56" xfId="0" applyFont="1" applyFill="1" applyBorder="1"/>
    <xf numFmtId="0" fontId="24" fillId="2" borderId="0" xfId="1" applyFont="1" applyFill="1" applyBorder="1" applyAlignment="1">
      <alignment horizontal="left"/>
    </xf>
    <xf numFmtId="0" fontId="67" fillId="8" borderId="43" xfId="0" applyFont="1" applyFill="1" applyBorder="1"/>
    <xf numFmtId="0" fontId="67" fillId="8" borderId="44" xfId="0" applyFont="1" applyFill="1" applyBorder="1"/>
    <xf numFmtId="0" fontId="67" fillId="8" borderId="42" xfId="0" applyFont="1" applyFill="1" applyBorder="1"/>
    <xf numFmtId="0" fontId="7" fillId="2" borderId="0" xfId="0" applyFont="1" applyFill="1" applyAlignment="1">
      <alignment horizontal="left"/>
    </xf>
    <xf numFmtId="0" fontId="67" fillId="2" borderId="0" xfId="0" applyFont="1" applyFill="1"/>
    <xf numFmtId="0" fontId="67" fillId="2" borderId="42" xfId="0" applyFont="1" applyFill="1" applyBorder="1"/>
    <xf numFmtId="0" fontId="0" fillId="40" borderId="57" xfId="0" applyFill="1" applyBorder="1"/>
    <xf numFmtId="0" fontId="64" fillId="2" borderId="0" xfId="0" applyFont="1" applyFill="1"/>
    <xf numFmtId="0" fontId="12" fillId="33" borderId="61" xfId="0" applyFont="1" applyFill="1" applyBorder="1"/>
    <xf numFmtId="0" fontId="11" fillId="2" borderId="42" xfId="0" applyFont="1" applyFill="1" applyBorder="1"/>
    <xf numFmtId="0" fontId="11" fillId="2" borderId="62" xfId="0" applyFont="1" applyFill="1" applyBorder="1"/>
    <xf numFmtId="0" fontId="11" fillId="2" borderId="63" xfId="0" applyFont="1" applyFill="1" applyBorder="1"/>
    <xf numFmtId="0" fontId="11" fillId="2" borderId="0" xfId="0" applyFont="1" applyFill="1" applyAlignment="1">
      <alignment horizontal="right"/>
    </xf>
    <xf numFmtId="0" fontId="70" fillId="8" borderId="1" xfId="1" applyFont="1" applyFill="1" applyBorder="1" applyAlignment="1">
      <alignment horizontal="right"/>
    </xf>
    <xf numFmtId="0" fontId="69" fillId="35" borderId="1" xfId="0" applyFont="1" applyFill="1" applyBorder="1" applyAlignment="1">
      <alignment horizontal="right"/>
    </xf>
    <xf numFmtId="0" fontId="69" fillId="35" borderId="6" xfId="0" applyFont="1" applyFill="1" applyBorder="1" applyAlignment="1">
      <alignment horizontal="right"/>
    </xf>
    <xf numFmtId="0" fontId="69" fillId="35" borderId="23" xfId="0" applyFont="1" applyFill="1" applyBorder="1" applyAlignment="1">
      <alignment horizontal="right"/>
    </xf>
    <xf numFmtId="0" fontId="69" fillId="35" borderId="2" xfId="0" applyFont="1" applyFill="1" applyBorder="1" applyAlignment="1">
      <alignment horizontal="right"/>
    </xf>
    <xf numFmtId="14" fontId="69" fillId="35" borderId="1" xfId="0" applyNumberFormat="1" applyFont="1" applyFill="1" applyBorder="1" applyAlignment="1">
      <alignment horizontal="right" readingOrder="1"/>
    </xf>
    <xf numFmtId="168" fontId="69" fillId="35" borderId="1" xfId="0" applyNumberFormat="1" applyFont="1" applyFill="1" applyBorder="1" applyAlignment="1">
      <alignment horizontal="right"/>
    </xf>
    <xf numFmtId="2" fontId="69" fillId="35" borderId="58" xfId="0" applyNumberFormat="1" applyFont="1" applyFill="1" applyBorder="1" applyAlignment="1">
      <alignment horizontal="right"/>
    </xf>
    <xf numFmtId="0" fontId="69" fillId="2" borderId="1" xfId="0" applyFont="1" applyFill="1" applyBorder="1" applyAlignment="1">
      <alignment horizontal="right"/>
    </xf>
    <xf numFmtId="0" fontId="69" fillId="2" borderId="6" xfId="0" applyFont="1" applyFill="1" applyBorder="1" applyAlignment="1">
      <alignment horizontal="right"/>
    </xf>
    <xf numFmtId="0" fontId="69" fillId="2" borderId="23" xfId="0" applyFont="1" applyFill="1" applyBorder="1" applyAlignment="1">
      <alignment horizontal="right"/>
    </xf>
    <xf numFmtId="0" fontId="69" fillId="2" borderId="2" xfId="0" applyFont="1" applyFill="1" applyBorder="1" applyAlignment="1">
      <alignment horizontal="right"/>
    </xf>
    <xf numFmtId="14" fontId="69" fillId="2" borderId="1" xfId="0" applyNumberFormat="1" applyFont="1" applyFill="1" applyBorder="1" applyAlignment="1">
      <alignment horizontal="right" readingOrder="1"/>
    </xf>
    <xf numFmtId="168" fontId="69" fillId="2" borderId="1" xfId="0" applyNumberFormat="1" applyFont="1" applyFill="1" applyBorder="1" applyAlignment="1">
      <alignment horizontal="right"/>
    </xf>
    <xf numFmtId="2" fontId="69" fillId="2" borderId="58" xfId="0" applyNumberFormat="1" applyFont="1" applyFill="1" applyBorder="1" applyAlignment="1">
      <alignment horizontal="right"/>
    </xf>
    <xf numFmtId="0" fontId="69" fillId="35" borderId="60" xfId="0" applyFont="1" applyFill="1" applyBorder="1" applyAlignment="1">
      <alignment horizontal="right"/>
    </xf>
    <xf numFmtId="0" fontId="69" fillId="35" borderId="59" xfId="0" applyFont="1" applyFill="1" applyBorder="1" applyAlignment="1">
      <alignment horizontal="right"/>
    </xf>
    <xf numFmtId="14" fontId="69" fillId="35" borderId="1" xfId="0" applyNumberFormat="1" applyFont="1" applyFill="1" applyBorder="1" applyAlignment="1">
      <alignment horizontal="right"/>
    </xf>
    <xf numFmtId="0" fontId="69" fillId="2" borderId="60" xfId="0" applyFont="1" applyFill="1" applyBorder="1" applyAlignment="1">
      <alignment horizontal="right"/>
    </xf>
    <xf numFmtId="0" fontId="69" fillId="2" borderId="59" xfId="0" applyFont="1" applyFill="1" applyBorder="1" applyAlignment="1">
      <alignment horizontal="right"/>
    </xf>
    <xf numFmtId="0" fontId="11" fillId="2" borderId="61" xfId="0" applyFont="1" applyFill="1" applyBorder="1" applyAlignment="1">
      <alignment horizontal="right"/>
    </xf>
    <xf numFmtId="0" fontId="12" fillId="33" borderId="61" xfId="0" applyFont="1" applyFill="1" applyBorder="1" applyAlignment="1">
      <alignment horizontal="right"/>
    </xf>
    <xf numFmtId="168" fontId="11" fillId="2" borderId="61" xfId="0" applyNumberFormat="1" applyFont="1" applyFill="1" applyBorder="1" applyAlignment="1">
      <alignment horizontal="right"/>
    </xf>
    <xf numFmtId="14" fontId="69" fillId="2" borderId="1" xfId="0" applyNumberFormat="1" applyFont="1" applyFill="1" applyBorder="1" applyAlignment="1">
      <alignment horizontal="right"/>
    </xf>
    <xf numFmtId="0" fontId="11" fillId="2" borderId="63" xfId="0" applyFont="1" applyFill="1" applyBorder="1" applyAlignment="1">
      <alignment horizontal="right"/>
    </xf>
    <xf numFmtId="0" fontId="11" fillId="2" borderId="42" xfId="0" applyFont="1" applyFill="1" applyBorder="1" applyAlignment="1">
      <alignment horizontal="right"/>
    </xf>
    <xf numFmtId="0" fontId="11" fillId="2" borderId="62" xfId="0" applyFont="1" applyFill="1" applyBorder="1" applyAlignment="1">
      <alignment horizontal="right"/>
    </xf>
    <xf numFmtId="0" fontId="69" fillId="35" borderId="7" xfId="0" applyFont="1" applyFill="1" applyBorder="1" applyAlignment="1">
      <alignment horizontal="right"/>
    </xf>
    <xf numFmtId="0" fontId="69" fillId="2" borderId="7" xfId="0" applyFont="1" applyFill="1" applyBorder="1" applyAlignment="1">
      <alignment horizontal="right"/>
    </xf>
    <xf numFmtId="0" fontId="13" fillId="7" borderId="0" xfId="0" applyFont="1" applyFill="1" applyAlignment="1">
      <alignment horizontal="right"/>
    </xf>
    <xf numFmtId="2" fontId="13" fillId="8" borderId="0" xfId="0" applyNumberFormat="1" applyFont="1" applyFill="1" applyAlignment="1">
      <alignment horizontal="right"/>
    </xf>
    <xf numFmtId="2" fontId="13" fillId="8" borderId="0" xfId="0" quotePrefix="1" applyNumberFormat="1" applyFont="1" applyFill="1" applyAlignment="1">
      <alignment horizontal="right"/>
    </xf>
    <xf numFmtId="0" fontId="13" fillId="8" borderId="0" xfId="0" applyFont="1" applyFill="1" applyAlignment="1">
      <alignment horizontal="right"/>
    </xf>
    <xf numFmtId="0" fontId="11" fillId="2" borderId="0" xfId="0" applyFont="1" applyFill="1" applyAlignment="1">
      <alignment horizontal="center"/>
    </xf>
    <xf numFmtId="0" fontId="13" fillId="8" borderId="5" xfId="0" applyFont="1" applyFill="1" applyBorder="1" applyAlignment="1">
      <alignment horizontal="left" readingOrder="1"/>
    </xf>
    <xf numFmtId="0" fontId="13" fillId="8" borderId="8" xfId="0" applyFont="1" applyFill="1" applyBorder="1" applyAlignment="1">
      <alignment horizontal="left" readingOrder="1"/>
    </xf>
    <xf numFmtId="0" fontId="13" fillId="8" borderId="14" xfId="0" applyFont="1" applyFill="1" applyBorder="1" applyAlignment="1">
      <alignment horizontal="left" readingOrder="1"/>
    </xf>
    <xf numFmtId="0" fontId="68" fillId="8" borderId="8" xfId="0" applyFont="1" applyFill="1" applyBorder="1" applyAlignment="1">
      <alignment horizontal="left"/>
    </xf>
    <xf numFmtId="0" fontId="10" fillId="0" borderId="0" xfId="0" applyFont="1"/>
    <xf numFmtId="0" fontId="69" fillId="2" borderId="2" xfId="0" applyFont="1" applyFill="1" applyBorder="1" applyAlignment="1">
      <alignment horizontal="left" vertical="top"/>
    </xf>
    <xf numFmtId="0" fontId="69" fillId="35" borderId="2" xfId="0" applyFont="1" applyFill="1" applyBorder="1" applyAlignment="1">
      <alignment horizontal="left" vertical="top"/>
    </xf>
    <xf numFmtId="0" fontId="72" fillId="2" borderId="0" xfId="0" applyFont="1" applyFill="1"/>
    <xf numFmtId="0" fontId="73" fillId="2" borderId="0" xfId="0" applyFont="1" applyFill="1"/>
    <xf numFmtId="0" fontId="0" fillId="10" borderId="1" xfId="0" applyFill="1" applyBorder="1"/>
    <xf numFmtId="0" fontId="25" fillId="10" borderId="0" xfId="0" applyFont="1" applyFill="1"/>
    <xf numFmtId="0" fontId="74" fillId="2" borderId="0" xfId="0" applyFont="1" applyFill="1"/>
    <xf numFmtId="0" fontId="2" fillId="41" borderId="4" xfId="0" applyFont="1" applyFill="1" applyBorder="1"/>
    <xf numFmtId="0" fontId="2" fillId="41" borderId="3" xfId="0" applyFont="1" applyFill="1" applyBorder="1"/>
    <xf numFmtId="0" fontId="24" fillId="11" borderId="0" xfId="1" applyFont="1" applyFill="1" applyBorder="1" applyAlignment="1">
      <alignment horizontal="left"/>
    </xf>
    <xf numFmtId="0" fontId="23" fillId="2" borderId="0" xfId="1" applyFont="1" applyFill="1" applyBorder="1" applyAlignment="1">
      <alignment horizontal="center" vertical="center"/>
    </xf>
    <xf numFmtId="0" fontId="24" fillId="11" borderId="0" xfId="1" applyFont="1" applyFill="1" applyBorder="1" applyAlignment="1">
      <alignment horizontal="center"/>
    </xf>
    <xf numFmtId="0" fontId="22" fillId="8" borderId="0" xfId="0" applyFont="1" applyFill="1" applyAlignment="1">
      <alignment horizontal="center"/>
    </xf>
    <xf numFmtId="0" fontId="14" fillId="10" borderId="13" xfId="0" applyFont="1" applyFill="1" applyBorder="1" applyAlignment="1">
      <alignment horizontal="center"/>
    </xf>
    <xf numFmtId="0" fontId="14" fillId="10" borderId="18" xfId="0" applyFont="1" applyFill="1" applyBorder="1" applyAlignment="1">
      <alignment horizontal="center"/>
    </xf>
    <xf numFmtId="0" fontId="14" fillId="10" borderId="9" xfId="0" applyFont="1" applyFill="1" applyBorder="1" applyAlignment="1">
      <alignment horizontal="center"/>
    </xf>
    <xf numFmtId="0" fontId="19" fillId="33" borderId="0" xfId="0" applyFont="1" applyFill="1" applyAlignment="1">
      <alignment horizontal="center"/>
    </xf>
    <xf numFmtId="0" fontId="17" fillId="9" borderId="15" xfId="0" applyFont="1" applyFill="1" applyBorder="1" applyAlignment="1">
      <alignment horizontal="center"/>
    </xf>
    <xf numFmtId="0" fontId="17" fillId="9" borderId="16" xfId="0" applyFont="1" applyFill="1" applyBorder="1" applyAlignment="1">
      <alignment horizontal="center"/>
    </xf>
    <xf numFmtId="0" fontId="16" fillId="6" borderId="7" xfId="0" applyFont="1" applyFill="1" applyBorder="1" applyAlignment="1">
      <alignment horizontal="center"/>
    </xf>
    <xf numFmtId="0" fontId="21" fillId="7" borderId="17" xfId="0" applyFont="1" applyFill="1" applyBorder="1" applyAlignment="1">
      <alignment horizontal="center"/>
    </xf>
    <xf numFmtId="0" fontId="37" fillId="2" borderId="0" xfId="3" applyFont="1" applyFill="1"/>
    <xf numFmtId="0" fontId="37" fillId="2" borderId="16" xfId="3" applyFont="1" applyFill="1" applyBorder="1"/>
    <xf numFmtId="0" fontId="0" fillId="38" borderId="1" xfId="0" applyFill="1" applyBorder="1" applyAlignment="1">
      <alignment horizontal="center"/>
    </xf>
    <xf numFmtId="0" fontId="0" fillId="38" borderId="2" xfId="0" applyFill="1" applyBorder="1" applyAlignment="1">
      <alignment horizontal="center"/>
    </xf>
    <xf numFmtId="0" fontId="0" fillId="38" borderId="23" xfId="0" applyFill="1" applyBorder="1" applyAlignment="1">
      <alignment horizontal="center"/>
    </xf>
    <xf numFmtId="0" fontId="0" fillId="38" borderId="6" xfId="0" applyFill="1" applyBorder="1" applyAlignment="1">
      <alignment horizontal="center"/>
    </xf>
    <xf numFmtId="0" fontId="0" fillId="38" borderId="13" xfId="0" applyFill="1" applyBorder="1" applyAlignment="1">
      <alignment horizontal="center"/>
    </xf>
    <xf numFmtId="0" fontId="0" fillId="38" borderId="18" xfId="0" applyFill="1" applyBorder="1" applyAlignment="1">
      <alignment horizontal="center"/>
    </xf>
    <xf numFmtId="0" fontId="0" fillId="38" borderId="9" xfId="0" applyFill="1" applyBorder="1" applyAlignment="1">
      <alignment horizontal="center"/>
    </xf>
    <xf numFmtId="0" fontId="44" fillId="10" borderId="0" xfId="0" applyFont="1" applyFill="1" applyAlignment="1">
      <alignment horizontal="center"/>
    </xf>
    <xf numFmtId="0" fontId="52" fillId="2" borderId="46" xfId="0" applyFont="1" applyFill="1" applyBorder="1" applyAlignment="1">
      <alignment horizontal="left" vertical="top"/>
    </xf>
    <xf numFmtId="0" fontId="52" fillId="2" borderId="47" xfId="0" applyFont="1" applyFill="1" applyBorder="1" applyAlignment="1">
      <alignment horizontal="left" vertical="top"/>
    </xf>
    <xf numFmtId="0" fontId="52" fillId="2" borderId="48" xfId="0" applyFont="1" applyFill="1" applyBorder="1" applyAlignment="1">
      <alignment horizontal="left" vertical="top"/>
    </xf>
    <xf numFmtId="14" fontId="34" fillId="2" borderId="0" xfId="0" applyNumberFormat="1" applyFont="1" applyFill="1" applyAlignment="1">
      <alignment horizontal="left"/>
    </xf>
    <xf numFmtId="2" fontId="0" fillId="0" borderId="1" xfId="0" applyNumberFormat="1" applyBorder="1" applyAlignment="1">
      <alignment horizontal="center"/>
    </xf>
    <xf numFmtId="0" fontId="0" fillId="38" borderId="5" xfId="0" applyFill="1" applyBorder="1" applyAlignment="1">
      <alignment horizontal="center"/>
    </xf>
  </cellXfs>
  <cellStyles count="6">
    <cellStyle name="20% - Accent2" xfId="1" builtinId="34"/>
    <cellStyle name="20% - Accent6" xfId="2" builtinId="50"/>
    <cellStyle name="Currency 2" xfId="4" xr:uid="{2904B57A-BB1A-487B-9990-5318CC04FC2B}"/>
    <cellStyle name="Normal" xfId="0" builtinId="0"/>
    <cellStyle name="Normal 2" xfId="3" xr:uid="{6E4E4367-F9CC-4AF7-9CF1-CBD9700C6CAA}"/>
    <cellStyle name="Percent 2" xfId="5" xr:uid="{9EEEB7A2-374C-4178-92C0-4CDBFD009E19}"/>
  </cellStyles>
  <dxfs count="297">
    <dxf>
      <font>
        <strike val="0"/>
        <outline val="0"/>
        <shadow val="0"/>
        <u val="none"/>
        <vertAlign val="baseline"/>
        <sz val="14"/>
        <name val="Times New Roman"/>
        <family val="1"/>
        <scheme val="none"/>
      </font>
      <numFmt numFmtId="2" formatCode="0.00"/>
      <fill>
        <patternFill patternType="solid">
          <fgColor indexed="64"/>
          <bgColor theme="7" tint="0.59999389629810485"/>
        </patternFill>
      </fill>
      <alignment horizontal="right" vertical="bottom" textRotation="0" wrapText="0" indent="0" justifyLastLine="0" shrinkToFit="0"/>
      <border outline="0">
        <left style="thin">
          <color indexed="64"/>
        </left>
      </border>
    </dxf>
    <dxf>
      <font>
        <strike val="0"/>
        <outline val="0"/>
        <shadow val="0"/>
        <u val="none"/>
        <vertAlign val="baseline"/>
        <sz val="14"/>
        <name val="Times New Roman"/>
        <family val="1"/>
        <scheme val="none"/>
      </font>
      <numFmt numFmtId="168" formatCode="[$-F400]h:mm:ss\ AM/PM"/>
      <fill>
        <patternFill patternType="solid">
          <fgColor indexed="64"/>
          <bgColor theme="7" tint="0.59999389629810485"/>
        </patternFill>
      </fill>
      <alignment horizontal="right" vertical="bottom" textRotation="0" wrapText="0" indent="0" justifyLastLine="0" shrinkToFit="0"/>
      <border outline="0">
        <left style="thin">
          <color indexed="64"/>
        </left>
      </border>
    </dxf>
    <dxf>
      <font>
        <strike val="0"/>
        <outline val="0"/>
        <shadow val="0"/>
        <u val="none"/>
        <vertAlign val="baseline"/>
        <sz val="14"/>
        <name val="Times New Roman"/>
        <family val="1"/>
        <scheme val="none"/>
      </font>
      <numFmt numFmtId="168" formatCode="[$-F400]h:mm:ss\ AM/PM"/>
      <fill>
        <patternFill patternType="solid">
          <fgColor indexed="64"/>
          <bgColor theme="7" tint="0.59999389629810485"/>
        </patternFill>
      </fill>
      <alignment horizontal="right" vertical="bottom" textRotation="0" wrapText="0" indent="0" justifyLastLine="0" shrinkToFit="0"/>
      <border outline="0">
        <right style="thin">
          <color indexed="64"/>
        </right>
      </border>
    </dxf>
    <dxf>
      <font>
        <strike val="0"/>
        <outline val="0"/>
        <shadow val="0"/>
        <u val="none"/>
        <vertAlign val="baseline"/>
        <sz val="14"/>
        <name val="Times New Roman"/>
        <family val="1"/>
        <scheme val="none"/>
      </font>
      <fill>
        <patternFill patternType="solid">
          <fgColor indexed="64"/>
          <bgColor theme="7" tint="0.59999389629810485"/>
        </patternFill>
      </fill>
      <alignment horizontal="right" vertical="bottom" textRotation="0" wrapText="0" indent="0" justifyLastLine="0" shrinkToFit="0"/>
      <border outline="0">
        <right style="thin">
          <color indexed="64"/>
        </right>
      </border>
    </dxf>
    <dxf>
      <font>
        <strike val="0"/>
        <outline val="0"/>
        <shadow val="0"/>
        <u val="none"/>
        <vertAlign val="baseline"/>
        <sz val="14"/>
        <name val="Times New Roman"/>
        <family val="1"/>
        <scheme val="none"/>
      </font>
      <fill>
        <patternFill patternType="solid">
          <fgColor indexed="64"/>
          <bgColor theme="7" tint="0.59999389629810485"/>
        </patternFill>
      </fill>
      <alignment horizontal="right" vertical="bottom" textRotation="0" wrapText="0" indent="0" justifyLastLine="0" shrinkToFit="0"/>
    </dxf>
    <dxf>
      <font>
        <strike val="0"/>
        <outline val="0"/>
        <shadow val="0"/>
        <u val="none"/>
        <vertAlign val="baseline"/>
        <sz val="14"/>
        <name val="Times New Roman"/>
        <family val="1"/>
        <scheme val="none"/>
      </font>
      <fill>
        <patternFill patternType="solid">
          <fgColor indexed="64"/>
          <bgColor theme="7" tint="0.59999389629810485"/>
        </patternFill>
      </fill>
      <alignment horizontal="right" vertical="bottom" textRotation="0" wrapText="0" indent="0" justifyLastLine="0" shrinkToFit="0"/>
    </dxf>
    <dxf>
      <font>
        <strike val="0"/>
        <outline val="0"/>
        <shadow val="0"/>
        <u val="none"/>
        <vertAlign val="baseline"/>
        <sz val="14"/>
        <name val="Times New Roman"/>
        <family val="1"/>
        <scheme val="none"/>
      </font>
      <fill>
        <patternFill patternType="solid">
          <fgColor indexed="64"/>
          <bgColor theme="7" tint="0.59999389629810485"/>
        </patternFill>
      </fill>
      <alignment horizontal="right" vertical="bottom" textRotation="0" wrapText="0" indent="0" justifyLastLine="0" shrinkToFit="0"/>
    </dxf>
    <dxf>
      <font>
        <strike val="0"/>
        <outline val="0"/>
        <shadow val="0"/>
        <u val="none"/>
        <vertAlign val="baseline"/>
        <sz val="14"/>
        <name val="Times New Roman"/>
        <family val="1"/>
        <scheme val="none"/>
      </font>
      <fill>
        <patternFill patternType="solid">
          <fgColor indexed="64"/>
          <bgColor theme="7" tint="0.59999389629810485"/>
        </patternFill>
      </fill>
      <alignment horizontal="right" vertical="bottom" textRotation="0" wrapText="0" indent="0" justifyLastLine="0" shrinkToFit="0"/>
    </dxf>
    <dxf>
      <font>
        <strike val="0"/>
        <outline val="0"/>
        <shadow val="0"/>
        <u val="none"/>
        <vertAlign val="baseline"/>
        <sz val="14"/>
        <name val="Times New Roman"/>
        <family val="1"/>
        <scheme val="none"/>
      </font>
      <fill>
        <patternFill patternType="solid">
          <fgColor indexed="64"/>
          <bgColor theme="7" tint="0.59999389629810485"/>
        </patternFill>
      </fill>
      <alignment horizontal="right" vertical="bottom" textRotation="0" wrapText="0" indent="0" justifyLastLine="0" shrinkToFit="0"/>
    </dxf>
    <dxf>
      <border outline="0">
        <right style="thin">
          <color rgb="FF000000"/>
        </right>
        <top style="thin">
          <color rgb="FF000000"/>
        </top>
      </border>
    </dxf>
    <dxf>
      <font>
        <strike val="0"/>
        <outline val="0"/>
        <shadow val="0"/>
        <u val="none"/>
        <vertAlign val="baseline"/>
        <sz val="14"/>
        <name val="Times New Roman"/>
        <family val="1"/>
        <scheme val="none"/>
      </font>
      <fill>
        <patternFill patternType="solid">
          <fgColor rgb="FF000000"/>
          <bgColor rgb="FFFFE699"/>
        </patternFill>
      </fill>
      <alignment horizontal="right" vertical="bottom" textRotation="0" wrapText="0" indent="0" justifyLastLine="0" shrinkToFit="0"/>
    </dxf>
    <dxf>
      <border outline="0">
        <bottom style="thin">
          <color rgb="FF000000"/>
        </bottom>
      </border>
    </dxf>
    <dxf>
      <font>
        <b val="0"/>
        <i val="0"/>
        <strike val="0"/>
        <condense val="0"/>
        <extend val="0"/>
        <outline val="0"/>
        <shadow val="0"/>
        <u val="none"/>
        <vertAlign val="baseline"/>
        <sz val="14"/>
        <color theme="1"/>
        <name val="Times New Roman"/>
        <family val="1"/>
        <scheme val="none"/>
      </font>
      <fill>
        <patternFill patternType="solid">
          <fgColor indexed="64"/>
          <bgColor theme="7"/>
        </patternFill>
      </fill>
      <alignment horizontal="left" vertical="bottom" textRotation="0" wrapText="0" indent="0" justifyLastLine="0" shrinkToFit="0" readingOrder="1"/>
      <border diagonalUp="0" diagonalDown="0" outline="0">
        <left style="thin">
          <color rgb="FF000000"/>
        </left>
        <right style="thin">
          <color rgb="FF000000"/>
        </right>
        <top/>
        <bottom/>
      </border>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indent="0"/>
    </dxf>
    <dxf>
      <alignment indent="0"/>
    </dxf>
    <dxf>
      <alignment indent="0"/>
    </dxf>
    <dxf>
      <alignment indent="0"/>
    </dxf>
    <dxf>
      <alignment indent="0"/>
    </dxf>
    <dxf>
      <alignment indent="0"/>
    </dxf>
    <dxf>
      <alignment indent="0"/>
    </dxf>
    <dxf>
      <alignment indent="0"/>
    </dxf>
    <dxf>
      <alignment indent="0"/>
    </dxf>
    <dxf>
      <alignment indent="0"/>
    </dxf>
    <dxf>
      <alignment indent="0"/>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strike val="0"/>
        <outline val="0"/>
        <shadow val="0"/>
        <u val="none"/>
        <vertAlign val="baseline"/>
        <sz val="11"/>
        <color auto="1"/>
        <name val="Garamond"/>
        <family val="2"/>
        <scheme val="minor"/>
      </font>
      <fill>
        <patternFill patternType="solid">
          <fgColor indexed="64"/>
          <bgColor theme="7"/>
        </patternFill>
      </fill>
    </dxf>
    <dxf>
      <font>
        <strike val="0"/>
        <outline val="0"/>
        <shadow val="0"/>
        <u val="none"/>
        <vertAlign val="baseline"/>
        <sz val="11"/>
        <color auto="1"/>
        <name val="Garamond"/>
        <family val="2"/>
        <scheme val="minor"/>
      </font>
      <numFmt numFmtId="0" formatCode="General"/>
      <fill>
        <patternFill patternType="solid">
          <bgColor theme="0"/>
        </patternFill>
      </fill>
    </dxf>
    <dxf>
      <font>
        <strike val="0"/>
        <outline val="0"/>
        <shadow val="0"/>
        <u val="none"/>
        <vertAlign val="baseline"/>
        <sz val="11"/>
        <color auto="1"/>
        <name val="Garamond"/>
        <family val="2"/>
        <scheme val="minor"/>
      </font>
      <fill>
        <patternFill patternType="solid">
          <fgColor indexed="64"/>
          <bgColor theme="7"/>
        </patternFill>
      </fill>
    </dxf>
    <dxf>
      <font>
        <strike val="0"/>
        <outline val="0"/>
        <shadow val="0"/>
        <u val="none"/>
        <vertAlign val="baseline"/>
        <sz val="11"/>
        <color auto="1"/>
        <name val="Garamond"/>
        <family val="2"/>
        <scheme val="minor"/>
      </font>
      <numFmt numFmtId="0" formatCode="General"/>
      <fill>
        <patternFill patternType="solid">
          <bgColor theme="0"/>
        </patternFill>
      </fill>
    </dxf>
    <dxf>
      <font>
        <strike val="0"/>
        <outline val="0"/>
        <shadow val="0"/>
        <u val="none"/>
        <vertAlign val="baseline"/>
        <sz val="11"/>
        <color auto="1"/>
        <name val="Garamond"/>
        <family val="2"/>
        <scheme val="minor"/>
      </font>
      <fill>
        <patternFill patternType="solid">
          <fgColor indexed="64"/>
          <bgColor theme="7"/>
        </patternFill>
      </fill>
    </dxf>
    <dxf>
      <font>
        <strike val="0"/>
        <outline val="0"/>
        <shadow val="0"/>
        <u val="none"/>
        <vertAlign val="baseline"/>
        <sz val="11"/>
        <color auto="1"/>
        <name val="Garamond"/>
        <family val="2"/>
        <scheme val="minor"/>
      </font>
      <numFmt numFmtId="0" formatCode="General"/>
      <fill>
        <patternFill patternType="solid">
          <bgColor theme="0"/>
        </patternFill>
      </fill>
    </dxf>
    <dxf>
      <font>
        <strike val="0"/>
        <outline val="0"/>
        <shadow val="0"/>
        <u val="none"/>
        <vertAlign val="baseline"/>
        <sz val="11"/>
        <color auto="1"/>
        <name val="Garamond"/>
        <family val="2"/>
        <scheme val="minor"/>
      </font>
      <fill>
        <patternFill patternType="solid">
          <fgColor indexed="64"/>
          <bgColor theme="7"/>
        </patternFill>
      </fill>
    </dxf>
    <dxf>
      <font>
        <strike val="0"/>
        <outline val="0"/>
        <shadow val="0"/>
        <u val="none"/>
        <vertAlign val="baseline"/>
        <sz val="11"/>
        <color auto="1"/>
        <name val="Garamond"/>
        <family val="2"/>
        <scheme val="minor"/>
      </font>
      <numFmt numFmtId="0" formatCode="General"/>
      <fill>
        <patternFill patternType="solid">
          <bgColor theme="0"/>
        </patternFill>
      </fill>
    </dxf>
    <dxf>
      <font>
        <strike val="0"/>
        <outline val="0"/>
        <shadow val="0"/>
        <u val="none"/>
        <vertAlign val="baseline"/>
        <sz val="11"/>
        <color auto="1"/>
        <name val="Garamond"/>
        <family val="2"/>
        <scheme val="minor"/>
      </font>
      <fill>
        <patternFill patternType="solid">
          <fgColor indexed="64"/>
          <bgColor theme="7"/>
        </patternFill>
      </fill>
    </dxf>
    <dxf>
      <font>
        <strike val="0"/>
        <outline val="0"/>
        <shadow val="0"/>
        <u val="none"/>
        <vertAlign val="baseline"/>
        <sz val="11"/>
        <color auto="1"/>
        <name val="Garamond"/>
        <family val="2"/>
        <scheme val="minor"/>
      </font>
      <fill>
        <patternFill patternType="solid">
          <fgColor indexed="64"/>
          <bgColor theme="7" tint="0.39997558519241921"/>
        </patternFill>
      </fill>
    </dxf>
    <dxf>
      <font>
        <strike val="0"/>
        <outline val="0"/>
        <shadow val="0"/>
        <u val="none"/>
        <vertAlign val="baseline"/>
        <sz val="11"/>
        <color auto="1"/>
        <name val="Garamond"/>
        <family val="2"/>
        <scheme val="minor"/>
      </font>
      <fill>
        <patternFill patternType="solid">
          <fgColor indexed="64"/>
          <bgColor theme="7"/>
        </patternFill>
      </fill>
    </dxf>
    <dxf>
      <font>
        <strike val="0"/>
        <outline val="0"/>
        <shadow val="0"/>
        <u val="none"/>
        <vertAlign val="baseline"/>
        <sz val="11"/>
        <color auto="1"/>
        <name val="Garamond"/>
        <family val="2"/>
        <scheme val="minor"/>
      </font>
      <fill>
        <patternFill patternType="solid">
          <fgColor indexed="64"/>
          <bgColor theme="7" tint="0.39997558519241921"/>
        </patternFill>
      </fill>
    </dxf>
    <dxf>
      <font>
        <strike val="0"/>
        <outline val="0"/>
        <shadow val="0"/>
        <u val="none"/>
        <vertAlign val="baseline"/>
        <sz val="11"/>
        <color auto="1"/>
        <name val="Garamond"/>
        <family val="2"/>
        <scheme val="minor"/>
      </font>
      <fill>
        <patternFill patternType="solid">
          <fgColor indexed="64"/>
          <bgColor theme="7"/>
        </patternFill>
      </fill>
    </dxf>
    <dxf>
      <font>
        <strike val="0"/>
        <outline val="0"/>
        <shadow val="0"/>
        <u val="none"/>
        <vertAlign val="baseline"/>
        <sz val="11"/>
        <color auto="1"/>
        <name val="Garamond"/>
        <family val="2"/>
        <scheme val="minor"/>
      </font>
      <numFmt numFmtId="0" formatCode="General"/>
      <fill>
        <patternFill patternType="solid">
          <fgColor indexed="64"/>
          <bgColor theme="7" tint="0.39997558519241921"/>
        </patternFill>
      </fill>
    </dxf>
    <dxf>
      <font>
        <strike val="0"/>
        <outline val="0"/>
        <shadow val="0"/>
        <u val="none"/>
        <vertAlign val="baseline"/>
        <sz val="11"/>
        <color auto="1"/>
        <name val="Garamond"/>
        <family val="2"/>
        <scheme val="minor"/>
      </font>
      <fill>
        <patternFill patternType="solid">
          <fgColor indexed="64"/>
          <bgColor theme="7"/>
        </patternFill>
      </fill>
    </dxf>
    <dxf>
      <font>
        <strike val="0"/>
        <outline val="0"/>
        <shadow val="0"/>
        <u val="none"/>
        <vertAlign val="baseline"/>
        <sz val="11"/>
        <color auto="1"/>
        <name val="Garamond"/>
        <family val="2"/>
        <scheme val="minor"/>
      </font>
      <fill>
        <patternFill patternType="solid">
          <bgColor theme="0"/>
        </patternFill>
      </fill>
    </dxf>
    <dxf>
      <font>
        <strike val="0"/>
        <outline val="0"/>
        <shadow val="0"/>
        <u val="none"/>
        <vertAlign val="baseline"/>
        <sz val="11"/>
        <color auto="1"/>
        <name val="Garamond"/>
        <family val="2"/>
        <scheme val="minor"/>
      </font>
      <fill>
        <patternFill patternType="solid">
          <fgColor indexed="64"/>
          <bgColor theme="7"/>
        </patternFill>
      </fill>
    </dxf>
    <dxf>
      <fill>
        <patternFill>
          <bgColor theme="7"/>
        </patternFill>
      </fill>
    </dxf>
    <dxf>
      <fill>
        <patternFill>
          <bgColor theme="7" tint="0.59999389629810485"/>
        </patternFill>
      </fill>
    </dxf>
    <dxf>
      <fill>
        <patternFill>
          <bgColor theme="7" tint="0.59999389629810485"/>
        </patternFill>
      </fill>
    </dxf>
    <dxf>
      <fill>
        <patternFill>
          <bgColor theme="7"/>
        </patternFill>
      </fill>
    </dxf>
    <dxf>
      <font>
        <color auto="1"/>
      </font>
    </dxf>
    <dxf>
      <font>
        <color auto="1"/>
      </font>
    </dxf>
    <dxf>
      <font>
        <color auto="1"/>
      </font>
    </dxf>
    <dxf>
      <font>
        <color auto="1"/>
      </font>
    </dxf>
    <dxf>
      <fill>
        <patternFill>
          <bgColor theme="0"/>
        </patternFill>
      </fill>
    </dxf>
    <dxf>
      <fill>
        <patternFill>
          <bgColor theme="0"/>
        </patternFill>
      </fill>
    </dxf>
    <dxf>
      <fill>
        <patternFill>
          <bgColor theme="0"/>
        </patternFill>
      </fill>
    </dxf>
    <dxf>
      <fill>
        <patternFill>
          <bgColor theme="0"/>
        </patternFill>
      </fill>
    </dxf>
    <dxf>
      <border>
        <top/>
      </border>
    </dxf>
    <dxf>
      <border>
        <top/>
      </border>
    </dxf>
    <dxf>
      <border>
        <top/>
      </border>
    </dxf>
    <dxf>
      <border>
        <top/>
      </border>
    </dxf>
    <dxf>
      <font>
        <color rgb="FF9C0006"/>
      </font>
      <fill>
        <patternFill>
          <bgColor rgb="FFFFC7CE"/>
        </patternFill>
      </fill>
    </dxf>
    <dxf>
      <font>
        <color rgb="FF006100"/>
      </font>
      <fill>
        <patternFill>
          <bgColor rgb="FFC6EFCE"/>
        </patternFill>
      </fill>
    </dxf>
    <dxf>
      <font>
        <strike val="0"/>
        <outline val="0"/>
        <shadow val="0"/>
        <u val="none"/>
        <vertAlign val="baseline"/>
        <sz val="11"/>
        <color auto="1"/>
        <name val="Garamond"/>
        <family val="2"/>
        <scheme val="minor"/>
      </font>
      <numFmt numFmtId="0" formatCode="General"/>
      <fill>
        <patternFill patternType="solid">
          <fgColor indexed="64"/>
          <bgColor theme="0"/>
        </patternFill>
      </fill>
    </dxf>
    <dxf>
      <fill>
        <patternFill patternType="solid">
          <fgColor indexed="64"/>
          <bgColor rgb="FFFF0000"/>
        </patternFill>
      </fill>
    </dxf>
    <dxf>
      <fill>
        <patternFill patternType="solid">
          <fgColor indexed="64"/>
          <bgColor rgb="FFFF0000"/>
        </patternFill>
      </fill>
    </dxf>
    <dxf>
      <fill>
        <patternFill patternType="solid">
          <fgColor indexed="64"/>
          <bgColor rgb="FFFF0000"/>
        </patternFill>
      </fill>
    </dxf>
    <dxf>
      <fill>
        <patternFill patternType="solid">
          <fgColor indexed="64"/>
          <bgColor rgb="FFFF0000"/>
        </patternFill>
      </fill>
    </dxf>
    <dxf>
      <fill>
        <patternFill patternType="solid">
          <fgColor indexed="64"/>
          <bgColor rgb="FFFF0000"/>
        </patternFill>
      </fill>
    </dxf>
    <dxf>
      <fill>
        <patternFill patternType="solid">
          <fgColor indexed="64"/>
          <bgColor rgb="FFFF0000"/>
        </patternFill>
      </fill>
    </dxf>
    <dxf>
      <fill>
        <patternFill patternType="solid">
          <fgColor indexed="64"/>
          <bgColor rgb="FFFF0000"/>
        </patternFill>
      </fill>
    </dxf>
    <dxf>
      <fill>
        <patternFill patternType="solid">
          <fgColor indexed="64"/>
          <bgColor rgb="FFFF0000"/>
        </patternFill>
      </fill>
    </dxf>
    <dxf>
      <font>
        <b val="0"/>
        <i val="0"/>
        <strike val="0"/>
        <condense val="0"/>
        <extend val="0"/>
        <outline val="0"/>
        <shadow val="0"/>
        <u val="none"/>
        <vertAlign val="baseline"/>
        <sz val="11"/>
        <color rgb="FFFFFF00"/>
        <name val="Calibri"/>
        <scheme val="none"/>
      </font>
      <fill>
        <patternFill patternType="solid">
          <fgColor indexed="64"/>
          <bgColor rgb="FFFF0000"/>
        </patternFill>
      </fill>
    </dxf>
    <dxf>
      <font>
        <b val="0"/>
        <i val="0"/>
        <strike val="0"/>
        <condense val="0"/>
        <extend val="0"/>
        <outline val="0"/>
        <shadow val="0"/>
        <u val="none"/>
        <vertAlign val="baseline"/>
        <sz val="11"/>
        <color rgb="FFFFFF00"/>
        <name val="Calibri"/>
        <scheme val="none"/>
      </font>
      <fill>
        <patternFill patternType="solid">
          <fgColor indexed="64"/>
          <bgColor rgb="FFFF0000"/>
        </patternFill>
      </fill>
    </dxf>
    <dxf>
      <font>
        <b val="0"/>
        <i val="0"/>
        <strike val="0"/>
        <condense val="0"/>
        <extend val="0"/>
        <outline val="0"/>
        <shadow val="0"/>
        <u val="none"/>
        <vertAlign val="baseline"/>
        <sz val="11"/>
        <color rgb="FFFFFF00"/>
        <name val="Calibri"/>
        <scheme val="none"/>
      </font>
      <fill>
        <patternFill patternType="solid">
          <fgColor indexed="64"/>
          <bgColor rgb="FFFF0000"/>
        </patternFill>
      </fill>
    </dxf>
    <dxf>
      <border outline="0">
        <left style="thin">
          <color rgb="FF000000"/>
        </left>
        <right style="thin">
          <color rgb="FF000000"/>
        </right>
        <top style="thin">
          <color rgb="FF000000"/>
        </top>
        <bottom style="thin">
          <color rgb="FF000000"/>
        </bottom>
      </border>
    </dxf>
    <dxf>
      <fill>
        <patternFill patternType="solid">
          <fgColor indexed="64"/>
          <bgColor rgb="FFFF0000"/>
        </patternFill>
      </fill>
    </dxf>
    <dxf>
      <border outline="0">
        <bottom style="thin">
          <color rgb="FF000000"/>
        </bottom>
      </border>
    </dxf>
    <dxf>
      <font>
        <b/>
        <i val="0"/>
        <strike val="0"/>
        <condense val="0"/>
        <extend val="0"/>
        <outline val="0"/>
        <shadow val="0"/>
        <u val="none"/>
        <vertAlign val="baseline"/>
        <sz val="11"/>
        <color rgb="FFFFFF00"/>
        <name val="Garamond"/>
        <family val="2"/>
        <scheme val="minor"/>
      </font>
      <fill>
        <patternFill patternType="solid">
          <fgColor indexed="64"/>
          <bgColor rgb="FFFF0000"/>
        </patternFill>
      </fill>
      <border diagonalUp="0" diagonalDown="0" outline="0">
        <left style="thin">
          <color rgb="FF000000"/>
        </left>
        <right style="thin">
          <color rgb="FF000000"/>
        </right>
        <top/>
        <bottom/>
      </border>
    </dxf>
    <dxf>
      <fill>
        <patternFill patternType="solid">
          <fgColor indexed="64"/>
          <bgColor rgb="FF00B0F0"/>
        </patternFill>
      </fill>
    </dxf>
    <dxf>
      <fill>
        <patternFill patternType="solid">
          <fgColor indexed="64"/>
          <bgColor rgb="FF00B0F0"/>
        </patternFill>
      </fill>
    </dxf>
    <dxf>
      <fill>
        <patternFill patternType="solid">
          <fgColor indexed="64"/>
          <bgColor rgb="FF00B0F0"/>
        </patternFill>
      </fill>
    </dxf>
    <dxf>
      <fill>
        <patternFill patternType="solid">
          <fgColor indexed="64"/>
          <bgColor rgb="FF00B0F0"/>
        </patternFill>
      </fill>
    </dxf>
    <dxf>
      <fill>
        <patternFill patternType="solid">
          <fgColor indexed="64"/>
          <bgColor rgb="FF00B0F0"/>
        </patternFill>
      </fill>
    </dxf>
    <dxf>
      <fill>
        <patternFill patternType="solid">
          <fgColor indexed="64"/>
          <bgColor rgb="FF00B0F0"/>
        </patternFill>
      </fill>
    </dxf>
    <dxf>
      <fill>
        <patternFill patternType="solid">
          <fgColor indexed="64"/>
          <bgColor rgb="FF00B0F0"/>
        </patternFill>
      </fill>
    </dxf>
    <dxf>
      <fill>
        <patternFill patternType="solid">
          <fgColor indexed="64"/>
          <bgColor rgb="FF00B0F0"/>
        </patternFill>
      </fill>
    </dxf>
    <dxf>
      <font>
        <name val="Calibri"/>
        <scheme val="none"/>
      </font>
      <fill>
        <patternFill patternType="solid">
          <fgColor indexed="64"/>
          <bgColor rgb="FF00B0F0"/>
        </patternFill>
      </fill>
    </dxf>
    <dxf>
      <font>
        <name val="Calibri"/>
        <scheme val="none"/>
      </font>
      <fill>
        <patternFill patternType="solid">
          <fgColor indexed="64"/>
          <bgColor rgb="FF00B0F0"/>
        </patternFill>
      </fill>
    </dxf>
    <dxf>
      <font>
        <name val="Calibri"/>
        <scheme val="none"/>
      </font>
      <fill>
        <patternFill patternType="solid">
          <fgColor indexed="64"/>
          <bgColor rgb="FF00B0F0"/>
        </patternFill>
      </fill>
      <alignment horizontal="center" vertical="bottom" textRotation="0" wrapText="0" indent="0" justifyLastLine="0" shrinkToFit="0" readingOrder="0"/>
    </dxf>
    <dxf>
      <border outline="0">
        <top style="thin">
          <color rgb="FF000000"/>
        </top>
      </border>
    </dxf>
    <dxf>
      <border outline="0">
        <left style="thin">
          <color rgb="FF000000"/>
        </left>
        <right style="thin">
          <color rgb="FF000000"/>
        </right>
        <top style="thin">
          <color rgb="FF000000"/>
        </top>
        <bottom style="thin">
          <color rgb="FF000000"/>
        </bottom>
      </border>
    </dxf>
    <dxf>
      <fill>
        <patternFill patternType="solid">
          <fgColor indexed="64"/>
          <bgColor rgb="FF00B0F0"/>
        </patternFill>
      </fill>
    </dxf>
    <dxf>
      <border outline="0">
        <bottom style="thin">
          <color rgb="FF000000"/>
        </bottom>
      </border>
    </dxf>
    <dxf>
      <font>
        <b/>
        <i val="0"/>
        <strike val="0"/>
        <condense val="0"/>
        <extend val="0"/>
        <outline val="0"/>
        <shadow val="0"/>
        <u val="none"/>
        <vertAlign val="baseline"/>
        <sz val="11"/>
        <color theme="1"/>
        <name val="Garamond"/>
        <family val="2"/>
        <scheme val="minor"/>
      </font>
      <fill>
        <patternFill patternType="solid">
          <fgColor indexed="64"/>
          <bgColor rgb="FF00B0F0"/>
        </patternFill>
      </fill>
      <border diagonalUp="0" diagonalDown="0">
        <left style="thin">
          <color rgb="FF000000"/>
        </left>
        <right style="thin">
          <color rgb="FF000000"/>
        </right>
        <top/>
        <bottom/>
      </border>
    </dxf>
    <dxf>
      <fill>
        <patternFill patternType="solid">
          <fgColor indexed="64"/>
          <bgColor rgb="FFFFC000"/>
        </patternFill>
      </fill>
    </dxf>
    <dxf>
      <fill>
        <patternFill patternType="solid">
          <fgColor indexed="64"/>
          <bgColor rgb="FFFFC000"/>
        </patternFill>
      </fill>
    </dxf>
    <dxf>
      <numFmt numFmtId="1" formatCode="0"/>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ill>
        <patternFill patternType="solid">
          <fgColor indexed="64"/>
          <bgColor rgb="FFFFC000"/>
        </patternFill>
      </fill>
    </dxf>
    <dxf>
      <font>
        <b val="0"/>
        <i val="0"/>
        <strike val="0"/>
        <condense val="0"/>
        <extend val="0"/>
        <outline val="0"/>
        <shadow val="0"/>
        <u val="none"/>
        <vertAlign val="baseline"/>
        <sz val="11"/>
        <color theme="1"/>
        <name val="Calibri"/>
        <scheme val="none"/>
      </font>
      <fill>
        <patternFill patternType="solid">
          <fgColor indexed="64"/>
          <bgColor rgb="FFFFC000"/>
        </patternFill>
      </fill>
    </dxf>
    <dxf>
      <font>
        <b val="0"/>
        <i val="0"/>
        <strike val="0"/>
        <condense val="0"/>
        <extend val="0"/>
        <outline val="0"/>
        <shadow val="0"/>
        <u val="none"/>
        <vertAlign val="baseline"/>
        <sz val="11"/>
        <color theme="1"/>
        <name val="Calibri"/>
        <scheme val="none"/>
      </font>
      <fill>
        <patternFill patternType="solid">
          <fgColor indexed="64"/>
          <bgColor rgb="FFFFC000"/>
        </patternFill>
      </fill>
    </dxf>
    <dxf>
      <font>
        <b val="0"/>
        <i val="0"/>
        <strike val="0"/>
        <condense val="0"/>
        <extend val="0"/>
        <outline val="0"/>
        <shadow val="0"/>
        <u val="none"/>
        <vertAlign val="baseline"/>
        <sz val="11"/>
        <color theme="1"/>
        <name val="Calibri"/>
        <scheme val="none"/>
      </font>
      <fill>
        <patternFill patternType="solid">
          <fgColor indexed="64"/>
          <bgColor rgb="FFFFC000"/>
        </patternFill>
      </fill>
    </dxf>
    <dxf>
      <border outline="0">
        <right style="thin">
          <color rgb="FF000000"/>
        </right>
        <top style="thin">
          <color rgb="FF000000"/>
        </top>
        <bottom style="thin">
          <color rgb="FF000000"/>
        </bottom>
      </border>
    </dxf>
    <dxf>
      <fill>
        <patternFill patternType="solid">
          <fgColor indexed="64"/>
          <bgColor rgb="FFFFC000"/>
        </patternFill>
      </fill>
    </dxf>
    <dxf>
      <border outline="0">
        <bottom style="thin">
          <color rgb="FF000000"/>
        </bottom>
      </border>
    </dxf>
    <dxf>
      <font>
        <b/>
        <i val="0"/>
        <strike val="0"/>
        <condense val="0"/>
        <extend val="0"/>
        <outline val="0"/>
        <shadow val="0"/>
        <u val="none"/>
        <vertAlign val="baseline"/>
        <sz val="11"/>
        <color theme="1"/>
        <name val="Garamond"/>
        <family val="2"/>
        <scheme val="minor"/>
      </font>
      <fill>
        <patternFill patternType="solid">
          <fgColor indexed="64"/>
          <bgColor rgb="FFFFC000"/>
        </patternFill>
      </fill>
      <border diagonalUp="0" diagonalDown="0" outline="0">
        <left style="thin">
          <color rgb="FF000000"/>
        </left>
        <right style="thin">
          <color rgb="FF000000"/>
        </right>
        <top/>
        <bottom/>
      </border>
    </dxf>
    <dxf>
      <font>
        <color theme="2"/>
      </font>
      <fill>
        <patternFill patternType="solid">
          <fgColor indexed="64"/>
          <bgColor theme="9"/>
        </patternFill>
      </fill>
    </dxf>
    <dxf>
      <fill>
        <patternFill patternType="solid">
          <fgColor indexed="64"/>
          <bgColor theme="9"/>
        </patternFill>
      </fill>
    </dxf>
    <dxf>
      <fill>
        <patternFill patternType="solid">
          <fgColor indexed="64"/>
          <bgColor theme="9"/>
        </patternFill>
      </fill>
    </dxf>
    <dxf>
      <font>
        <b val="0"/>
        <i val="0"/>
        <strike val="0"/>
        <condense val="0"/>
        <extend val="0"/>
        <outline val="0"/>
        <shadow val="0"/>
        <u val="none"/>
        <vertAlign val="baseline"/>
        <sz val="11"/>
        <color theme="0"/>
        <name val="Garamond"/>
        <family val="2"/>
        <scheme val="minor"/>
      </font>
      <fill>
        <patternFill patternType="solid">
          <fgColor indexed="64"/>
          <bgColor theme="9"/>
        </patternFill>
      </fill>
    </dxf>
    <dxf>
      <font>
        <b val="0"/>
        <i val="0"/>
        <strike val="0"/>
        <condense val="0"/>
        <extend val="0"/>
        <outline val="0"/>
        <shadow val="0"/>
        <u val="none"/>
        <vertAlign val="baseline"/>
        <sz val="11"/>
        <color theme="0"/>
        <name val="Garamond"/>
        <family val="2"/>
        <scheme val="minor"/>
      </font>
      <fill>
        <patternFill patternType="solid">
          <fgColor indexed="64"/>
          <bgColor theme="9"/>
        </patternFill>
      </fill>
    </dxf>
    <dxf>
      <font>
        <b val="0"/>
        <i val="0"/>
        <strike val="0"/>
        <condense val="0"/>
        <extend val="0"/>
        <outline val="0"/>
        <shadow val="0"/>
        <u val="none"/>
        <vertAlign val="baseline"/>
        <sz val="11"/>
        <color theme="0"/>
        <name val="Garamond"/>
        <family val="2"/>
        <scheme val="minor"/>
      </font>
      <fill>
        <patternFill patternType="solid">
          <fgColor indexed="64"/>
          <bgColor theme="9"/>
        </patternFill>
      </fill>
    </dxf>
    <dxf>
      <font>
        <b val="0"/>
        <i val="0"/>
        <strike val="0"/>
        <condense val="0"/>
        <extend val="0"/>
        <outline val="0"/>
        <shadow val="0"/>
        <u val="none"/>
        <vertAlign val="baseline"/>
        <sz val="11"/>
        <color theme="0"/>
        <name val="Garamond"/>
        <scheme val="minor"/>
      </font>
      <fill>
        <patternFill patternType="solid">
          <fgColor indexed="64"/>
          <bgColor theme="9"/>
        </patternFill>
      </fill>
    </dxf>
    <dxf>
      <font>
        <b val="0"/>
        <i val="0"/>
        <strike val="0"/>
        <condense val="0"/>
        <extend val="0"/>
        <outline val="0"/>
        <shadow val="0"/>
        <u val="none"/>
        <vertAlign val="baseline"/>
        <sz val="11"/>
        <color theme="0"/>
        <name val="Garamond"/>
        <scheme val="minor"/>
      </font>
      <fill>
        <patternFill patternType="solid">
          <fgColor indexed="64"/>
          <bgColor theme="9"/>
        </patternFill>
      </fill>
    </dxf>
    <dxf>
      <font>
        <b val="0"/>
        <i val="0"/>
        <strike val="0"/>
        <condense val="0"/>
        <extend val="0"/>
        <outline val="0"/>
        <shadow val="0"/>
        <u val="none"/>
        <vertAlign val="baseline"/>
        <sz val="11"/>
        <color theme="0"/>
        <name val="Calibri"/>
        <scheme val="none"/>
      </font>
      <fill>
        <patternFill patternType="solid">
          <fgColor indexed="64"/>
          <bgColor theme="9"/>
        </patternFill>
      </fill>
    </dxf>
    <dxf>
      <font>
        <b val="0"/>
        <i val="0"/>
        <strike val="0"/>
        <condense val="0"/>
        <extend val="0"/>
        <outline val="0"/>
        <shadow val="0"/>
        <u val="none"/>
        <vertAlign val="baseline"/>
        <sz val="11"/>
        <color theme="0"/>
        <name val="Calibri"/>
        <scheme val="none"/>
      </font>
      <fill>
        <patternFill patternType="solid">
          <fgColor indexed="64"/>
          <bgColor theme="9"/>
        </patternFill>
      </fill>
    </dxf>
    <dxf>
      <font>
        <b val="0"/>
        <i val="0"/>
        <strike val="0"/>
        <condense val="0"/>
        <extend val="0"/>
        <outline val="0"/>
        <shadow val="0"/>
        <u val="none"/>
        <vertAlign val="baseline"/>
        <sz val="11"/>
        <color theme="0"/>
        <name val="Calibri"/>
        <scheme val="none"/>
      </font>
      <fill>
        <patternFill patternType="solid">
          <fgColor indexed="64"/>
          <bgColor theme="9"/>
        </patternFill>
      </fill>
    </dxf>
    <dxf>
      <border outline="0">
        <right style="thin">
          <color rgb="FF000000"/>
        </right>
        <top style="thin">
          <color rgb="FF000000"/>
        </top>
        <bottom style="thin">
          <color rgb="FF000000"/>
        </bottom>
      </border>
    </dxf>
    <dxf>
      <border outline="0">
        <bottom style="thin">
          <color rgb="FF000000"/>
        </bottom>
      </border>
    </dxf>
    <dxf>
      <font>
        <b val="0"/>
        <i val="0"/>
        <strike val="0"/>
        <condense val="0"/>
        <extend val="0"/>
        <outline val="0"/>
        <shadow val="0"/>
        <u val="none"/>
        <vertAlign val="baseline"/>
        <sz val="11"/>
        <color theme="0"/>
        <name val="Garamond"/>
        <family val="2"/>
        <scheme val="minor"/>
      </font>
      <fill>
        <patternFill patternType="solid">
          <fgColor indexed="64"/>
          <bgColor theme="9"/>
        </patternFill>
      </fill>
      <border diagonalUp="0" diagonalDown="0" outline="0">
        <left style="thin">
          <color rgb="FF000000"/>
        </left>
        <right style="thin">
          <color rgb="FF000000"/>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theme="5" tint="0.39994506668294322"/>
        </patternFill>
      </fill>
    </dxf>
    <dxf>
      <border>
        <right style="thin">
          <color indexed="64"/>
        </right>
      </border>
    </dxf>
    <dxf>
      <border>
        <right style="thin">
          <color indexed="64"/>
        </right>
      </bord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border outline="0">
        <left style="thin">
          <color indexed="64"/>
        </left>
      </border>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border outline="0">
        <left style="thin">
          <color indexed="64"/>
        </left>
      </border>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border outline="0">
        <left style="thin">
          <color indexed="64"/>
        </left>
      </border>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border outline="0">
        <left style="thin">
          <color indexed="64"/>
        </left>
      </border>
    </dxf>
    <dxf>
      <font>
        <b val="0"/>
        <i val="0"/>
        <strike val="0"/>
        <condense val="0"/>
        <extend val="0"/>
        <outline val="0"/>
        <shadow val="0"/>
        <u val="none"/>
        <vertAlign val="baseline"/>
        <sz val="11"/>
        <color theme="1"/>
        <name val="Garamond"/>
        <family val="2"/>
        <scheme val="minor"/>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ill>
        <patternFill>
          <bgColor theme="4"/>
        </patternFill>
      </fill>
    </dxf>
    <dxf>
      <fill>
        <patternFill>
          <bgColor theme="4"/>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0"/>
        </patternFill>
      </fill>
    </dxf>
    <dxf>
      <fill>
        <patternFill>
          <bgColor theme="4"/>
        </patternFill>
      </fill>
    </dxf>
    <dxf>
      <fill>
        <patternFill>
          <bgColor theme="4"/>
        </patternFill>
      </fill>
    </dxf>
    <dxf>
      <fill>
        <patternFill>
          <bgColor theme="4"/>
        </patternFill>
      </fill>
    </dxf>
    <dxf>
      <font>
        <color rgb="FF9C5700"/>
      </font>
      <fill>
        <patternFill>
          <bgColor rgb="FFFFEB9C"/>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none">
          <fgColor indexed="64"/>
          <bgColor auto="1"/>
        </patternFill>
      </fill>
    </dxf>
    <dxf>
      <font>
        <b val="0"/>
        <i val="0"/>
        <strike val="0"/>
        <condense val="0"/>
        <extend val="0"/>
        <outline val="0"/>
        <shadow val="0"/>
        <u val="none"/>
        <vertAlign val="baseline"/>
        <sz val="11"/>
        <color rgb="FF000000"/>
        <name val="Calibri"/>
        <scheme val="none"/>
      </font>
      <fill>
        <patternFill patternType="none">
          <fgColor indexed="64"/>
          <bgColor auto="1"/>
        </patternFill>
      </fill>
    </dxf>
    <dxf>
      <font>
        <b val="0"/>
        <i val="0"/>
        <strike val="0"/>
        <condense val="0"/>
        <extend val="0"/>
        <outline val="0"/>
        <shadow val="0"/>
        <u val="none"/>
        <vertAlign val="baseline"/>
        <sz val="11"/>
        <color rgb="FF000000"/>
        <name val="Calibri"/>
        <family val="2"/>
        <scheme val="none"/>
      </font>
      <fill>
        <patternFill patternType="none">
          <fgColor indexed="64"/>
          <bgColor auto="1"/>
        </patternFill>
      </fill>
    </dxf>
    <dxf>
      <font>
        <b val="0"/>
        <i val="0"/>
        <strike val="0"/>
        <condense val="0"/>
        <extend val="0"/>
        <outline val="0"/>
        <shadow val="0"/>
        <u val="none"/>
        <vertAlign val="baseline"/>
        <sz val="11"/>
        <color rgb="FF000000"/>
        <name val="Calibri"/>
        <scheme val="none"/>
      </font>
      <fill>
        <patternFill patternType="none">
          <fgColor indexed="64"/>
          <bgColor auto="1"/>
        </patternFill>
      </fill>
    </dxf>
    <dxf>
      <font>
        <b val="0"/>
        <i val="0"/>
        <strike val="0"/>
        <condense val="0"/>
        <extend val="0"/>
        <outline val="0"/>
        <shadow val="0"/>
        <u val="none"/>
        <vertAlign val="baseline"/>
        <sz val="11"/>
        <color theme="1"/>
        <name val="Garamond"/>
        <family val="2"/>
        <scheme val="minor"/>
      </font>
      <fill>
        <patternFill patternType="none">
          <fgColor indexed="64"/>
          <bgColor auto="1"/>
        </patternFill>
      </fill>
    </dxf>
    <dxf>
      <font>
        <b val="0"/>
        <i val="0"/>
        <strike val="0"/>
        <condense val="0"/>
        <extend val="0"/>
        <outline val="0"/>
        <shadow val="0"/>
        <u val="none"/>
        <vertAlign val="baseline"/>
        <sz val="11"/>
        <color theme="1"/>
        <name val="Garamond"/>
        <scheme val="minor"/>
      </font>
      <fill>
        <patternFill patternType="none">
          <fgColor indexed="64"/>
          <bgColor auto="1"/>
        </patternFill>
      </fill>
    </dxf>
    <dxf>
      <font>
        <b val="0"/>
        <i val="0"/>
        <strike val="0"/>
        <condense val="0"/>
        <extend val="0"/>
        <outline val="0"/>
        <shadow val="0"/>
        <u val="none"/>
        <vertAlign val="baseline"/>
        <sz val="11"/>
        <color rgb="FF000000"/>
        <name val="Calibri"/>
        <family val="2"/>
        <scheme val="none"/>
      </font>
      <fill>
        <patternFill patternType="none">
          <fgColor indexed="64"/>
          <bgColor auto="1"/>
        </patternFill>
      </fill>
    </dxf>
    <dxf>
      <font>
        <b val="0"/>
        <i val="0"/>
        <strike val="0"/>
        <condense val="0"/>
        <extend val="0"/>
        <outline val="0"/>
        <shadow val="0"/>
        <u val="none"/>
        <vertAlign val="baseline"/>
        <sz val="11"/>
        <color rgb="FF000000"/>
        <name val="Calibri"/>
        <scheme val="none"/>
      </font>
      <fill>
        <patternFill patternType="none">
          <fgColor indexed="64"/>
          <bgColor auto="1"/>
        </patternFill>
      </fill>
    </dxf>
    <dxf>
      <font>
        <b val="0"/>
        <i val="0"/>
        <strike val="0"/>
        <condense val="0"/>
        <extend val="0"/>
        <outline val="0"/>
        <shadow val="0"/>
        <u val="none"/>
        <vertAlign val="baseline"/>
        <sz val="11"/>
        <color rgb="FF000000"/>
        <name val="Calibri"/>
        <family val="2"/>
        <scheme val="none"/>
      </font>
      <fill>
        <patternFill patternType="none">
          <fgColor indexed="64"/>
          <bgColor auto="1"/>
        </patternFill>
      </fill>
    </dxf>
    <dxf>
      <font>
        <b val="0"/>
        <i val="0"/>
        <strike val="0"/>
        <condense val="0"/>
        <extend val="0"/>
        <outline val="0"/>
        <shadow val="0"/>
        <u val="none"/>
        <vertAlign val="baseline"/>
        <sz val="11"/>
        <color rgb="FF000000"/>
        <name val="Calibri"/>
        <scheme val="none"/>
      </font>
      <fill>
        <patternFill patternType="none">
          <fgColor indexed="64"/>
          <bgColor auto="1"/>
        </patternFill>
      </fill>
    </dxf>
    <dxf>
      <font>
        <b val="0"/>
        <i val="0"/>
        <strike val="0"/>
        <condense val="0"/>
        <extend val="0"/>
        <outline val="0"/>
        <shadow val="0"/>
        <u val="none"/>
        <vertAlign val="baseline"/>
        <sz val="11"/>
        <color rgb="FF000000"/>
        <name val="Calibri"/>
        <family val="2"/>
        <scheme val="none"/>
      </font>
      <fill>
        <patternFill patternType="none">
          <fgColor indexed="64"/>
          <bgColor auto="1"/>
        </patternFill>
      </fill>
    </dxf>
    <dxf>
      <font>
        <b val="0"/>
        <i val="0"/>
        <strike val="0"/>
        <condense val="0"/>
        <extend val="0"/>
        <outline val="0"/>
        <shadow val="0"/>
        <u val="none"/>
        <vertAlign val="baseline"/>
        <sz val="11"/>
        <color rgb="FF000000"/>
        <name val="Calibri"/>
        <scheme val="none"/>
      </font>
      <fill>
        <patternFill patternType="none">
          <fgColor indexed="64"/>
          <bgColor auto="1"/>
        </patternFill>
      </fill>
    </dxf>
    <dxf>
      <fill>
        <patternFill patternType="none">
          <fgColor indexed="64"/>
          <bgColor auto="1"/>
        </patternFill>
      </fill>
    </dxf>
    <dxf>
      <border outline="0">
        <left style="thin">
          <color rgb="FF000000"/>
        </left>
      </border>
    </dxf>
    <dxf>
      <font>
        <b val="0"/>
        <i val="0"/>
        <strike val="0"/>
        <condense val="0"/>
        <extend val="0"/>
        <outline val="0"/>
        <shadow val="0"/>
        <u val="none"/>
        <vertAlign val="baseline"/>
        <sz val="11"/>
        <color rgb="FF000000"/>
        <name val="Aptos Narrow"/>
        <scheme val="none"/>
      </font>
      <fill>
        <patternFill patternType="none">
          <fgColor indexed="64"/>
          <bgColor auto="1"/>
        </patternFill>
      </fill>
    </dxf>
    <dxf>
      <font>
        <b/>
        <i val="0"/>
        <strike val="0"/>
        <condense val="0"/>
        <extend val="0"/>
        <outline val="0"/>
        <shadow val="0"/>
        <u val="none"/>
        <vertAlign val="baseline"/>
        <sz val="11"/>
        <color rgb="FF000000"/>
        <name val="Calibri"/>
        <scheme val="none"/>
      </font>
      <fill>
        <patternFill patternType="none">
          <fgColor indexed="64"/>
          <bgColor auto="1"/>
        </patternFill>
      </fill>
      <border diagonalUp="0" diagonalDown="0" outline="0">
        <left style="thin">
          <color indexed="64"/>
        </left>
        <right style="thin">
          <color indexed="64"/>
        </right>
        <top/>
        <bottom/>
      </border>
    </dxf>
    <dxf>
      <fill>
        <patternFill patternType="darkHorizontal">
          <fgColor theme="7" tint="0.39994506668294322"/>
        </patternFill>
      </fill>
      <border>
        <left style="mediumDashDotDot">
          <color auto="1"/>
        </left>
        <right style="mediumDashDotDot">
          <color auto="1"/>
        </right>
        <top style="mediumDashDotDot">
          <color auto="1"/>
        </top>
        <bottom style="mediumDashDotDot">
          <color auto="1"/>
        </bottom>
        <vertical style="mediumDashDotDot">
          <color auto="1"/>
        </vertical>
      </border>
    </dxf>
  </dxfs>
  <tableStyles count="2" defaultTableStyle="TableStyleMedium2" defaultPivotStyle="PivotStyleLight16">
    <tableStyle name="PivotTable Style 1" table="0" count="0" xr9:uid="{E5E6D0EE-76AD-46EA-87A1-3BD072EC6274}"/>
    <tableStyle name="Table Style 3" pivot="0" count="1" xr9:uid="{5A1F1467-F808-4C9D-92D1-7C331AE98286}">
      <tableStyleElement type="wholeTable" dxfId="296"/>
    </tableStyle>
  </tableStyles>
  <colors>
    <mruColors>
      <color rgb="FF191919"/>
      <color rgb="FF1B1B1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microsoft.com/office/2007/relationships/slicerCache" Target="slicerCaches/slicerCache1.xml"/><Relationship Id="rId39"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pivotCacheDefinition" Target="pivotCache/pivotCacheDefinition4.xml"/><Relationship Id="rId34" Type="http://schemas.openxmlformats.org/officeDocument/2006/relationships/sheetMetadata" Target="metadata.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pivotCacheDefinition" Target="pivotCache/pivotCacheDefinition8.xml"/><Relationship Id="rId33" Type="http://schemas.openxmlformats.org/officeDocument/2006/relationships/sharedStrings" Target="sharedStrings.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pivotCacheDefinition" Target="pivotCache/pivotCacheDefinition3.xml"/><Relationship Id="rId29" Type="http://schemas.microsoft.com/office/2007/relationships/slicerCache" Target="slicerCaches/slicerCache4.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7.xml"/><Relationship Id="rId32" Type="http://schemas.openxmlformats.org/officeDocument/2006/relationships/styles" Target="style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6.xml"/><Relationship Id="rId28" Type="http://schemas.microsoft.com/office/2007/relationships/slicerCache" Target="slicerCaches/slicerCache3.xml"/><Relationship Id="rId36" Type="http://schemas.microsoft.com/office/2022/11/relationships/FeaturePropertyBag" Target="featurePropertyBag/featurePropertyBag.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5.xml"/><Relationship Id="rId27" Type="http://schemas.microsoft.com/office/2007/relationships/slicerCache" Target="slicerCaches/slicerCache2.xml"/><Relationship Id="rId30" Type="http://schemas.openxmlformats.org/officeDocument/2006/relationships/theme" Target="theme/theme1.xml"/><Relationship Id="rId35" Type="http://schemas.openxmlformats.org/officeDocument/2006/relationships/powerPivotData" Target="model/item.data"/></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Libary fees Term 1</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'Library Fees'!$H$39</c:f>
              <c:strCache>
                <c:ptCount val="1"/>
                <c:pt idx="0">
                  <c:v>Fees</c:v>
                </c:pt>
              </c:strCache>
            </c:strRef>
          </c:tx>
          <c:spPr>
            <a:solidFill>
              <a:schemeClr val="accent6"/>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'Library Fees'!$B$40:$C$66</c:f>
              <c:multiLvlStrCache>
                <c:ptCount val="27"/>
                <c:lvl>
                  <c:pt idx="0">
                    <c:v>Flora</c:v>
                  </c:pt>
                  <c:pt idx="1">
                    <c:v>Zac</c:v>
                  </c:pt>
                  <c:pt idx="2">
                    <c:v>Sanjay</c:v>
                  </c:pt>
                  <c:pt idx="3">
                    <c:v>Perry</c:v>
                  </c:pt>
                  <c:pt idx="4">
                    <c:v>Allen</c:v>
                  </c:pt>
                  <c:pt idx="5">
                    <c:v>Ezra</c:v>
                  </c:pt>
                  <c:pt idx="6">
                    <c:v>Anya</c:v>
                  </c:pt>
                  <c:pt idx="7">
                    <c:v>Ethan</c:v>
                  </c:pt>
                  <c:pt idx="8">
                    <c:v>Aditya</c:v>
                  </c:pt>
                  <c:pt idx="9">
                    <c:v>Cory</c:v>
                  </c:pt>
                  <c:pt idx="10">
                    <c:v>John</c:v>
                  </c:pt>
                  <c:pt idx="11">
                    <c:v>Paul</c:v>
                  </c:pt>
                  <c:pt idx="12">
                    <c:v>Salman</c:v>
                  </c:pt>
                  <c:pt idx="13">
                    <c:v>Sakura</c:v>
                  </c:pt>
                  <c:pt idx="14">
                    <c:v>Charlie</c:v>
                  </c:pt>
                  <c:pt idx="15">
                    <c:v>Demi</c:v>
                  </c:pt>
                  <c:pt idx="16">
                    <c:v>Saif Ali</c:v>
                  </c:pt>
                  <c:pt idx="17">
                    <c:v>Joesph</c:v>
                  </c:pt>
                  <c:pt idx="18">
                    <c:v>Alexia</c:v>
                  </c:pt>
                  <c:pt idx="19">
                    <c:v>Eren</c:v>
                  </c:pt>
                  <c:pt idx="20">
                    <c:v>Ssammie</c:v>
                  </c:pt>
                  <c:pt idx="21">
                    <c:v>Omar</c:v>
                  </c:pt>
                  <c:pt idx="22">
                    <c:v>Solomon</c:v>
                  </c:pt>
                  <c:pt idx="23">
                    <c:v>Sherlock</c:v>
                  </c:pt>
                  <c:pt idx="24">
                    <c:v>Matthew</c:v>
                  </c:pt>
                  <c:pt idx="25">
                    <c:v>Valentina</c:v>
                  </c:pt>
                  <c:pt idx="26">
                    <c:v>Eddie</c:v>
                  </c:pt>
                </c:lvl>
                <c:lvl>
                  <c:pt idx="0">
                    <c:v>Newton</c:v>
                  </c:pt>
                  <c:pt idx="1">
                    <c:v>Gallen</c:v>
                  </c:pt>
                  <c:pt idx="2">
                    <c:v>Kapoor</c:v>
                  </c:pt>
                  <c:pt idx="3">
                    <c:v>Singleton</c:v>
                  </c:pt>
                  <c:pt idx="4">
                    <c:v>Walker</c:v>
                  </c:pt>
                  <c:pt idx="5">
                    <c:v>Scarlet</c:v>
                  </c:pt>
                  <c:pt idx="6">
                    <c:v>Forger</c:v>
                  </c:pt>
                  <c:pt idx="7">
                    <c:v>Hunt</c:v>
                  </c:pt>
                  <c:pt idx="8">
                    <c:v>Kapur</c:v>
                  </c:pt>
                  <c:pt idx="9">
                    <c:v>Zimmerman</c:v>
                  </c:pt>
                  <c:pt idx="10">
                    <c:v>Park</c:v>
                  </c:pt>
                  <c:pt idx="11">
                    <c:v>Heyman </c:v>
                  </c:pt>
                  <c:pt idx="12">
                    <c:v>Khan</c:v>
                  </c:pt>
                  <c:pt idx="13">
                    <c:v>Best</c:v>
                  </c:pt>
                  <c:pt idx="14">
                    <c:v>Reynolds</c:v>
                  </c:pt>
                  <c:pt idx="15">
                    <c:v>Watkins</c:v>
                  </c:pt>
                  <c:pt idx="16">
                    <c:v>Khan</c:v>
                  </c:pt>
                  <c:pt idx="17">
                    <c:v>Frank</c:v>
                  </c:pt>
                  <c:pt idx="18">
                    <c:v>Thorne</c:v>
                  </c:pt>
                  <c:pt idx="19">
                    <c:v>Yeager</c:v>
                  </c:pt>
                  <c:pt idx="20">
                    <c:v>Reid</c:v>
                  </c:pt>
                  <c:pt idx="21">
                    <c:v>Lopez</c:v>
                  </c:pt>
                  <c:pt idx="22">
                    <c:v>Townsend</c:v>
                  </c:pt>
                  <c:pt idx="23">
                    <c:v>Holmes</c:v>
                  </c:pt>
                  <c:pt idx="24">
                    <c:v>Brady</c:v>
                  </c:pt>
                  <c:pt idx="25">
                    <c:v>Valentine</c:v>
                  </c:pt>
                  <c:pt idx="26">
                    <c:v>Sherman</c:v>
                  </c:pt>
                </c:lvl>
              </c:multiLvlStrCache>
            </c:multiLvlStrRef>
          </c:cat>
          <c:val>
            <c:numRef>
              <c:f>'Library Fees'!$H$40:$H$66</c:f>
              <c:numCache>
                <c:formatCode>_([$$-409]* #,##0.00_);_([$$-409]* \(#,##0.00\);_([$$-409]* "-"??_);_(@_)</c:formatCode>
                <c:ptCount val="27"/>
                <c:pt idx="0">
                  <c:v>4.99</c:v>
                </c:pt>
                <c:pt idx="1">
                  <c:v>0</c:v>
                </c:pt>
                <c:pt idx="2">
                  <c:v>29.94</c:v>
                </c:pt>
                <c:pt idx="3">
                  <c:v>29.94</c:v>
                </c:pt>
                <c:pt idx="4">
                  <c:v>29.94</c:v>
                </c:pt>
                <c:pt idx="5">
                  <c:v>0</c:v>
                </c:pt>
                <c:pt idx="6">
                  <c:v>0</c:v>
                </c:pt>
                <c:pt idx="7">
                  <c:v>0</c:v>
                </c:pt>
                <c:pt idx="8">
                  <c:v>0</c:v>
                </c:pt>
                <c:pt idx="9">
                  <c:v>19.96</c:v>
                </c:pt>
                <c:pt idx="10">
                  <c:v>0</c:v>
                </c:pt>
                <c:pt idx="11">
                  <c:v>14.97</c:v>
                </c:pt>
                <c:pt idx="12">
                  <c:v>9.98</c:v>
                </c:pt>
                <c:pt idx="13">
                  <c:v>34.93</c:v>
                </c:pt>
                <c:pt idx="14">
                  <c:v>44.910000000000004</c:v>
                </c:pt>
                <c:pt idx="15">
                  <c:v>0</c:v>
                </c:pt>
                <c:pt idx="16">
                  <c:v>0</c:v>
                </c:pt>
                <c:pt idx="17">
                  <c:v>0</c:v>
                </c:pt>
                <c:pt idx="18">
                  <c:v>0</c:v>
                </c:pt>
                <c:pt idx="19">
                  <c:v>4.99</c:v>
                </c:pt>
                <c:pt idx="20">
                  <c:v>0</c:v>
                </c:pt>
                <c:pt idx="21">
                  <c:v>19.96</c:v>
                </c:pt>
                <c:pt idx="22">
                  <c:v>0</c:v>
                </c:pt>
                <c:pt idx="23">
                  <c:v>14.97</c:v>
                </c:pt>
                <c:pt idx="24">
                  <c:v>0</c:v>
                </c:pt>
                <c:pt idx="25">
                  <c:v>0</c:v>
                </c:pt>
                <c:pt idx="26">
                  <c:v>0</c:v>
                </c:pt>
              </c:numCache>
            </c:numRef>
          </c:val>
          <c:extLst>
            <c:ext xmlns:c16="http://schemas.microsoft.com/office/drawing/2014/chart" uri="{C3380CC4-5D6E-409C-BE32-E72D297353CC}">
              <c16:uniqueId val="{00000000-68A6-4A75-BA35-10E9BEDC6970}"/>
            </c:ext>
          </c:extLst>
        </c:ser>
        <c:dLbls>
          <c:dLblPos val="outEnd"/>
          <c:showLegendKey val="0"/>
          <c:showVal val="1"/>
          <c:showCatName val="0"/>
          <c:showSerName val="0"/>
          <c:showPercent val="0"/>
          <c:showBubbleSize val="0"/>
        </c:dLbls>
        <c:gapWidth val="444"/>
        <c:overlap val="-90"/>
        <c:axId val="1551428104"/>
        <c:axId val="1551439368"/>
      </c:barChart>
      <c:catAx>
        <c:axId val="155142810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Students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551439368"/>
        <c:crosses val="autoZero"/>
        <c:auto val="1"/>
        <c:lblAlgn val="ctr"/>
        <c:lblOffset val="100"/>
        <c:noMultiLvlLbl val="0"/>
      </c:catAx>
      <c:valAx>
        <c:axId val="1551439368"/>
        <c:scaling>
          <c:orientation val="minMax"/>
        </c:scaling>
        <c:delete val="0"/>
        <c:axPos val="l"/>
        <c:numFmt formatCode="_([$$-409]* #,##0.00_);_([$$-409]* \(#,##0.00\);_([$$-409]*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1428104"/>
        <c:crosses val="autoZero"/>
        <c:crossBetween val="between"/>
      </c:valAx>
      <c:dTable>
        <c:showHorzBorder val="1"/>
        <c:showVertBorder val="1"/>
        <c:showOutline val="1"/>
        <c:showKeys val="1"/>
        <c:spPr>
          <a:solidFill>
            <a:schemeClr val="bg1"/>
          </a:solid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Internships based on Classes</a:t>
            </a:r>
          </a:p>
          <a:p>
            <a:pPr>
              <a:defRPr/>
            </a:pP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6.0620091000842743E-2"/>
          <c:y val="0.13205915655649267"/>
          <c:w val="0.93937990899915724"/>
          <c:h val="0.68701947595709201"/>
        </c:manualLayout>
      </c:layout>
      <c:barChart>
        <c:barDir val="col"/>
        <c:grouping val="clustered"/>
        <c:varyColors val="0"/>
        <c:ser>
          <c:idx val="0"/>
          <c:order val="0"/>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3A29-43EE-942C-F481F6BE4202}"/>
            </c:ext>
          </c:extLst>
        </c:ser>
        <c:ser>
          <c:idx val="1"/>
          <c:order val="1"/>
          <c:spPr>
            <a:blipFill>
              <a:blip xmlns:r="http://schemas.openxmlformats.org/officeDocument/2006/relationships" r:embed="rId3">
                <a:duotone>
                  <a:schemeClr val="accent2">
                    <a:shade val="74000"/>
                    <a:satMod val="130000"/>
                    <a:lumMod val="90000"/>
                  </a:schemeClr>
                  <a:schemeClr val="accent2">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3A29-43EE-942C-F481F6BE4202}"/>
            </c:ext>
          </c:extLst>
        </c:ser>
        <c:ser>
          <c:idx val="2"/>
          <c:order val="2"/>
          <c:spPr>
            <a:blipFill>
              <a:blip xmlns:r="http://schemas.openxmlformats.org/officeDocument/2006/relationships" r:embed="rId3">
                <a:duotone>
                  <a:schemeClr val="accent3">
                    <a:shade val="74000"/>
                    <a:satMod val="130000"/>
                    <a:lumMod val="90000"/>
                  </a:schemeClr>
                  <a:schemeClr val="accent3">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3A29-43EE-942C-F481F6BE4202}"/>
            </c:ext>
          </c:extLst>
        </c:ser>
        <c:ser>
          <c:idx val="3"/>
          <c:order val="3"/>
          <c:spPr>
            <a:blipFill>
              <a:blip xmlns:r="http://schemas.openxmlformats.org/officeDocument/2006/relationships" r:embed="rId3">
                <a:duotone>
                  <a:schemeClr val="accent4">
                    <a:shade val="74000"/>
                    <a:satMod val="130000"/>
                    <a:lumMod val="90000"/>
                  </a:schemeClr>
                  <a:schemeClr val="accent4">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3-3A29-43EE-942C-F481F6BE4202}"/>
            </c:ext>
          </c:extLst>
        </c:ser>
        <c:dLbls>
          <c:showLegendKey val="0"/>
          <c:showVal val="0"/>
          <c:showCatName val="0"/>
          <c:showSerName val="0"/>
          <c:showPercent val="0"/>
          <c:showBubbleSize val="0"/>
        </c:dLbls>
        <c:gapWidth val="100"/>
        <c:overlap val="-24"/>
        <c:axId val="893241568"/>
        <c:axId val="893243328"/>
      </c:barChart>
      <c:catAx>
        <c:axId val="8932415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93243328"/>
        <c:crosses val="autoZero"/>
        <c:auto val="1"/>
        <c:lblAlgn val="ctr"/>
        <c:lblOffset val="100"/>
        <c:noMultiLvlLbl val="0"/>
      </c:catAx>
      <c:valAx>
        <c:axId val="89324332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93241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Disparity in exam scores from test types</a:t>
            </a:r>
          </a:p>
        </c:rich>
      </c:tx>
      <c:layout>
        <c:manualLayout>
          <c:xMode val="edge"/>
          <c:yMode val="edge"/>
          <c:x val="0.11667307468929142"/>
          <c:y val="0"/>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'Academy student'!$D$4</c:f>
              <c:strCache>
                <c:ptCount val="1"/>
                <c:pt idx="0">
                  <c:v>PlacementExam 1</c:v>
                </c:pt>
              </c:strCache>
            </c:strRef>
          </c:tx>
          <c:spPr>
            <a:ln w="34925" cap="rnd">
              <a:solidFill>
                <a:schemeClr val="accent1"/>
              </a:solidFill>
              <a:round/>
            </a:ln>
            <a:effectLst>
              <a:outerShdw blurRad="38100" dist="25400" dir="5400000" rotWithShape="0">
                <a:srgbClr val="000000">
                  <a:alpha val="60000"/>
                </a:srgbClr>
              </a:outerShdw>
            </a:effectLst>
          </c:spPr>
          <c:marker>
            <c:symbol val="none"/>
          </c:marker>
          <c:val>
            <c:numRef>
              <c:f>'Academy student'!$D$5:$D$104</c:f>
              <c:numCache>
                <c:formatCode>General</c:formatCode>
                <c:ptCount val="100"/>
                <c:pt idx="0">
                  <c:v>40</c:v>
                </c:pt>
                <c:pt idx="1">
                  <c:v>13</c:v>
                </c:pt>
                <c:pt idx="2">
                  <c:v>19</c:v>
                </c:pt>
                <c:pt idx="3">
                  <c:v>12</c:v>
                </c:pt>
                <c:pt idx="4">
                  <c:v>23</c:v>
                </c:pt>
                <c:pt idx="5">
                  <c:v>9</c:v>
                </c:pt>
                <c:pt idx="6">
                  <c:v>7</c:v>
                </c:pt>
                <c:pt idx="7">
                  <c:v>14</c:v>
                </c:pt>
                <c:pt idx="8">
                  <c:v>19</c:v>
                </c:pt>
                <c:pt idx="9">
                  <c:v>10</c:v>
                </c:pt>
                <c:pt idx="10">
                  <c:v>9</c:v>
                </c:pt>
                <c:pt idx="11">
                  <c:v>23</c:v>
                </c:pt>
                <c:pt idx="12">
                  <c:v>26</c:v>
                </c:pt>
                <c:pt idx="13">
                  <c:v>25</c:v>
                </c:pt>
                <c:pt idx="14">
                  <c:v>8</c:v>
                </c:pt>
                <c:pt idx="15">
                  <c:v>23</c:v>
                </c:pt>
                <c:pt idx="16">
                  <c:v>42</c:v>
                </c:pt>
                <c:pt idx="17">
                  <c:v>46</c:v>
                </c:pt>
                <c:pt idx="18">
                  <c:v>22</c:v>
                </c:pt>
                <c:pt idx="19">
                  <c:v>36</c:v>
                </c:pt>
                <c:pt idx="20">
                  <c:v>3</c:v>
                </c:pt>
                <c:pt idx="21">
                  <c:v>21</c:v>
                </c:pt>
                <c:pt idx="22">
                  <c:v>37</c:v>
                </c:pt>
                <c:pt idx="23">
                  <c:v>60</c:v>
                </c:pt>
                <c:pt idx="24">
                  <c:v>23</c:v>
                </c:pt>
                <c:pt idx="25">
                  <c:v>44</c:v>
                </c:pt>
                <c:pt idx="26">
                  <c:v>29</c:v>
                </c:pt>
                <c:pt idx="27">
                  <c:v>34</c:v>
                </c:pt>
                <c:pt idx="28">
                  <c:v>15</c:v>
                </c:pt>
                <c:pt idx="29">
                  <c:v>33</c:v>
                </c:pt>
                <c:pt idx="30">
                  <c:v>29</c:v>
                </c:pt>
                <c:pt idx="31">
                  <c:v>46</c:v>
                </c:pt>
                <c:pt idx="32">
                  <c:v>9</c:v>
                </c:pt>
                <c:pt idx="33">
                  <c:v>39</c:v>
                </c:pt>
                <c:pt idx="34">
                  <c:v>40</c:v>
                </c:pt>
                <c:pt idx="35">
                  <c:v>10</c:v>
                </c:pt>
                <c:pt idx="36">
                  <c:v>38</c:v>
                </c:pt>
                <c:pt idx="37">
                  <c:v>48</c:v>
                </c:pt>
                <c:pt idx="38">
                  <c:v>10</c:v>
                </c:pt>
                <c:pt idx="39">
                  <c:v>21</c:v>
                </c:pt>
                <c:pt idx="40">
                  <c:v>45</c:v>
                </c:pt>
                <c:pt idx="41">
                  <c:v>51</c:v>
                </c:pt>
                <c:pt idx="42">
                  <c:v>46</c:v>
                </c:pt>
                <c:pt idx="43">
                  <c:v>80</c:v>
                </c:pt>
                <c:pt idx="44">
                  <c:v>86</c:v>
                </c:pt>
                <c:pt idx="45">
                  <c:v>17</c:v>
                </c:pt>
                <c:pt idx="46">
                  <c:v>46</c:v>
                </c:pt>
                <c:pt idx="47">
                  <c:v>7</c:v>
                </c:pt>
                <c:pt idx="48">
                  <c:v>4</c:v>
                </c:pt>
                <c:pt idx="49">
                  <c:v>94</c:v>
                </c:pt>
                <c:pt idx="50">
                  <c:v>69</c:v>
                </c:pt>
                <c:pt idx="51">
                  <c:v>72</c:v>
                </c:pt>
                <c:pt idx="52">
                  <c:v>16</c:v>
                </c:pt>
                <c:pt idx="53">
                  <c:v>36</c:v>
                </c:pt>
                <c:pt idx="54">
                  <c:v>62</c:v>
                </c:pt>
                <c:pt idx="55">
                  <c:v>75</c:v>
                </c:pt>
                <c:pt idx="56">
                  <c:v>1</c:v>
                </c:pt>
                <c:pt idx="57">
                  <c:v>62</c:v>
                </c:pt>
                <c:pt idx="58">
                  <c:v>69</c:v>
                </c:pt>
                <c:pt idx="59">
                  <c:v>10</c:v>
                </c:pt>
                <c:pt idx="60">
                  <c:v>73</c:v>
                </c:pt>
                <c:pt idx="61">
                  <c:v>66</c:v>
                </c:pt>
                <c:pt idx="62">
                  <c:v>53</c:v>
                </c:pt>
                <c:pt idx="63">
                  <c:v>95</c:v>
                </c:pt>
                <c:pt idx="64">
                  <c:v>36</c:v>
                </c:pt>
                <c:pt idx="65">
                  <c:v>13</c:v>
                </c:pt>
                <c:pt idx="66">
                  <c:v>35</c:v>
                </c:pt>
                <c:pt idx="67">
                  <c:v>65</c:v>
                </c:pt>
                <c:pt idx="68">
                  <c:v>73</c:v>
                </c:pt>
                <c:pt idx="69">
                  <c:v>81</c:v>
                </c:pt>
                <c:pt idx="70">
                  <c:v>39</c:v>
                </c:pt>
                <c:pt idx="71">
                  <c:v>69</c:v>
                </c:pt>
                <c:pt idx="72">
                  <c:v>19</c:v>
                </c:pt>
                <c:pt idx="73">
                  <c:v>33</c:v>
                </c:pt>
                <c:pt idx="74">
                  <c:v>62</c:v>
                </c:pt>
                <c:pt idx="75">
                  <c:v>22</c:v>
                </c:pt>
                <c:pt idx="76">
                  <c:v>41</c:v>
                </c:pt>
                <c:pt idx="77">
                  <c:v>36</c:v>
                </c:pt>
                <c:pt idx="78">
                  <c:v>86</c:v>
                </c:pt>
                <c:pt idx="79">
                  <c:v>58</c:v>
                </c:pt>
                <c:pt idx="80">
                  <c:v>37</c:v>
                </c:pt>
                <c:pt idx="81">
                  <c:v>51</c:v>
                </c:pt>
                <c:pt idx="82">
                  <c:v>51</c:v>
                </c:pt>
                <c:pt idx="83">
                  <c:v>74</c:v>
                </c:pt>
                <c:pt idx="84">
                  <c:v>85</c:v>
                </c:pt>
                <c:pt idx="85">
                  <c:v>98</c:v>
                </c:pt>
                <c:pt idx="86">
                  <c:v>65</c:v>
                </c:pt>
                <c:pt idx="87">
                  <c:v>77</c:v>
                </c:pt>
                <c:pt idx="88">
                  <c:v>80</c:v>
                </c:pt>
                <c:pt idx="89">
                  <c:v>86</c:v>
                </c:pt>
                <c:pt idx="90">
                  <c:v>87</c:v>
                </c:pt>
                <c:pt idx="91">
                  <c:v>95</c:v>
                </c:pt>
                <c:pt idx="92">
                  <c:v>85</c:v>
                </c:pt>
                <c:pt idx="93">
                  <c:v>88</c:v>
                </c:pt>
                <c:pt idx="94">
                  <c:v>90</c:v>
                </c:pt>
                <c:pt idx="95">
                  <c:v>97</c:v>
                </c:pt>
                <c:pt idx="96">
                  <c:v>97</c:v>
                </c:pt>
                <c:pt idx="97">
                  <c:v>100</c:v>
                </c:pt>
                <c:pt idx="98">
                  <c:v>97</c:v>
                </c:pt>
                <c:pt idx="99">
                  <c:v>99</c:v>
                </c:pt>
              </c:numCache>
            </c:numRef>
          </c:val>
          <c:smooth val="0"/>
          <c:extLst>
            <c:ext xmlns:c16="http://schemas.microsoft.com/office/drawing/2014/chart" uri="{C3380CC4-5D6E-409C-BE32-E72D297353CC}">
              <c16:uniqueId val="{00000000-55F3-4EE3-A669-23009A123764}"/>
            </c:ext>
          </c:extLst>
        </c:ser>
        <c:ser>
          <c:idx val="1"/>
          <c:order val="1"/>
          <c:tx>
            <c:strRef>
              <c:f>'Academy student'!$E$4</c:f>
              <c:strCache>
                <c:ptCount val="1"/>
                <c:pt idx="0">
                  <c:v>PlacementExam 2</c:v>
                </c:pt>
              </c:strCache>
            </c:strRef>
          </c:tx>
          <c:spPr>
            <a:ln w="34925" cap="rnd">
              <a:solidFill>
                <a:schemeClr val="accent2"/>
              </a:solidFill>
              <a:round/>
            </a:ln>
            <a:effectLst>
              <a:outerShdw blurRad="38100" dist="25400" dir="5400000" rotWithShape="0">
                <a:srgbClr val="000000">
                  <a:alpha val="60000"/>
                </a:srgbClr>
              </a:outerShdw>
            </a:effectLst>
          </c:spPr>
          <c:marker>
            <c:symbol val="none"/>
          </c:marker>
          <c:val>
            <c:numRef>
              <c:f>'Academy student'!$E$5:$E$104</c:f>
              <c:numCache>
                <c:formatCode>General</c:formatCode>
                <c:ptCount val="100"/>
                <c:pt idx="0">
                  <c:v>0</c:v>
                </c:pt>
                <c:pt idx="1">
                  <c:v>5</c:v>
                </c:pt>
                <c:pt idx="2">
                  <c:v>6</c:v>
                </c:pt>
                <c:pt idx="3">
                  <c:v>16</c:v>
                </c:pt>
                <c:pt idx="4">
                  <c:v>6</c:v>
                </c:pt>
                <c:pt idx="5">
                  <c:v>21</c:v>
                </c:pt>
                <c:pt idx="6">
                  <c:v>24</c:v>
                </c:pt>
                <c:pt idx="7">
                  <c:v>18</c:v>
                </c:pt>
                <c:pt idx="8">
                  <c:v>15</c:v>
                </c:pt>
                <c:pt idx="9">
                  <c:v>28</c:v>
                </c:pt>
                <c:pt idx="10">
                  <c:v>32</c:v>
                </c:pt>
                <c:pt idx="11">
                  <c:v>19</c:v>
                </c:pt>
                <c:pt idx="12">
                  <c:v>18</c:v>
                </c:pt>
                <c:pt idx="13">
                  <c:v>21</c:v>
                </c:pt>
                <c:pt idx="14">
                  <c:v>39</c:v>
                </c:pt>
                <c:pt idx="15">
                  <c:v>27</c:v>
                </c:pt>
                <c:pt idx="16">
                  <c:v>9</c:v>
                </c:pt>
                <c:pt idx="17">
                  <c:v>8</c:v>
                </c:pt>
                <c:pt idx="18">
                  <c:v>33</c:v>
                </c:pt>
                <c:pt idx="19">
                  <c:v>20</c:v>
                </c:pt>
                <c:pt idx="20">
                  <c:v>55</c:v>
                </c:pt>
                <c:pt idx="21">
                  <c:v>37</c:v>
                </c:pt>
                <c:pt idx="22">
                  <c:v>21</c:v>
                </c:pt>
                <c:pt idx="23">
                  <c:v>0</c:v>
                </c:pt>
                <c:pt idx="24">
                  <c:v>38</c:v>
                </c:pt>
                <c:pt idx="25">
                  <c:v>17</c:v>
                </c:pt>
                <c:pt idx="26">
                  <c:v>33</c:v>
                </c:pt>
                <c:pt idx="27">
                  <c:v>28</c:v>
                </c:pt>
                <c:pt idx="28">
                  <c:v>48</c:v>
                </c:pt>
                <c:pt idx="29">
                  <c:v>31</c:v>
                </c:pt>
                <c:pt idx="30">
                  <c:v>36</c:v>
                </c:pt>
                <c:pt idx="31">
                  <c:v>22</c:v>
                </c:pt>
                <c:pt idx="32">
                  <c:v>63</c:v>
                </c:pt>
                <c:pt idx="33">
                  <c:v>36</c:v>
                </c:pt>
                <c:pt idx="34">
                  <c:v>36</c:v>
                </c:pt>
                <c:pt idx="35">
                  <c:v>69</c:v>
                </c:pt>
                <c:pt idx="36">
                  <c:v>41</c:v>
                </c:pt>
                <c:pt idx="37">
                  <c:v>32</c:v>
                </c:pt>
                <c:pt idx="38">
                  <c:v>70</c:v>
                </c:pt>
                <c:pt idx="39">
                  <c:v>60</c:v>
                </c:pt>
                <c:pt idx="40">
                  <c:v>36</c:v>
                </c:pt>
                <c:pt idx="41">
                  <c:v>30</c:v>
                </c:pt>
                <c:pt idx="42">
                  <c:v>40</c:v>
                </c:pt>
                <c:pt idx="43">
                  <c:v>7</c:v>
                </c:pt>
                <c:pt idx="44">
                  <c:v>1</c:v>
                </c:pt>
                <c:pt idx="45">
                  <c:v>73</c:v>
                </c:pt>
                <c:pt idx="46">
                  <c:v>45</c:v>
                </c:pt>
                <c:pt idx="47">
                  <c:v>85</c:v>
                </c:pt>
                <c:pt idx="48">
                  <c:v>92</c:v>
                </c:pt>
                <c:pt idx="49">
                  <c:v>2</c:v>
                </c:pt>
                <c:pt idx="50">
                  <c:v>29</c:v>
                </c:pt>
                <c:pt idx="51">
                  <c:v>26</c:v>
                </c:pt>
                <c:pt idx="52">
                  <c:v>83</c:v>
                </c:pt>
                <c:pt idx="53">
                  <c:v>63</c:v>
                </c:pt>
                <c:pt idx="54">
                  <c:v>37</c:v>
                </c:pt>
                <c:pt idx="55">
                  <c:v>24</c:v>
                </c:pt>
                <c:pt idx="56">
                  <c:v>100</c:v>
                </c:pt>
                <c:pt idx="57">
                  <c:v>39</c:v>
                </c:pt>
                <c:pt idx="58">
                  <c:v>32</c:v>
                </c:pt>
                <c:pt idx="59">
                  <c:v>92</c:v>
                </c:pt>
                <c:pt idx="60">
                  <c:v>29</c:v>
                </c:pt>
                <c:pt idx="61">
                  <c:v>38</c:v>
                </c:pt>
                <c:pt idx="62">
                  <c:v>52</c:v>
                </c:pt>
                <c:pt idx="63">
                  <c:v>13</c:v>
                </c:pt>
                <c:pt idx="64">
                  <c:v>73</c:v>
                </c:pt>
                <c:pt idx="65">
                  <c:v>97</c:v>
                </c:pt>
                <c:pt idx="66">
                  <c:v>76</c:v>
                </c:pt>
                <c:pt idx="67">
                  <c:v>46</c:v>
                </c:pt>
                <c:pt idx="68">
                  <c:v>38</c:v>
                </c:pt>
                <c:pt idx="69">
                  <c:v>31</c:v>
                </c:pt>
                <c:pt idx="70">
                  <c:v>74</c:v>
                </c:pt>
                <c:pt idx="71">
                  <c:v>45</c:v>
                </c:pt>
                <c:pt idx="72">
                  <c:v>99</c:v>
                </c:pt>
                <c:pt idx="73">
                  <c:v>85</c:v>
                </c:pt>
                <c:pt idx="74">
                  <c:v>57</c:v>
                </c:pt>
                <c:pt idx="75">
                  <c:v>99</c:v>
                </c:pt>
                <c:pt idx="76">
                  <c:v>80</c:v>
                </c:pt>
                <c:pt idx="77">
                  <c:v>88</c:v>
                </c:pt>
                <c:pt idx="78">
                  <c:v>41</c:v>
                </c:pt>
                <c:pt idx="79">
                  <c:v>70</c:v>
                </c:pt>
                <c:pt idx="80">
                  <c:v>99</c:v>
                </c:pt>
                <c:pt idx="81">
                  <c:v>89</c:v>
                </c:pt>
                <c:pt idx="82">
                  <c:v>91</c:v>
                </c:pt>
                <c:pt idx="83">
                  <c:v>70</c:v>
                </c:pt>
                <c:pt idx="84">
                  <c:v>69</c:v>
                </c:pt>
                <c:pt idx="85">
                  <c:v>56</c:v>
                </c:pt>
                <c:pt idx="86">
                  <c:v>91</c:v>
                </c:pt>
                <c:pt idx="87">
                  <c:v>84</c:v>
                </c:pt>
                <c:pt idx="88">
                  <c:v>82</c:v>
                </c:pt>
                <c:pt idx="89">
                  <c:v>90</c:v>
                </c:pt>
                <c:pt idx="90">
                  <c:v>89</c:v>
                </c:pt>
                <c:pt idx="91">
                  <c:v>81</c:v>
                </c:pt>
                <c:pt idx="92">
                  <c:v>93</c:v>
                </c:pt>
                <c:pt idx="93">
                  <c:v>90</c:v>
                </c:pt>
                <c:pt idx="94">
                  <c:v>89</c:v>
                </c:pt>
                <c:pt idx="95">
                  <c:v>97</c:v>
                </c:pt>
                <c:pt idx="96">
                  <c:v>90</c:v>
                </c:pt>
                <c:pt idx="97">
                  <c:v>88</c:v>
                </c:pt>
                <c:pt idx="98">
                  <c:v>97</c:v>
                </c:pt>
                <c:pt idx="99">
                  <c:v>100</c:v>
                </c:pt>
              </c:numCache>
            </c:numRef>
          </c:val>
          <c:smooth val="0"/>
          <c:extLst>
            <c:ext xmlns:c16="http://schemas.microsoft.com/office/drawing/2014/chart" uri="{C3380CC4-5D6E-409C-BE32-E72D297353CC}">
              <c16:uniqueId val="{00000001-55F3-4EE3-A669-23009A123764}"/>
            </c:ext>
          </c:extLst>
        </c:ser>
        <c:ser>
          <c:idx val="2"/>
          <c:order val="2"/>
          <c:tx>
            <c:strRef>
              <c:f>'Academy student'!$F$4</c:f>
              <c:strCache>
                <c:ptCount val="1"/>
                <c:pt idx="0">
                  <c:v>PlacementScore</c:v>
                </c:pt>
              </c:strCache>
            </c:strRef>
          </c:tx>
          <c:spPr>
            <a:ln w="34925" cap="rnd">
              <a:solidFill>
                <a:schemeClr val="accent3"/>
              </a:solidFill>
              <a:round/>
            </a:ln>
            <a:effectLst>
              <a:outerShdw blurRad="38100" dist="25400" dir="5400000" rotWithShape="0">
                <a:srgbClr val="000000">
                  <a:alpha val="60000"/>
                </a:srgbClr>
              </a:outerShdw>
            </a:effectLst>
          </c:spPr>
          <c:marker>
            <c:symbol val="none"/>
          </c:marker>
          <c:val>
            <c:numRef>
              <c:f>'Academy student'!$F$5:$F$104</c:f>
              <c:numCache>
                <c:formatCode>General</c:formatCode>
                <c:ptCount val="100"/>
                <c:pt idx="0">
                  <c:v>20</c:v>
                </c:pt>
                <c:pt idx="1">
                  <c:v>9</c:v>
                </c:pt>
                <c:pt idx="2">
                  <c:v>12.5</c:v>
                </c:pt>
                <c:pt idx="3">
                  <c:v>14</c:v>
                </c:pt>
                <c:pt idx="4">
                  <c:v>14.5</c:v>
                </c:pt>
                <c:pt idx="5">
                  <c:v>15</c:v>
                </c:pt>
                <c:pt idx="6">
                  <c:v>15.5</c:v>
                </c:pt>
                <c:pt idx="7">
                  <c:v>16</c:v>
                </c:pt>
                <c:pt idx="8">
                  <c:v>17</c:v>
                </c:pt>
                <c:pt idx="9">
                  <c:v>19</c:v>
                </c:pt>
                <c:pt idx="10">
                  <c:v>20.5</c:v>
                </c:pt>
                <c:pt idx="11">
                  <c:v>21</c:v>
                </c:pt>
                <c:pt idx="12">
                  <c:v>22</c:v>
                </c:pt>
                <c:pt idx="13">
                  <c:v>23</c:v>
                </c:pt>
                <c:pt idx="14">
                  <c:v>23.5</c:v>
                </c:pt>
                <c:pt idx="15">
                  <c:v>25</c:v>
                </c:pt>
                <c:pt idx="16">
                  <c:v>25.5</c:v>
                </c:pt>
                <c:pt idx="17">
                  <c:v>27</c:v>
                </c:pt>
                <c:pt idx="18">
                  <c:v>27.5</c:v>
                </c:pt>
                <c:pt idx="19">
                  <c:v>28</c:v>
                </c:pt>
                <c:pt idx="20">
                  <c:v>29</c:v>
                </c:pt>
                <c:pt idx="21">
                  <c:v>29</c:v>
                </c:pt>
                <c:pt idx="22">
                  <c:v>29</c:v>
                </c:pt>
                <c:pt idx="23">
                  <c:v>30</c:v>
                </c:pt>
                <c:pt idx="24">
                  <c:v>30.5</c:v>
                </c:pt>
                <c:pt idx="25">
                  <c:v>30.5</c:v>
                </c:pt>
                <c:pt idx="26">
                  <c:v>31</c:v>
                </c:pt>
                <c:pt idx="27">
                  <c:v>31</c:v>
                </c:pt>
                <c:pt idx="28">
                  <c:v>31.5</c:v>
                </c:pt>
                <c:pt idx="29">
                  <c:v>32</c:v>
                </c:pt>
                <c:pt idx="30">
                  <c:v>32.5</c:v>
                </c:pt>
                <c:pt idx="31">
                  <c:v>34</c:v>
                </c:pt>
                <c:pt idx="32">
                  <c:v>36</c:v>
                </c:pt>
                <c:pt idx="33">
                  <c:v>37.5</c:v>
                </c:pt>
                <c:pt idx="34">
                  <c:v>38</c:v>
                </c:pt>
                <c:pt idx="35">
                  <c:v>39.5</c:v>
                </c:pt>
                <c:pt idx="36">
                  <c:v>39.5</c:v>
                </c:pt>
                <c:pt idx="37">
                  <c:v>40</c:v>
                </c:pt>
                <c:pt idx="38">
                  <c:v>40</c:v>
                </c:pt>
                <c:pt idx="39">
                  <c:v>40.5</c:v>
                </c:pt>
                <c:pt idx="40">
                  <c:v>40.5</c:v>
                </c:pt>
                <c:pt idx="41">
                  <c:v>40.5</c:v>
                </c:pt>
                <c:pt idx="42">
                  <c:v>43</c:v>
                </c:pt>
                <c:pt idx="43">
                  <c:v>43.5</c:v>
                </c:pt>
                <c:pt idx="44">
                  <c:v>43.5</c:v>
                </c:pt>
                <c:pt idx="45">
                  <c:v>45</c:v>
                </c:pt>
                <c:pt idx="46">
                  <c:v>45.5</c:v>
                </c:pt>
                <c:pt idx="47">
                  <c:v>46</c:v>
                </c:pt>
                <c:pt idx="48">
                  <c:v>48</c:v>
                </c:pt>
                <c:pt idx="49">
                  <c:v>48</c:v>
                </c:pt>
                <c:pt idx="50">
                  <c:v>49</c:v>
                </c:pt>
                <c:pt idx="51">
                  <c:v>49</c:v>
                </c:pt>
                <c:pt idx="52">
                  <c:v>49.5</c:v>
                </c:pt>
                <c:pt idx="53">
                  <c:v>49.5</c:v>
                </c:pt>
                <c:pt idx="54">
                  <c:v>49.5</c:v>
                </c:pt>
                <c:pt idx="55">
                  <c:v>49.5</c:v>
                </c:pt>
                <c:pt idx="56">
                  <c:v>50.5</c:v>
                </c:pt>
                <c:pt idx="57">
                  <c:v>50.5</c:v>
                </c:pt>
                <c:pt idx="58">
                  <c:v>50.5</c:v>
                </c:pt>
                <c:pt idx="59">
                  <c:v>51</c:v>
                </c:pt>
                <c:pt idx="60">
                  <c:v>51</c:v>
                </c:pt>
                <c:pt idx="61">
                  <c:v>52</c:v>
                </c:pt>
                <c:pt idx="62">
                  <c:v>52.5</c:v>
                </c:pt>
                <c:pt idx="63">
                  <c:v>54</c:v>
                </c:pt>
                <c:pt idx="64">
                  <c:v>54.5</c:v>
                </c:pt>
                <c:pt idx="65">
                  <c:v>55</c:v>
                </c:pt>
                <c:pt idx="66">
                  <c:v>55.5</c:v>
                </c:pt>
                <c:pt idx="67">
                  <c:v>55.5</c:v>
                </c:pt>
                <c:pt idx="68">
                  <c:v>55.5</c:v>
                </c:pt>
                <c:pt idx="69">
                  <c:v>56</c:v>
                </c:pt>
                <c:pt idx="70">
                  <c:v>56.5</c:v>
                </c:pt>
                <c:pt idx="71">
                  <c:v>57</c:v>
                </c:pt>
                <c:pt idx="72">
                  <c:v>59</c:v>
                </c:pt>
                <c:pt idx="73">
                  <c:v>59</c:v>
                </c:pt>
                <c:pt idx="74">
                  <c:v>59.5</c:v>
                </c:pt>
                <c:pt idx="75">
                  <c:v>60.5</c:v>
                </c:pt>
                <c:pt idx="76">
                  <c:v>60.5</c:v>
                </c:pt>
                <c:pt idx="77">
                  <c:v>62</c:v>
                </c:pt>
                <c:pt idx="78">
                  <c:v>63.5</c:v>
                </c:pt>
                <c:pt idx="79">
                  <c:v>64</c:v>
                </c:pt>
                <c:pt idx="80">
                  <c:v>68</c:v>
                </c:pt>
                <c:pt idx="81">
                  <c:v>70</c:v>
                </c:pt>
                <c:pt idx="82">
                  <c:v>71</c:v>
                </c:pt>
                <c:pt idx="83">
                  <c:v>72</c:v>
                </c:pt>
                <c:pt idx="84">
                  <c:v>77</c:v>
                </c:pt>
                <c:pt idx="85">
                  <c:v>77</c:v>
                </c:pt>
                <c:pt idx="86">
                  <c:v>78</c:v>
                </c:pt>
                <c:pt idx="87">
                  <c:v>80.5</c:v>
                </c:pt>
                <c:pt idx="88">
                  <c:v>81</c:v>
                </c:pt>
                <c:pt idx="89">
                  <c:v>88</c:v>
                </c:pt>
                <c:pt idx="90">
                  <c:v>88</c:v>
                </c:pt>
                <c:pt idx="91">
                  <c:v>88</c:v>
                </c:pt>
                <c:pt idx="92">
                  <c:v>89</c:v>
                </c:pt>
                <c:pt idx="93">
                  <c:v>89</c:v>
                </c:pt>
                <c:pt idx="94">
                  <c:v>89.5</c:v>
                </c:pt>
                <c:pt idx="95">
                  <c:v>97</c:v>
                </c:pt>
                <c:pt idx="96">
                  <c:v>93.5</c:v>
                </c:pt>
                <c:pt idx="97">
                  <c:v>94</c:v>
                </c:pt>
                <c:pt idx="98">
                  <c:v>97</c:v>
                </c:pt>
                <c:pt idx="99">
                  <c:v>99.5</c:v>
                </c:pt>
              </c:numCache>
            </c:numRef>
          </c:val>
          <c:smooth val="0"/>
          <c:extLst>
            <c:ext xmlns:c16="http://schemas.microsoft.com/office/drawing/2014/chart" uri="{C3380CC4-5D6E-409C-BE32-E72D297353CC}">
              <c16:uniqueId val="{00000002-55F3-4EE3-A669-23009A123764}"/>
            </c:ext>
          </c:extLst>
        </c:ser>
        <c:dLbls>
          <c:showLegendKey val="0"/>
          <c:showVal val="0"/>
          <c:showCatName val="0"/>
          <c:showSerName val="0"/>
          <c:showPercent val="0"/>
          <c:showBubbleSize val="0"/>
        </c:dLbls>
        <c:smooth val="0"/>
        <c:axId val="893262336"/>
        <c:axId val="893257408"/>
      </c:lineChart>
      <c:catAx>
        <c:axId val="89326233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93257408"/>
        <c:crosses val="autoZero"/>
        <c:auto val="1"/>
        <c:lblAlgn val="ctr"/>
        <c:lblOffset val="100"/>
        <c:noMultiLvlLbl val="0"/>
      </c:catAx>
      <c:valAx>
        <c:axId val="8932574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93262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Internships based on Classes</a:t>
            </a:r>
          </a:p>
          <a:p>
            <a:pPr>
              <a:defRPr/>
            </a:pP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6.0620091000842743E-2"/>
          <c:y val="0.13205915655649267"/>
          <c:w val="0.9393798938930763"/>
          <c:h val="0.68701947595709201"/>
        </c:manualLayout>
      </c:layout>
      <c:barChart>
        <c:barDir val="col"/>
        <c:grouping val="clustered"/>
        <c:varyColors val="0"/>
        <c:ser>
          <c:idx val="0"/>
          <c:order val="0"/>
          <c:tx>
            <c:strRef>
              <c:f>Internship!$O$13</c:f>
              <c:strCache>
                <c:ptCount val="1"/>
                <c:pt idx="0">
                  <c:v>A</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Internship!$P$12:$S$12</c:f>
              <c:strCache>
                <c:ptCount val="4"/>
                <c:pt idx="0">
                  <c:v>Journalism</c:v>
                </c:pt>
                <c:pt idx="1">
                  <c:v>English</c:v>
                </c:pt>
                <c:pt idx="2">
                  <c:v>Anthroplogy</c:v>
                </c:pt>
                <c:pt idx="3">
                  <c:v>Biology</c:v>
                </c:pt>
              </c:strCache>
            </c:strRef>
          </c:cat>
          <c:val>
            <c:numRef>
              <c:f>Internship!$P$13:$S$13</c:f>
              <c:numCache>
                <c:formatCode>General</c:formatCode>
                <c:ptCount val="4"/>
                <c:pt idx="0">
                  <c:v>1</c:v>
                </c:pt>
                <c:pt idx="1">
                  <c:v>3</c:v>
                </c:pt>
                <c:pt idx="2">
                  <c:v>1</c:v>
                </c:pt>
                <c:pt idx="3">
                  <c:v>9</c:v>
                </c:pt>
              </c:numCache>
            </c:numRef>
          </c:val>
          <c:extLst>
            <c:ext xmlns:c16="http://schemas.microsoft.com/office/drawing/2014/chart" uri="{C3380CC4-5D6E-409C-BE32-E72D297353CC}">
              <c16:uniqueId val="{00000000-3D4C-4F51-BB21-859EDB17E698}"/>
            </c:ext>
          </c:extLst>
        </c:ser>
        <c:ser>
          <c:idx val="1"/>
          <c:order val="1"/>
          <c:tx>
            <c:strRef>
              <c:f>Internship!$O$14</c:f>
              <c:strCache>
                <c:ptCount val="1"/>
                <c:pt idx="0">
                  <c:v>B</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Internship!$P$12:$S$12</c:f>
              <c:strCache>
                <c:ptCount val="4"/>
                <c:pt idx="0">
                  <c:v>Journalism</c:v>
                </c:pt>
                <c:pt idx="1">
                  <c:v>English</c:v>
                </c:pt>
                <c:pt idx="2">
                  <c:v>Anthroplogy</c:v>
                </c:pt>
                <c:pt idx="3">
                  <c:v>Biology</c:v>
                </c:pt>
              </c:strCache>
            </c:strRef>
          </c:cat>
          <c:val>
            <c:numRef>
              <c:f>Internship!$P$14:$S$14</c:f>
              <c:numCache>
                <c:formatCode>General</c:formatCode>
                <c:ptCount val="4"/>
                <c:pt idx="0">
                  <c:v>3</c:v>
                </c:pt>
                <c:pt idx="1">
                  <c:v>1</c:v>
                </c:pt>
                <c:pt idx="2">
                  <c:v>2</c:v>
                </c:pt>
                <c:pt idx="3">
                  <c:v>5</c:v>
                </c:pt>
              </c:numCache>
            </c:numRef>
          </c:val>
          <c:extLst>
            <c:ext xmlns:c16="http://schemas.microsoft.com/office/drawing/2014/chart" uri="{C3380CC4-5D6E-409C-BE32-E72D297353CC}">
              <c16:uniqueId val="{00000001-3D4C-4F51-BB21-859EDB17E698}"/>
            </c:ext>
          </c:extLst>
        </c:ser>
        <c:ser>
          <c:idx val="2"/>
          <c:order val="2"/>
          <c:tx>
            <c:strRef>
              <c:f>Internship!$O$15</c:f>
              <c:strCache>
                <c:ptCount val="1"/>
                <c:pt idx="0">
                  <c:v>C</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Internship!$P$12:$S$12</c:f>
              <c:strCache>
                <c:ptCount val="4"/>
                <c:pt idx="0">
                  <c:v>Journalism</c:v>
                </c:pt>
                <c:pt idx="1">
                  <c:v>English</c:v>
                </c:pt>
                <c:pt idx="2">
                  <c:v>Anthroplogy</c:v>
                </c:pt>
                <c:pt idx="3">
                  <c:v>Biology</c:v>
                </c:pt>
              </c:strCache>
            </c:strRef>
          </c:cat>
          <c:val>
            <c:numRef>
              <c:f>Internship!$P$15:$S$15</c:f>
              <c:numCache>
                <c:formatCode>General</c:formatCode>
                <c:ptCount val="4"/>
                <c:pt idx="0">
                  <c:v>8</c:v>
                </c:pt>
                <c:pt idx="1">
                  <c:v>9</c:v>
                </c:pt>
                <c:pt idx="2">
                  <c:v>10</c:v>
                </c:pt>
                <c:pt idx="3">
                  <c:v>11</c:v>
                </c:pt>
              </c:numCache>
            </c:numRef>
          </c:val>
          <c:extLst>
            <c:ext xmlns:c16="http://schemas.microsoft.com/office/drawing/2014/chart" uri="{C3380CC4-5D6E-409C-BE32-E72D297353CC}">
              <c16:uniqueId val="{00000002-3D4C-4F51-BB21-859EDB17E698}"/>
            </c:ext>
          </c:extLst>
        </c:ser>
        <c:ser>
          <c:idx val="3"/>
          <c:order val="3"/>
          <c:tx>
            <c:strRef>
              <c:f>Internship!$O$16</c:f>
              <c:strCache>
                <c:ptCount val="1"/>
                <c:pt idx="0">
                  <c:v>D</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Internship!$P$12:$S$12</c:f>
              <c:strCache>
                <c:ptCount val="4"/>
                <c:pt idx="0">
                  <c:v>Journalism</c:v>
                </c:pt>
                <c:pt idx="1">
                  <c:v>English</c:v>
                </c:pt>
                <c:pt idx="2">
                  <c:v>Anthroplogy</c:v>
                </c:pt>
                <c:pt idx="3">
                  <c:v>Biology</c:v>
                </c:pt>
              </c:strCache>
            </c:strRef>
          </c:cat>
          <c:val>
            <c:numRef>
              <c:f>Internship!$P$16:$S$16</c:f>
              <c:numCache>
                <c:formatCode>General</c:formatCode>
                <c:ptCount val="4"/>
                <c:pt idx="0">
                  <c:v>0</c:v>
                </c:pt>
                <c:pt idx="1">
                  <c:v>0</c:v>
                </c:pt>
                <c:pt idx="2">
                  <c:v>0</c:v>
                </c:pt>
                <c:pt idx="3">
                  <c:v>1</c:v>
                </c:pt>
              </c:numCache>
            </c:numRef>
          </c:val>
          <c:extLst>
            <c:ext xmlns:c16="http://schemas.microsoft.com/office/drawing/2014/chart" uri="{C3380CC4-5D6E-409C-BE32-E72D297353CC}">
              <c16:uniqueId val="{00000003-3D4C-4F51-BB21-859EDB17E698}"/>
            </c:ext>
          </c:extLst>
        </c:ser>
        <c:dLbls>
          <c:showLegendKey val="0"/>
          <c:showVal val="0"/>
          <c:showCatName val="0"/>
          <c:showSerName val="0"/>
          <c:showPercent val="0"/>
          <c:showBubbleSize val="0"/>
        </c:dLbls>
        <c:gapWidth val="100"/>
        <c:overlap val="-24"/>
        <c:axId val="893241568"/>
        <c:axId val="893243328"/>
      </c:barChart>
      <c:catAx>
        <c:axId val="8932415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93243328"/>
        <c:crosses val="autoZero"/>
        <c:auto val="1"/>
        <c:lblAlgn val="ctr"/>
        <c:lblOffset val="100"/>
        <c:noMultiLvlLbl val="0"/>
      </c:catAx>
      <c:valAx>
        <c:axId val="89324332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93241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Internships based on Classes</a:t>
            </a:r>
          </a:p>
          <a:p>
            <a:pPr>
              <a:defRPr/>
            </a:pPr>
            <a:endParaRPr lang="en-US"/>
          </a:p>
        </c:rich>
      </c:tx>
      <c:layout>
        <c:manualLayout>
          <c:xMode val="edge"/>
          <c:yMode val="edge"/>
          <c:x val="0.32327470455304175"/>
          <c:y val="9.255505704980755E-3"/>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6.0620091000842743E-2"/>
          <c:y val="0.13205915655649267"/>
          <c:w val="0.93937990899915724"/>
          <c:h val="0.68701947595709201"/>
        </c:manualLayout>
      </c:layout>
      <c:barChart>
        <c:barDir val="col"/>
        <c:grouping val="clustered"/>
        <c:varyColors val="0"/>
        <c:ser>
          <c:idx val="0"/>
          <c:order val="0"/>
          <c:tx>
            <c:strRef>
              <c:f>Internship!$O$13</c:f>
              <c:strCache>
                <c:ptCount val="1"/>
                <c:pt idx="0">
                  <c:v>A</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Internship!$P$12:$S$12</c:f>
              <c:strCache>
                <c:ptCount val="4"/>
                <c:pt idx="0">
                  <c:v>Journalism</c:v>
                </c:pt>
                <c:pt idx="1">
                  <c:v>English</c:v>
                </c:pt>
                <c:pt idx="2">
                  <c:v>Anthroplogy</c:v>
                </c:pt>
                <c:pt idx="3">
                  <c:v>Biology</c:v>
                </c:pt>
              </c:strCache>
            </c:strRef>
          </c:cat>
          <c:val>
            <c:numRef>
              <c:f>Internship!$P$13:$S$13</c:f>
              <c:numCache>
                <c:formatCode>General</c:formatCode>
                <c:ptCount val="4"/>
                <c:pt idx="0">
                  <c:v>1</c:v>
                </c:pt>
                <c:pt idx="1">
                  <c:v>3</c:v>
                </c:pt>
                <c:pt idx="2">
                  <c:v>1</c:v>
                </c:pt>
                <c:pt idx="3">
                  <c:v>9</c:v>
                </c:pt>
              </c:numCache>
            </c:numRef>
          </c:val>
          <c:extLst>
            <c:ext xmlns:c16="http://schemas.microsoft.com/office/drawing/2014/chart" uri="{C3380CC4-5D6E-409C-BE32-E72D297353CC}">
              <c16:uniqueId val="{00000000-1B77-462C-BC39-21E8B42356B2}"/>
            </c:ext>
          </c:extLst>
        </c:ser>
        <c:ser>
          <c:idx val="1"/>
          <c:order val="1"/>
          <c:tx>
            <c:strRef>
              <c:f>Internship!$O$14</c:f>
              <c:strCache>
                <c:ptCount val="1"/>
                <c:pt idx="0">
                  <c:v>B</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Internship!$P$12:$S$12</c:f>
              <c:strCache>
                <c:ptCount val="4"/>
                <c:pt idx="0">
                  <c:v>Journalism</c:v>
                </c:pt>
                <c:pt idx="1">
                  <c:v>English</c:v>
                </c:pt>
                <c:pt idx="2">
                  <c:v>Anthroplogy</c:v>
                </c:pt>
                <c:pt idx="3">
                  <c:v>Biology</c:v>
                </c:pt>
              </c:strCache>
            </c:strRef>
          </c:cat>
          <c:val>
            <c:numRef>
              <c:f>Internship!$P$14:$S$14</c:f>
              <c:numCache>
                <c:formatCode>General</c:formatCode>
                <c:ptCount val="4"/>
                <c:pt idx="0">
                  <c:v>3</c:v>
                </c:pt>
                <c:pt idx="1">
                  <c:v>1</c:v>
                </c:pt>
                <c:pt idx="2">
                  <c:v>2</c:v>
                </c:pt>
                <c:pt idx="3">
                  <c:v>5</c:v>
                </c:pt>
              </c:numCache>
            </c:numRef>
          </c:val>
          <c:extLst>
            <c:ext xmlns:c16="http://schemas.microsoft.com/office/drawing/2014/chart" uri="{C3380CC4-5D6E-409C-BE32-E72D297353CC}">
              <c16:uniqueId val="{00000001-1B77-462C-BC39-21E8B42356B2}"/>
            </c:ext>
          </c:extLst>
        </c:ser>
        <c:ser>
          <c:idx val="2"/>
          <c:order val="2"/>
          <c:tx>
            <c:strRef>
              <c:f>Internship!$O$15</c:f>
              <c:strCache>
                <c:ptCount val="1"/>
                <c:pt idx="0">
                  <c:v>C</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Internship!$P$12:$S$12</c:f>
              <c:strCache>
                <c:ptCount val="4"/>
                <c:pt idx="0">
                  <c:v>Journalism</c:v>
                </c:pt>
                <c:pt idx="1">
                  <c:v>English</c:v>
                </c:pt>
                <c:pt idx="2">
                  <c:v>Anthroplogy</c:v>
                </c:pt>
                <c:pt idx="3">
                  <c:v>Biology</c:v>
                </c:pt>
              </c:strCache>
            </c:strRef>
          </c:cat>
          <c:val>
            <c:numRef>
              <c:f>Internship!$P$15:$S$15</c:f>
              <c:numCache>
                <c:formatCode>General</c:formatCode>
                <c:ptCount val="4"/>
                <c:pt idx="0">
                  <c:v>8</c:v>
                </c:pt>
                <c:pt idx="1">
                  <c:v>9</c:v>
                </c:pt>
                <c:pt idx="2">
                  <c:v>10</c:v>
                </c:pt>
                <c:pt idx="3">
                  <c:v>11</c:v>
                </c:pt>
              </c:numCache>
            </c:numRef>
          </c:val>
          <c:extLst>
            <c:ext xmlns:c16="http://schemas.microsoft.com/office/drawing/2014/chart" uri="{C3380CC4-5D6E-409C-BE32-E72D297353CC}">
              <c16:uniqueId val="{00000002-1B77-462C-BC39-21E8B42356B2}"/>
            </c:ext>
          </c:extLst>
        </c:ser>
        <c:ser>
          <c:idx val="3"/>
          <c:order val="3"/>
          <c:tx>
            <c:strRef>
              <c:f>Internship!$O$16</c:f>
              <c:strCache>
                <c:ptCount val="1"/>
                <c:pt idx="0">
                  <c:v>D</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Internship!$P$12:$S$12</c:f>
              <c:strCache>
                <c:ptCount val="4"/>
                <c:pt idx="0">
                  <c:v>Journalism</c:v>
                </c:pt>
                <c:pt idx="1">
                  <c:v>English</c:v>
                </c:pt>
                <c:pt idx="2">
                  <c:v>Anthroplogy</c:v>
                </c:pt>
                <c:pt idx="3">
                  <c:v>Biology</c:v>
                </c:pt>
              </c:strCache>
            </c:strRef>
          </c:cat>
          <c:val>
            <c:numRef>
              <c:f>Internship!$P$16:$S$16</c:f>
              <c:numCache>
                <c:formatCode>General</c:formatCode>
                <c:ptCount val="4"/>
                <c:pt idx="0">
                  <c:v>0</c:v>
                </c:pt>
                <c:pt idx="1">
                  <c:v>0</c:v>
                </c:pt>
                <c:pt idx="2">
                  <c:v>0</c:v>
                </c:pt>
                <c:pt idx="3">
                  <c:v>1</c:v>
                </c:pt>
              </c:numCache>
            </c:numRef>
          </c:val>
          <c:extLst>
            <c:ext xmlns:c16="http://schemas.microsoft.com/office/drawing/2014/chart" uri="{C3380CC4-5D6E-409C-BE32-E72D297353CC}">
              <c16:uniqueId val="{00000003-1B77-462C-BC39-21E8B42356B2}"/>
            </c:ext>
          </c:extLst>
        </c:ser>
        <c:dLbls>
          <c:showLegendKey val="0"/>
          <c:showVal val="0"/>
          <c:showCatName val="0"/>
          <c:showSerName val="0"/>
          <c:showPercent val="0"/>
          <c:showBubbleSize val="0"/>
        </c:dLbls>
        <c:gapWidth val="100"/>
        <c:overlap val="-24"/>
        <c:axId val="893241568"/>
        <c:axId val="893243328"/>
      </c:barChart>
      <c:catAx>
        <c:axId val="8932415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crossAx val="893243328"/>
        <c:crosses val="autoZero"/>
        <c:auto val="1"/>
        <c:lblAlgn val="ctr"/>
        <c:lblOffset val="100"/>
        <c:noMultiLvlLbl val="0"/>
      </c:catAx>
      <c:valAx>
        <c:axId val="89324332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93241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Term 1</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'Library Fees'!$H$39</c:f>
              <c:strCache>
                <c:ptCount val="1"/>
                <c:pt idx="0">
                  <c:v>Fees</c:v>
                </c:pt>
              </c:strCache>
            </c:strRef>
          </c:tx>
          <c:spPr>
            <a:solidFill>
              <a:schemeClr val="accent6"/>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'Library Fees'!$B$40:$C$66</c:f>
              <c:multiLvlStrCache>
                <c:ptCount val="27"/>
                <c:lvl>
                  <c:pt idx="0">
                    <c:v>Flora</c:v>
                  </c:pt>
                  <c:pt idx="1">
                    <c:v>Zac</c:v>
                  </c:pt>
                  <c:pt idx="2">
                    <c:v>Sanjay</c:v>
                  </c:pt>
                  <c:pt idx="3">
                    <c:v>Perry</c:v>
                  </c:pt>
                  <c:pt idx="4">
                    <c:v>Allen</c:v>
                  </c:pt>
                  <c:pt idx="5">
                    <c:v>Ezra</c:v>
                  </c:pt>
                  <c:pt idx="6">
                    <c:v>Anya</c:v>
                  </c:pt>
                  <c:pt idx="7">
                    <c:v>Ethan</c:v>
                  </c:pt>
                  <c:pt idx="8">
                    <c:v>Aditya</c:v>
                  </c:pt>
                  <c:pt idx="9">
                    <c:v>Cory</c:v>
                  </c:pt>
                  <c:pt idx="10">
                    <c:v>John</c:v>
                  </c:pt>
                  <c:pt idx="11">
                    <c:v>Paul</c:v>
                  </c:pt>
                  <c:pt idx="12">
                    <c:v>Salman</c:v>
                  </c:pt>
                  <c:pt idx="13">
                    <c:v>Sakura</c:v>
                  </c:pt>
                  <c:pt idx="14">
                    <c:v>Charlie</c:v>
                  </c:pt>
                  <c:pt idx="15">
                    <c:v>Demi</c:v>
                  </c:pt>
                  <c:pt idx="16">
                    <c:v>Saif Ali</c:v>
                  </c:pt>
                  <c:pt idx="17">
                    <c:v>Joesph</c:v>
                  </c:pt>
                  <c:pt idx="18">
                    <c:v>Alexia</c:v>
                  </c:pt>
                  <c:pt idx="19">
                    <c:v>Eren</c:v>
                  </c:pt>
                  <c:pt idx="20">
                    <c:v>Ssammie</c:v>
                  </c:pt>
                  <c:pt idx="21">
                    <c:v>Omar</c:v>
                  </c:pt>
                  <c:pt idx="22">
                    <c:v>Solomon</c:v>
                  </c:pt>
                  <c:pt idx="23">
                    <c:v>Sherlock</c:v>
                  </c:pt>
                  <c:pt idx="24">
                    <c:v>Matthew</c:v>
                  </c:pt>
                  <c:pt idx="25">
                    <c:v>Valentina</c:v>
                  </c:pt>
                  <c:pt idx="26">
                    <c:v>Eddie</c:v>
                  </c:pt>
                </c:lvl>
                <c:lvl>
                  <c:pt idx="0">
                    <c:v>Newton</c:v>
                  </c:pt>
                  <c:pt idx="1">
                    <c:v>Gallen</c:v>
                  </c:pt>
                  <c:pt idx="2">
                    <c:v>Kapoor</c:v>
                  </c:pt>
                  <c:pt idx="3">
                    <c:v>Singleton</c:v>
                  </c:pt>
                  <c:pt idx="4">
                    <c:v>Walker</c:v>
                  </c:pt>
                  <c:pt idx="5">
                    <c:v>Scarlet</c:v>
                  </c:pt>
                  <c:pt idx="6">
                    <c:v>Forger</c:v>
                  </c:pt>
                  <c:pt idx="7">
                    <c:v>Hunt</c:v>
                  </c:pt>
                  <c:pt idx="8">
                    <c:v>Kapur</c:v>
                  </c:pt>
                  <c:pt idx="9">
                    <c:v>Zimmerman</c:v>
                  </c:pt>
                  <c:pt idx="10">
                    <c:v>Park</c:v>
                  </c:pt>
                  <c:pt idx="11">
                    <c:v>Heyman </c:v>
                  </c:pt>
                  <c:pt idx="12">
                    <c:v>Khan</c:v>
                  </c:pt>
                  <c:pt idx="13">
                    <c:v>Best</c:v>
                  </c:pt>
                  <c:pt idx="14">
                    <c:v>Reynolds</c:v>
                  </c:pt>
                  <c:pt idx="15">
                    <c:v>Watkins</c:v>
                  </c:pt>
                  <c:pt idx="16">
                    <c:v>Khan</c:v>
                  </c:pt>
                  <c:pt idx="17">
                    <c:v>Frank</c:v>
                  </c:pt>
                  <c:pt idx="18">
                    <c:v>Thorne</c:v>
                  </c:pt>
                  <c:pt idx="19">
                    <c:v>Yeager</c:v>
                  </c:pt>
                  <c:pt idx="20">
                    <c:v>Reid</c:v>
                  </c:pt>
                  <c:pt idx="21">
                    <c:v>Lopez</c:v>
                  </c:pt>
                  <c:pt idx="22">
                    <c:v>Townsend</c:v>
                  </c:pt>
                  <c:pt idx="23">
                    <c:v>Holmes</c:v>
                  </c:pt>
                  <c:pt idx="24">
                    <c:v>Brady</c:v>
                  </c:pt>
                  <c:pt idx="25">
                    <c:v>Valentine</c:v>
                  </c:pt>
                  <c:pt idx="26">
                    <c:v>Sherman</c:v>
                  </c:pt>
                </c:lvl>
              </c:multiLvlStrCache>
            </c:multiLvlStrRef>
          </c:cat>
          <c:val>
            <c:numRef>
              <c:f>'Library Fees'!$H$40:$H$66</c:f>
              <c:numCache>
                <c:formatCode>_([$$-409]* #,##0.00_);_([$$-409]* \(#,##0.00\);_([$$-409]* "-"??_);_(@_)</c:formatCode>
                <c:ptCount val="27"/>
                <c:pt idx="0">
                  <c:v>4.99</c:v>
                </c:pt>
                <c:pt idx="1">
                  <c:v>0</c:v>
                </c:pt>
                <c:pt idx="2">
                  <c:v>29.94</c:v>
                </c:pt>
                <c:pt idx="3">
                  <c:v>29.94</c:v>
                </c:pt>
                <c:pt idx="4">
                  <c:v>29.94</c:v>
                </c:pt>
                <c:pt idx="5">
                  <c:v>0</c:v>
                </c:pt>
                <c:pt idx="6">
                  <c:v>0</c:v>
                </c:pt>
                <c:pt idx="7">
                  <c:v>0</c:v>
                </c:pt>
                <c:pt idx="8">
                  <c:v>0</c:v>
                </c:pt>
                <c:pt idx="9">
                  <c:v>19.96</c:v>
                </c:pt>
                <c:pt idx="10">
                  <c:v>0</c:v>
                </c:pt>
                <c:pt idx="11">
                  <c:v>14.97</c:v>
                </c:pt>
                <c:pt idx="12">
                  <c:v>9.98</c:v>
                </c:pt>
                <c:pt idx="13">
                  <c:v>34.93</c:v>
                </c:pt>
                <c:pt idx="14">
                  <c:v>44.910000000000004</c:v>
                </c:pt>
                <c:pt idx="15">
                  <c:v>0</c:v>
                </c:pt>
                <c:pt idx="16">
                  <c:v>0</c:v>
                </c:pt>
                <c:pt idx="17">
                  <c:v>0</c:v>
                </c:pt>
                <c:pt idx="18">
                  <c:v>0</c:v>
                </c:pt>
                <c:pt idx="19">
                  <c:v>4.99</c:v>
                </c:pt>
                <c:pt idx="20">
                  <c:v>0</c:v>
                </c:pt>
                <c:pt idx="21">
                  <c:v>19.96</c:v>
                </c:pt>
                <c:pt idx="22">
                  <c:v>0</c:v>
                </c:pt>
                <c:pt idx="23">
                  <c:v>14.97</c:v>
                </c:pt>
                <c:pt idx="24">
                  <c:v>0</c:v>
                </c:pt>
                <c:pt idx="25">
                  <c:v>0</c:v>
                </c:pt>
                <c:pt idx="26">
                  <c:v>0</c:v>
                </c:pt>
              </c:numCache>
            </c:numRef>
          </c:val>
          <c:extLst>
            <c:ext xmlns:c16="http://schemas.microsoft.com/office/drawing/2014/chart" uri="{C3380CC4-5D6E-409C-BE32-E72D297353CC}">
              <c16:uniqueId val="{00000000-4E01-4EE7-963A-8EFCE73C8213}"/>
            </c:ext>
          </c:extLst>
        </c:ser>
        <c:dLbls>
          <c:dLblPos val="outEnd"/>
          <c:showLegendKey val="0"/>
          <c:showVal val="1"/>
          <c:showCatName val="0"/>
          <c:showSerName val="0"/>
          <c:showPercent val="0"/>
          <c:showBubbleSize val="0"/>
        </c:dLbls>
        <c:gapWidth val="444"/>
        <c:overlap val="-90"/>
        <c:axId val="1551428104"/>
        <c:axId val="1551439368"/>
      </c:barChart>
      <c:catAx>
        <c:axId val="155142810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Students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551439368"/>
        <c:crosses val="autoZero"/>
        <c:auto val="1"/>
        <c:lblAlgn val="ctr"/>
        <c:lblOffset val="100"/>
        <c:noMultiLvlLbl val="0"/>
      </c:catAx>
      <c:valAx>
        <c:axId val="1551439368"/>
        <c:scaling>
          <c:orientation val="minMax"/>
        </c:scaling>
        <c:delete val="0"/>
        <c:axPos val="l"/>
        <c:numFmt formatCode="_([$$-409]* #,##0.00_);_([$$-409]* \(#,##0.00\);_([$$-409]*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1428104"/>
        <c:crosses val="autoZero"/>
        <c:crossBetween val="between"/>
      </c:valAx>
      <c:dTable>
        <c:showHorzBorder val="1"/>
        <c:showVertBorder val="1"/>
        <c:showOutline val="1"/>
        <c:showKeys val="1"/>
        <c:spPr>
          <a:solidFill>
            <a:schemeClr val="bg1"/>
          </a:solid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[JoslynWilsonExcelproject.xlsm]End Year Report!PivotTable7</c:name>
    <c:fmtId val="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Count of Student ID by Final GPA</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'End Year Report'!$H$29</c:f>
              <c:strCache>
                <c:ptCount val="1"/>
                <c:pt idx="0">
                  <c:v>Total</c:v>
                </c:pt>
              </c:strCache>
            </c:strRef>
          </c:tx>
          <c:spPr>
            <a:blipFill>
              <a:blip xmlns:r="http://schemas.openxmlformats.org/officeDocument/2006/relationships" r:embed="rId3">
                <a:duotone>
                  <a:schemeClr val="accent1">
                    <a:shade val="74000"/>
                    <a:satMod val="130000"/>
                    <a:lumMod val="90000"/>
                  </a:schemeClr>
                  <a:schemeClr val="accent1">
                    <a:tint val="94000"/>
                    <a:satMod val="120000"/>
                    <a:lumMod val="104000"/>
                  </a:schemeClr>
                </a:duotone>
              </a:blip>
              <a:tile tx="0" ty="0" sx="100000" sy="100000" flip="none" algn="tl"/>
            </a:blipFill>
            <a:ln>
              <a:noFill/>
            </a:ln>
            <a:effectLst>
              <a:outerShdw blurRad="38100" dist="25400" dir="5400000" rotWithShape="0">
                <a:srgbClr val="000000">
                  <a:alpha val="60000"/>
                </a:srgbClr>
              </a:outerShdw>
            </a:effectLst>
          </c:spPr>
          <c:invertIfNegative val="0"/>
          <c:cat>
            <c:strRef>
              <c:f>'End Year Report'!$G$30:$G$35</c:f>
              <c:strCache>
                <c:ptCount val="6"/>
                <c:pt idx="0">
                  <c:v>A</c:v>
                </c:pt>
                <c:pt idx="1">
                  <c:v>B</c:v>
                </c:pt>
                <c:pt idx="2">
                  <c:v>B-</c:v>
                </c:pt>
                <c:pt idx="3">
                  <c:v>B+</c:v>
                </c:pt>
                <c:pt idx="4">
                  <c:v>C</c:v>
                </c:pt>
                <c:pt idx="5">
                  <c:v>D</c:v>
                </c:pt>
              </c:strCache>
            </c:strRef>
          </c:cat>
          <c:val>
            <c:numRef>
              <c:f>'End Year Report'!$H$30:$H$35</c:f>
              <c:numCache>
                <c:formatCode>General</c:formatCode>
                <c:ptCount val="6"/>
                <c:pt idx="0">
                  <c:v>41</c:v>
                </c:pt>
                <c:pt idx="1">
                  <c:v>30</c:v>
                </c:pt>
                <c:pt idx="2">
                  <c:v>2</c:v>
                </c:pt>
                <c:pt idx="3">
                  <c:v>7</c:v>
                </c:pt>
                <c:pt idx="4">
                  <c:v>18</c:v>
                </c:pt>
                <c:pt idx="5">
                  <c:v>2</c:v>
                </c:pt>
              </c:numCache>
            </c:numRef>
          </c:val>
          <c:extLst>
            <c:ext xmlns:c16="http://schemas.microsoft.com/office/drawing/2014/chart" uri="{C3380CC4-5D6E-409C-BE32-E72D297353CC}">
              <c16:uniqueId val="{00000000-DD0E-4DC3-87EC-66CAF58A4377}"/>
            </c:ext>
          </c:extLst>
        </c:ser>
        <c:dLbls>
          <c:showLegendKey val="0"/>
          <c:showVal val="0"/>
          <c:showCatName val="0"/>
          <c:showSerName val="0"/>
          <c:showPercent val="0"/>
          <c:showBubbleSize val="0"/>
        </c:dLbls>
        <c:gapWidth val="100"/>
        <c:overlap val="-24"/>
        <c:axId val="2014660336"/>
        <c:axId val="2014666096"/>
      </c:barChart>
      <c:catAx>
        <c:axId val="201466033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4666096"/>
        <c:crosses val="autoZero"/>
        <c:auto val="1"/>
        <c:lblAlgn val="ctr"/>
        <c:lblOffset val="100"/>
        <c:noMultiLvlLbl val="0"/>
      </c:catAx>
      <c:valAx>
        <c:axId val="201466609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46603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Placement scores </cx:v>
        </cx:txData>
      </cx:tx>
      <cx:txPr>
        <a:bodyPr spcFirstLastPara="1" vertOverflow="ellipsis" horzOverflow="overflow" wrap="square" lIns="0" tIns="0" rIns="0" bIns="0" anchor="ctr" anchorCtr="1"/>
        <a:lstStyle/>
        <a:p>
          <a:pPr algn="ctr" rtl="0">
            <a:defRPr/>
          </a:pPr>
          <a:r>
            <a:rPr lang="en-US" sz="1400" b="0" i="0" u="none" strike="noStrike" baseline="0">
              <a:solidFill>
                <a:schemeClr val="bg1"/>
              </a:solidFill>
              <a:latin typeface="Calibri" panose="020F0502020204030204"/>
            </a:rPr>
            <a:t>Placement scores </a:t>
          </a:r>
        </a:p>
      </cx:txPr>
    </cx:title>
    <cx:plotArea>
      <cx:plotAreaRegion>
        <cx:series layoutId="clusteredColumn" uniqueId="{AFAC5F86-162A-4A8F-B317-DD35A4C277F0}">
          <cx:dataId val="0"/>
          <cx:layoutPr>
            <cx:binning intervalClosed="r"/>
          </cx:layoutPr>
        </cx:series>
      </cx:plotAreaRegion>
      <cx:axis id="0">
        <cx:catScaling gapWidth="0"/>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title pos="t" align="ctr" overlay="0">
      <cx:tx>
        <cx:txData>
          <cx:v>Placement scores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Placement scores</a:t>
          </a:r>
        </a:p>
      </cx:txPr>
    </cx:title>
    <cx:plotArea>
      <cx:plotAreaRegion>
        <cx:series layoutId="clusteredColumn" uniqueId="{AFAC5F86-162A-4A8F-B317-DD35A4C277F0}">
          <cx:dataId val="0"/>
          <cx:layoutPr>
            <cx:binning intervalClosed="r"/>
          </cx:layoutPr>
        </cx:series>
      </cx:plotAreaRegion>
      <cx:axis id="0">
        <cx:catScaling gapWidth="0"/>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70">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H$23" lockText="1" noThreeD="1"/>
</file>

<file path=xl/ctrlProps/ctrlProp2.xml><?xml version="1.0" encoding="utf-8"?>
<formControlPr xmlns="http://schemas.microsoft.com/office/spreadsheetml/2009/9/main" objectType="CheckBox" fmlaLink="$H$25" lockText="1" noThreeD="1"/>
</file>

<file path=xl/ctrlProps/ctrlProp3.xml><?xml version="1.0" encoding="utf-8"?>
<formControlPr xmlns="http://schemas.microsoft.com/office/spreadsheetml/2009/9/main" objectType="CheckBox" checked="Checked" fmlaLink="$H$22" lockText="1" noThreeD="1"/>
</file>

<file path=xl/ctrlProps/ctrlProp4.xml><?xml version="1.0" encoding="utf-8"?>
<formControlPr xmlns="http://schemas.microsoft.com/office/spreadsheetml/2009/9/main" objectType="CheckBox" fmlaLink="$H$24" lockText="1" noThreeD="1"/>
</file>

<file path=xl/ctrlProps/ctrlProp5.xml><?xml version="1.0" encoding="utf-8"?>
<formControlPr xmlns="http://schemas.microsoft.com/office/spreadsheetml/2009/9/main" objectType="CheckBox" checked="Checked" fmlaLink="$N$14" lockText="1" noThreeD="1"/>
</file>

<file path=xl/ctrlProps/ctrlProp6.xml><?xml version="1.0" encoding="utf-8"?>
<formControlPr xmlns="http://schemas.microsoft.com/office/spreadsheetml/2009/9/main" objectType="CheckBox" checked="Checked" fmlaLink="$N$16" lockText="1" noThreeD="1"/>
</file>

<file path=xl/ctrlProps/ctrlProp7.xml><?xml version="1.0" encoding="utf-8"?>
<formControlPr xmlns="http://schemas.microsoft.com/office/spreadsheetml/2009/9/main" objectType="CheckBox" checked="Checked" fmlaLink="$N$13" lockText="1" noThreeD="1"/>
</file>

<file path=xl/ctrlProps/ctrlProp8.xml><?xml version="1.0" encoding="utf-8"?>
<formControlPr xmlns="http://schemas.microsoft.com/office/spreadsheetml/2009/9/main" objectType="CheckBox" checked="Checked" fmlaLink="$N$15" lockText="1" noThreeD="1"/>
</file>

<file path=xl/drawings/_rels/drawing1.xml.rels><?xml version="1.0" encoding="UTF-8" standalone="yes"?>
<Relationships xmlns="http://schemas.openxmlformats.org/package/2006/relationships"><Relationship Id="rId8" Type="http://schemas.openxmlformats.org/officeDocument/2006/relationships/hyperlink" Target="#'Teacher Class assighnments'!A1"/><Relationship Id="rId13" Type="http://schemas.openxmlformats.org/officeDocument/2006/relationships/hyperlink" Target="#'Event Staffing'!A1"/><Relationship Id="rId3" Type="http://schemas.openxmlformats.org/officeDocument/2006/relationships/hyperlink" Target="#'Class  B'!A1"/><Relationship Id="rId7" Type="http://schemas.openxmlformats.org/officeDocument/2006/relationships/hyperlink" Target="#Internship!A1"/><Relationship Id="rId12" Type="http://schemas.openxmlformats.org/officeDocument/2006/relationships/hyperlink" Target="#'Library Fees'!A1"/><Relationship Id="rId2" Type="http://schemas.openxmlformats.org/officeDocument/2006/relationships/hyperlink" Target="#'Class A'!A1"/><Relationship Id="rId1" Type="http://schemas.openxmlformats.org/officeDocument/2006/relationships/image" Target="../media/image5.jpg"/><Relationship Id="rId6" Type="http://schemas.openxmlformats.org/officeDocument/2006/relationships/hyperlink" Target="#'Class C'!A1"/><Relationship Id="rId11" Type="http://schemas.openxmlformats.org/officeDocument/2006/relationships/hyperlink" Target="#Tuition!A1"/><Relationship Id="rId5" Type="http://schemas.openxmlformats.org/officeDocument/2006/relationships/hyperlink" Target="#'Class  D'!A1"/><Relationship Id="rId10" Type="http://schemas.openxmlformats.org/officeDocument/2006/relationships/hyperlink" Target="#'Academy student'!A1"/><Relationship Id="rId4" Type="http://schemas.openxmlformats.org/officeDocument/2006/relationships/hyperlink" Target="#'Class F '!A1"/><Relationship Id="rId9" Type="http://schemas.openxmlformats.org/officeDocument/2006/relationships/hyperlink" Target="#'End Year Report'!A1"/></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7" Type="http://schemas.openxmlformats.org/officeDocument/2006/relationships/image" Target="../media/image6.png"/><Relationship Id="rId2" Type="http://schemas.openxmlformats.org/officeDocument/2006/relationships/chart" Target="../charts/chart1.xml"/><Relationship Id="rId1" Type="http://schemas.microsoft.com/office/2014/relationships/chartEx" Target="../charts/chartEx1.xml"/><Relationship Id="rId6" Type="http://schemas.openxmlformats.org/officeDocument/2006/relationships/hyperlink" Target="#'Cover Page'!A1"/><Relationship Id="rId5" Type="http://schemas.openxmlformats.org/officeDocument/2006/relationships/chart" Target="../charts/chart4.xml"/><Relationship Id="rId4" Type="http://schemas.openxmlformats.org/officeDocument/2006/relationships/chart" Target="../charts/chart3.xml"/></Relationships>
</file>

<file path=xl/drawings/_rels/drawing3.xml.rels><?xml version="1.0" encoding="UTF-8" standalone="yes"?>
<Relationships xmlns="http://schemas.openxmlformats.org/package/2006/relationships"><Relationship Id="rId2" Type="http://schemas.openxmlformats.org/officeDocument/2006/relationships/hyperlink" Target="#'Cover Page'!A1"/><Relationship Id="rId1" Type="http://schemas.microsoft.com/office/2014/relationships/chartEx" Target="../charts/chartEx2.xml"/></Relationships>
</file>

<file path=xl/drawings/_rels/drawing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Cover Page'!A1"/></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Cover Page'!A1"/></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Cover Page'!A1"/></Relationships>
</file>

<file path=xl/drawings/_rels/drawing7.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Cover Page'!A1"/></Relationships>
</file>

<file path=xl/drawings/_rels/drawing8.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Cover Page'!A1"/></Relationships>
</file>

<file path=xl/drawings/_rels/drawing9.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Cover Page'!A1"/></Relationships>
</file>

<file path=xl/drawings/_rels/drawing10.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Cover Page'!A1"/></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hyperlink" Target="#'Cover Page'!A1"/><Relationship Id="rId1" Type="http://schemas.openxmlformats.org/officeDocument/2006/relationships/image" Target="../media/image7.png"/></Relationships>
</file>

<file path=xl/drawings/_rels/drawing1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hyperlink" Target="#'Cover Page'!A1"/><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hyperlink" Target="#'Cover Page'!A1"/><Relationship Id="rId1" Type="http://schemas.openxmlformats.org/officeDocument/2006/relationships/chart" Target="../charts/chart6.xml"/></Relationships>
</file>

<file path=xl/drawings/_rels/drawing1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Cover Page'!A1"/></Relationships>
</file>

<file path=xl/drawings/_rels/drawing1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hyperlink" Target="#'Cover Page'!A1"/><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83820</xdr:colOff>
          <xdr:row>0</xdr:row>
          <xdr:rowOff>144780</xdr:rowOff>
        </xdr:from>
        <xdr:to>
          <xdr:col>22</xdr:col>
          <xdr:colOff>114300</xdr:colOff>
          <xdr:row>5</xdr:row>
          <xdr:rowOff>175260</xdr:rowOff>
        </xdr:to>
        <xdr:sp macro="" textlink="">
          <xdr:nvSpPr>
            <xdr:cNvPr id="2054" name="CommandButton1"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331776</xdr:colOff>
      <xdr:row>14</xdr:row>
      <xdr:rowOff>6716</xdr:rowOff>
    </xdr:from>
    <xdr:to>
      <xdr:col>10</xdr:col>
      <xdr:colOff>317869</xdr:colOff>
      <xdr:row>19</xdr:row>
      <xdr:rowOff>109668</xdr:rowOff>
    </xdr:to>
    <xdr:grpSp>
      <xdr:nvGrpSpPr>
        <xdr:cNvPr id="27" name="Group 26">
          <a:extLst>
            <a:ext uri="{FF2B5EF4-FFF2-40B4-BE49-F238E27FC236}">
              <a16:creationId xmlns:a16="http://schemas.microsoft.com/office/drawing/2014/main" id="{00000000-0008-0000-0000-00001B000000}"/>
            </a:ext>
          </a:extLst>
        </xdr:cNvPr>
        <xdr:cNvGrpSpPr/>
      </xdr:nvGrpSpPr>
      <xdr:grpSpPr>
        <a:xfrm>
          <a:off x="3036876" y="2567036"/>
          <a:ext cx="2691193" cy="1017352"/>
          <a:chOff x="3219854" y="2078635"/>
          <a:chExt cx="2778869" cy="1118522"/>
        </a:xfrm>
      </xdr:grpSpPr>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3884" t="43088" r="36943" b="44327"/>
          <a:stretch/>
        </xdr:blipFill>
        <xdr:spPr>
          <a:xfrm>
            <a:off x="3219854" y="2078635"/>
            <a:ext cx="2778609" cy="528921"/>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3884" t="43088" r="36943" b="44327"/>
          <a:stretch/>
        </xdr:blipFill>
        <xdr:spPr>
          <a:xfrm flipV="1">
            <a:off x="3219855" y="2518443"/>
            <a:ext cx="2778868" cy="678714"/>
          </a:xfrm>
          <a:prstGeom prst="rect">
            <a:avLst/>
          </a:prstGeom>
          <a:ln>
            <a:noFill/>
          </a:ln>
          <a:effectLst>
            <a:outerShdw blurRad="292100" dist="139700" dir="2700000" algn="tl" rotWithShape="0">
              <a:srgbClr val="333333">
                <a:alpha val="65000"/>
              </a:srgbClr>
            </a:outerShdw>
          </a:effectLst>
        </xdr:spPr>
      </xdr:pic>
    </xdr:grpSp>
    <xdr:clientData/>
  </xdr:twoCellAnchor>
  <xdr:twoCellAnchor>
    <xdr:from>
      <xdr:col>5</xdr:col>
      <xdr:colOff>386287</xdr:colOff>
      <xdr:row>13</xdr:row>
      <xdr:rowOff>75087</xdr:rowOff>
    </xdr:from>
    <xdr:to>
      <xdr:col>10</xdr:col>
      <xdr:colOff>395671</xdr:colOff>
      <xdr:row>19</xdr:row>
      <xdr:rowOff>45720</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3091387" y="2452527"/>
          <a:ext cx="2714484" cy="1067913"/>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solidFill>
              <a:schemeClr val="bg1"/>
            </a:solidFill>
          </a:endParaRPr>
        </a:p>
        <a:p>
          <a:r>
            <a:rPr lang="en-US" sz="1100">
              <a:solidFill>
                <a:schemeClr val="bg1"/>
              </a:solidFill>
            </a:rPr>
            <a:t>Created</a:t>
          </a:r>
          <a:r>
            <a:rPr lang="en-US" sz="1100" baseline="0">
              <a:solidFill>
                <a:schemeClr val="bg1"/>
              </a:solidFill>
            </a:rPr>
            <a:t> </a:t>
          </a:r>
          <a:r>
            <a:rPr lang="en-US" sz="1100">
              <a:solidFill>
                <a:schemeClr val="bg1"/>
              </a:solidFill>
            </a:rPr>
            <a:t> By:</a:t>
          </a:r>
        </a:p>
        <a:p>
          <a:endParaRPr lang="en-US" sz="1100">
            <a:solidFill>
              <a:schemeClr val="bg1"/>
            </a:solidFill>
          </a:endParaRPr>
        </a:p>
        <a:p>
          <a:r>
            <a:rPr lang="en-US" sz="1100">
              <a:solidFill>
                <a:schemeClr val="bg1"/>
              </a:solidFill>
              <a:latin typeface="Copperplate Gothic Light" panose="020F0502020204030204" pitchFamily="34" charset="0"/>
            </a:rPr>
            <a:t>Joslyn</a:t>
          </a:r>
          <a:r>
            <a:rPr lang="en-US" sz="1100" baseline="0">
              <a:solidFill>
                <a:schemeClr val="bg1"/>
              </a:solidFill>
              <a:latin typeface="Copperplate Gothic Light" panose="020F0502020204030204" pitchFamily="34" charset="0"/>
            </a:rPr>
            <a:t> Wilson</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1" i="0">
            <a:solidFill>
              <a:schemeClr val="dk1"/>
            </a:solidFill>
            <a:effectLst/>
            <a:latin typeface="+mn-lt"/>
            <a:ea typeface="+mn-ea"/>
            <a:cs typeface="+mn-cs"/>
          </a:endParaRPr>
        </a:p>
        <a:p>
          <a:endParaRPr lang="en-US" sz="1100">
            <a:solidFill>
              <a:schemeClr val="bg1"/>
            </a:solidFill>
            <a:latin typeface="Copperplate Gothic Light" panose="020F0502020204030204" pitchFamily="34" charset="0"/>
          </a:endParaRPr>
        </a:p>
        <a:p>
          <a:endParaRPr lang="en-US" sz="1100">
            <a:solidFill>
              <a:schemeClr val="bg1"/>
            </a:solidFill>
            <a:latin typeface="Copperplate Gothic Light" panose="020F0502020204030204" pitchFamily="34" charset="0"/>
          </a:endParaRPr>
        </a:p>
        <a:p>
          <a:endParaRPr lang="en-US" sz="1100">
            <a:solidFill>
              <a:schemeClr val="bg1"/>
            </a:solidFill>
            <a:latin typeface="Copperplate Gothic Light" panose="020F0502020204030204" pitchFamily="34" charset="0"/>
          </a:endParaRPr>
        </a:p>
      </xdr:txBody>
    </xdr:sp>
    <xdr:clientData/>
  </xdr:twoCellAnchor>
  <xdr:twoCellAnchor>
    <xdr:from>
      <xdr:col>3</xdr:col>
      <xdr:colOff>422911</xdr:colOff>
      <xdr:row>12</xdr:row>
      <xdr:rowOff>10618</xdr:rowOff>
    </xdr:from>
    <xdr:to>
      <xdr:col>4</xdr:col>
      <xdr:colOff>284757</xdr:colOff>
      <xdr:row>18</xdr:row>
      <xdr:rowOff>45108</xdr:rowOff>
    </xdr:to>
    <xdr:sp macro="" textlink="">
      <xdr:nvSpPr>
        <xdr:cNvPr id="13" name="Scroll: Vertical 12">
          <a:hlinkClick xmlns:r="http://schemas.openxmlformats.org/officeDocument/2006/relationships" r:id="rId2"/>
          <a:extLst>
            <a:ext uri="{FF2B5EF4-FFF2-40B4-BE49-F238E27FC236}">
              <a16:creationId xmlns:a16="http://schemas.microsoft.com/office/drawing/2014/main" id="{00000000-0008-0000-0000-00000D000000}"/>
            </a:ext>
          </a:extLst>
        </xdr:cNvPr>
        <xdr:cNvSpPr/>
      </xdr:nvSpPr>
      <xdr:spPr>
        <a:xfrm>
          <a:off x="2045971" y="2205178"/>
          <a:ext cx="402866" cy="1131770"/>
        </a:xfrm>
        <a:prstGeom prst="verticalScrol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a:t>
          </a:r>
        </a:p>
      </xdr:txBody>
    </xdr:sp>
    <xdr:clientData/>
  </xdr:twoCellAnchor>
  <xdr:twoCellAnchor>
    <xdr:from>
      <xdr:col>4</xdr:col>
      <xdr:colOff>340324</xdr:colOff>
      <xdr:row>12</xdr:row>
      <xdr:rowOff>2813</xdr:rowOff>
    </xdr:from>
    <xdr:to>
      <xdr:col>5</xdr:col>
      <xdr:colOff>202170</xdr:colOff>
      <xdr:row>18</xdr:row>
      <xdr:rowOff>37303</xdr:rowOff>
    </xdr:to>
    <xdr:sp macro="" textlink="">
      <xdr:nvSpPr>
        <xdr:cNvPr id="14" name="Scroll: Vertical 13">
          <a:hlinkClick xmlns:r="http://schemas.openxmlformats.org/officeDocument/2006/relationships" r:id="rId3"/>
          <a:extLst>
            <a:ext uri="{FF2B5EF4-FFF2-40B4-BE49-F238E27FC236}">
              <a16:creationId xmlns:a16="http://schemas.microsoft.com/office/drawing/2014/main" id="{00000000-0008-0000-0000-00000E000000}"/>
            </a:ext>
          </a:extLst>
        </xdr:cNvPr>
        <xdr:cNvSpPr/>
      </xdr:nvSpPr>
      <xdr:spPr>
        <a:xfrm>
          <a:off x="2504404" y="2197373"/>
          <a:ext cx="402866" cy="1131770"/>
        </a:xfrm>
        <a:prstGeom prst="verticalScrol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B</a:t>
          </a:r>
        </a:p>
      </xdr:txBody>
    </xdr:sp>
    <xdr:clientData/>
  </xdr:twoCellAnchor>
  <xdr:twoCellAnchor>
    <xdr:from>
      <xdr:col>12</xdr:col>
      <xdr:colOff>237215</xdr:colOff>
      <xdr:row>12</xdr:row>
      <xdr:rowOff>11531</xdr:rowOff>
    </xdr:from>
    <xdr:to>
      <xdr:col>13</xdr:col>
      <xdr:colOff>99061</xdr:colOff>
      <xdr:row>18</xdr:row>
      <xdr:rowOff>46021</xdr:rowOff>
    </xdr:to>
    <xdr:sp macro="" textlink="">
      <xdr:nvSpPr>
        <xdr:cNvPr id="17" name="Scroll: Vertical 16">
          <a:hlinkClick xmlns:r="http://schemas.openxmlformats.org/officeDocument/2006/relationships" r:id="rId4"/>
          <a:extLst>
            <a:ext uri="{FF2B5EF4-FFF2-40B4-BE49-F238E27FC236}">
              <a16:creationId xmlns:a16="http://schemas.microsoft.com/office/drawing/2014/main" id="{00000000-0008-0000-0000-000011000000}"/>
            </a:ext>
          </a:extLst>
        </xdr:cNvPr>
        <xdr:cNvSpPr/>
      </xdr:nvSpPr>
      <xdr:spPr>
        <a:xfrm>
          <a:off x="6729455" y="2206091"/>
          <a:ext cx="402866" cy="1131770"/>
        </a:xfrm>
        <a:prstGeom prst="verticalScrol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a:t>
          </a:r>
        </a:p>
      </xdr:txBody>
    </xdr:sp>
    <xdr:clientData/>
  </xdr:twoCellAnchor>
  <xdr:twoCellAnchor>
    <xdr:from>
      <xdr:col>11</xdr:col>
      <xdr:colOff>389261</xdr:colOff>
      <xdr:row>12</xdr:row>
      <xdr:rowOff>11531</xdr:rowOff>
    </xdr:from>
    <xdr:to>
      <xdr:col>12</xdr:col>
      <xdr:colOff>251107</xdr:colOff>
      <xdr:row>18</xdr:row>
      <xdr:rowOff>46021</xdr:rowOff>
    </xdr:to>
    <xdr:sp macro="" textlink="">
      <xdr:nvSpPr>
        <xdr:cNvPr id="18" name="Scroll: Vertical 17">
          <a:hlinkClick xmlns:r="http://schemas.openxmlformats.org/officeDocument/2006/relationships" r:id="rId5"/>
          <a:extLst>
            <a:ext uri="{FF2B5EF4-FFF2-40B4-BE49-F238E27FC236}">
              <a16:creationId xmlns:a16="http://schemas.microsoft.com/office/drawing/2014/main" id="{00000000-0008-0000-0000-000012000000}"/>
            </a:ext>
          </a:extLst>
        </xdr:cNvPr>
        <xdr:cNvSpPr/>
      </xdr:nvSpPr>
      <xdr:spPr>
        <a:xfrm>
          <a:off x="6340481" y="2206091"/>
          <a:ext cx="402866" cy="1131770"/>
        </a:xfrm>
        <a:prstGeom prst="verticalScrol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D</a:t>
          </a:r>
        </a:p>
      </xdr:txBody>
    </xdr:sp>
    <xdr:clientData/>
  </xdr:twoCellAnchor>
  <xdr:twoCellAnchor>
    <xdr:from>
      <xdr:col>10</xdr:col>
      <xdr:colOff>499631</xdr:colOff>
      <xdr:row>12</xdr:row>
      <xdr:rowOff>3725</xdr:rowOff>
    </xdr:from>
    <xdr:to>
      <xdr:col>11</xdr:col>
      <xdr:colOff>361477</xdr:colOff>
      <xdr:row>18</xdr:row>
      <xdr:rowOff>38215</xdr:rowOff>
    </xdr:to>
    <xdr:sp macro="" textlink="">
      <xdr:nvSpPr>
        <xdr:cNvPr id="20" name="Scroll: Vertical 19">
          <a:hlinkClick xmlns:r="http://schemas.openxmlformats.org/officeDocument/2006/relationships" r:id="rId6"/>
          <a:extLst>
            <a:ext uri="{FF2B5EF4-FFF2-40B4-BE49-F238E27FC236}">
              <a16:creationId xmlns:a16="http://schemas.microsoft.com/office/drawing/2014/main" id="{00000000-0008-0000-0000-000014000000}"/>
            </a:ext>
          </a:extLst>
        </xdr:cNvPr>
        <xdr:cNvSpPr/>
      </xdr:nvSpPr>
      <xdr:spPr>
        <a:xfrm>
          <a:off x="5909831" y="2198285"/>
          <a:ext cx="402866" cy="1131770"/>
        </a:xfrm>
        <a:prstGeom prst="verticalScrol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a:t>
          </a:r>
        </a:p>
      </xdr:txBody>
    </xdr:sp>
    <xdr:clientData/>
  </xdr:twoCellAnchor>
  <xdr:twoCellAnchor>
    <xdr:from>
      <xdr:col>15</xdr:col>
      <xdr:colOff>297180</xdr:colOff>
      <xdr:row>5</xdr:row>
      <xdr:rowOff>127074</xdr:rowOff>
    </xdr:from>
    <xdr:to>
      <xdr:col>22</xdr:col>
      <xdr:colOff>350520</xdr:colOff>
      <xdr:row>27</xdr:row>
      <xdr:rowOff>160020</xdr:rowOff>
    </xdr:to>
    <xdr:grpSp>
      <xdr:nvGrpSpPr>
        <xdr:cNvPr id="8" name="Group 7">
          <a:hlinkClick xmlns:r="http://schemas.openxmlformats.org/officeDocument/2006/relationships" r:id="rId7"/>
          <a:extLst>
            <a:ext uri="{FF2B5EF4-FFF2-40B4-BE49-F238E27FC236}">
              <a16:creationId xmlns:a16="http://schemas.microsoft.com/office/drawing/2014/main" id="{00000000-0008-0000-0000-000008000000}"/>
            </a:ext>
          </a:extLst>
        </xdr:cNvPr>
        <xdr:cNvGrpSpPr/>
      </xdr:nvGrpSpPr>
      <xdr:grpSpPr>
        <a:xfrm>
          <a:off x="8412480" y="1041474"/>
          <a:ext cx="3840480" cy="4056306"/>
          <a:chOff x="7781813" y="1075764"/>
          <a:chExt cx="3228639" cy="4811308"/>
        </a:xfrm>
      </xdr:grpSpPr>
      <xdr:sp macro="" textlink="">
        <xdr:nvSpPr>
          <xdr:cNvPr id="21" name="Ribbon: Curved and Tilted Down 20">
            <a:hlinkClick xmlns:r="http://schemas.openxmlformats.org/officeDocument/2006/relationships" r:id="rId8"/>
            <a:extLst>
              <a:ext uri="{FF2B5EF4-FFF2-40B4-BE49-F238E27FC236}">
                <a16:creationId xmlns:a16="http://schemas.microsoft.com/office/drawing/2014/main" id="{00000000-0008-0000-0000-000015000000}"/>
              </a:ext>
            </a:extLst>
          </xdr:cNvPr>
          <xdr:cNvSpPr/>
        </xdr:nvSpPr>
        <xdr:spPr>
          <a:xfrm>
            <a:off x="7781813" y="1075764"/>
            <a:ext cx="3228639" cy="906780"/>
          </a:xfrm>
          <a:prstGeom prst="ellipseRibb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i="1">
                <a:latin typeface="Algerian" panose="04020705040A02060702" pitchFamily="82" charset="0"/>
              </a:rPr>
              <a:t>Teachers </a:t>
            </a:r>
          </a:p>
          <a:p>
            <a:pPr algn="ctr"/>
            <a:r>
              <a:rPr lang="en-US" sz="1800" i="1">
                <a:latin typeface="Algerian" panose="04020705040A02060702" pitchFamily="82" charset="0"/>
              </a:rPr>
              <a:t>classes</a:t>
            </a:r>
          </a:p>
        </xdr:txBody>
      </xdr:sp>
      <xdr:sp macro="" textlink="">
        <xdr:nvSpPr>
          <xdr:cNvPr id="3" name="Double Wave 2">
            <a:hlinkClick xmlns:r="http://schemas.openxmlformats.org/officeDocument/2006/relationships" r:id="rId9"/>
            <a:extLst>
              <a:ext uri="{FF2B5EF4-FFF2-40B4-BE49-F238E27FC236}">
                <a16:creationId xmlns:a16="http://schemas.microsoft.com/office/drawing/2014/main" id="{00000000-0008-0000-0000-000003000000}"/>
              </a:ext>
              <a:ext uri="{147F2762-F138-4A5C-976F-8EAC2B608ADB}">
                <a16:predDERef xmlns:a16="http://schemas.microsoft.com/office/drawing/2014/main" pred="{00000000-0008-0000-0000-000015000000}"/>
              </a:ext>
            </a:extLst>
          </xdr:cNvPr>
          <xdr:cNvSpPr/>
        </xdr:nvSpPr>
        <xdr:spPr>
          <a:xfrm>
            <a:off x="7810500" y="2700486"/>
            <a:ext cx="3154001" cy="600620"/>
          </a:xfrm>
          <a:prstGeom prst="doubleWav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solidFill>
                  <a:schemeClr val="lt1"/>
                </a:solidFill>
                <a:latin typeface="Algerian" panose="04020705040A02060702" pitchFamily="82" charset="0"/>
                <a:ea typeface="+mn-ea"/>
                <a:cs typeface="+mn-cs"/>
              </a:rPr>
              <a:t>Students End Year Report</a:t>
            </a:r>
          </a:p>
          <a:p>
            <a:pPr algn="l"/>
            <a:endParaRPr lang="en-US" sz="1600">
              <a:latin typeface="Algerian" panose="04020705040A02060702" pitchFamily="82" charset="0"/>
            </a:endParaRPr>
          </a:p>
        </xdr:txBody>
      </xdr:sp>
      <xdr:sp macro="" textlink="">
        <xdr:nvSpPr>
          <xdr:cNvPr id="4" name="Double Wave 3">
            <a:hlinkClick xmlns:r="http://schemas.openxmlformats.org/officeDocument/2006/relationships" r:id="rId10"/>
            <a:extLst>
              <a:ext uri="{FF2B5EF4-FFF2-40B4-BE49-F238E27FC236}">
                <a16:creationId xmlns:a16="http://schemas.microsoft.com/office/drawing/2014/main" id="{00000000-0008-0000-0000-000004000000}"/>
              </a:ext>
              <a:ext uri="{147F2762-F138-4A5C-976F-8EAC2B608ADB}">
                <a16:predDERef xmlns:a16="http://schemas.microsoft.com/office/drawing/2014/main" pred="{00000000-0008-0000-0000-000003000000}"/>
              </a:ext>
            </a:extLst>
          </xdr:cNvPr>
          <xdr:cNvSpPr/>
        </xdr:nvSpPr>
        <xdr:spPr>
          <a:xfrm>
            <a:off x="7788087" y="2057042"/>
            <a:ext cx="3183693" cy="580445"/>
          </a:xfrm>
          <a:prstGeom prst="doubleWav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600">
                <a:solidFill>
                  <a:schemeClr val="lt1"/>
                </a:solidFill>
                <a:latin typeface="Algerian" panose="04020705040A02060702" pitchFamily="82" charset="0"/>
                <a:ea typeface="+mn-ea"/>
                <a:cs typeface="+mn-cs"/>
              </a:rPr>
              <a:t>Students Placement Grades</a:t>
            </a:r>
          </a:p>
          <a:p>
            <a:pPr algn="l"/>
            <a:endParaRPr lang="en-US" sz="1600">
              <a:latin typeface="Algerian" panose="04020705040A02060702" pitchFamily="82" charset="0"/>
            </a:endParaRPr>
          </a:p>
        </xdr:txBody>
      </xdr:sp>
      <xdr:sp macro="" textlink="">
        <xdr:nvSpPr>
          <xdr:cNvPr id="11" name="Double Wave 10">
            <a:hlinkClick xmlns:r="http://schemas.openxmlformats.org/officeDocument/2006/relationships" r:id="rId11"/>
            <a:extLst>
              <a:ext uri="{FF2B5EF4-FFF2-40B4-BE49-F238E27FC236}">
                <a16:creationId xmlns:a16="http://schemas.microsoft.com/office/drawing/2014/main" id="{00000000-0008-0000-0000-00000B000000}"/>
              </a:ext>
              <a:ext uri="{147F2762-F138-4A5C-976F-8EAC2B608ADB}">
                <a16:predDERef xmlns:a16="http://schemas.microsoft.com/office/drawing/2014/main" pred="{00000000-0008-0000-0000-000004000000}"/>
              </a:ext>
            </a:extLst>
          </xdr:cNvPr>
          <xdr:cNvSpPr/>
        </xdr:nvSpPr>
        <xdr:spPr>
          <a:xfrm>
            <a:off x="7798064" y="5294244"/>
            <a:ext cx="3180940" cy="592828"/>
          </a:xfrm>
          <a:prstGeom prst="doubleWav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latin typeface="Algerian" panose="04020705040A02060702" pitchFamily="82" charset="0"/>
              </a:rPr>
              <a:t>tuition</a:t>
            </a:r>
          </a:p>
        </xdr:txBody>
      </xdr:sp>
      <xdr:sp macro="" textlink="">
        <xdr:nvSpPr>
          <xdr:cNvPr id="12" name="Double Wave 11">
            <a:hlinkClick xmlns:r="http://schemas.openxmlformats.org/officeDocument/2006/relationships" r:id="rId12"/>
            <a:extLst>
              <a:ext uri="{FF2B5EF4-FFF2-40B4-BE49-F238E27FC236}">
                <a16:creationId xmlns:a16="http://schemas.microsoft.com/office/drawing/2014/main" id="{00000000-0008-0000-0000-00000C000000}"/>
              </a:ext>
              <a:ext uri="{147F2762-F138-4A5C-976F-8EAC2B608ADB}">
                <a16:predDERef xmlns:a16="http://schemas.microsoft.com/office/drawing/2014/main" pred="{0C890A44-5CE7-4D65-9C51-A7CCC5FB13CC}"/>
              </a:ext>
            </a:extLst>
          </xdr:cNvPr>
          <xdr:cNvSpPr/>
        </xdr:nvSpPr>
        <xdr:spPr>
          <a:xfrm>
            <a:off x="7821706" y="4635649"/>
            <a:ext cx="3183509" cy="606230"/>
          </a:xfrm>
          <a:prstGeom prst="doubleWav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latin typeface="Algerian" panose="04020705040A02060702" pitchFamily="82" charset="0"/>
              </a:rPr>
              <a:t>library</a:t>
            </a:r>
            <a:r>
              <a:rPr lang="en-US" sz="1600" baseline="0">
                <a:latin typeface="Algerian" panose="04020705040A02060702" pitchFamily="82" charset="0"/>
              </a:rPr>
              <a:t> fees</a:t>
            </a:r>
            <a:endParaRPr lang="en-US" sz="1600">
              <a:latin typeface="Algerian" panose="04020705040A02060702" pitchFamily="82" charset="0"/>
            </a:endParaRPr>
          </a:p>
        </xdr:txBody>
      </xdr:sp>
      <xdr:sp macro="" textlink="">
        <xdr:nvSpPr>
          <xdr:cNvPr id="15" name="Double Wave 14">
            <a:hlinkClick xmlns:r="http://schemas.openxmlformats.org/officeDocument/2006/relationships" r:id="rId13"/>
            <a:extLst>
              <a:ext uri="{FF2B5EF4-FFF2-40B4-BE49-F238E27FC236}">
                <a16:creationId xmlns:a16="http://schemas.microsoft.com/office/drawing/2014/main" id="{00000000-0008-0000-0000-00000F000000}"/>
              </a:ext>
              <a:ext uri="{147F2762-F138-4A5C-976F-8EAC2B608ADB}">
                <a16:predDERef xmlns:a16="http://schemas.microsoft.com/office/drawing/2014/main" pred="{2D33861A-8038-48ED-A1E1-7FD8EB60F9D0}"/>
              </a:ext>
            </a:extLst>
          </xdr:cNvPr>
          <xdr:cNvSpPr/>
        </xdr:nvSpPr>
        <xdr:spPr>
          <a:xfrm>
            <a:off x="7821705" y="3998055"/>
            <a:ext cx="3161539" cy="601678"/>
          </a:xfrm>
          <a:prstGeom prst="doubleWav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latin typeface="Algerian" panose="04020705040A02060702" pitchFamily="82" charset="0"/>
              </a:rPr>
              <a:t>Event staffing</a:t>
            </a:r>
          </a:p>
        </xdr:txBody>
      </xdr:sp>
      <xdr:sp macro="" textlink="">
        <xdr:nvSpPr>
          <xdr:cNvPr id="7" name="Double Wave 6">
            <a:extLst>
              <a:ext uri="{FF2B5EF4-FFF2-40B4-BE49-F238E27FC236}">
                <a16:creationId xmlns:a16="http://schemas.microsoft.com/office/drawing/2014/main" id="{00000000-0008-0000-0000-000007000000}"/>
              </a:ext>
              <a:ext uri="{147F2762-F138-4A5C-976F-8EAC2B608ADB}">
                <a16:predDERef xmlns:a16="http://schemas.microsoft.com/office/drawing/2014/main" pred="{7651A005-E50C-4B8D-8ACF-2C6D22065DAA}"/>
              </a:ext>
            </a:extLst>
          </xdr:cNvPr>
          <xdr:cNvSpPr/>
        </xdr:nvSpPr>
        <xdr:spPr>
          <a:xfrm>
            <a:off x="7821706" y="3338181"/>
            <a:ext cx="3166993" cy="601502"/>
          </a:xfrm>
          <a:prstGeom prst="doubleWav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latin typeface="Algerian" panose="04020705040A02060702" pitchFamily="82" charset="0"/>
              </a:rPr>
              <a:t>Internship</a:t>
            </a:r>
          </a:p>
        </xdr:txBody>
      </xdr:sp>
    </xdr:grpSp>
    <xdr:clientData/>
  </xdr:twoCellAnchor>
  <xdr:twoCellAnchor>
    <xdr:from>
      <xdr:col>0</xdr:col>
      <xdr:colOff>0</xdr:colOff>
      <xdr:row>0</xdr:row>
      <xdr:rowOff>0</xdr:rowOff>
    </xdr:from>
    <xdr:to>
      <xdr:col>10</xdr:col>
      <xdr:colOff>160020</xdr:colOff>
      <xdr:row>7</xdr:row>
      <xdr:rowOff>76200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0" y="0"/>
          <a:ext cx="5570220" cy="135636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project was developed for my spreadsheet learning course in college and was intended to demonstrate the skills I acquired during the term. It showcases various Excel functions and features, including, Pivot</a:t>
          </a:r>
          <a:r>
            <a:rPr lang="en-US" sz="1400" baseline="0"/>
            <a:t> tables,</a:t>
          </a:r>
          <a:r>
            <a:rPr lang="en-US" sz="1400"/>
            <a:t> VLOOKUP, MATCH, INDEX, VBA, data</a:t>
          </a:r>
          <a:r>
            <a:rPr lang="en-US" sz="1400" baseline="0"/>
            <a:t> validation, conditional formatting</a:t>
          </a:r>
          <a:r>
            <a:rPr lang="en-US" sz="1400"/>
            <a:t> and others. The goal of the project was to create a practical tool for the faculty of a school.</a:t>
          </a: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14</xdr:col>
      <xdr:colOff>388620</xdr:colOff>
      <xdr:row>28</xdr:row>
      <xdr:rowOff>95250</xdr:rowOff>
    </xdr:from>
    <xdr:to>
      <xdr:col>17</xdr:col>
      <xdr:colOff>388620</xdr:colOff>
      <xdr:row>37</xdr:row>
      <xdr:rowOff>129988</xdr:rowOff>
    </xdr:to>
    <mc:AlternateContent xmlns:mc="http://schemas.openxmlformats.org/markup-compatibility/2006" xmlns:a14="http://schemas.microsoft.com/office/drawing/2010/main">
      <mc:Choice Requires="a14">
        <xdr:graphicFrame macro="">
          <xdr:nvGraphicFramePr>
            <xdr:cNvPr id="14" name="d 1">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microsoft.com/office/drawing/2010/slicer">
              <sle:slicer xmlns:sle="http://schemas.microsoft.com/office/drawing/2010/slicer" name="d 1"/>
            </a:graphicData>
          </a:graphic>
        </xdr:graphicFrame>
      </mc:Choice>
      <mc:Fallback xmlns="">
        <xdr:sp macro="" textlink="">
          <xdr:nvSpPr>
            <xdr:cNvPr id="0" name=""/>
            <xdr:cNvSpPr>
              <a:spLocks noTextEdit="1"/>
            </xdr:cNvSpPr>
          </xdr:nvSpPr>
          <xdr:spPr>
            <a:xfrm>
              <a:off x="15236414" y="5541309"/>
              <a:ext cx="1781735" cy="18276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38</xdr:row>
      <xdr:rowOff>186978</xdr:rowOff>
    </xdr:from>
    <xdr:to>
      <xdr:col>3</xdr:col>
      <xdr:colOff>634637</xdr:colOff>
      <xdr:row>53</xdr:row>
      <xdr:rowOff>188611</xdr:rowOff>
    </xdr:to>
    <mc:AlternateContent xmlns:mc="http://schemas.openxmlformats.org/markup-compatibility/2006">
      <mc:Choice xmlns:cx1="http://schemas.microsoft.com/office/drawing/2015/9/8/chartex" Requires="cx1">
        <xdr:graphicFrame macro="">
          <xdr:nvGraphicFramePr>
            <xdr:cNvPr id="16" name="Chart 15">
              <a:extLst>
                <a:ext uri="{FF2B5EF4-FFF2-40B4-BE49-F238E27FC236}">
                  <a16:creationId xmlns:a16="http://schemas.microsoft.com/office/drawing/2014/main" id="{00000000-0008-0000-0100-000010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0" y="7212618"/>
              <a:ext cx="4635137" cy="274483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0</xdr:colOff>
      <xdr:row>54</xdr:row>
      <xdr:rowOff>109177</xdr:rowOff>
    </xdr:from>
    <xdr:to>
      <xdr:col>13</xdr:col>
      <xdr:colOff>141273</xdr:colOff>
      <xdr:row>68</xdr:row>
      <xdr:rowOff>164422</xdr:rowOff>
    </xdr:to>
    <xdr:graphicFrame macro="">
      <xdr:nvGraphicFramePr>
        <xdr:cNvPr id="17" name="Chart 16">
          <a:extLst>
            <a:ext uri="{FF2B5EF4-FFF2-40B4-BE49-F238E27FC236}">
              <a16:creationId xmlns:a16="http://schemas.microsoft.com/office/drawing/2014/main"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21</xdr:row>
      <xdr:rowOff>40981</xdr:rowOff>
    </xdr:from>
    <xdr:to>
      <xdr:col>4</xdr:col>
      <xdr:colOff>686441</xdr:colOff>
      <xdr:row>38</xdr:row>
      <xdr:rowOff>73958</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715724</xdr:colOff>
      <xdr:row>39</xdr:row>
      <xdr:rowOff>3782</xdr:rowOff>
    </xdr:from>
    <xdr:to>
      <xdr:col>8</xdr:col>
      <xdr:colOff>907676</xdr:colOff>
      <xdr:row>54</xdr:row>
      <xdr:rowOff>33617</xdr:rowOff>
    </xdr:to>
    <xdr:graphicFrame macro="">
      <xdr:nvGraphicFramePr>
        <xdr:cNvPr id="7" name="Chart 6">
          <a:extLst>
            <a:ext uri="{FF2B5EF4-FFF2-40B4-BE49-F238E27FC236}">
              <a16:creationId xmlns:a16="http://schemas.microsoft.com/office/drawing/2014/main" id="{00000000-0008-0000-0100-000007000000}"/>
            </a:ext>
            <a:ext uri="{147F2762-F138-4A5C-976F-8EAC2B608ADB}">
              <a16:predDERef xmlns:a16="http://schemas.microsoft.com/office/drawing/2014/main" pre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0</xdr:colOff>
      <xdr:row>0</xdr:row>
      <xdr:rowOff>67238</xdr:rowOff>
    </xdr:from>
    <xdr:to>
      <xdr:col>7</xdr:col>
      <xdr:colOff>347383</xdr:colOff>
      <xdr:row>2</xdr:row>
      <xdr:rowOff>190502</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5647765" y="67238"/>
          <a:ext cx="3070412" cy="504264"/>
        </a:xfrm>
        <a:prstGeom prst="rect">
          <a:avLst/>
        </a:prstGeom>
        <a:solidFill>
          <a:schemeClr val="accent2">
            <a:lumMod val="60000"/>
            <a:lumOff val="40000"/>
          </a:schemeClr>
        </a:solidFill>
        <a:ln>
          <a:noFill/>
        </a:ln>
        <a:effectLst>
          <a:glow rad="228600">
            <a:schemeClr val="accent1">
              <a:satMod val="175000"/>
              <a:alpha val="40000"/>
            </a:schemeClr>
          </a:glow>
        </a:effectLst>
      </xdr:spPr>
      <xdr:style>
        <a:lnRef idx="0">
          <a:scrgbClr r="0" g="0" b="0"/>
        </a:lnRef>
        <a:fillRef idx="0">
          <a:scrgbClr r="0" g="0" b="0"/>
        </a:fillRef>
        <a:effectRef idx="0">
          <a:scrgbClr r="0" g="0" b="0"/>
        </a:effectRef>
        <a:fontRef idx="minor">
          <a:schemeClr val="lt1"/>
        </a:fontRef>
      </xdr:style>
      <xdr:txBody>
        <a:bodyPr vertOverflow="clip" horzOverflow="clip" wrap="square" rtlCol="0" anchor="t"/>
        <a:lstStyle/>
        <a:p>
          <a:r>
            <a:rPr lang="en-US" sz="1100" b="1"/>
            <a:t>Click</a:t>
          </a:r>
          <a:r>
            <a:rPr lang="en-US" sz="1100" b="1" baseline="0"/>
            <a:t> on the Employee ID to see the teachers for each class</a:t>
          </a:r>
          <a:endParaRPr lang="en-US" sz="1100" b="1"/>
        </a:p>
      </xdr:txBody>
    </xdr:sp>
    <xdr:clientData/>
  </xdr:twoCellAnchor>
  <xdr:twoCellAnchor>
    <xdr:from>
      <xdr:col>2</xdr:col>
      <xdr:colOff>11205</xdr:colOff>
      <xdr:row>13</xdr:row>
      <xdr:rowOff>100853</xdr:rowOff>
    </xdr:from>
    <xdr:to>
      <xdr:col>6</xdr:col>
      <xdr:colOff>784410</xdr:colOff>
      <xdr:row>16</xdr:row>
      <xdr:rowOff>0</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3384176" y="2655794"/>
          <a:ext cx="4684058" cy="493059"/>
        </a:xfrm>
        <a:prstGeom prst="rect">
          <a:avLst/>
        </a:prstGeom>
        <a:solidFill>
          <a:schemeClr val="accent2">
            <a:lumMod val="60000"/>
            <a:lumOff val="40000"/>
          </a:schemeClr>
        </a:solidFill>
        <a:ln w="9525" cmpd="sng">
          <a:solidFill>
            <a:schemeClr val="lt1">
              <a:shade val="50000"/>
            </a:schemeClr>
          </a:solidFill>
        </a:ln>
        <a:effectLst>
          <a:glow rad="228600">
            <a:schemeClr val="accent1">
              <a:satMod val="175000"/>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solidFill>
                <a:schemeClr val="lt1"/>
              </a:solidFill>
              <a:latin typeface="+mn-lt"/>
              <a:ea typeface="+mn-ea"/>
              <a:cs typeface="+mn-cs"/>
            </a:rPr>
            <a:t>Click on the employee ID tosee which staff is charoponing what school event</a:t>
          </a:r>
        </a:p>
      </xdr:txBody>
    </xdr:sp>
    <xdr:clientData/>
  </xdr:twoCellAnchor>
  <xdr:twoCellAnchor>
    <xdr:from>
      <xdr:col>1</xdr:col>
      <xdr:colOff>319726</xdr:colOff>
      <xdr:row>0</xdr:row>
      <xdr:rowOff>60375</xdr:rowOff>
    </xdr:from>
    <xdr:to>
      <xdr:col>3</xdr:col>
      <xdr:colOff>1176618</xdr:colOff>
      <xdr:row>1</xdr:row>
      <xdr:rowOff>145676</xdr:rowOff>
    </xdr:to>
    <xdr:sp macro="" textlink="">
      <xdr:nvSpPr>
        <xdr:cNvPr id="23" name="Freeform: Shape 22">
          <a:extLst>
            <a:ext uri="{FF2B5EF4-FFF2-40B4-BE49-F238E27FC236}">
              <a16:creationId xmlns:a16="http://schemas.microsoft.com/office/drawing/2014/main" id="{00000000-0008-0000-0100-000017000000}"/>
            </a:ext>
          </a:extLst>
        </xdr:cNvPr>
        <xdr:cNvSpPr/>
      </xdr:nvSpPr>
      <xdr:spPr>
        <a:xfrm>
          <a:off x="2628138" y="60375"/>
          <a:ext cx="2918774" cy="275801"/>
        </a:xfrm>
        <a:custGeom>
          <a:avLst/>
          <a:gdLst>
            <a:gd name="connsiteX0" fmla="*/ 240568 w 2918774"/>
            <a:gd name="connsiteY0" fmla="*/ 275801 h 275801"/>
            <a:gd name="connsiteX1" fmla="*/ 262980 w 2918774"/>
            <a:gd name="connsiteY1" fmla="*/ 6860 h 275801"/>
            <a:gd name="connsiteX2" fmla="*/ 2918774 w 2918774"/>
            <a:gd name="connsiteY2" fmla="*/ 74096 h 275801"/>
            <a:gd name="connsiteX3" fmla="*/ 2918774 w 2918774"/>
            <a:gd name="connsiteY3" fmla="*/ 74096 h 275801"/>
          </a:gdLst>
          <a:ahLst/>
          <a:cxnLst>
            <a:cxn ang="0">
              <a:pos x="connsiteX0" y="connsiteY0"/>
            </a:cxn>
            <a:cxn ang="0">
              <a:pos x="connsiteX1" y="connsiteY1"/>
            </a:cxn>
            <a:cxn ang="0">
              <a:pos x="connsiteX2" y="connsiteY2"/>
            </a:cxn>
            <a:cxn ang="0">
              <a:pos x="connsiteX3" y="connsiteY3"/>
            </a:cxn>
          </a:cxnLst>
          <a:rect l="l" t="t" r="r" b="b"/>
          <a:pathLst>
            <a:path w="2918774" h="275801">
              <a:moveTo>
                <a:pt x="240568" y="275801"/>
              </a:moveTo>
              <a:cubicBezTo>
                <a:pt x="28590" y="158139"/>
                <a:pt x="-183388" y="40477"/>
                <a:pt x="262980" y="6860"/>
              </a:cubicBezTo>
              <a:cubicBezTo>
                <a:pt x="709348" y="-26757"/>
                <a:pt x="2918774" y="74096"/>
                <a:pt x="2918774" y="74096"/>
              </a:cubicBezTo>
              <a:lnTo>
                <a:pt x="2918774" y="74096"/>
              </a:lnTo>
            </a:path>
          </a:pathLst>
        </a:custGeom>
        <a:ln w="28575" cap="flat" cmpd="sng" algn="ctr">
          <a:solidFill>
            <a:schemeClr val="accent4"/>
          </a:solidFill>
          <a:prstDash val="solid"/>
          <a:round/>
          <a:headEnd type="arrow" w="med" len="med"/>
          <a:tailEnd type="arrow" w="med" len="med"/>
        </a:ln>
      </xdr:spPr>
      <xdr:style>
        <a:lnRef idx="0">
          <a:scrgbClr r="0" g="0" b="0"/>
        </a:lnRef>
        <a:fillRef idx="0">
          <a:scrgbClr r="0" g="0" b="0"/>
        </a:fillRef>
        <a:effectRef idx="0">
          <a:scrgbClr r="0" g="0" b="0"/>
        </a:effectRef>
        <a:fontRef idx="minor">
          <a:schemeClr val="tx1"/>
        </a:fontRef>
      </xdr:style>
      <xdr:txBody>
        <a:bodyPr vertOverflow="clip" horzOverflow="clip" rtlCol="0" anchor="t"/>
        <a:lstStyle/>
        <a:p>
          <a:pPr algn="l"/>
          <a:endParaRPr lang="en-US" sz="1100">
            <a:ln w="19050">
              <a:solidFill>
                <a:schemeClr val="tx1"/>
              </a:solidFill>
            </a:ln>
          </a:endParaRPr>
        </a:p>
      </xdr:txBody>
    </xdr:sp>
    <xdr:clientData/>
  </xdr:twoCellAnchor>
  <xdr:twoCellAnchor>
    <xdr:from>
      <xdr:col>0</xdr:col>
      <xdr:colOff>481853</xdr:colOff>
      <xdr:row>13</xdr:row>
      <xdr:rowOff>78442</xdr:rowOff>
    </xdr:from>
    <xdr:to>
      <xdr:col>2</xdr:col>
      <xdr:colOff>27656</xdr:colOff>
      <xdr:row>14</xdr:row>
      <xdr:rowOff>152537</xdr:rowOff>
    </xdr:to>
    <xdr:sp macro="" textlink="">
      <xdr:nvSpPr>
        <xdr:cNvPr id="24" name="Freeform: Shape 23">
          <a:extLst>
            <a:ext uri="{FF2B5EF4-FFF2-40B4-BE49-F238E27FC236}">
              <a16:creationId xmlns:a16="http://schemas.microsoft.com/office/drawing/2014/main" id="{00000000-0008-0000-0100-000018000000}"/>
            </a:ext>
          </a:extLst>
        </xdr:cNvPr>
        <xdr:cNvSpPr/>
      </xdr:nvSpPr>
      <xdr:spPr>
        <a:xfrm>
          <a:off x="481853" y="2633383"/>
          <a:ext cx="2918774" cy="275801"/>
        </a:xfrm>
        <a:custGeom>
          <a:avLst/>
          <a:gdLst>
            <a:gd name="connsiteX0" fmla="*/ 240568 w 2918774"/>
            <a:gd name="connsiteY0" fmla="*/ 275801 h 275801"/>
            <a:gd name="connsiteX1" fmla="*/ 262980 w 2918774"/>
            <a:gd name="connsiteY1" fmla="*/ 6860 h 275801"/>
            <a:gd name="connsiteX2" fmla="*/ 2918774 w 2918774"/>
            <a:gd name="connsiteY2" fmla="*/ 74096 h 275801"/>
            <a:gd name="connsiteX3" fmla="*/ 2918774 w 2918774"/>
            <a:gd name="connsiteY3" fmla="*/ 74096 h 275801"/>
          </a:gdLst>
          <a:ahLst/>
          <a:cxnLst>
            <a:cxn ang="0">
              <a:pos x="connsiteX0" y="connsiteY0"/>
            </a:cxn>
            <a:cxn ang="0">
              <a:pos x="connsiteX1" y="connsiteY1"/>
            </a:cxn>
            <a:cxn ang="0">
              <a:pos x="connsiteX2" y="connsiteY2"/>
            </a:cxn>
            <a:cxn ang="0">
              <a:pos x="connsiteX3" y="connsiteY3"/>
            </a:cxn>
          </a:cxnLst>
          <a:rect l="l" t="t" r="r" b="b"/>
          <a:pathLst>
            <a:path w="2918774" h="275801">
              <a:moveTo>
                <a:pt x="240568" y="275801"/>
              </a:moveTo>
              <a:cubicBezTo>
                <a:pt x="28590" y="158139"/>
                <a:pt x="-183388" y="40477"/>
                <a:pt x="262980" y="6860"/>
              </a:cubicBezTo>
              <a:cubicBezTo>
                <a:pt x="709348" y="-26757"/>
                <a:pt x="2918774" y="74096"/>
                <a:pt x="2918774" y="74096"/>
              </a:cubicBezTo>
              <a:lnTo>
                <a:pt x="2918774" y="74096"/>
              </a:lnTo>
            </a:path>
          </a:pathLst>
        </a:custGeom>
        <a:ln w="28575" cap="flat" cmpd="sng" algn="ctr">
          <a:solidFill>
            <a:schemeClr val="accent4"/>
          </a:solidFill>
          <a:prstDash val="solid"/>
          <a:round/>
          <a:headEnd type="arrow" w="med" len="med"/>
          <a:tailEnd type="arrow" w="med" len="med"/>
        </a:ln>
      </xdr:spPr>
      <xdr:style>
        <a:lnRef idx="0">
          <a:scrgbClr r="0" g="0" b="0"/>
        </a:lnRef>
        <a:fillRef idx="0">
          <a:scrgbClr r="0" g="0" b="0"/>
        </a:fillRef>
        <a:effectRef idx="0">
          <a:scrgbClr r="0" g="0" b="0"/>
        </a:effectRef>
        <a:fontRef idx="minor">
          <a:schemeClr val="tx1"/>
        </a:fontRef>
      </xdr:style>
      <xdr:txBody>
        <a:bodyPr vertOverflow="clip" horzOverflow="clip" rtlCol="0" anchor="t"/>
        <a:lstStyle/>
        <a:p>
          <a:pPr algn="l"/>
          <a:endParaRPr lang="en-US" sz="1100">
            <a:ln w="19050">
              <a:solidFill>
                <a:schemeClr val="tx1"/>
              </a:solidFill>
            </a:ln>
          </a:endParaRPr>
        </a:p>
      </xdr:txBody>
    </xdr:sp>
    <xdr:clientData/>
  </xdr:twoCellAnchor>
  <xdr:twoCellAnchor>
    <xdr:from>
      <xdr:col>9</xdr:col>
      <xdr:colOff>109278</xdr:colOff>
      <xdr:row>15</xdr:row>
      <xdr:rowOff>22137</xdr:rowOff>
    </xdr:from>
    <xdr:to>
      <xdr:col>17</xdr:col>
      <xdr:colOff>535165</xdr:colOff>
      <xdr:row>27</xdr:row>
      <xdr:rowOff>21497</xdr:rowOff>
    </xdr:to>
    <xdr:grpSp>
      <xdr:nvGrpSpPr>
        <xdr:cNvPr id="3" name="Group 2">
          <a:extLst>
            <a:ext uri="{FF2B5EF4-FFF2-40B4-BE49-F238E27FC236}">
              <a16:creationId xmlns:a16="http://schemas.microsoft.com/office/drawing/2014/main" id="{00000000-0008-0000-0100-000003000000}"/>
            </a:ext>
          </a:extLst>
        </xdr:cNvPr>
        <xdr:cNvGrpSpPr/>
      </xdr:nvGrpSpPr>
      <xdr:grpSpPr>
        <a:xfrm>
          <a:off x="10104925" y="2711549"/>
          <a:ext cx="5598522" cy="2150889"/>
          <a:chOff x="10481442" y="1501313"/>
          <a:chExt cx="5598522" cy="2150889"/>
        </a:xfrm>
      </xdr:grpSpPr>
      <xdr:sp macro="" textlink="">
        <xdr:nvSpPr>
          <xdr:cNvPr id="5" name="Ribbon: Curved and Tilted Up 4">
            <a:extLst>
              <a:ext uri="{FF2B5EF4-FFF2-40B4-BE49-F238E27FC236}">
                <a16:creationId xmlns:a16="http://schemas.microsoft.com/office/drawing/2014/main" id="{00000000-0008-0000-0100-000005000000}"/>
              </a:ext>
            </a:extLst>
          </xdr:cNvPr>
          <xdr:cNvSpPr/>
        </xdr:nvSpPr>
        <xdr:spPr>
          <a:xfrm>
            <a:off x="10481442" y="1501313"/>
            <a:ext cx="5598522" cy="2150889"/>
          </a:xfrm>
          <a:prstGeom prst="ellipseRibbon2">
            <a:avLst>
              <a:gd name="adj1" fmla="val 25000"/>
              <a:gd name="adj2" fmla="val 50000"/>
              <a:gd name="adj3" fmla="val 16369"/>
            </a:avLst>
          </a:prstGeom>
          <a:gradFill rotWithShape="1">
            <a:gsLst>
              <a:gs pos="0">
                <a:srgbClr val="ED7D31">
                  <a:lumMod val="110000"/>
                  <a:satMod val="105000"/>
                  <a:tint val="67000"/>
                </a:srgbClr>
              </a:gs>
              <a:gs pos="50000">
                <a:srgbClr val="ED7D31">
                  <a:lumMod val="105000"/>
                  <a:satMod val="103000"/>
                  <a:tint val="73000"/>
                </a:srgbClr>
              </a:gs>
              <a:gs pos="100000">
                <a:srgbClr val="ED7D31">
                  <a:lumMod val="105000"/>
                  <a:satMod val="109000"/>
                  <a:tint val="81000"/>
                </a:srgbClr>
              </a:gs>
            </a:gsLst>
            <a:lin ang="5400000" scaled="0"/>
          </a:gradFill>
          <a:ln w="6350" cap="flat" cmpd="sng" algn="ctr">
            <a:solidFill>
              <a:srgbClr val="ED7D31"/>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12909176" y="1696219"/>
            <a:ext cx="1767996" cy="885615"/>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please</a:t>
            </a:r>
            <a:r>
              <a:rPr lang="en-US" sz="1400" baseline="0"/>
              <a:t> select classes to change the data in chart</a:t>
            </a:r>
            <a:endParaRPr lang="en-US" sz="1400"/>
          </a:p>
        </xdr:txBody>
      </xdr:sp>
      <mc:AlternateContent xmlns:mc="http://schemas.openxmlformats.org/markup-compatibility/2006">
        <mc:Choice xmlns:a14="http://schemas.microsoft.com/office/drawing/2010/main" Requires="a14">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12143142" y="1995095"/>
                <a:ext cx="1052009" cy="45764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Clsss B</a:t>
                </a:r>
              </a:p>
            </xdr:txBody>
          </xdr:sp>
        </mc:Choice>
        <mc:Fallback/>
      </mc:AlternateContent>
      <mc:AlternateContent xmlns:mc="http://schemas.openxmlformats.org/markup-compatibility/2006">
        <mc:Choice xmlns:a14="http://schemas.microsoft.com/office/drawing/2010/main" Requires="a14">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12150762" y="2727512"/>
                <a:ext cx="1052009" cy="48050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ClsssD</a:t>
                </a:r>
              </a:p>
            </xdr:txBody>
          </xdr:sp>
        </mc:Choice>
        <mc:Fallback/>
      </mc:AlternateContent>
      <mc:AlternateContent xmlns:mc="http://schemas.openxmlformats.org/markup-compatibility/2006">
        <mc:Choice xmlns:a14="http://schemas.microsoft.com/office/drawing/2010/main" Requires="a14">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12127902" y="1586753"/>
                <a:ext cx="1059629" cy="46168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Clsss A</a:t>
                </a:r>
              </a:p>
            </xdr:txBody>
          </xdr:sp>
        </mc:Choice>
        <mc:Fallback/>
      </mc:AlternateContent>
      <mc:AlternateContent xmlns:mc="http://schemas.openxmlformats.org/markup-compatibility/2006">
        <mc:Choice xmlns:a14="http://schemas.microsoft.com/office/drawing/2010/main" Requires="a14">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12143142" y="2379233"/>
                <a:ext cx="1052009" cy="47692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Clsss C</a:t>
                </a:r>
              </a:p>
            </xdr:txBody>
          </xdr:sp>
        </mc:Choice>
        <mc:Fallback/>
      </mc:AlternateContent>
    </xdr:grpSp>
    <xdr:clientData/>
  </xdr:twoCellAnchor>
  <xdr:twoCellAnchor>
    <xdr:from>
      <xdr:col>4</xdr:col>
      <xdr:colOff>707572</xdr:colOff>
      <xdr:row>21</xdr:row>
      <xdr:rowOff>13608</xdr:rowOff>
    </xdr:from>
    <xdr:to>
      <xdr:col>10</xdr:col>
      <xdr:colOff>571500</xdr:colOff>
      <xdr:row>38</xdr:row>
      <xdr:rowOff>68036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582706</xdr:colOff>
      <xdr:row>0</xdr:row>
      <xdr:rowOff>134471</xdr:rowOff>
    </xdr:from>
    <xdr:to>
      <xdr:col>12</xdr:col>
      <xdr:colOff>706531</xdr:colOff>
      <xdr:row>3</xdr:row>
      <xdr:rowOff>37539</xdr:rowOff>
    </xdr:to>
    <xdr:grpSp>
      <xdr:nvGrpSpPr>
        <xdr:cNvPr id="10" name="Group 9">
          <a:hlinkClick xmlns:r="http://schemas.openxmlformats.org/officeDocument/2006/relationships" r:id="rId6"/>
          <a:extLst>
            <a:ext uri="{FF2B5EF4-FFF2-40B4-BE49-F238E27FC236}">
              <a16:creationId xmlns:a16="http://schemas.microsoft.com/office/drawing/2014/main" id="{00000000-0008-0000-0100-00000A000000}"/>
            </a:ext>
          </a:extLst>
        </xdr:cNvPr>
        <xdr:cNvGrpSpPr/>
      </xdr:nvGrpSpPr>
      <xdr:grpSpPr>
        <a:xfrm>
          <a:off x="9628094" y="134471"/>
          <a:ext cx="2893919" cy="440950"/>
          <a:chOff x="8801100" y="0"/>
          <a:chExt cx="3114675" cy="463336"/>
        </a:xfrm>
      </xdr:grpSpPr>
      <xdr:sp macro="" textlink="">
        <xdr:nvSpPr>
          <xdr:cNvPr id="11" name="Rectangle 10">
            <a:extLst>
              <a:ext uri="{FF2B5EF4-FFF2-40B4-BE49-F238E27FC236}">
                <a16:creationId xmlns:a16="http://schemas.microsoft.com/office/drawing/2014/main" id="{00000000-0008-0000-0100-00000B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7"/>
          <a:stretch>
            <a:fillRect/>
          </a:stretch>
        </xdr:blipFill>
        <xdr:spPr>
          <a:xfrm>
            <a:off x="8801100" y="0"/>
            <a:ext cx="2389839" cy="463336"/>
          </a:xfrm>
          <a:prstGeom prst="rect">
            <a:avLst/>
          </a:prstGeom>
          <a:ln>
            <a:noFill/>
          </a:ln>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327660</xdr:colOff>
      <xdr:row>0</xdr:row>
      <xdr:rowOff>0</xdr:rowOff>
    </xdr:from>
    <xdr:to>
      <xdr:col>13</xdr:col>
      <xdr:colOff>342900</xdr:colOff>
      <xdr:row>12</xdr:row>
      <xdr:rowOff>160020</xdr:rowOff>
    </xdr:to>
    <xdr:sp macro="" textlink="">
      <xdr:nvSpPr>
        <xdr:cNvPr id="4" name="Scroll: Horizontal 3">
          <a:extLst>
            <a:ext uri="{FF2B5EF4-FFF2-40B4-BE49-F238E27FC236}">
              <a16:creationId xmlns:a16="http://schemas.microsoft.com/office/drawing/2014/main" id="{00000000-0008-0000-0200-000004000000}"/>
            </a:ext>
          </a:extLst>
        </xdr:cNvPr>
        <xdr:cNvSpPr/>
      </xdr:nvSpPr>
      <xdr:spPr>
        <a:xfrm>
          <a:off x="6713220" y="0"/>
          <a:ext cx="4389120" cy="2354580"/>
        </a:xfrm>
        <a:prstGeom prst="horizontalScrol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190500</xdr:colOff>
      <xdr:row>2</xdr:row>
      <xdr:rowOff>68580</xdr:rowOff>
    </xdr:from>
    <xdr:to>
      <xdr:col>13</xdr:col>
      <xdr:colOff>68580</xdr:colOff>
      <xdr:row>10</xdr:row>
      <xdr:rowOff>167640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7200900" y="434340"/>
          <a:ext cx="3627120" cy="1562100"/>
        </a:xfrm>
        <a:prstGeom prst="rect">
          <a:avLst/>
        </a:prstGeom>
        <a:noFill/>
        <a:ln w="9525" cmpd="sng">
          <a:solidFill>
            <a:schemeClr val="lt1">
              <a:shade val="50000"/>
            </a:schemeClr>
          </a:solidFill>
        </a:ln>
      </xdr:spPr>
      <xdr:txBody>
        <a:bodyPr spcFirstLastPara="0" vertOverflow="clip" horzOverflow="clip" wrap="square" lIns="91440" tIns="45720" rIns="91440" bIns="45720" rtlCol="0" anchor="t">
          <a:noAutofit/>
        </a:bodyPr>
        <a:lstStyle/>
        <a:p>
          <a:pPr marL="0" indent="0" algn="l"/>
          <a:r>
            <a:rPr lang="en-US" sz="1100" b="0" i="0" u="none" strike="noStrike">
              <a:solidFill>
                <a:schemeClr val="bg1"/>
              </a:solidFill>
              <a:latin typeface="Aptos Narrow" panose="020B0004020202020204" pitchFamily="34" charset="0"/>
            </a:rPr>
            <a:t>Welcome to UA Academy: Here studnets will take a placement exam upon entering the academy to determine their class</a:t>
          </a:r>
          <a:r>
            <a:rPr lang="en-US" sz="1100" b="0" i="0" u="none" strike="noStrike" baseline="0">
              <a:solidFill>
                <a:schemeClr val="bg1"/>
              </a:solidFill>
              <a:latin typeface="Aptos Narrow" panose="020B0004020202020204" pitchFamily="34" charset="0"/>
            </a:rPr>
            <a:t> placements based on two plaement exams, A multilchoice and short answer exam. These classes are deigmed to help students improve their grads in a focused class setting</a:t>
          </a:r>
          <a:endParaRPr lang="en-US" sz="1100" b="0" i="0" u="none" strike="noStrike">
            <a:solidFill>
              <a:schemeClr val="bg1"/>
            </a:solidFill>
            <a:latin typeface="Aptos Narrow" panose="020B0004020202020204" pitchFamily="34" charset="0"/>
          </a:endParaRPr>
        </a:p>
      </xdr:txBody>
    </xdr:sp>
    <xdr:clientData/>
  </xdr:twoCellAnchor>
  <xdr:twoCellAnchor>
    <xdr:from>
      <xdr:col>6</xdr:col>
      <xdr:colOff>403860</xdr:colOff>
      <xdr:row>13</xdr:row>
      <xdr:rowOff>57150</xdr:rowOff>
    </xdr:from>
    <xdr:to>
      <xdr:col>13</xdr:col>
      <xdr:colOff>365760</xdr:colOff>
      <xdr:row>28</xdr:row>
      <xdr:rowOff>91440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355080" y="2434590"/>
              <a:ext cx="3855720" cy="277749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99060</xdr:colOff>
      <xdr:row>0</xdr:row>
      <xdr:rowOff>175260</xdr:rowOff>
    </xdr:from>
    <xdr:to>
      <xdr:col>18</xdr:col>
      <xdr:colOff>82924</xdr:colOff>
      <xdr:row>5</xdr:row>
      <xdr:rowOff>157330</xdr:rowOff>
    </xdr:to>
    <xdr:sp macro="" textlink="">
      <xdr:nvSpPr>
        <xdr:cNvPr id="5" name="Arrow: Left 4">
          <a:hlinkClick xmlns:r="http://schemas.openxmlformats.org/officeDocument/2006/relationships" r:id="rId2"/>
          <a:extLst>
            <a:ext uri="{FF2B5EF4-FFF2-40B4-BE49-F238E27FC236}">
              <a16:creationId xmlns:a16="http://schemas.microsoft.com/office/drawing/2014/main" id="{00000000-0008-0000-0200-000005000000}"/>
            </a:ext>
          </a:extLst>
        </xdr:cNvPr>
        <xdr:cNvSpPr/>
      </xdr:nvSpPr>
      <xdr:spPr>
        <a:xfrm>
          <a:off x="11483340" y="175260"/>
          <a:ext cx="2483224" cy="89647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a:latin typeface="Algerian" panose="04020705040A02060702" pitchFamily="82" charset="0"/>
            </a:rPr>
            <a:t>Cover Page</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83820</xdr:colOff>
      <xdr:row>1</xdr:row>
      <xdr:rowOff>83820</xdr:rowOff>
    </xdr:from>
    <xdr:to>
      <xdr:col>9</xdr:col>
      <xdr:colOff>83820</xdr:colOff>
      <xdr:row>14</xdr:row>
      <xdr:rowOff>173355</xdr:rowOff>
    </xdr:to>
    <mc:AlternateContent xmlns:mc="http://schemas.openxmlformats.org/markup-compatibility/2006" xmlns:a14="http://schemas.microsoft.com/office/drawing/2010/main">
      <mc:Choice Requires="a14">
        <xdr:graphicFrame macro="">
          <xdr:nvGraphicFramePr>
            <xdr:cNvPr id="2" name="PlacementScore">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PlacementScore"/>
            </a:graphicData>
          </a:graphic>
        </xdr:graphicFrame>
      </mc:Choice>
      <mc:Fallback xmlns="">
        <xdr:sp macro="" textlink="">
          <xdr:nvSpPr>
            <xdr:cNvPr id="0" name=""/>
            <xdr:cNvSpPr>
              <a:spLocks noTextEdit="1"/>
            </xdr:cNvSpPr>
          </xdr:nvSpPr>
          <xdr:spPr>
            <a:xfrm>
              <a:off x="7391400" y="2667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95250</xdr:colOff>
      <xdr:row>0</xdr:row>
      <xdr:rowOff>0</xdr:rowOff>
    </xdr:from>
    <xdr:to>
      <xdr:col>2</xdr:col>
      <xdr:colOff>1638300</xdr:colOff>
      <xdr:row>2</xdr:row>
      <xdr:rowOff>104774</xdr:rowOff>
    </xdr:to>
    <xdr:grpSp>
      <xdr:nvGrpSpPr>
        <xdr:cNvPr id="7" name="Group 6">
          <a:hlinkClick xmlns:r="http://schemas.openxmlformats.org/officeDocument/2006/relationships" r:id="rId1"/>
          <a:extLst>
            <a:ext uri="{FF2B5EF4-FFF2-40B4-BE49-F238E27FC236}">
              <a16:creationId xmlns:a16="http://schemas.microsoft.com/office/drawing/2014/main" id="{00000000-0008-0000-0300-000007000000}"/>
            </a:ext>
          </a:extLst>
        </xdr:cNvPr>
        <xdr:cNvGrpSpPr/>
      </xdr:nvGrpSpPr>
      <xdr:grpSpPr>
        <a:xfrm>
          <a:off x="948690" y="0"/>
          <a:ext cx="3082290" cy="470534"/>
          <a:chOff x="8801100" y="0"/>
          <a:chExt cx="3114675" cy="463336"/>
        </a:xfrm>
      </xdr:grpSpPr>
      <xdr:sp macro="" textlink="">
        <xdr:nvSpPr>
          <xdr:cNvPr id="8" name="Rectangle 7">
            <a:extLst>
              <a:ext uri="{FF2B5EF4-FFF2-40B4-BE49-F238E27FC236}">
                <a16:creationId xmlns:a16="http://schemas.microsoft.com/office/drawing/2014/main" id="{00000000-0008-0000-0300-000008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2"/>
          <a:stretch>
            <a:fillRect/>
          </a:stretch>
        </xdr:blipFill>
        <xdr:spPr>
          <a:xfrm>
            <a:off x="8801100" y="0"/>
            <a:ext cx="2389839" cy="463336"/>
          </a:xfrm>
          <a:prstGeom prst="rect">
            <a:avLst/>
          </a:prstGeom>
          <a:ln>
            <a:noFill/>
          </a:ln>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923925</xdr:colOff>
      <xdr:row>0</xdr:row>
      <xdr:rowOff>0</xdr:rowOff>
    </xdr:from>
    <xdr:to>
      <xdr:col>12</xdr:col>
      <xdr:colOff>1066800</xdr:colOff>
      <xdr:row>1</xdr:row>
      <xdr:rowOff>123824</xdr:rowOff>
    </xdr:to>
    <xdr:grpSp>
      <xdr:nvGrpSpPr>
        <xdr:cNvPr id="5" name="Group 4">
          <a:hlinkClick xmlns:r="http://schemas.openxmlformats.org/officeDocument/2006/relationships" r:id="rId1"/>
          <a:extLst>
            <a:ext uri="{FF2B5EF4-FFF2-40B4-BE49-F238E27FC236}">
              <a16:creationId xmlns:a16="http://schemas.microsoft.com/office/drawing/2014/main" id="{00000000-0008-0000-0400-000005000000}"/>
            </a:ext>
          </a:extLst>
        </xdr:cNvPr>
        <xdr:cNvGrpSpPr/>
      </xdr:nvGrpSpPr>
      <xdr:grpSpPr>
        <a:xfrm>
          <a:off x="8208645" y="0"/>
          <a:ext cx="2931795" cy="436244"/>
          <a:chOff x="8801100" y="0"/>
          <a:chExt cx="3114675" cy="463336"/>
        </a:xfrm>
      </xdr:grpSpPr>
      <xdr:sp macro="" textlink="">
        <xdr:nvSpPr>
          <xdr:cNvPr id="3" name="Rectangle 2">
            <a:extLst>
              <a:ext uri="{FF2B5EF4-FFF2-40B4-BE49-F238E27FC236}">
                <a16:creationId xmlns:a16="http://schemas.microsoft.com/office/drawing/2014/main" id="{00000000-0008-0000-0400-000003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a:stretch>
            <a:fillRect/>
          </a:stretch>
        </xdr:blipFill>
        <xdr:spPr>
          <a:xfrm>
            <a:off x="8801100" y="0"/>
            <a:ext cx="2389839" cy="463336"/>
          </a:xfrm>
          <a:prstGeom prst="rect">
            <a:avLst/>
          </a:prstGeom>
          <a:ln>
            <a:noFill/>
          </a:ln>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866775</xdr:colOff>
      <xdr:row>0</xdr:row>
      <xdr:rowOff>0</xdr:rowOff>
    </xdr:from>
    <xdr:to>
      <xdr:col>14</xdr:col>
      <xdr:colOff>390525</xdr:colOff>
      <xdr:row>1</xdr:row>
      <xdr:rowOff>123824</xdr:rowOff>
    </xdr:to>
    <xdr:grpSp>
      <xdr:nvGrpSpPr>
        <xdr:cNvPr id="4" name="Group 3">
          <a:hlinkClick xmlns:r="http://schemas.openxmlformats.org/officeDocument/2006/relationships" r:id="rId1"/>
          <a:extLst>
            <a:ext uri="{FF2B5EF4-FFF2-40B4-BE49-F238E27FC236}">
              <a16:creationId xmlns:a16="http://schemas.microsoft.com/office/drawing/2014/main" id="{00000000-0008-0000-0500-000004000000}"/>
            </a:ext>
          </a:extLst>
        </xdr:cNvPr>
        <xdr:cNvGrpSpPr/>
      </xdr:nvGrpSpPr>
      <xdr:grpSpPr>
        <a:xfrm>
          <a:off x="10483215" y="0"/>
          <a:ext cx="2868930" cy="481964"/>
          <a:chOff x="8801100" y="0"/>
          <a:chExt cx="3114675" cy="463336"/>
        </a:xfrm>
      </xdr:grpSpPr>
      <xdr:sp macro="" textlink="">
        <xdr:nvSpPr>
          <xdr:cNvPr id="5" name="Rectangle 4">
            <a:extLst>
              <a:ext uri="{FF2B5EF4-FFF2-40B4-BE49-F238E27FC236}">
                <a16:creationId xmlns:a16="http://schemas.microsoft.com/office/drawing/2014/main" id="{00000000-0008-0000-0500-000005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2"/>
          <a:stretch>
            <a:fillRect/>
          </a:stretch>
        </xdr:blipFill>
        <xdr:spPr>
          <a:xfrm>
            <a:off x="8801100" y="0"/>
            <a:ext cx="2389839" cy="463336"/>
          </a:xfrm>
          <a:prstGeom prst="rect">
            <a:avLst/>
          </a:prstGeom>
          <a:ln>
            <a:noFill/>
          </a:ln>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914400</xdr:colOff>
      <xdr:row>0</xdr:row>
      <xdr:rowOff>1</xdr:rowOff>
    </xdr:from>
    <xdr:to>
      <xdr:col>14</xdr:col>
      <xdr:colOff>57150</xdr:colOff>
      <xdr:row>1</xdr:row>
      <xdr:rowOff>123826</xdr:rowOff>
    </xdr:to>
    <xdr:grpSp>
      <xdr:nvGrpSpPr>
        <xdr:cNvPr id="4" name="Group 3">
          <a:hlinkClick xmlns:r="http://schemas.openxmlformats.org/officeDocument/2006/relationships" r:id="rId1"/>
          <a:extLst>
            <a:ext uri="{FF2B5EF4-FFF2-40B4-BE49-F238E27FC236}">
              <a16:creationId xmlns:a16="http://schemas.microsoft.com/office/drawing/2014/main" id="{00000000-0008-0000-0600-000004000000}"/>
            </a:ext>
          </a:extLst>
        </xdr:cNvPr>
        <xdr:cNvGrpSpPr/>
      </xdr:nvGrpSpPr>
      <xdr:grpSpPr>
        <a:xfrm>
          <a:off x="7871460" y="1"/>
          <a:ext cx="2891790" cy="489585"/>
          <a:chOff x="8801100" y="0"/>
          <a:chExt cx="3114675" cy="463336"/>
        </a:xfrm>
      </xdr:grpSpPr>
      <xdr:sp macro="" textlink="">
        <xdr:nvSpPr>
          <xdr:cNvPr id="5" name="Rectangle 4">
            <a:extLst>
              <a:ext uri="{FF2B5EF4-FFF2-40B4-BE49-F238E27FC236}">
                <a16:creationId xmlns:a16="http://schemas.microsoft.com/office/drawing/2014/main" id="{00000000-0008-0000-0600-000005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a:stretch>
            <a:fillRect/>
          </a:stretch>
        </xdr:blipFill>
        <xdr:spPr>
          <a:xfrm>
            <a:off x="8801100" y="0"/>
            <a:ext cx="2389839" cy="463336"/>
          </a:xfrm>
          <a:prstGeom prst="rect">
            <a:avLst/>
          </a:prstGeom>
          <a:ln>
            <a:noFill/>
          </a:ln>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647700</xdr:colOff>
      <xdr:row>0</xdr:row>
      <xdr:rowOff>0</xdr:rowOff>
    </xdr:from>
    <xdr:to>
      <xdr:col>13</xdr:col>
      <xdr:colOff>0</xdr:colOff>
      <xdr:row>1</xdr:row>
      <xdr:rowOff>142875</xdr:rowOff>
    </xdr:to>
    <xdr:grpSp>
      <xdr:nvGrpSpPr>
        <xdr:cNvPr id="10" name="Group 9">
          <a:hlinkClick xmlns:r="http://schemas.openxmlformats.org/officeDocument/2006/relationships" r:id="rId1"/>
          <a:extLst>
            <a:ext uri="{FF2B5EF4-FFF2-40B4-BE49-F238E27FC236}">
              <a16:creationId xmlns:a16="http://schemas.microsoft.com/office/drawing/2014/main" id="{00000000-0008-0000-0700-00000A000000}"/>
            </a:ext>
          </a:extLst>
        </xdr:cNvPr>
        <xdr:cNvGrpSpPr/>
      </xdr:nvGrpSpPr>
      <xdr:grpSpPr>
        <a:xfrm>
          <a:off x="8305800" y="0"/>
          <a:ext cx="2438400" cy="508635"/>
          <a:chOff x="8801100" y="0"/>
          <a:chExt cx="3114675" cy="463336"/>
        </a:xfrm>
      </xdr:grpSpPr>
      <xdr:sp macro="" textlink="">
        <xdr:nvSpPr>
          <xdr:cNvPr id="11" name="Rectangle 10">
            <a:extLst>
              <a:ext uri="{FF2B5EF4-FFF2-40B4-BE49-F238E27FC236}">
                <a16:creationId xmlns:a16="http://schemas.microsoft.com/office/drawing/2014/main" id="{00000000-0008-0000-0700-00000B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2" name="Picture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2"/>
          <a:stretch>
            <a:fillRect/>
          </a:stretch>
        </xdr:blipFill>
        <xdr:spPr>
          <a:xfrm>
            <a:off x="8801100" y="0"/>
            <a:ext cx="2389839" cy="463336"/>
          </a:xfrm>
          <a:prstGeom prst="rect">
            <a:avLst/>
          </a:prstGeom>
          <a:ln>
            <a:noFill/>
          </a:ln>
        </xdr:spPr>
      </xdr:pic>
    </xdr:grp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838200</xdr:colOff>
      <xdr:row>0</xdr:row>
      <xdr:rowOff>0</xdr:rowOff>
    </xdr:from>
    <xdr:to>
      <xdr:col>11</xdr:col>
      <xdr:colOff>0</xdr:colOff>
      <xdr:row>1</xdr:row>
      <xdr:rowOff>114300</xdr:rowOff>
    </xdr:to>
    <xdr:grpSp>
      <xdr:nvGrpSpPr>
        <xdr:cNvPr id="3" name="Group 2">
          <a:hlinkClick xmlns:r="http://schemas.openxmlformats.org/officeDocument/2006/relationships" r:id="rId1"/>
          <a:extLst>
            <a:ext uri="{FF2B5EF4-FFF2-40B4-BE49-F238E27FC236}">
              <a16:creationId xmlns:a16="http://schemas.microsoft.com/office/drawing/2014/main" id="{00000000-0008-0000-0800-000003000000}"/>
            </a:ext>
          </a:extLst>
        </xdr:cNvPr>
        <xdr:cNvGrpSpPr/>
      </xdr:nvGrpSpPr>
      <xdr:grpSpPr>
        <a:xfrm>
          <a:off x="7635240" y="0"/>
          <a:ext cx="2682240" cy="495300"/>
          <a:chOff x="8801100" y="0"/>
          <a:chExt cx="3114675" cy="463336"/>
        </a:xfrm>
      </xdr:grpSpPr>
      <xdr:sp macro="" textlink="">
        <xdr:nvSpPr>
          <xdr:cNvPr id="4" name="Rectangle 3">
            <a:extLst>
              <a:ext uri="{FF2B5EF4-FFF2-40B4-BE49-F238E27FC236}">
                <a16:creationId xmlns:a16="http://schemas.microsoft.com/office/drawing/2014/main" id="{00000000-0008-0000-0800-000004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stretch>
            <a:fillRect/>
          </a:stretch>
        </xdr:blipFill>
        <xdr:spPr>
          <a:xfrm>
            <a:off x="8801100" y="0"/>
            <a:ext cx="2389839" cy="463336"/>
          </a:xfrm>
          <a:prstGeom prst="rect">
            <a:avLst/>
          </a:prstGeom>
          <a:ln>
            <a:noFill/>
          </a:ln>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1447801</xdr:colOff>
      <xdr:row>0</xdr:row>
      <xdr:rowOff>130627</xdr:rowOff>
    </xdr:from>
    <xdr:to>
      <xdr:col>10</xdr:col>
      <xdr:colOff>794657</xdr:colOff>
      <xdr:row>4</xdr:row>
      <xdr:rowOff>76200</xdr:rowOff>
    </xdr:to>
    <xdr:sp macro="" textlink="">
      <xdr:nvSpPr>
        <xdr:cNvPr id="7" name="Ribbon: Tilted Down 6">
          <a:extLst>
            <a:ext uri="{FF2B5EF4-FFF2-40B4-BE49-F238E27FC236}">
              <a16:creationId xmlns:a16="http://schemas.microsoft.com/office/drawing/2014/main" id="{00000000-0008-0000-0900-000007000000}"/>
            </a:ext>
          </a:extLst>
        </xdr:cNvPr>
        <xdr:cNvSpPr/>
      </xdr:nvSpPr>
      <xdr:spPr>
        <a:xfrm>
          <a:off x="7990115" y="130627"/>
          <a:ext cx="8403771" cy="1839687"/>
        </a:xfrm>
        <a:prstGeom prst="ribb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2002971</xdr:colOff>
      <xdr:row>0</xdr:row>
      <xdr:rowOff>130629</xdr:rowOff>
    </xdr:from>
    <xdr:to>
      <xdr:col>8</xdr:col>
      <xdr:colOff>1232263</xdr:colOff>
      <xdr:row>4</xdr:row>
      <xdr:rowOff>293915</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10842171" y="130629"/>
          <a:ext cx="4900749" cy="2057400"/>
        </a:xfrm>
        <a:prstGeom prst="rect">
          <a:avLst/>
        </a:prstGeom>
        <a:noFill/>
        <a:ln w="9525" cmpd="sng">
          <a:solidFill>
            <a:schemeClr val="lt1">
              <a:shade val="50000"/>
            </a:schemeClr>
          </a:solidFill>
        </a:ln>
        <a:effectLst>
          <a:softEdge rad="127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solidFill>
              <a:latin typeface="Brush Script MT" panose="03060802040406070304" pitchFamily="66" charset="0"/>
              <a:ea typeface="+mn-ea"/>
              <a:cs typeface="+mn-cs"/>
            </a:rPr>
            <a:t>2025-2026 Academic </a:t>
          </a:r>
          <a:r>
            <a:rPr lang="en-US" sz="4800" baseline="0">
              <a:solidFill>
                <a:schemeClr val="bg1"/>
              </a:solidFill>
              <a:latin typeface="Brush Script MT" panose="03060802040406070304" pitchFamily="66" charset="0"/>
            </a:rPr>
            <a:t>Year </a:t>
          </a:r>
          <a:endParaRPr lang="en-US" sz="4800">
            <a:solidFill>
              <a:schemeClr val="bg1"/>
            </a:solidFill>
            <a:latin typeface="Brush Script MT" panose="03060802040406070304" pitchFamily="66" charset="0"/>
          </a:endParaRPr>
        </a:p>
      </xdr:txBody>
    </xdr:sp>
    <xdr:clientData/>
  </xdr:twoCellAnchor>
  <xdr:twoCellAnchor>
    <xdr:from>
      <xdr:col>8</xdr:col>
      <xdr:colOff>141513</xdr:colOff>
      <xdr:row>6</xdr:row>
      <xdr:rowOff>174172</xdr:rowOff>
    </xdr:from>
    <xdr:to>
      <xdr:col>10</xdr:col>
      <xdr:colOff>370114</xdr:colOff>
      <xdr:row>12</xdr:row>
      <xdr:rowOff>272143</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12344399" y="2677886"/>
          <a:ext cx="3494315" cy="199208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2000">
              <a:solidFill>
                <a:schemeClr val="lt1"/>
              </a:solidFill>
              <a:latin typeface="+mn-lt"/>
              <a:ea typeface="+mn-ea"/>
              <a:cs typeface="+mn-cs"/>
            </a:rPr>
            <a:t>Check to see which class you will be teaching this upcomming year. If your not placed on the class list you will be a Substitute teacher incharge of helping out whenever needed</a:t>
          </a:r>
        </a:p>
      </xdr:txBody>
    </xdr:sp>
    <xdr:clientData/>
  </xdr:twoCellAnchor>
  <xdr:twoCellAnchor>
    <xdr:from>
      <xdr:col>10</xdr:col>
      <xdr:colOff>907869</xdr:colOff>
      <xdr:row>0</xdr:row>
      <xdr:rowOff>109946</xdr:rowOff>
    </xdr:from>
    <xdr:to>
      <xdr:col>12</xdr:col>
      <xdr:colOff>85998</xdr:colOff>
      <xdr:row>1</xdr:row>
      <xdr:rowOff>363583</xdr:rowOff>
    </xdr:to>
    <xdr:grpSp>
      <xdr:nvGrpSpPr>
        <xdr:cNvPr id="2" name="Group 1">
          <a:hlinkClick xmlns:r="http://schemas.openxmlformats.org/officeDocument/2006/relationships" r:id="rId1"/>
          <a:extLst>
            <a:ext uri="{FF2B5EF4-FFF2-40B4-BE49-F238E27FC236}">
              <a16:creationId xmlns:a16="http://schemas.microsoft.com/office/drawing/2014/main" id="{00000000-0008-0000-0900-000002000000}"/>
            </a:ext>
          </a:extLst>
        </xdr:cNvPr>
        <xdr:cNvGrpSpPr/>
      </xdr:nvGrpSpPr>
      <xdr:grpSpPr>
        <a:xfrm>
          <a:off x="14507328" y="109946"/>
          <a:ext cx="3041917" cy="459825"/>
          <a:chOff x="8801100" y="0"/>
          <a:chExt cx="3114675" cy="463336"/>
        </a:xfrm>
      </xdr:grpSpPr>
      <xdr:sp macro="" textlink="">
        <xdr:nvSpPr>
          <xdr:cNvPr id="6" name="Rectangle 5">
            <a:extLst>
              <a:ext uri="{FF2B5EF4-FFF2-40B4-BE49-F238E27FC236}">
                <a16:creationId xmlns:a16="http://schemas.microsoft.com/office/drawing/2014/main" id="{00000000-0008-0000-0900-000006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2"/>
          <a:stretch>
            <a:fillRect/>
          </a:stretch>
        </xdr:blipFill>
        <xdr:spPr>
          <a:xfrm>
            <a:off x="8801100" y="0"/>
            <a:ext cx="2389839" cy="463336"/>
          </a:xfrm>
          <a:prstGeom prst="rect">
            <a:avLst/>
          </a:prstGeom>
          <a:ln>
            <a:noFill/>
          </a:ln>
        </xdr:spPr>
      </xdr:pic>
    </xdr:grpSp>
    <xdr:clientData/>
  </xdr:twoCellAnchor>
</xdr:wsDr>
</file>

<file path=xl/drawings/drawing11.xml><?xml version="1.0" encoding="utf-8"?>
<xdr:wsDr xmlns:xdr="http://schemas.openxmlformats.org/drawingml/2006/spreadsheetDrawing" xmlns:a="http://schemas.openxmlformats.org/drawingml/2006/main">
  <xdr:twoCellAnchor editAs="oneCell">
    <xdr:from>
      <xdr:col>20</xdr:col>
      <xdr:colOff>0</xdr:colOff>
      <xdr:row>2</xdr:row>
      <xdr:rowOff>0</xdr:rowOff>
    </xdr:from>
    <xdr:to>
      <xdr:col>29</xdr:col>
      <xdr:colOff>548640</xdr:colOff>
      <xdr:row>17</xdr:row>
      <xdr:rowOff>38100</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rotWithShape="1">
        <a:blip xmlns:r="http://schemas.openxmlformats.org/officeDocument/2006/relationships" r:embed="rId1"/>
        <a:srcRect l="15044" t="27189" r="51953" b="45697"/>
        <a:stretch/>
      </xdr:blipFill>
      <xdr:spPr>
        <a:xfrm>
          <a:off x="18707100" y="914400"/>
          <a:ext cx="6035040" cy="2788920"/>
        </a:xfrm>
        <a:prstGeom prst="rect">
          <a:avLst/>
        </a:prstGeom>
      </xdr:spPr>
    </xdr:pic>
    <xdr:clientData/>
  </xdr:twoCellAnchor>
  <xdr:twoCellAnchor>
    <xdr:from>
      <xdr:col>7</xdr:col>
      <xdr:colOff>1085850</xdr:colOff>
      <xdr:row>2</xdr:row>
      <xdr:rowOff>160020</xdr:rowOff>
    </xdr:from>
    <xdr:to>
      <xdr:col>14</xdr:col>
      <xdr:colOff>47626</xdr:colOff>
      <xdr:row>4</xdr:row>
      <xdr:rowOff>28575</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8743950" y="702945"/>
          <a:ext cx="5572126" cy="249555"/>
        </a:xfrm>
        <a:prstGeom prst="rect">
          <a:avLst/>
        </a:prstGeom>
        <a:solidFill>
          <a:schemeClr val="accent5"/>
        </a:solidFill>
        <a:ln w="9525" cmpd="sng">
          <a:solidFill>
            <a:sysClr val="window" lastClr="FFFFFF">
              <a:shade val="50000"/>
            </a:sysClr>
          </a:solid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ysClr val="windowText" lastClr="000000"/>
              </a:solidFill>
              <a:effectLst/>
              <a:uLnTx/>
              <a:uFillTx/>
              <a:latin typeface="Calibri" panose="020F0502020204030204"/>
              <a:ea typeface="+mn-ea"/>
              <a:cs typeface="+mn-cs"/>
            </a:rPr>
            <a:t>Check your Employee ID to see what events you will participate in this school year</a:t>
          </a:r>
        </a:p>
      </xdr:txBody>
    </xdr:sp>
    <xdr:clientData/>
  </xdr:twoCellAnchor>
  <xdr:twoCellAnchor>
    <xdr:from>
      <xdr:col>7</xdr:col>
      <xdr:colOff>1190625</xdr:colOff>
      <xdr:row>0</xdr:row>
      <xdr:rowOff>0</xdr:rowOff>
    </xdr:from>
    <xdr:to>
      <xdr:col>10</xdr:col>
      <xdr:colOff>1266825</xdr:colOff>
      <xdr:row>1</xdr:row>
      <xdr:rowOff>114300</xdr:rowOff>
    </xdr:to>
    <xdr:grpSp>
      <xdr:nvGrpSpPr>
        <xdr:cNvPr id="11" name="Group 10">
          <a:hlinkClick xmlns:r="http://schemas.openxmlformats.org/officeDocument/2006/relationships" r:id="rId2"/>
          <a:extLst>
            <a:ext uri="{FF2B5EF4-FFF2-40B4-BE49-F238E27FC236}">
              <a16:creationId xmlns:a16="http://schemas.microsoft.com/office/drawing/2014/main" id="{00000000-0008-0000-0A00-00000B000000}"/>
            </a:ext>
          </a:extLst>
        </xdr:cNvPr>
        <xdr:cNvGrpSpPr/>
      </xdr:nvGrpSpPr>
      <xdr:grpSpPr>
        <a:xfrm>
          <a:off x="8193405" y="0"/>
          <a:ext cx="3048000" cy="464820"/>
          <a:chOff x="8801100" y="0"/>
          <a:chExt cx="3114675" cy="463336"/>
        </a:xfrm>
      </xdr:grpSpPr>
      <xdr:sp macro="" textlink="">
        <xdr:nvSpPr>
          <xdr:cNvPr id="12" name="Rectangle 11">
            <a:extLst>
              <a:ext uri="{FF2B5EF4-FFF2-40B4-BE49-F238E27FC236}">
                <a16:creationId xmlns:a16="http://schemas.microsoft.com/office/drawing/2014/main" id="{00000000-0008-0000-0A00-00000C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3" name="Picture 12">
            <a:extLst>
              <a:ext uri="{FF2B5EF4-FFF2-40B4-BE49-F238E27FC236}">
                <a16:creationId xmlns:a16="http://schemas.microsoft.com/office/drawing/2014/main" id="{00000000-0008-0000-0A00-00000D000000}"/>
              </a:ext>
            </a:extLst>
          </xdr:cNvPr>
          <xdr:cNvPicPr>
            <a:picLocks noChangeAspect="1"/>
          </xdr:cNvPicPr>
        </xdr:nvPicPr>
        <xdr:blipFill>
          <a:blip xmlns:r="http://schemas.openxmlformats.org/officeDocument/2006/relationships" r:embed="rId3"/>
          <a:stretch>
            <a:fillRect/>
          </a:stretch>
        </xdr:blipFill>
        <xdr:spPr>
          <a:xfrm>
            <a:off x="8801100" y="0"/>
            <a:ext cx="2389839" cy="463336"/>
          </a:xfrm>
          <a:prstGeom prst="rect">
            <a:avLst/>
          </a:prstGeom>
          <a:ln>
            <a:noFill/>
          </a:ln>
        </xdr:spPr>
      </xdr:pic>
    </xdr:grpSp>
    <xdr:clientData/>
  </xdr:twoCellAnchor>
  <xdr:twoCellAnchor>
    <xdr:from>
      <xdr:col>1</xdr:col>
      <xdr:colOff>298178</xdr:colOff>
      <xdr:row>2</xdr:row>
      <xdr:rowOff>0</xdr:rowOff>
    </xdr:from>
    <xdr:to>
      <xdr:col>7</xdr:col>
      <xdr:colOff>1095376</xdr:colOff>
      <xdr:row>3</xdr:row>
      <xdr:rowOff>140337</xdr:rowOff>
    </xdr:to>
    <xdr:sp macro="" textlink="">
      <xdr:nvSpPr>
        <xdr:cNvPr id="17" name="Freeform: Shape 16">
          <a:extLst>
            <a:ext uri="{FF2B5EF4-FFF2-40B4-BE49-F238E27FC236}">
              <a16:creationId xmlns:a16="http://schemas.microsoft.com/office/drawing/2014/main" id="{00000000-0008-0000-0A00-000011000000}"/>
            </a:ext>
          </a:extLst>
        </xdr:cNvPr>
        <xdr:cNvSpPr/>
      </xdr:nvSpPr>
      <xdr:spPr>
        <a:xfrm>
          <a:off x="564878" y="542925"/>
          <a:ext cx="8074298" cy="330837"/>
        </a:xfrm>
        <a:custGeom>
          <a:avLst/>
          <a:gdLst>
            <a:gd name="connsiteX0" fmla="*/ 757071 w 8548521"/>
            <a:gd name="connsiteY0" fmla="*/ 0 h 269527"/>
            <a:gd name="connsiteX1" fmla="*/ 747546 w 8548521"/>
            <a:gd name="connsiteY1" fmla="*/ 247650 h 269527"/>
            <a:gd name="connsiteX2" fmla="*/ 8548521 w 8548521"/>
            <a:gd name="connsiteY2" fmla="*/ 257175 h 269527"/>
            <a:gd name="connsiteX3" fmla="*/ 8548521 w 8548521"/>
            <a:gd name="connsiteY3" fmla="*/ 257175 h 269527"/>
            <a:gd name="connsiteX0" fmla="*/ 667959 w 8630178"/>
            <a:gd name="connsiteY0" fmla="*/ 0 h 330837"/>
            <a:gd name="connsiteX1" fmla="*/ 829203 w 8630178"/>
            <a:gd name="connsiteY1" fmla="*/ 304800 h 330837"/>
            <a:gd name="connsiteX2" fmla="*/ 8630178 w 8630178"/>
            <a:gd name="connsiteY2" fmla="*/ 314325 h 330837"/>
            <a:gd name="connsiteX3" fmla="*/ 8630178 w 8630178"/>
            <a:gd name="connsiteY3" fmla="*/ 314325 h 330837"/>
            <a:gd name="connsiteX0" fmla="*/ 553105 w 8515324"/>
            <a:gd name="connsiteY0" fmla="*/ 0 h 330837"/>
            <a:gd name="connsiteX1" fmla="*/ 714349 w 8515324"/>
            <a:gd name="connsiteY1" fmla="*/ 304800 h 330837"/>
            <a:gd name="connsiteX2" fmla="*/ 8515324 w 8515324"/>
            <a:gd name="connsiteY2" fmla="*/ 314325 h 330837"/>
            <a:gd name="connsiteX3" fmla="*/ 8515324 w 8515324"/>
            <a:gd name="connsiteY3" fmla="*/ 314325 h 330837"/>
          </a:gdLst>
          <a:ahLst/>
          <a:cxnLst>
            <a:cxn ang="0">
              <a:pos x="connsiteX0" y="connsiteY0"/>
            </a:cxn>
            <a:cxn ang="0">
              <a:pos x="connsiteX1" y="connsiteY1"/>
            </a:cxn>
            <a:cxn ang="0">
              <a:pos x="connsiteX2" y="connsiteY2"/>
            </a:cxn>
            <a:cxn ang="0">
              <a:pos x="connsiteX3" y="connsiteY3"/>
            </a:cxn>
          </a:cxnLst>
          <a:rect l="l" t="t" r="r" b="b"/>
          <a:pathLst>
            <a:path w="8515324" h="330837">
              <a:moveTo>
                <a:pt x="553105" y="0"/>
              </a:moveTo>
              <a:cubicBezTo>
                <a:pt x="260685" y="178594"/>
                <a:pt x="-612687" y="252413"/>
                <a:pt x="714349" y="304800"/>
              </a:cubicBezTo>
              <a:cubicBezTo>
                <a:pt x="2041385" y="357187"/>
                <a:pt x="8515324" y="314325"/>
                <a:pt x="8515324" y="314325"/>
              </a:cubicBezTo>
              <a:lnTo>
                <a:pt x="8515324" y="314325"/>
              </a:lnTo>
            </a:path>
          </a:pathLst>
        </a:custGeom>
        <a:ln w="19050" cap="flat" cmpd="sng" algn="ctr">
          <a:solidFill>
            <a:schemeClr val="accent6"/>
          </a:solidFill>
          <a:prstDash val="solid"/>
          <a:round/>
          <a:headEnd type="arrow" w="med" len="med"/>
          <a:tailEnd type="arrow" w="med" len="med"/>
        </a:ln>
      </xdr:spPr>
      <xdr:style>
        <a:lnRef idx="0">
          <a:scrgbClr r="0" g="0" b="0"/>
        </a:lnRef>
        <a:fillRef idx="0">
          <a:scrgbClr r="0" g="0" b="0"/>
        </a:fillRef>
        <a:effectRef idx="0">
          <a:scrgbClr r="0" g="0" b="0"/>
        </a:effectRef>
        <a:fontRef idx="minor">
          <a:schemeClr val="tx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13</xdr:col>
      <xdr:colOff>142988</xdr:colOff>
      <xdr:row>34</xdr:row>
      <xdr:rowOff>30481</xdr:rowOff>
    </xdr:from>
    <xdr:ext cx="1782536" cy="2721509"/>
    <mc:AlternateContent xmlns:mc="http://schemas.openxmlformats.org/markup-compatibility/2006" xmlns:a14="http://schemas.microsoft.com/office/drawing/2010/main">
      <mc:Choice Requires="a14">
        <xdr:graphicFrame macro="">
          <xdr:nvGraphicFramePr>
            <xdr:cNvPr id="3" name="d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d 2"/>
            </a:graphicData>
          </a:graphic>
        </xdr:graphicFrame>
      </mc:Choice>
      <mc:Fallback xmlns="">
        <xdr:sp macro="" textlink="">
          <xdr:nvSpPr>
            <xdr:cNvPr id="0" name=""/>
            <xdr:cNvSpPr>
              <a:spLocks noTextEdit="1"/>
            </xdr:cNvSpPr>
          </xdr:nvSpPr>
          <xdr:spPr>
            <a:xfrm>
              <a:off x="16049738" y="8902338"/>
              <a:ext cx="1782536" cy="272150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13</xdr:col>
      <xdr:colOff>179120</xdr:colOff>
      <xdr:row>4</xdr:row>
      <xdr:rowOff>121226</xdr:rowOff>
    </xdr:from>
    <xdr:to>
      <xdr:col>22</xdr:col>
      <xdr:colOff>281047</xdr:colOff>
      <xdr:row>26</xdr:row>
      <xdr:rowOff>221422</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0</xdr:rowOff>
    </xdr:from>
    <xdr:to>
      <xdr:col>7</xdr:col>
      <xdr:colOff>1156607</xdr:colOff>
      <xdr:row>0</xdr:row>
      <xdr:rowOff>479742</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0" y="0"/>
          <a:ext cx="8681357" cy="479742"/>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Students</a:t>
          </a:r>
          <a:r>
            <a:rPr lang="en-US" sz="1200" b="1" baseline="0"/>
            <a:t> in classes A through D are elegable to partake in an internship of their choice for school credit. Here is a chart displaying the students interests and hours they partake in the internship</a:t>
          </a:r>
          <a:endParaRPr lang="en-US" sz="1200" b="1"/>
        </a:p>
      </xdr:txBody>
    </xdr:sp>
    <xdr:clientData/>
  </xdr:twoCellAnchor>
  <xdr:twoCellAnchor>
    <xdr:from>
      <xdr:col>10</xdr:col>
      <xdr:colOff>247651</xdr:colOff>
      <xdr:row>1</xdr:row>
      <xdr:rowOff>77305</xdr:rowOff>
    </xdr:from>
    <xdr:to>
      <xdr:col>15</xdr:col>
      <xdr:colOff>557893</xdr:colOff>
      <xdr:row>8</xdr:row>
      <xdr:rowOff>2722</xdr:rowOff>
    </xdr:to>
    <xdr:grpSp>
      <xdr:nvGrpSpPr>
        <xdr:cNvPr id="5" name="Group 4">
          <a:extLst>
            <a:ext uri="{FF2B5EF4-FFF2-40B4-BE49-F238E27FC236}">
              <a16:creationId xmlns:a16="http://schemas.microsoft.com/office/drawing/2014/main" id="{00000000-0008-0000-0B00-000005000000}"/>
            </a:ext>
          </a:extLst>
        </xdr:cNvPr>
        <xdr:cNvGrpSpPr/>
      </xdr:nvGrpSpPr>
      <xdr:grpSpPr>
        <a:xfrm>
          <a:off x="11699422" y="861076"/>
          <a:ext cx="5306785" cy="1536503"/>
          <a:chOff x="14575334" y="4908335"/>
          <a:chExt cx="4959081" cy="2888557"/>
        </a:xfrm>
      </xdr:grpSpPr>
      <xdr:sp macro="" textlink="">
        <xdr:nvSpPr>
          <xdr:cNvPr id="6" name="Ribbon: Curved and Tilted Up 5">
            <a:extLst>
              <a:ext uri="{FF2B5EF4-FFF2-40B4-BE49-F238E27FC236}">
                <a16:creationId xmlns:a16="http://schemas.microsoft.com/office/drawing/2014/main" id="{00000000-0008-0000-0B00-000006000000}"/>
              </a:ext>
            </a:extLst>
          </xdr:cNvPr>
          <xdr:cNvSpPr/>
        </xdr:nvSpPr>
        <xdr:spPr>
          <a:xfrm>
            <a:off x="14575334" y="4908335"/>
            <a:ext cx="4959081" cy="2888557"/>
          </a:xfrm>
          <a:prstGeom prst="ellipseRibbon2">
            <a:avLst>
              <a:gd name="adj1" fmla="val 25000"/>
              <a:gd name="adj2" fmla="val 50000"/>
              <a:gd name="adj3" fmla="val 16369"/>
            </a:avLst>
          </a:prstGeom>
          <a:gradFill rotWithShape="1">
            <a:gsLst>
              <a:gs pos="0">
                <a:srgbClr val="ED7D31">
                  <a:lumMod val="110000"/>
                  <a:satMod val="105000"/>
                  <a:tint val="67000"/>
                </a:srgbClr>
              </a:gs>
              <a:gs pos="50000">
                <a:srgbClr val="ED7D31">
                  <a:lumMod val="105000"/>
                  <a:satMod val="103000"/>
                  <a:tint val="73000"/>
                </a:srgbClr>
              </a:gs>
              <a:gs pos="100000">
                <a:srgbClr val="ED7D31">
                  <a:lumMod val="105000"/>
                  <a:satMod val="109000"/>
                  <a:tint val="81000"/>
                </a:srgbClr>
              </a:gs>
            </a:gsLst>
            <a:lin ang="5400000" scaled="0"/>
          </a:gradFill>
          <a:ln w="6350" cap="flat" cmpd="sng" algn="ctr">
            <a:solidFill>
              <a:srgbClr val="ED7D31"/>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AlternateContent xmlns:mc="http://schemas.openxmlformats.org/markup-compatibility/2006">
        <mc:Choice xmlns:a14="http://schemas.microsoft.com/office/drawing/2010/main" Requires="a14">
          <xdr:grpSp>
            <xdr:nvGrpSpPr>
              <xdr:cNvPr id="7" name="Group 6">
                <a:extLst>
                  <a:ext uri="{FF2B5EF4-FFF2-40B4-BE49-F238E27FC236}">
                    <a16:creationId xmlns:a16="http://schemas.microsoft.com/office/drawing/2014/main" id="{00000000-0008-0000-0B00-000007000000}"/>
                  </a:ext>
                </a:extLst>
              </xdr:cNvPr>
              <xdr:cNvGrpSpPr/>
            </xdr:nvGrpSpPr>
            <xdr:grpSpPr>
              <a:xfrm>
                <a:off x="15975122" y="5064885"/>
                <a:ext cx="1616464" cy="2367857"/>
                <a:chOff x="16532139" y="2394860"/>
                <a:chExt cx="1704651" cy="1908291"/>
              </a:xfrm>
            </xdr:grpSpPr>
            <xdr:sp macro="" textlink="">
              <xdr:nvSpPr>
                <xdr:cNvPr id="33793" name="Check Box 1" hidden="1">
                  <a:extLst>
                    <a:ext uri="{63B3BB69-23CF-44E3-9099-C40C66FF867C}">
                      <a14:compatExt spid="_x0000_s33793"/>
                    </a:ext>
                    <a:ext uri="{FF2B5EF4-FFF2-40B4-BE49-F238E27FC236}">
                      <a16:creationId xmlns:a16="http://schemas.microsoft.com/office/drawing/2014/main" id="{00000000-0008-0000-0B00-000001840000}"/>
                    </a:ext>
                  </a:extLst>
                </xdr:cNvPr>
                <xdr:cNvSpPr/>
              </xdr:nvSpPr>
              <xdr:spPr bwMode="auto">
                <a:xfrm>
                  <a:off x="16543020" y="2754083"/>
                  <a:ext cx="1682851" cy="90066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Clsss B</a:t>
                  </a:r>
                </a:p>
              </xdr:txBody>
            </xdr:sp>
            <xdr:sp macro="" textlink="">
              <xdr:nvSpPr>
                <xdr:cNvPr id="33794" name="Check Box 2" hidden="1">
                  <a:extLst>
                    <a:ext uri="{63B3BB69-23CF-44E3-9099-C40C66FF867C}">
                      <a14:compatExt spid="_x0000_s33794"/>
                    </a:ext>
                    <a:ext uri="{FF2B5EF4-FFF2-40B4-BE49-F238E27FC236}">
                      <a16:creationId xmlns:a16="http://schemas.microsoft.com/office/drawing/2014/main" id="{00000000-0008-0000-0B00-000002840000}"/>
                    </a:ext>
                  </a:extLst>
                </xdr:cNvPr>
                <xdr:cNvSpPr/>
              </xdr:nvSpPr>
              <xdr:spPr bwMode="auto">
                <a:xfrm>
                  <a:off x="16553935" y="3407229"/>
                  <a:ext cx="1682855" cy="8959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ClsssD</a:t>
                  </a:r>
                </a:p>
              </xdr:txBody>
            </xdr:sp>
            <xdr:sp macro="" textlink="">
              <xdr:nvSpPr>
                <xdr:cNvPr id="33795" name="Check Box 3" hidden="1">
                  <a:extLst>
                    <a:ext uri="{63B3BB69-23CF-44E3-9099-C40C66FF867C}">
                      <a14:compatExt spid="_x0000_s33795"/>
                    </a:ext>
                    <a:ext uri="{FF2B5EF4-FFF2-40B4-BE49-F238E27FC236}">
                      <a16:creationId xmlns:a16="http://schemas.microsoft.com/office/drawing/2014/main" id="{00000000-0008-0000-0B00-000003840000}"/>
                    </a:ext>
                  </a:extLst>
                </xdr:cNvPr>
                <xdr:cNvSpPr/>
              </xdr:nvSpPr>
              <xdr:spPr bwMode="auto">
                <a:xfrm>
                  <a:off x="16532139" y="2394860"/>
                  <a:ext cx="1682846" cy="90303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Clsss A</a:t>
                  </a:r>
                </a:p>
              </xdr:txBody>
            </xdr:sp>
            <xdr:sp macro="" textlink="">
              <xdr:nvSpPr>
                <xdr:cNvPr id="33796" name="Check Box 4" hidden="1">
                  <a:extLst>
                    <a:ext uri="{63B3BB69-23CF-44E3-9099-C40C66FF867C}">
                      <a14:compatExt spid="_x0000_s33796"/>
                    </a:ext>
                    <a:ext uri="{FF2B5EF4-FFF2-40B4-BE49-F238E27FC236}">
                      <a16:creationId xmlns:a16="http://schemas.microsoft.com/office/drawing/2014/main" id="{00000000-0008-0000-0B00-000004840000}"/>
                    </a:ext>
                  </a:extLst>
                </xdr:cNvPr>
                <xdr:cNvSpPr/>
              </xdr:nvSpPr>
              <xdr:spPr bwMode="auto">
                <a:xfrm>
                  <a:off x="16543029" y="3064329"/>
                  <a:ext cx="1682849" cy="90303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Clsss C</a:t>
                  </a:r>
                </a:p>
              </xdr:txBody>
            </xdr:sp>
          </xdr:grpSp>
        </mc:Choice>
        <mc:Fallback/>
      </mc:AlternateContent>
    </xdr:grpSp>
    <xdr:clientData/>
  </xdr:twoCellAnchor>
  <xdr:twoCellAnchor>
    <xdr:from>
      <xdr:col>7</xdr:col>
      <xdr:colOff>1104579</xdr:colOff>
      <xdr:row>0</xdr:row>
      <xdr:rowOff>0</xdr:rowOff>
    </xdr:from>
    <xdr:to>
      <xdr:col>10</xdr:col>
      <xdr:colOff>0</xdr:colOff>
      <xdr:row>0</xdr:row>
      <xdr:rowOff>666750</xdr:rowOff>
    </xdr:to>
    <xdr:grpSp>
      <xdr:nvGrpSpPr>
        <xdr:cNvPr id="10" name="Group 9">
          <a:hlinkClick xmlns:r="http://schemas.openxmlformats.org/officeDocument/2006/relationships" r:id="rId2"/>
          <a:extLst>
            <a:ext uri="{FF2B5EF4-FFF2-40B4-BE49-F238E27FC236}">
              <a16:creationId xmlns:a16="http://schemas.microsoft.com/office/drawing/2014/main" id="{00000000-0008-0000-0B00-00000A000000}"/>
            </a:ext>
          </a:extLst>
        </xdr:cNvPr>
        <xdr:cNvGrpSpPr/>
      </xdr:nvGrpSpPr>
      <xdr:grpSpPr>
        <a:xfrm>
          <a:off x="7984350" y="0"/>
          <a:ext cx="3467421" cy="666750"/>
          <a:chOff x="8801100" y="0"/>
          <a:chExt cx="3114675" cy="463336"/>
        </a:xfrm>
      </xdr:grpSpPr>
      <xdr:sp macro="" textlink="">
        <xdr:nvSpPr>
          <xdr:cNvPr id="11" name="Rectangle 10">
            <a:extLst>
              <a:ext uri="{FF2B5EF4-FFF2-40B4-BE49-F238E27FC236}">
                <a16:creationId xmlns:a16="http://schemas.microsoft.com/office/drawing/2014/main" id="{00000000-0008-0000-0B00-00000B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2" name="Picture 11">
            <a:extLst>
              <a:ext uri="{FF2B5EF4-FFF2-40B4-BE49-F238E27FC236}">
                <a16:creationId xmlns:a16="http://schemas.microsoft.com/office/drawing/2014/main" id="{00000000-0008-0000-0B00-00000C000000}"/>
              </a:ext>
            </a:extLst>
          </xdr:cNvPr>
          <xdr:cNvPicPr>
            <a:picLocks noChangeAspect="1"/>
          </xdr:cNvPicPr>
        </xdr:nvPicPr>
        <xdr:blipFill>
          <a:blip xmlns:r="http://schemas.openxmlformats.org/officeDocument/2006/relationships" r:embed="rId3"/>
          <a:stretch>
            <a:fillRect/>
          </a:stretch>
        </xdr:blipFill>
        <xdr:spPr>
          <a:xfrm>
            <a:off x="8801100" y="0"/>
            <a:ext cx="2389839" cy="463336"/>
          </a:xfrm>
          <a:prstGeom prst="rect">
            <a:avLst/>
          </a:prstGeom>
          <a:ln>
            <a:noFill/>
          </a:ln>
        </xdr:spPr>
      </xdr:pic>
    </xdr:grpSp>
    <xdr:clientData/>
  </xdr:twoCellAnchor>
  <xdr:twoCellAnchor>
    <xdr:from>
      <xdr:col>12</xdr:col>
      <xdr:colOff>95249</xdr:colOff>
      <xdr:row>1</xdr:row>
      <xdr:rowOff>81642</xdr:rowOff>
    </xdr:from>
    <xdr:to>
      <xdr:col>14</xdr:col>
      <xdr:colOff>108857</xdr:colOff>
      <xdr:row>2</xdr:row>
      <xdr:rowOff>136070</xdr:rowOff>
    </xdr:to>
    <xdr:sp macro="" textlink="">
      <xdr:nvSpPr>
        <xdr:cNvPr id="13" name="TextBox 12">
          <a:extLst>
            <a:ext uri="{FF2B5EF4-FFF2-40B4-BE49-F238E27FC236}">
              <a16:creationId xmlns:a16="http://schemas.microsoft.com/office/drawing/2014/main" id="{00000000-0008-0000-0B00-00000D000000}"/>
            </a:ext>
          </a:extLst>
        </xdr:cNvPr>
        <xdr:cNvSpPr txBox="1"/>
      </xdr:nvSpPr>
      <xdr:spPr>
        <a:xfrm>
          <a:off x="14722928" y="870856"/>
          <a:ext cx="2340429" cy="299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DLaM Display" panose="02010000000000000000" pitchFamily="2" charset="0"/>
              <a:ea typeface="ADLaM Display" panose="02010000000000000000" pitchFamily="2" charset="0"/>
              <a:cs typeface="ADLaM Display" panose="02010000000000000000" pitchFamily="2" charset="0"/>
            </a:rPr>
            <a:t>Select a class to change chart</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1123950</xdr:colOff>
      <xdr:row>33</xdr:row>
      <xdr:rowOff>180975</xdr:rowOff>
    </xdr:from>
    <xdr:to>
      <xdr:col>24</xdr:col>
      <xdr:colOff>561974</xdr:colOff>
      <xdr:row>48</xdr:row>
      <xdr:rowOff>76200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8</xdr:col>
      <xdr:colOff>219075</xdr:colOff>
      <xdr:row>52</xdr:row>
      <xdr:rowOff>180975</xdr:rowOff>
    </xdr:from>
    <xdr:ext cx="1621155" cy="2417445"/>
    <mc:AlternateContent xmlns:mc="http://schemas.openxmlformats.org/markup-compatibility/2006" xmlns:a14="http://schemas.microsoft.com/office/drawing/2010/main">
      <mc:Choice Requires="a14">
        <xdr:graphicFrame macro="">
          <xdr:nvGraphicFramePr>
            <xdr:cNvPr id="3" name="Total fees">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microsoft.com/office/drawing/2010/slicer">
              <sle:slicer xmlns:sle="http://schemas.microsoft.com/office/drawing/2010/slicer" name="Total fees"/>
            </a:graphicData>
          </a:graphic>
        </xdr:graphicFrame>
      </mc:Choice>
      <mc:Fallback xmlns="">
        <xdr:sp macro="" textlink="">
          <xdr:nvSpPr>
            <xdr:cNvPr id="0" name=""/>
            <xdr:cNvSpPr>
              <a:spLocks noTextEdit="1"/>
            </xdr:cNvSpPr>
          </xdr:nvSpPr>
          <xdr:spPr>
            <a:xfrm>
              <a:off x="6482715" y="9142095"/>
              <a:ext cx="1621155" cy="24174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0</xdr:col>
      <xdr:colOff>0</xdr:colOff>
      <xdr:row>0</xdr:row>
      <xdr:rowOff>0</xdr:rowOff>
    </xdr:from>
    <xdr:to>
      <xdr:col>4</xdr:col>
      <xdr:colOff>238125</xdr:colOff>
      <xdr:row>1</xdr:row>
      <xdr:rowOff>123824</xdr:rowOff>
    </xdr:to>
    <xdr:grpSp>
      <xdr:nvGrpSpPr>
        <xdr:cNvPr id="5" name="Group 4">
          <a:hlinkClick xmlns:r="http://schemas.openxmlformats.org/officeDocument/2006/relationships" r:id="rId2"/>
          <a:extLst>
            <a:ext uri="{FF2B5EF4-FFF2-40B4-BE49-F238E27FC236}">
              <a16:creationId xmlns:a16="http://schemas.microsoft.com/office/drawing/2014/main" id="{00000000-0008-0000-0C00-000005000000}"/>
            </a:ext>
          </a:extLst>
        </xdr:cNvPr>
        <xdr:cNvGrpSpPr/>
      </xdr:nvGrpSpPr>
      <xdr:grpSpPr>
        <a:xfrm>
          <a:off x="0" y="0"/>
          <a:ext cx="2920365" cy="481964"/>
          <a:chOff x="8801100" y="0"/>
          <a:chExt cx="3114675" cy="463336"/>
        </a:xfrm>
      </xdr:grpSpPr>
      <xdr:sp macro="" textlink="">
        <xdr:nvSpPr>
          <xdr:cNvPr id="6" name="Rectangle 5">
            <a:extLst>
              <a:ext uri="{FF2B5EF4-FFF2-40B4-BE49-F238E27FC236}">
                <a16:creationId xmlns:a16="http://schemas.microsoft.com/office/drawing/2014/main" id="{00000000-0008-0000-0C00-000006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7" name="Picture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3"/>
          <a:stretch>
            <a:fillRect/>
          </a:stretch>
        </xdr:blipFill>
        <xdr:spPr>
          <a:xfrm>
            <a:off x="8801100" y="0"/>
            <a:ext cx="2389839" cy="463336"/>
          </a:xfrm>
          <a:prstGeom prst="rect">
            <a:avLst/>
          </a:prstGeom>
          <a:ln>
            <a:noFill/>
          </a:ln>
        </xdr:spPr>
      </xdr:pic>
    </xdr:grpSp>
    <xdr:clientData/>
  </xdr:twoCellAnchor>
</xdr:wsDr>
</file>

<file path=xl/drawings/drawing14.xml><?xml version="1.0" encoding="utf-8"?>
<xdr:wsDr xmlns:xdr="http://schemas.openxmlformats.org/drawingml/2006/spreadsheetDrawing" xmlns:a="http://schemas.openxmlformats.org/drawingml/2006/main">
  <xdr:oneCellAnchor>
    <xdr:from>
      <xdr:col>0</xdr:col>
      <xdr:colOff>304800</xdr:colOff>
      <xdr:row>24</xdr:row>
      <xdr:rowOff>0</xdr:rowOff>
    </xdr:from>
    <xdr:ext cx="184731" cy="264431"/>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3916680" y="3017520"/>
          <a:ext cx="184731" cy="264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0</xdr:colOff>
      <xdr:row>1</xdr:row>
      <xdr:rowOff>4064</xdr:rowOff>
    </xdr:from>
    <xdr:ext cx="2530821" cy="374141"/>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0" y="302768"/>
          <a:ext cx="2530821" cy="374141"/>
        </a:xfrm>
        <a:prstGeom prst="rect">
          <a:avLst/>
        </a:prstGeom>
        <a:solidFill>
          <a:schemeClr val="accent4"/>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chemeClr val="tx1"/>
              </a:solidFill>
            </a:rPr>
            <a:t>TUITION SAVINGS PLAN:</a:t>
          </a:r>
        </a:p>
      </xdr:txBody>
    </xdr:sp>
    <xdr:clientData/>
  </xdr:oneCellAnchor>
  <xdr:oneCellAnchor>
    <xdr:from>
      <xdr:col>0</xdr:col>
      <xdr:colOff>0</xdr:colOff>
      <xdr:row>3</xdr:row>
      <xdr:rowOff>13716</xdr:rowOff>
    </xdr:from>
    <xdr:ext cx="7297895" cy="264431"/>
    <xdr:sp macro="" textlink="">
      <xdr:nvSpPr>
        <xdr:cNvPr id="5" name="TextBox 4">
          <a:extLst>
            <a:ext uri="{FF2B5EF4-FFF2-40B4-BE49-F238E27FC236}">
              <a16:creationId xmlns:a16="http://schemas.microsoft.com/office/drawing/2014/main" id="{00000000-0008-0000-0D00-000005000000}"/>
            </a:ext>
          </a:extLst>
        </xdr:cNvPr>
        <xdr:cNvSpPr txBox="1"/>
      </xdr:nvSpPr>
      <xdr:spPr>
        <a:xfrm>
          <a:off x="0" y="678180"/>
          <a:ext cx="7297895" cy="264431"/>
        </a:xfrm>
        <a:prstGeom prst="rect">
          <a:avLst/>
        </a:prstGeom>
        <a:solidFill>
          <a:schemeClr val="accent4"/>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students</a:t>
          </a:r>
          <a:r>
            <a:rPr lang="en-US" sz="1100" baseline="0"/>
            <a:t> planning on attending Lehman College can enroll in tuition savings plan w/ interest rates from help of their parents</a:t>
          </a:r>
          <a:endParaRPr lang="en-US" sz="1100"/>
        </a:p>
      </xdr:txBody>
    </xdr:sp>
    <xdr:clientData/>
  </xdr:oneCellAnchor>
  <xdr:oneCellAnchor>
    <xdr:from>
      <xdr:col>0</xdr:col>
      <xdr:colOff>0</xdr:colOff>
      <xdr:row>7</xdr:row>
      <xdr:rowOff>80264</xdr:rowOff>
    </xdr:from>
    <xdr:ext cx="1478803" cy="374141"/>
    <xdr:sp macro="" textlink="">
      <xdr:nvSpPr>
        <xdr:cNvPr id="6" name="TextBox 5">
          <a:extLst>
            <a:ext uri="{FF2B5EF4-FFF2-40B4-BE49-F238E27FC236}">
              <a16:creationId xmlns:a16="http://schemas.microsoft.com/office/drawing/2014/main" id="{00000000-0008-0000-0D00-000006000000}"/>
            </a:ext>
          </a:extLst>
        </xdr:cNvPr>
        <xdr:cNvSpPr txBox="1"/>
      </xdr:nvSpPr>
      <xdr:spPr>
        <a:xfrm>
          <a:off x="0" y="1476248"/>
          <a:ext cx="1478803" cy="374141"/>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t>CONDITIONS:</a:t>
          </a:r>
        </a:p>
      </xdr:txBody>
    </xdr:sp>
    <xdr:clientData/>
  </xdr:oneCellAnchor>
  <xdr:oneCellAnchor>
    <xdr:from>
      <xdr:col>0</xdr:col>
      <xdr:colOff>0</xdr:colOff>
      <xdr:row>9</xdr:row>
      <xdr:rowOff>81788</xdr:rowOff>
    </xdr:from>
    <xdr:ext cx="5375446" cy="436530"/>
    <xdr:sp macro="" textlink="">
      <xdr:nvSpPr>
        <xdr:cNvPr id="7" name="TextBox 6">
          <a:extLst>
            <a:ext uri="{FF2B5EF4-FFF2-40B4-BE49-F238E27FC236}">
              <a16:creationId xmlns:a16="http://schemas.microsoft.com/office/drawing/2014/main" id="{00000000-0008-0000-0D00-000007000000}"/>
            </a:ext>
          </a:extLst>
        </xdr:cNvPr>
        <xdr:cNvSpPr txBox="1"/>
      </xdr:nvSpPr>
      <xdr:spPr>
        <a:xfrm>
          <a:off x="0" y="1843532"/>
          <a:ext cx="5375446" cy="436530"/>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1.a</a:t>
          </a:r>
          <a:r>
            <a:rPr lang="en-US"/>
            <a:t>ny amount of money put in the plan cannot be withdrawl until end date</a:t>
          </a:r>
        </a:p>
        <a:p>
          <a:r>
            <a:rPr lang="en-US" sz="1100"/>
            <a:t>2.</a:t>
          </a:r>
          <a:r>
            <a:rPr lang="en-US"/>
            <a:t>any amount of money put in the fund must be taken out before student begins semester</a:t>
          </a:r>
          <a:endParaRPr lang="en-US" sz="1100"/>
        </a:p>
      </xdr:txBody>
    </xdr:sp>
    <xdr:clientData/>
  </xdr:oneCellAnchor>
  <xdr:twoCellAnchor>
    <xdr:from>
      <xdr:col>0</xdr:col>
      <xdr:colOff>0</xdr:colOff>
      <xdr:row>0</xdr:row>
      <xdr:rowOff>47625</xdr:rowOff>
    </xdr:from>
    <xdr:to>
      <xdr:col>3</xdr:col>
      <xdr:colOff>314325</xdr:colOff>
      <xdr:row>1</xdr:row>
      <xdr:rowOff>57149</xdr:rowOff>
    </xdr:to>
    <xdr:grpSp>
      <xdr:nvGrpSpPr>
        <xdr:cNvPr id="8" name="Group 7">
          <a:hlinkClick xmlns:r="http://schemas.openxmlformats.org/officeDocument/2006/relationships" r:id="rId1"/>
          <a:extLst>
            <a:ext uri="{FF2B5EF4-FFF2-40B4-BE49-F238E27FC236}">
              <a16:creationId xmlns:a16="http://schemas.microsoft.com/office/drawing/2014/main" id="{00000000-0008-0000-0D00-000008000000}"/>
            </a:ext>
          </a:extLst>
        </xdr:cNvPr>
        <xdr:cNvGrpSpPr/>
      </xdr:nvGrpSpPr>
      <xdr:grpSpPr>
        <a:xfrm>
          <a:off x="0" y="47625"/>
          <a:ext cx="2927985" cy="481964"/>
          <a:chOff x="8801100" y="0"/>
          <a:chExt cx="3114675" cy="463336"/>
        </a:xfrm>
      </xdr:grpSpPr>
      <xdr:sp macro="" textlink="">
        <xdr:nvSpPr>
          <xdr:cNvPr id="9" name="Rectangle 8">
            <a:extLst>
              <a:ext uri="{FF2B5EF4-FFF2-40B4-BE49-F238E27FC236}">
                <a16:creationId xmlns:a16="http://schemas.microsoft.com/office/drawing/2014/main" id="{00000000-0008-0000-0D00-000009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0" name="Picture 9">
            <a:extLst>
              <a:ext uri="{FF2B5EF4-FFF2-40B4-BE49-F238E27FC236}">
                <a16:creationId xmlns:a16="http://schemas.microsoft.com/office/drawing/2014/main" id="{00000000-0008-0000-0D00-00000A000000}"/>
              </a:ext>
            </a:extLst>
          </xdr:cNvPr>
          <xdr:cNvPicPr>
            <a:picLocks noChangeAspect="1"/>
          </xdr:cNvPicPr>
        </xdr:nvPicPr>
        <xdr:blipFill>
          <a:blip xmlns:r="http://schemas.openxmlformats.org/officeDocument/2006/relationships" r:embed="rId2"/>
          <a:stretch>
            <a:fillRect/>
          </a:stretch>
        </xdr:blipFill>
        <xdr:spPr>
          <a:xfrm>
            <a:off x="8801100" y="0"/>
            <a:ext cx="2389839" cy="463336"/>
          </a:xfrm>
          <a:prstGeom prst="rect">
            <a:avLst/>
          </a:prstGeom>
          <a:ln>
            <a:noFill/>
          </a:ln>
        </xdr:spPr>
      </xdr:pic>
    </xdr:grp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1038785</xdr:colOff>
      <xdr:row>9</xdr:row>
      <xdr:rowOff>96930</xdr:rowOff>
    </xdr:from>
    <xdr:to>
      <xdr:col>12</xdr:col>
      <xdr:colOff>405653</xdr:colOff>
      <xdr:row>23</xdr:row>
      <xdr:rowOff>173130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314325</xdr:colOff>
      <xdr:row>0</xdr:row>
      <xdr:rowOff>9525</xdr:rowOff>
    </xdr:from>
    <xdr:to>
      <xdr:col>13</xdr:col>
      <xdr:colOff>342900</xdr:colOff>
      <xdr:row>1</xdr:row>
      <xdr:rowOff>285750</xdr:rowOff>
    </xdr:to>
    <xdr:grpSp>
      <xdr:nvGrpSpPr>
        <xdr:cNvPr id="2" name="Group 1">
          <a:hlinkClick xmlns:r="http://schemas.openxmlformats.org/officeDocument/2006/relationships" r:id="rId2"/>
          <a:extLst>
            <a:ext uri="{FF2B5EF4-FFF2-40B4-BE49-F238E27FC236}">
              <a16:creationId xmlns:a16="http://schemas.microsoft.com/office/drawing/2014/main" id="{00000000-0008-0000-0E00-000002000000}"/>
            </a:ext>
          </a:extLst>
        </xdr:cNvPr>
        <xdr:cNvGrpSpPr/>
      </xdr:nvGrpSpPr>
      <xdr:grpSpPr>
        <a:xfrm>
          <a:off x="9915525" y="9525"/>
          <a:ext cx="2908935" cy="504825"/>
          <a:chOff x="8801100" y="0"/>
          <a:chExt cx="3114675" cy="463336"/>
        </a:xfrm>
      </xdr:grpSpPr>
      <xdr:sp macro="" textlink="">
        <xdr:nvSpPr>
          <xdr:cNvPr id="4" name="Rectangle 3">
            <a:extLst>
              <a:ext uri="{FF2B5EF4-FFF2-40B4-BE49-F238E27FC236}">
                <a16:creationId xmlns:a16="http://schemas.microsoft.com/office/drawing/2014/main" id="{00000000-0008-0000-0E00-000004000000}"/>
              </a:ext>
            </a:extLst>
          </xdr:cNvPr>
          <xdr:cNvSpPr/>
        </xdr:nvSpPr>
        <xdr:spPr>
          <a:xfrm>
            <a:off x="8839200" y="0"/>
            <a:ext cx="3076575" cy="352425"/>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5" name="Picture 4">
            <a:extLst>
              <a:ext uri="{FF2B5EF4-FFF2-40B4-BE49-F238E27FC236}">
                <a16:creationId xmlns:a16="http://schemas.microsoft.com/office/drawing/2014/main" id="{00000000-0008-0000-0E00-000005000000}"/>
              </a:ext>
            </a:extLst>
          </xdr:cNvPr>
          <xdr:cNvPicPr>
            <a:picLocks noChangeAspect="1"/>
          </xdr:cNvPicPr>
        </xdr:nvPicPr>
        <xdr:blipFill>
          <a:blip xmlns:r="http://schemas.openxmlformats.org/officeDocument/2006/relationships" r:embed="rId3"/>
          <a:stretch>
            <a:fillRect/>
          </a:stretch>
        </xdr:blipFill>
        <xdr:spPr>
          <a:xfrm>
            <a:off x="8801100" y="0"/>
            <a:ext cx="2389839" cy="463336"/>
          </a:xfrm>
          <a:prstGeom prst="rect">
            <a:avLst/>
          </a:prstGeom>
          <a:ln>
            <a:noFill/>
          </a:ln>
        </xdr:spPr>
      </xdr:pic>
    </xdr:grpSp>
    <xdr:clientData/>
  </xdr:twoCellAnchor>
  <xdr:twoCellAnchor>
    <xdr:from>
      <xdr:col>5</xdr:col>
      <xdr:colOff>466726</xdr:colOff>
      <xdr:row>0</xdr:row>
      <xdr:rowOff>200025</xdr:rowOff>
    </xdr:from>
    <xdr:to>
      <xdr:col>8</xdr:col>
      <xdr:colOff>971550</xdr:colOff>
      <xdr:row>6</xdr:row>
      <xdr:rowOff>28575</xdr:rowOff>
    </xdr:to>
    <xdr:sp macro="" textlink="">
      <xdr:nvSpPr>
        <xdr:cNvPr id="7" name="Flowchart: Punched Tape 6">
          <a:extLst>
            <a:ext uri="{FF2B5EF4-FFF2-40B4-BE49-F238E27FC236}">
              <a16:creationId xmlns:a16="http://schemas.microsoft.com/office/drawing/2014/main" id="{00000000-0008-0000-0E00-000007000000}"/>
            </a:ext>
          </a:extLst>
        </xdr:cNvPr>
        <xdr:cNvSpPr/>
      </xdr:nvSpPr>
      <xdr:spPr>
        <a:xfrm>
          <a:off x="5705476" y="200025"/>
          <a:ext cx="3648074" cy="1200150"/>
        </a:xfrm>
        <a:prstGeom prst="flowChartPunchedTape">
          <a:avLst/>
        </a:prstGeom>
        <a:solidFill>
          <a:schemeClr val="accent3"/>
        </a:solidFill>
        <a:ln/>
        <a:effectLst>
          <a:glow rad="139700">
            <a:schemeClr val="accent5">
              <a:satMod val="175000"/>
              <a:alpha val="40000"/>
            </a:schemeClr>
          </a:glow>
          <a:innerShdw blurRad="25400" dist="12700" dir="13500000">
            <a:srgbClr val="000000">
              <a:alpha val="45000"/>
            </a:srgbClr>
          </a:innerShdw>
        </a:effectLst>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r>
            <a:rPr lang="en-US" sz="1400"/>
            <a:t>Macros is on this sheet to see if a student will be promoted to the next class</a:t>
          </a:r>
          <a:r>
            <a:rPr lang="en-US" sz="1400" baseline="0"/>
            <a:t> level after the end of the year or remain in the same class</a:t>
          </a:r>
          <a:endParaRPr lang="en-US" sz="1400"/>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cuny-my.sharepoint.com/personal/joslyn_brown25_qmail_cuny_edu/Documents/JoslynWilsonExcelproject.xlsm" TargetMode="External"/><Relationship Id="rId1" Type="http://schemas.openxmlformats.org/officeDocument/2006/relationships/externalLinkPath" Target="https://cuny-my.sharepoint.com/personal/joslyn_brown25_qmail_cuny_edu/Documents/JoslynWilsonExcelproject.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jsbro\Downloads\CSCI%2048%20Summer%20'24%20Final%20Project%20(6)%201.xlsx" TargetMode="External"/><Relationship Id="rId1" Type="http://schemas.openxmlformats.org/officeDocument/2006/relationships/externalLinkPath" Target="CSCI%2048%20Summer%20'24%20Final%20Project%20(6)%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Page"/>
      <sheetName val="Dash Board"/>
      <sheetName val="Academy student"/>
      <sheetName val="Placement score sclicer"/>
      <sheetName val="Class A"/>
      <sheetName val="Class  B"/>
      <sheetName val="Class C"/>
      <sheetName val="Class  D"/>
      <sheetName val="Class F "/>
      <sheetName val="Internship"/>
      <sheetName val="Teacher Class assighnments"/>
      <sheetName val="Event Staffing"/>
      <sheetName val="Library Fees"/>
      <sheetName val="Tuition"/>
      <sheetName val="End Year Report"/>
      <sheetName val="JoslynWilsonExcelproject"/>
    </sheetNames>
    <sheetDataSet>
      <sheetData sheetId="0" refreshError="1"/>
      <sheetData sheetId="1" refreshError="1"/>
      <sheetData sheetId="2">
        <row r="5">
          <cell r="A5">
            <v>52069506</v>
          </cell>
          <cell r="B5" t="str">
            <v>Wilson</v>
          </cell>
          <cell r="C5" t="str">
            <v>Misa</v>
          </cell>
          <cell r="F5">
            <v>20</v>
          </cell>
        </row>
        <row r="6">
          <cell r="A6">
            <v>14550989</v>
          </cell>
          <cell r="B6" t="str">
            <v>Elric</v>
          </cell>
          <cell r="C6" t="str">
            <v>Edward</v>
          </cell>
          <cell r="F6">
            <v>9</v>
          </cell>
        </row>
        <row r="7">
          <cell r="A7">
            <v>48862811</v>
          </cell>
          <cell r="B7" t="str">
            <v>McCarthy</v>
          </cell>
          <cell r="C7" t="str">
            <v>Sonny</v>
          </cell>
          <cell r="F7">
            <v>12.5</v>
          </cell>
        </row>
        <row r="8">
          <cell r="A8">
            <v>10287797</v>
          </cell>
          <cell r="B8" t="str">
            <v>Cruise</v>
          </cell>
          <cell r="C8" t="str">
            <v>Tom</v>
          </cell>
          <cell r="F8">
            <v>14</v>
          </cell>
        </row>
        <row r="9">
          <cell r="A9">
            <v>22355690</v>
          </cell>
          <cell r="B9" t="str">
            <v>Cromwell</v>
          </cell>
          <cell r="C9" t="str">
            <v>Jason</v>
          </cell>
          <cell r="F9">
            <v>14.5</v>
          </cell>
        </row>
        <row r="10">
          <cell r="A10">
            <v>59305766</v>
          </cell>
          <cell r="B10" t="str">
            <v>Richardson</v>
          </cell>
          <cell r="C10" t="str">
            <v>Lachlan</v>
          </cell>
          <cell r="F10">
            <v>15</v>
          </cell>
        </row>
        <row r="11">
          <cell r="A11">
            <v>28475996</v>
          </cell>
          <cell r="B11" t="str">
            <v>Khan</v>
          </cell>
          <cell r="C11" t="str">
            <v>Sakib</v>
          </cell>
          <cell r="F11">
            <v>15.5</v>
          </cell>
        </row>
        <row r="12">
          <cell r="A12">
            <v>64198194</v>
          </cell>
          <cell r="B12" t="str">
            <v>Oberoi</v>
          </cell>
          <cell r="C12" t="str">
            <v>Vivek</v>
          </cell>
          <cell r="F12">
            <v>16</v>
          </cell>
        </row>
        <row r="13">
          <cell r="A13">
            <v>29655035</v>
          </cell>
          <cell r="B13" t="str">
            <v>Burke</v>
          </cell>
          <cell r="C13" t="str">
            <v>Louis</v>
          </cell>
          <cell r="F13">
            <v>17</v>
          </cell>
        </row>
        <row r="14">
          <cell r="A14">
            <v>68339915</v>
          </cell>
          <cell r="B14" t="str">
            <v>Duke</v>
          </cell>
          <cell r="C14" t="str">
            <v>Zoe</v>
          </cell>
          <cell r="F14">
            <v>19</v>
          </cell>
        </row>
        <row r="15">
          <cell r="A15">
            <v>32695778</v>
          </cell>
          <cell r="B15" t="str">
            <v>Newton</v>
          </cell>
          <cell r="C15" t="str">
            <v>Flora</v>
          </cell>
          <cell r="F15">
            <v>20.5</v>
          </cell>
        </row>
        <row r="16">
          <cell r="A16">
            <v>55677878</v>
          </cell>
          <cell r="B16" t="str">
            <v>Gallen</v>
          </cell>
          <cell r="C16" t="str">
            <v>Zac</v>
          </cell>
          <cell r="F16">
            <v>21</v>
          </cell>
        </row>
        <row r="17">
          <cell r="A17">
            <v>13692938</v>
          </cell>
          <cell r="B17" t="str">
            <v>Kapoor</v>
          </cell>
          <cell r="C17" t="str">
            <v>Sanjay</v>
          </cell>
          <cell r="F17">
            <v>22</v>
          </cell>
        </row>
        <row r="18">
          <cell r="A18">
            <v>49461380</v>
          </cell>
          <cell r="B18" t="str">
            <v>Singleton</v>
          </cell>
          <cell r="C18" t="str">
            <v>Perry</v>
          </cell>
          <cell r="F18">
            <v>23</v>
          </cell>
        </row>
        <row r="19">
          <cell r="A19">
            <v>66065006</v>
          </cell>
          <cell r="B19" t="str">
            <v>Walker</v>
          </cell>
          <cell r="C19" t="str">
            <v>Allen</v>
          </cell>
          <cell r="F19">
            <v>23.5</v>
          </cell>
        </row>
        <row r="20">
          <cell r="A20">
            <v>14185496</v>
          </cell>
          <cell r="B20" t="str">
            <v>Scarlet</v>
          </cell>
          <cell r="C20" t="str">
            <v>Ezra</v>
          </cell>
          <cell r="F20">
            <v>25</v>
          </cell>
        </row>
        <row r="21">
          <cell r="A21">
            <v>22222762</v>
          </cell>
          <cell r="B21" t="str">
            <v>Forger</v>
          </cell>
          <cell r="C21" t="str">
            <v>Anya</v>
          </cell>
          <cell r="F21">
            <v>25.5</v>
          </cell>
        </row>
        <row r="22">
          <cell r="A22">
            <v>33006505</v>
          </cell>
          <cell r="B22" t="str">
            <v>Hunt</v>
          </cell>
          <cell r="C22" t="str">
            <v>Ethan</v>
          </cell>
          <cell r="F22">
            <v>27</v>
          </cell>
        </row>
        <row r="23">
          <cell r="A23">
            <v>27658150</v>
          </cell>
          <cell r="B23" t="str">
            <v>Kapur</v>
          </cell>
          <cell r="C23" t="str">
            <v>Aditya</v>
          </cell>
          <cell r="F23">
            <v>27.5</v>
          </cell>
        </row>
        <row r="24">
          <cell r="A24">
            <v>54116555</v>
          </cell>
          <cell r="B24" t="str">
            <v>Zimmerman</v>
          </cell>
          <cell r="C24" t="str">
            <v>Cory</v>
          </cell>
          <cell r="F24">
            <v>28</v>
          </cell>
        </row>
        <row r="25">
          <cell r="A25">
            <v>12255677</v>
          </cell>
          <cell r="B25" t="str">
            <v>Park</v>
          </cell>
          <cell r="C25" t="str">
            <v>John</v>
          </cell>
          <cell r="F25">
            <v>29</v>
          </cell>
        </row>
        <row r="26">
          <cell r="A26">
            <v>80079978</v>
          </cell>
          <cell r="B26" t="str">
            <v xml:space="preserve">Heyman </v>
          </cell>
          <cell r="C26" t="str">
            <v>Paul</v>
          </cell>
          <cell r="F26">
            <v>29</v>
          </cell>
        </row>
        <row r="27">
          <cell r="A27">
            <v>62672194</v>
          </cell>
          <cell r="B27" t="str">
            <v>Khan</v>
          </cell>
          <cell r="C27" t="str">
            <v>Salman</v>
          </cell>
          <cell r="F27">
            <v>29</v>
          </cell>
        </row>
        <row r="28">
          <cell r="A28">
            <v>22975112</v>
          </cell>
          <cell r="B28" t="str">
            <v>Best</v>
          </cell>
          <cell r="C28" t="str">
            <v>Sakura</v>
          </cell>
          <cell r="F28">
            <v>30</v>
          </cell>
        </row>
        <row r="29">
          <cell r="A29">
            <v>17117302</v>
          </cell>
          <cell r="B29" t="str">
            <v>Reynolds</v>
          </cell>
          <cell r="C29" t="str">
            <v>Charlie</v>
          </cell>
          <cell r="F29">
            <v>30.5</v>
          </cell>
        </row>
        <row r="30">
          <cell r="A30">
            <v>17175244</v>
          </cell>
          <cell r="B30" t="str">
            <v>Watkins</v>
          </cell>
          <cell r="C30" t="str">
            <v>Demi</v>
          </cell>
          <cell r="F30">
            <v>30.5</v>
          </cell>
        </row>
        <row r="31">
          <cell r="A31">
            <v>67176280</v>
          </cell>
          <cell r="B31" t="str">
            <v>Khan</v>
          </cell>
          <cell r="C31" t="str">
            <v>Saif Ali</v>
          </cell>
          <cell r="F31">
            <v>31</v>
          </cell>
        </row>
        <row r="32">
          <cell r="A32">
            <v>90908811</v>
          </cell>
          <cell r="B32" t="str">
            <v>Frank</v>
          </cell>
          <cell r="C32" t="str">
            <v>Joesph</v>
          </cell>
          <cell r="F32">
            <v>31</v>
          </cell>
        </row>
        <row r="33">
          <cell r="A33">
            <v>37800314</v>
          </cell>
          <cell r="B33" t="str">
            <v>Thorne</v>
          </cell>
          <cell r="C33" t="str">
            <v>Alexia</v>
          </cell>
          <cell r="F33">
            <v>31.5</v>
          </cell>
        </row>
        <row r="34">
          <cell r="A34">
            <v>59343896</v>
          </cell>
          <cell r="B34" t="str">
            <v>Yeager</v>
          </cell>
          <cell r="C34" t="str">
            <v>Eren</v>
          </cell>
          <cell r="F34">
            <v>32</v>
          </cell>
        </row>
        <row r="35">
          <cell r="A35">
            <v>56278487</v>
          </cell>
          <cell r="B35" t="str">
            <v>Reid</v>
          </cell>
          <cell r="C35" t="str">
            <v>Ssammie</v>
          </cell>
          <cell r="F35">
            <v>32.5</v>
          </cell>
        </row>
        <row r="36">
          <cell r="A36">
            <v>77890678</v>
          </cell>
          <cell r="B36" t="str">
            <v>Lopez</v>
          </cell>
          <cell r="C36" t="str">
            <v>Omar</v>
          </cell>
          <cell r="F36">
            <v>34</v>
          </cell>
        </row>
        <row r="37">
          <cell r="A37">
            <v>33896032</v>
          </cell>
          <cell r="B37" t="str">
            <v>Townsend</v>
          </cell>
          <cell r="C37" t="str">
            <v>Solomon</v>
          </cell>
          <cell r="F37">
            <v>36</v>
          </cell>
        </row>
        <row r="38">
          <cell r="A38">
            <v>40723551</v>
          </cell>
          <cell r="B38" t="str">
            <v>Holmes</v>
          </cell>
          <cell r="C38" t="str">
            <v>Sherlock</v>
          </cell>
          <cell r="F38">
            <v>37.5</v>
          </cell>
        </row>
        <row r="39">
          <cell r="A39">
            <v>23010569</v>
          </cell>
          <cell r="B39" t="str">
            <v>Brady</v>
          </cell>
          <cell r="C39" t="str">
            <v>Matthew</v>
          </cell>
          <cell r="F39">
            <v>38</v>
          </cell>
        </row>
        <row r="40">
          <cell r="A40">
            <v>44900212</v>
          </cell>
          <cell r="B40" t="str">
            <v>Valentine</v>
          </cell>
          <cell r="C40" t="str">
            <v>Valentina</v>
          </cell>
          <cell r="F40">
            <v>39.5</v>
          </cell>
        </row>
        <row r="41">
          <cell r="A41">
            <v>42395721</v>
          </cell>
          <cell r="B41" t="str">
            <v>Sherman</v>
          </cell>
          <cell r="C41" t="str">
            <v>Eddie</v>
          </cell>
          <cell r="F41">
            <v>39.5</v>
          </cell>
        </row>
        <row r="42">
          <cell r="A42">
            <v>28046284</v>
          </cell>
          <cell r="B42" t="str">
            <v>Stone</v>
          </cell>
          <cell r="C42" t="str">
            <v>Lukas</v>
          </cell>
          <cell r="F42">
            <v>40</v>
          </cell>
        </row>
        <row r="43">
          <cell r="A43">
            <v>49517726</v>
          </cell>
          <cell r="B43" t="str">
            <v>Bachchan</v>
          </cell>
          <cell r="C43" t="str">
            <v>Aishwaria</v>
          </cell>
          <cell r="F43">
            <v>40</v>
          </cell>
        </row>
        <row r="44">
          <cell r="A44">
            <v>11266789</v>
          </cell>
          <cell r="B44" t="str">
            <v>Bell</v>
          </cell>
          <cell r="C44" t="str">
            <v>Jack</v>
          </cell>
          <cell r="F44">
            <v>40.5</v>
          </cell>
        </row>
        <row r="45">
          <cell r="A45">
            <v>31207252</v>
          </cell>
          <cell r="B45" t="str">
            <v>Kurosaki</v>
          </cell>
          <cell r="C45" t="str">
            <v>Ichigo</v>
          </cell>
          <cell r="F45">
            <v>40.5</v>
          </cell>
        </row>
        <row r="46">
          <cell r="A46">
            <v>40941908</v>
          </cell>
          <cell r="B46" t="str">
            <v>Brown</v>
          </cell>
          <cell r="C46" t="str">
            <v>Gray</v>
          </cell>
          <cell r="F46">
            <v>40.5</v>
          </cell>
        </row>
        <row r="47">
          <cell r="A47">
            <v>28380069</v>
          </cell>
          <cell r="B47" t="str">
            <v>Weaver</v>
          </cell>
          <cell r="C47" t="str">
            <v>Prince</v>
          </cell>
          <cell r="F47">
            <v>43</v>
          </cell>
        </row>
        <row r="48">
          <cell r="A48">
            <v>33455570</v>
          </cell>
          <cell r="B48" t="str">
            <v>Cox</v>
          </cell>
          <cell r="C48" t="str">
            <v>Jennifer</v>
          </cell>
          <cell r="F48">
            <v>43.5</v>
          </cell>
        </row>
        <row r="49">
          <cell r="A49">
            <v>52775578</v>
          </cell>
          <cell r="B49" t="str">
            <v>Woods</v>
          </cell>
          <cell r="C49" t="str">
            <v>Melissa</v>
          </cell>
          <cell r="F49">
            <v>43.5</v>
          </cell>
        </row>
        <row r="50">
          <cell r="A50">
            <v>69512922</v>
          </cell>
          <cell r="B50" t="str">
            <v>Walsh</v>
          </cell>
          <cell r="C50" t="str">
            <v>Rhea</v>
          </cell>
          <cell r="F50">
            <v>45</v>
          </cell>
        </row>
        <row r="51">
          <cell r="A51">
            <v>20320994</v>
          </cell>
          <cell r="B51" t="str">
            <v>Smith</v>
          </cell>
          <cell r="C51" t="str">
            <v>Erwin</v>
          </cell>
          <cell r="F51">
            <v>45.5</v>
          </cell>
        </row>
        <row r="52">
          <cell r="A52">
            <v>51855406</v>
          </cell>
          <cell r="B52" t="str">
            <v>Betty</v>
          </cell>
          <cell r="C52" t="str">
            <v>James</v>
          </cell>
          <cell r="F52">
            <v>46</v>
          </cell>
        </row>
        <row r="53">
          <cell r="A53">
            <v>22312334</v>
          </cell>
          <cell r="B53" t="str">
            <v>Acosta</v>
          </cell>
          <cell r="C53" t="str">
            <v>Micheal</v>
          </cell>
          <cell r="F53">
            <v>48</v>
          </cell>
        </row>
        <row r="54">
          <cell r="A54">
            <v>66173853</v>
          </cell>
          <cell r="B54" t="str">
            <v>Holland</v>
          </cell>
          <cell r="C54" t="str">
            <v>Amelia</v>
          </cell>
          <cell r="F54">
            <v>48</v>
          </cell>
        </row>
        <row r="55">
          <cell r="A55">
            <v>46774911</v>
          </cell>
          <cell r="B55" t="str">
            <v>Khan</v>
          </cell>
          <cell r="C55" t="str">
            <v>Aamir</v>
          </cell>
          <cell r="F55">
            <v>49</v>
          </cell>
        </row>
        <row r="56">
          <cell r="A56">
            <v>88099789</v>
          </cell>
          <cell r="B56" t="str">
            <v>Hayes</v>
          </cell>
          <cell r="C56" t="str">
            <v>Carmelo</v>
          </cell>
          <cell r="F56">
            <v>49</v>
          </cell>
        </row>
        <row r="57">
          <cell r="A57">
            <v>21171011</v>
          </cell>
          <cell r="B57" t="str">
            <v>Strickland</v>
          </cell>
          <cell r="C57" t="str">
            <v>Kye</v>
          </cell>
          <cell r="F57">
            <v>49.5</v>
          </cell>
        </row>
        <row r="58">
          <cell r="A58">
            <v>56229618</v>
          </cell>
          <cell r="B58" t="str">
            <v>Barrera</v>
          </cell>
          <cell r="C58" t="str">
            <v>Blanche</v>
          </cell>
          <cell r="F58">
            <v>49.5</v>
          </cell>
        </row>
        <row r="59">
          <cell r="A59">
            <v>24895680</v>
          </cell>
          <cell r="B59" t="str">
            <v>Pineda</v>
          </cell>
          <cell r="C59" t="str">
            <v>Denis</v>
          </cell>
          <cell r="F59">
            <v>49.5</v>
          </cell>
        </row>
        <row r="60">
          <cell r="A60">
            <v>24074179</v>
          </cell>
          <cell r="B60" t="str">
            <v>Mann</v>
          </cell>
          <cell r="C60" t="str">
            <v>Glen</v>
          </cell>
          <cell r="F60">
            <v>49.5</v>
          </cell>
        </row>
        <row r="61">
          <cell r="A61">
            <v>14100297</v>
          </cell>
          <cell r="B61" t="str">
            <v>Meyers</v>
          </cell>
          <cell r="C61" t="str">
            <v>Wilber</v>
          </cell>
          <cell r="F61">
            <v>50.5</v>
          </cell>
        </row>
        <row r="62">
          <cell r="A62">
            <v>47953857</v>
          </cell>
          <cell r="B62" t="str">
            <v>Bachchan</v>
          </cell>
          <cell r="C62" t="str">
            <v>Amitabh</v>
          </cell>
          <cell r="F62">
            <v>50.5</v>
          </cell>
        </row>
        <row r="63">
          <cell r="A63">
            <v>61870635</v>
          </cell>
          <cell r="B63" t="str">
            <v>Long</v>
          </cell>
          <cell r="C63" t="str">
            <v>Josiah</v>
          </cell>
          <cell r="F63">
            <v>50.5</v>
          </cell>
        </row>
        <row r="64">
          <cell r="A64">
            <v>30476018</v>
          </cell>
          <cell r="B64" t="str">
            <v>Frederick</v>
          </cell>
          <cell r="C64" t="str">
            <v>Sylvia</v>
          </cell>
          <cell r="F64">
            <v>51</v>
          </cell>
        </row>
        <row r="65">
          <cell r="A65">
            <v>29169845</v>
          </cell>
          <cell r="B65" t="str">
            <v>Kumar</v>
          </cell>
          <cell r="C65" t="str">
            <v>Akshay</v>
          </cell>
          <cell r="F65">
            <v>51</v>
          </cell>
        </row>
        <row r="66">
          <cell r="A66">
            <v>31920733</v>
          </cell>
          <cell r="B66" t="str">
            <v>Campos</v>
          </cell>
          <cell r="C66" t="str">
            <v>Lee</v>
          </cell>
          <cell r="F66">
            <v>52</v>
          </cell>
        </row>
        <row r="67">
          <cell r="A67">
            <v>59135219</v>
          </cell>
          <cell r="B67" t="str">
            <v>Deol</v>
          </cell>
          <cell r="C67" t="str">
            <v>Sunny</v>
          </cell>
          <cell r="F67">
            <v>52.5</v>
          </cell>
        </row>
        <row r="68">
          <cell r="A68">
            <v>29617570</v>
          </cell>
          <cell r="B68" t="str">
            <v>Steven</v>
          </cell>
          <cell r="C68" t="str">
            <v>Christopher</v>
          </cell>
          <cell r="F68">
            <v>54</v>
          </cell>
        </row>
        <row r="69">
          <cell r="A69">
            <v>41604417</v>
          </cell>
          <cell r="B69" t="str">
            <v>Ramirez</v>
          </cell>
          <cell r="C69" t="str">
            <v>Mercy</v>
          </cell>
          <cell r="F69">
            <v>54.5</v>
          </cell>
        </row>
        <row r="70">
          <cell r="A70">
            <v>67642835</v>
          </cell>
          <cell r="B70" t="str">
            <v>Krtchum</v>
          </cell>
          <cell r="C70" t="str">
            <v>Ash</v>
          </cell>
          <cell r="F70">
            <v>55</v>
          </cell>
        </row>
        <row r="71">
          <cell r="A71">
            <v>65777672</v>
          </cell>
          <cell r="B71" t="str">
            <v>Mustang</v>
          </cell>
          <cell r="C71" t="str">
            <v>Roy</v>
          </cell>
          <cell r="F71">
            <v>55.5</v>
          </cell>
        </row>
        <row r="72">
          <cell r="A72">
            <v>57031215</v>
          </cell>
          <cell r="B72" t="str">
            <v>Villatteal</v>
          </cell>
          <cell r="C72" t="str">
            <v>Dory</v>
          </cell>
          <cell r="F72">
            <v>55.5</v>
          </cell>
        </row>
        <row r="73">
          <cell r="A73">
            <v>14679298</v>
          </cell>
          <cell r="B73" t="str">
            <v>Ferguson</v>
          </cell>
          <cell r="C73" t="str">
            <v>Claudia</v>
          </cell>
          <cell r="F73">
            <v>55.5</v>
          </cell>
        </row>
        <row r="74">
          <cell r="A74">
            <v>26610470</v>
          </cell>
          <cell r="B74" t="str">
            <v>Kapoor</v>
          </cell>
          <cell r="C74" t="str">
            <v>Anil</v>
          </cell>
          <cell r="F74">
            <v>56</v>
          </cell>
        </row>
        <row r="75">
          <cell r="A75">
            <v>39378097</v>
          </cell>
          <cell r="B75" t="str">
            <v>Griffith</v>
          </cell>
          <cell r="C75" t="str">
            <v>Allison</v>
          </cell>
          <cell r="F75">
            <v>56.5</v>
          </cell>
        </row>
        <row r="76">
          <cell r="A76">
            <v>12255678</v>
          </cell>
          <cell r="B76" t="str">
            <v>Theory</v>
          </cell>
          <cell r="C76" t="str">
            <v xml:space="preserve">Austin </v>
          </cell>
          <cell r="F76">
            <v>57</v>
          </cell>
        </row>
        <row r="77">
          <cell r="A77">
            <v>23300401</v>
          </cell>
          <cell r="B77" t="str">
            <v>O'Reilly</v>
          </cell>
          <cell r="C77" t="str">
            <v>Robin</v>
          </cell>
          <cell r="F77">
            <v>59</v>
          </cell>
        </row>
        <row r="78">
          <cell r="A78">
            <v>73797335</v>
          </cell>
          <cell r="B78" t="str">
            <v>Acosta</v>
          </cell>
          <cell r="C78" t="str">
            <v>Andreq</v>
          </cell>
          <cell r="F78">
            <v>59</v>
          </cell>
        </row>
        <row r="79">
          <cell r="A79">
            <v>96788908</v>
          </cell>
          <cell r="B79" t="str">
            <v>James</v>
          </cell>
          <cell r="C79" t="str">
            <v>Ashley</v>
          </cell>
          <cell r="F79">
            <v>59.5</v>
          </cell>
        </row>
        <row r="80">
          <cell r="A80">
            <v>16251330</v>
          </cell>
          <cell r="B80" t="str">
            <v>Cannon</v>
          </cell>
          <cell r="C80" t="str">
            <v>Shirley</v>
          </cell>
          <cell r="F80">
            <v>60.5</v>
          </cell>
        </row>
        <row r="81">
          <cell r="A81">
            <v>35471023</v>
          </cell>
          <cell r="B81" t="str">
            <v>Kapoor</v>
          </cell>
          <cell r="C81" t="str">
            <v>Shraddha</v>
          </cell>
          <cell r="F81">
            <v>60.5</v>
          </cell>
        </row>
        <row r="82">
          <cell r="A82">
            <v>50822121</v>
          </cell>
          <cell r="B82" t="str">
            <v>Crawford</v>
          </cell>
          <cell r="C82" t="str">
            <v>Esme</v>
          </cell>
          <cell r="F82">
            <v>62</v>
          </cell>
        </row>
        <row r="83">
          <cell r="A83">
            <v>45322100</v>
          </cell>
          <cell r="B83" t="str">
            <v>Ball</v>
          </cell>
          <cell r="C83" t="str">
            <v>Billie</v>
          </cell>
          <cell r="F83">
            <v>63.5</v>
          </cell>
        </row>
        <row r="84">
          <cell r="A84">
            <v>55251417</v>
          </cell>
          <cell r="B84" t="str">
            <v>Clements</v>
          </cell>
          <cell r="C84" t="str">
            <v>Mary</v>
          </cell>
          <cell r="F84">
            <v>64</v>
          </cell>
        </row>
        <row r="85">
          <cell r="A85">
            <v>14858103</v>
          </cell>
          <cell r="B85" t="str">
            <v>Stewart</v>
          </cell>
          <cell r="C85" t="str">
            <v>Robert</v>
          </cell>
          <cell r="F85">
            <v>68</v>
          </cell>
        </row>
        <row r="86">
          <cell r="A86">
            <v>46271285</v>
          </cell>
          <cell r="B86" t="str">
            <v>Devgan</v>
          </cell>
          <cell r="C86" t="str">
            <v>Ajay</v>
          </cell>
          <cell r="F86">
            <v>70</v>
          </cell>
        </row>
        <row r="87">
          <cell r="A87">
            <v>42393621</v>
          </cell>
          <cell r="B87" t="str">
            <v>Hawkins</v>
          </cell>
          <cell r="C87" t="str">
            <v>Owen</v>
          </cell>
          <cell r="F87">
            <v>71</v>
          </cell>
        </row>
        <row r="88">
          <cell r="A88">
            <v>88900987</v>
          </cell>
          <cell r="B88" t="str">
            <v>Gray</v>
          </cell>
          <cell r="C88" t="str">
            <v>Oliver</v>
          </cell>
          <cell r="F88">
            <v>72</v>
          </cell>
        </row>
        <row r="89">
          <cell r="A89">
            <v>61539595</v>
          </cell>
          <cell r="B89" t="str">
            <v>Bachchan</v>
          </cell>
          <cell r="C89" t="str">
            <v>Abishek</v>
          </cell>
          <cell r="F89">
            <v>77</v>
          </cell>
        </row>
        <row r="90">
          <cell r="A90">
            <v>99978671</v>
          </cell>
          <cell r="B90" t="str">
            <v>Ford</v>
          </cell>
          <cell r="C90" t="str">
            <v>Harrison</v>
          </cell>
          <cell r="F90">
            <v>77</v>
          </cell>
        </row>
        <row r="91">
          <cell r="A91">
            <v>66788007</v>
          </cell>
          <cell r="B91" t="str">
            <v>Wilson</v>
          </cell>
          <cell r="C91" t="str">
            <v xml:space="preserve">Josh </v>
          </cell>
          <cell r="F91">
            <v>78</v>
          </cell>
        </row>
        <row r="92">
          <cell r="A92">
            <v>26430751</v>
          </cell>
          <cell r="B92" t="str">
            <v>Khan</v>
          </cell>
          <cell r="C92" t="str">
            <v xml:space="preserve">Shahrukh </v>
          </cell>
          <cell r="F92">
            <v>80.5</v>
          </cell>
        </row>
        <row r="93">
          <cell r="A93">
            <v>56566555</v>
          </cell>
          <cell r="B93" t="str">
            <v>Hinata</v>
          </cell>
          <cell r="C93" t="str">
            <v>Shoyo</v>
          </cell>
          <cell r="F93">
            <v>81</v>
          </cell>
        </row>
        <row r="94">
          <cell r="A94">
            <v>54881230</v>
          </cell>
          <cell r="B94" t="str">
            <v>Akerman</v>
          </cell>
          <cell r="C94" t="str">
            <v>Levi</v>
          </cell>
          <cell r="F94">
            <v>88</v>
          </cell>
        </row>
        <row r="95">
          <cell r="A95">
            <v>36326243</v>
          </cell>
          <cell r="B95" t="str">
            <v>Chaney</v>
          </cell>
          <cell r="C95" t="str">
            <v>Kevin</v>
          </cell>
          <cell r="F95">
            <v>88</v>
          </cell>
        </row>
        <row r="96">
          <cell r="A96">
            <v>42567936</v>
          </cell>
          <cell r="B96" t="str">
            <v>Deol</v>
          </cell>
          <cell r="C96" t="str">
            <v>Bobby</v>
          </cell>
          <cell r="F96">
            <v>88</v>
          </cell>
        </row>
        <row r="97">
          <cell r="A97">
            <v>30497977</v>
          </cell>
          <cell r="B97" t="str">
            <v>Carpenter</v>
          </cell>
          <cell r="C97" t="str">
            <v>Penelope</v>
          </cell>
          <cell r="F97">
            <v>89</v>
          </cell>
        </row>
        <row r="98">
          <cell r="A98">
            <v>60161889</v>
          </cell>
          <cell r="B98" t="str">
            <v>Elric</v>
          </cell>
          <cell r="C98" t="str">
            <v>Alphonse</v>
          </cell>
          <cell r="F98">
            <v>89</v>
          </cell>
        </row>
        <row r="99">
          <cell r="A99">
            <v>23970827</v>
          </cell>
          <cell r="B99" t="str">
            <v>Kento</v>
          </cell>
          <cell r="C99" t="str">
            <v>nanami</v>
          </cell>
          <cell r="F99">
            <v>89.5</v>
          </cell>
        </row>
        <row r="100">
          <cell r="A100">
            <v>15767535</v>
          </cell>
          <cell r="B100" t="str">
            <v>Koirala</v>
          </cell>
          <cell r="C100" t="str">
            <v>Manisha</v>
          </cell>
          <cell r="F100">
            <v>97</v>
          </cell>
        </row>
        <row r="101">
          <cell r="A101">
            <v>10648455</v>
          </cell>
          <cell r="B101" t="str">
            <v>Kapoor</v>
          </cell>
          <cell r="C101" t="str">
            <v>Sonam</v>
          </cell>
          <cell r="F101">
            <v>93.5</v>
          </cell>
        </row>
        <row r="102">
          <cell r="A102">
            <v>31440459</v>
          </cell>
          <cell r="B102" t="str">
            <v>Nico</v>
          </cell>
          <cell r="C102" t="str">
            <v>Robin</v>
          </cell>
          <cell r="F102">
            <v>94</v>
          </cell>
        </row>
        <row r="103">
          <cell r="A103">
            <v>19259601</v>
          </cell>
          <cell r="B103" t="str">
            <v>Reyes</v>
          </cell>
          <cell r="C103" t="str">
            <v>Donald</v>
          </cell>
          <cell r="F103">
            <v>97</v>
          </cell>
        </row>
        <row r="104">
          <cell r="A104">
            <v>37849714</v>
          </cell>
          <cell r="B104" t="str">
            <v>Brando</v>
          </cell>
          <cell r="C104" t="str">
            <v>Dio</v>
          </cell>
          <cell r="F104">
            <v>99.5</v>
          </cell>
        </row>
      </sheetData>
      <sheetData sheetId="3" refreshError="1"/>
      <sheetData sheetId="4">
        <row r="6">
          <cell r="M6">
            <v>652424</v>
          </cell>
          <cell r="N6" t="str">
            <v>Cortez</v>
          </cell>
          <cell r="O6" t="str">
            <v>alice</v>
          </cell>
        </row>
        <row r="7">
          <cell r="M7">
            <v>381477</v>
          </cell>
          <cell r="N7" t="str">
            <v>Cowan</v>
          </cell>
          <cell r="O7" t="str">
            <v>marcella</v>
          </cell>
        </row>
        <row r="8">
          <cell r="M8">
            <v>177275</v>
          </cell>
          <cell r="N8" t="str">
            <v>Barajas</v>
          </cell>
          <cell r="O8" t="str">
            <v>stanley</v>
          </cell>
        </row>
        <row r="9">
          <cell r="M9">
            <v>238491</v>
          </cell>
          <cell r="N9" t="str">
            <v>Merritt</v>
          </cell>
          <cell r="O9" t="str">
            <v>omar</v>
          </cell>
        </row>
        <row r="10">
          <cell r="M10">
            <v>294431</v>
          </cell>
          <cell r="N10" t="str">
            <v>Roberts</v>
          </cell>
          <cell r="O10" t="str">
            <v>wilfredo</v>
          </cell>
        </row>
        <row r="12">
          <cell r="M12" t="str">
            <v>Column Labels</v>
          </cell>
        </row>
        <row r="13">
          <cell r="M13" t="str">
            <v>A</v>
          </cell>
          <cell r="N13" t="str">
            <v>B+</v>
          </cell>
          <cell r="O13" t="str">
            <v>Grand Total</v>
          </cell>
        </row>
        <row r="14">
          <cell r="M14">
            <v>90.4</v>
          </cell>
          <cell r="N14">
            <v>86.800000000000011</v>
          </cell>
          <cell r="O14">
            <v>177.20000000000002</v>
          </cell>
        </row>
        <row r="15">
          <cell r="M15">
            <v>90</v>
          </cell>
          <cell r="N15">
            <v>88.4</v>
          </cell>
          <cell r="O15">
            <v>178.4</v>
          </cell>
        </row>
        <row r="16">
          <cell r="M16">
            <v>92.800000000000011</v>
          </cell>
          <cell r="O16">
            <v>92.800000000000011</v>
          </cell>
        </row>
        <row r="17">
          <cell r="M17">
            <v>92.600000000000009</v>
          </cell>
          <cell r="O17">
            <v>92.600000000000009</v>
          </cell>
        </row>
        <row r="18">
          <cell r="N18">
            <v>89.6</v>
          </cell>
          <cell r="O18">
            <v>89.6</v>
          </cell>
        </row>
        <row r="19">
          <cell r="M19">
            <v>192.20000000000002</v>
          </cell>
          <cell r="O19">
            <v>192.20000000000002</v>
          </cell>
        </row>
        <row r="20">
          <cell r="M20">
            <v>93</v>
          </cell>
          <cell r="O20">
            <v>93</v>
          </cell>
        </row>
        <row r="21">
          <cell r="N21">
            <v>89.8</v>
          </cell>
          <cell r="O21">
            <v>89.8</v>
          </cell>
        </row>
        <row r="22">
          <cell r="M22">
            <v>93</v>
          </cell>
          <cell r="N22">
            <v>88.4</v>
          </cell>
          <cell r="O22">
            <v>181.4</v>
          </cell>
        </row>
        <row r="23">
          <cell r="M23">
            <v>744.00000000000011</v>
          </cell>
          <cell r="N23">
            <v>443</v>
          </cell>
          <cell r="O23">
            <v>1187</v>
          </cell>
        </row>
      </sheetData>
      <sheetData sheetId="5">
        <row r="30">
          <cell r="R30">
            <v>368744</v>
          </cell>
          <cell r="S30" t="str">
            <v>Oneill</v>
          </cell>
          <cell r="T30" t="str">
            <v>Briana</v>
          </cell>
          <cell r="V30" t="str">
            <v>yes</v>
          </cell>
        </row>
        <row r="31">
          <cell r="R31">
            <v>653601</v>
          </cell>
          <cell r="S31" t="str">
            <v>Glenn</v>
          </cell>
          <cell r="T31" t="str">
            <v>Daryl</v>
          </cell>
          <cell r="V31" t="str">
            <v>yes</v>
          </cell>
        </row>
        <row r="32">
          <cell r="R32">
            <v>508339</v>
          </cell>
          <cell r="S32" t="str">
            <v>Mcknight</v>
          </cell>
          <cell r="T32" t="str">
            <v>Violet</v>
          </cell>
          <cell r="V32" t="str">
            <v>yes</v>
          </cell>
        </row>
        <row r="33">
          <cell r="R33">
            <v>229763</v>
          </cell>
          <cell r="S33" t="str">
            <v>Bush</v>
          </cell>
          <cell r="T33" t="str">
            <v>Mavis</v>
          </cell>
          <cell r="V33" t="str">
            <v>yes</v>
          </cell>
        </row>
        <row r="34">
          <cell r="R34">
            <v>439380</v>
          </cell>
          <cell r="S34" t="str">
            <v>Reese</v>
          </cell>
          <cell r="T34" t="str">
            <v>Amado</v>
          </cell>
          <cell r="V34" t="str">
            <v>yes</v>
          </cell>
        </row>
        <row r="35">
          <cell r="R35">
            <v>251960</v>
          </cell>
          <cell r="S35" t="str">
            <v>David</v>
          </cell>
          <cell r="T35" t="str">
            <v>Dale</v>
          </cell>
          <cell r="V35" t="str">
            <v>yes</v>
          </cell>
        </row>
        <row r="46">
          <cell r="J46" t="str">
            <v>A</v>
          </cell>
        </row>
        <row r="47">
          <cell r="J47" t="str">
            <v>A</v>
          </cell>
        </row>
        <row r="48">
          <cell r="J48" t="str">
            <v>A</v>
          </cell>
        </row>
        <row r="49">
          <cell r="J49" t="str">
            <v>A</v>
          </cell>
        </row>
        <row r="50">
          <cell r="J50" t="str">
            <v>A</v>
          </cell>
        </row>
        <row r="51">
          <cell r="J51" t="str">
            <v>B+</v>
          </cell>
        </row>
        <row r="52">
          <cell r="J52" t="str">
            <v>B+</v>
          </cell>
        </row>
        <row r="53">
          <cell r="J53" t="str">
            <v>A</v>
          </cell>
        </row>
        <row r="54">
          <cell r="J54" t="str">
            <v>A</v>
          </cell>
        </row>
        <row r="55">
          <cell r="J55" t="str">
            <v>A</v>
          </cell>
        </row>
        <row r="56">
          <cell r="J56" t="str">
            <v>A</v>
          </cell>
        </row>
        <row r="57">
          <cell r="J57" t="str">
            <v>A</v>
          </cell>
        </row>
      </sheetData>
      <sheetData sheetId="6">
        <row r="13">
          <cell r="N13">
            <v>415890</v>
          </cell>
          <cell r="O13" t="str">
            <v>Boyd</v>
          </cell>
          <cell r="P13" t="str">
            <v>Burton</v>
          </cell>
          <cell r="S13" t="str">
            <v>YES</v>
          </cell>
        </row>
        <row r="14">
          <cell r="N14">
            <v>503413</v>
          </cell>
          <cell r="O14" t="str">
            <v>Hayes</v>
          </cell>
          <cell r="P14" t="str">
            <v>Melvin</v>
          </cell>
          <cell r="S14" t="str">
            <v>YES</v>
          </cell>
        </row>
        <row r="15">
          <cell r="N15">
            <v>303803</v>
          </cell>
          <cell r="O15" t="str">
            <v>Juarez</v>
          </cell>
          <cell r="P15" t="str">
            <v>Barton</v>
          </cell>
          <cell r="S15" t="str">
            <v>YES</v>
          </cell>
        </row>
        <row r="16">
          <cell r="N16">
            <v>610702</v>
          </cell>
          <cell r="O16" t="str">
            <v>Orozco</v>
          </cell>
          <cell r="P16" t="str">
            <v>Ivy</v>
          </cell>
          <cell r="S16" t="str">
            <v>YES</v>
          </cell>
        </row>
        <row r="17">
          <cell r="N17">
            <v>552430</v>
          </cell>
          <cell r="O17" t="str">
            <v>Ortiz</v>
          </cell>
          <cell r="P17" t="str">
            <v>Jessica</v>
          </cell>
          <cell r="S17" t="str">
            <v>YES</v>
          </cell>
        </row>
        <row r="132">
          <cell r="J132" t="str">
            <v>A</v>
          </cell>
        </row>
        <row r="133">
          <cell r="J133" t="str">
            <v>B</v>
          </cell>
        </row>
        <row r="134">
          <cell r="J134" t="str">
            <v>A</v>
          </cell>
        </row>
        <row r="135">
          <cell r="J135" t="str">
            <v>B</v>
          </cell>
        </row>
        <row r="136">
          <cell r="J136" t="str">
            <v>B</v>
          </cell>
        </row>
        <row r="137">
          <cell r="J137" t="str">
            <v>A</v>
          </cell>
        </row>
        <row r="138">
          <cell r="J138" t="str">
            <v>B</v>
          </cell>
        </row>
        <row r="139">
          <cell r="J139" t="str">
            <v>B</v>
          </cell>
        </row>
        <row r="140">
          <cell r="J140" t="str">
            <v>B</v>
          </cell>
        </row>
        <row r="141">
          <cell r="J141" t="str">
            <v>B</v>
          </cell>
        </row>
        <row r="142">
          <cell r="J142" t="str">
            <v>B</v>
          </cell>
        </row>
        <row r="143">
          <cell r="J143" t="str">
            <v>A</v>
          </cell>
        </row>
        <row r="144">
          <cell r="J144" t="str">
            <v>A</v>
          </cell>
        </row>
        <row r="145">
          <cell r="J145" t="str">
            <v>B</v>
          </cell>
        </row>
        <row r="146">
          <cell r="J146" t="str">
            <v>B</v>
          </cell>
        </row>
        <row r="147">
          <cell r="J147" t="str">
            <v>B</v>
          </cell>
        </row>
        <row r="148">
          <cell r="J148" t="str">
            <v>B</v>
          </cell>
        </row>
        <row r="149">
          <cell r="J149" t="str">
            <v>B</v>
          </cell>
        </row>
        <row r="150">
          <cell r="J150" t="str">
            <v>A</v>
          </cell>
        </row>
        <row r="151">
          <cell r="J151" t="str">
            <v>A</v>
          </cell>
        </row>
        <row r="152">
          <cell r="J152" t="str">
            <v>B</v>
          </cell>
        </row>
        <row r="153">
          <cell r="J153" t="str">
            <v>A</v>
          </cell>
        </row>
        <row r="154">
          <cell r="J154" t="str">
            <v>A</v>
          </cell>
        </row>
        <row r="155">
          <cell r="J155" t="str">
            <v>B</v>
          </cell>
        </row>
        <row r="156">
          <cell r="J156" t="str">
            <v>A</v>
          </cell>
        </row>
        <row r="157">
          <cell r="J157" t="str">
            <v>A</v>
          </cell>
        </row>
        <row r="158">
          <cell r="J158" t="str">
            <v>A</v>
          </cell>
        </row>
        <row r="159">
          <cell r="J159" t="str">
            <v>A</v>
          </cell>
        </row>
        <row r="160">
          <cell r="J160" t="str">
            <v>A</v>
          </cell>
        </row>
        <row r="161">
          <cell r="J161" t="str">
            <v>A</v>
          </cell>
        </row>
        <row r="162">
          <cell r="J162" t="str">
            <v>A</v>
          </cell>
        </row>
        <row r="163">
          <cell r="J163" t="str">
            <v>A</v>
          </cell>
        </row>
        <row r="164">
          <cell r="J164" t="str">
            <v>A</v>
          </cell>
        </row>
        <row r="165">
          <cell r="J165" t="str">
            <v>A</v>
          </cell>
        </row>
        <row r="166">
          <cell r="J166" t="str">
            <v>A</v>
          </cell>
        </row>
        <row r="167">
          <cell r="J167" t="str">
            <v>A</v>
          </cell>
        </row>
        <row r="168">
          <cell r="J168" t="str">
            <v>A</v>
          </cell>
        </row>
        <row r="169">
          <cell r="J169" t="str">
            <v>A</v>
          </cell>
        </row>
      </sheetData>
      <sheetData sheetId="7">
        <row r="106">
          <cell r="L106" t="str">
            <v>B</v>
          </cell>
        </row>
        <row r="107">
          <cell r="L107" t="str">
            <v>C</v>
          </cell>
        </row>
        <row r="108">
          <cell r="L108" t="str">
            <v>C</v>
          </cell>
        </row>
        <row r="109">
          <cell r="L109" t="str">
            <v>C</v>
          </cell>
        </row>
        <row r="110">
          <cell r="L110" t="str">
            <v>C</v>
          </cell>
        </row>
        <row r="111">
          <cell r="L111" t="str">
            <v>C</v>
          </cell>
        </row>
        <row r="112">
          <cell r="L112" t="str">
            <v>C</v>
          </cell>
        </row>
        <row r="113">
          <cell r="L113" t="str">
            <v>C</v>
          </cell>
        </row>
        <row r="114">
          <cell r="L114" t="str">
            <v>B</v>
          </cell>
        </row>
        <row r="115">
          <cell r="L115" t="str">
            <v>C</v>
          </cell>
        </row>
        <row r="116">
          <cell r="L116" t="str">
            <v>C</v>
          </cell>
        </row>
        <row r="117">
          <cell r="L117" t="str">
            <v>B</v>
          </cell>
        </row>
        <row r="118">
          <cell r="L118" t="str">
            <v>D</v>
          </cell>
        </row>
        <row r="119">
          <cell r="L119" t="str">
            <v>B</v>
          </cell>
        </row>
        <row r="120">
          <cell r="L120" t="str">
            <v>B</v>
          </cell>
        </row>
        <row r="121">
          <cell r="L121" t="str">
            <v>C</v>
          </cell>
        </row>
        <row r="122">
          <cell r="L122" t="str">
            <v>C</v>
          </cell>
        </row>
        <row r="123">
          <cell r="L123" t="str">
            <v>C</v>
          </cell>
        </row>
        <row r="124">
          <cell r="L124" t="str">
            <v>C</v>
          </cell>
        </row>
        <row r="125">
          <cell r="L125" t="str">
            <v>B</v>
          </cell>
        </row>
        <row r="126">
          <cell r="L126" t="str">
            <v>C</v>
          </cell>
        </row>
        <row r="127">
          <cell r="L127" t="str">
            <v>C</v>
          </cell>
        </row>
        <row r="128">
          <cell r="L128" t="str">
            <v>C</v>
          </cell>
        </row>
        <row r="129">
          <cell r="L129" t="str">
            <v>B</v>
          </cell>
        </row>
        <row r="130">
          <cell r="L130" t="str">
            <v>C</v>
          </cell>
        </row>
        <row r="131">
          <cell r="L131" t="str">
            <v>D</v>
          </cell>
        </row>
        <row r="132">
          <cell r="L132" t="str">
            <v>C</v>
          </cell>
        </row>
      </sheetData>
      <sheetData sheetId="8">
        <row r="4">
          <cell r="N4">
            <v>698749</v>
          </cell>
          <cell r="O4" t="str">
            <v>Rogers</v>
          </cell>
          <cell r="P4" t="str">
            <v>Lindsay</v>
          </cell>
          <cell r="U4" t="str">
            <v>YES</v>
          </cell>
        </row>
        <row r="5">
          <cell r="N5">
            <v>190632</v>
          </cell>
          <cell r="O5" t="str">
            <v>Sharp</v>
          </cell>
          <cell r="P5" t="str">
            <v>Herb</v>
          </cell>
          <cell r="U5" t="str">
            <v>YES</v>
          </cell>
        </row>
        <row r="6">
          <cell r="N6">
            <v>502168</v>
          </cell>
          <cell r="O6" t="str">
            <v>Kirby</v>
          </cell>
          <cell r="P6" t="str">
            <v>Cassandra</v>
          </cell>
          <cell r="U6" t="str">
            <v>YES</v>
          </cell>
        </row>
        <row r="7">
          <cell r="N7">
            <v>532207</v>
          </cell>
          <cell r="O7" t="str">
            <v>Patrick</v>
          </cell>
          <cell r="P7" t="str">
            <v>Gabriel</v>
          </cell>
          <cell r="U7" t="str">
            <v>YES</v>
          </cell>
        </row>
      </sheetData>
      <sheetData sheetId="9">
        <row r="4">
          <cell r="D4" t="str">
            <v>D</v>
          </cell>
        </row>
      </sheetData>
      <sheetData sheetId="10" refreshError="1"/>
      <sheetData sheetId="11">
        <row r="5">
          <cell r="B5">
            <v>431063</v>
          </cell>
        </row>
        <row r="6">
          <cell r="B6">
            <v>200167</v>
          </cell>
        </row>
        <row r="7">
          <cell r="B7">
            <v>177275</v>
          </cell>
        </row>
        <row r="8">
          <cell r="B8">
            <v>415890</v>
          </cell>
        </row>
        <row r="9">
          <cell r="B9">
            <v>229763</v>
          </cell>
        </row>
        <row r="10">
          <cell r="B10">
            <v>675151</v>
          </cell>
        </row>
        <row r="11">
          <cell r="B11">
            <v>674518</v>
          </cell>
        </row>
        <row r="12">
          <cell r="B12">
            <v>652424</v>
          </cell>
        </row>
        <row r="13">
          <cell r="B13">
            <v>381477</v>
          </cell>
        </row>
        <row r="14">
          <cell r="B14">
            <v>251960</v>
          </cell>
        </row>
        <row r="15">
          <cell r="B15">
            <v>116780</v>
          </cell>
        </row>
        <row r="16">
          <cell r="B16">
            <v>589646</v>
          </cell>
        </row>
        <row r="17">
          <cell r="B17">
            <v>653601</v>
          </cell>
        </row>
        <row r="18">
          <cell r="B18">
            <v>691757</v>
          </cell>
        </row>
        <row r="19">
          <cell r="B19">
            <v>503413</v>
          </cell>
        </row>
        <row r="20">
          <cell r="B20">
            <v>134560</v>
          </cell>
        </row>
        <row r="21">
          <cell r="B21">
            <v>303803</v>
          </cell>
        </row>
        <row r="22">
          <cell r="B22">
            <v>502168</v>
          </cell>
        </row>
        <row r="23">
          <cell r="B23">
            <v>211925</v>
          </cell>
        </row>
        <row r="24">
          <cell r="B24">
            <v>508339</v>
          </cell>
        </row>
        <row r="25">
          <cell r="B25">
            <v>238491</v>
          </cell>
        </row>
        <row r="26">
          <cell r="B26">
            <v>259086</v>
          </cell>
        </row>
        <row r="27">
          <cell r="B27">
            <v>368744</v>
          </cell>
        </row>
        <row r="28">
          <cell r="B28">
            <v>610702</v>
          </cell>
        </row>
        <row r="29">
          <cell r="B29">
            <v>552430</v>
          </cell>
        </row>
        <row r="30">
          <cell r="B30">
            <v>532207</v>
          </cell>
        </row>
        <row r="31">
          <cell r="B31">
            <v>439380</v>
          </cell>
        </row>
        <row r="32">
          <cell r="B32">
            <v>294431</v>
          </cell>
        </row>
        <row r="33">
          <cell r="B33">
            <v>698749</v>
          </cell>
        </row>
        <row r="34">
          <cell r="B34">
            <v>190632</v>
          </cell>
        </row>
        <row r="35">
          <cell r="B35" t="str">
            <v>Total chaperones</v>
          </cell>
        </row>
        <row r="36">
          <cell r="B36" t="str">
            <v>Ratio teachers to students</v>
          </cell>
        </row>
      </sheetData>
      <sheetData sheetId="12">
        <row r="40">
          <cell r="E40">
            <v>1</v>
          </cell>
          <cell r="G40" t="str">
            <v>N</v>
          </cell>
        </row>
        <row r="41">
          <cell r="E41">
            <v>8</v>
          </cell>
          <cell r="G41" t="str">
            <v>Y</v>
          </cell>
        </row>
        <row r="42">
          <cell r="E42">
            <v>6</v>
          </cell>
          <cell r="G42" t="str">
            <v>N</v>
          </cell>
        </row>
        <row r="43">
          <cell r="E43">
            <v>6</v>
          </cell>
          <cell r="G43" t="str">
            <v>N</v>
          </cell>
        </row>
        <row r="44">
          <cell r="E44">
            <v>6</v>
          </cell>
          <cell r="G44" t="str">
            <v>N</v>
          </cell>
        </row>
        <row r="45">
          <cell r="E45">
            <v>5</v>
          </cell>
          <cell r="G45" t="str">
            <v>Y</v>
          </cell>
        </row>
        <row r="46">
          <cell r="E46">
            <v>9</v>
          </cell>
          <cell r="G46" t="str">
            <v>Y</v>
          </cell>
        </row>
        <row r="47">
          <cell r="E47">
            <v>5</v>
          </cell>
          <cell r="G47" t="str">
            <v>Y</v>
          </cell>
        </row>
        <row r="48">
          <cell r="E48">
            <v>6</v>
          </cell>
          <cell r="G48" t="str">
            <v>Y</v>
          </cell>
        </row>
        <row r="49">
          <cell r="E49">
            <v>4</v>
          </cell>
          <cell r="G49" t="str">
            <v>N</v>
          </cell>
        </row>
        <row r="50">
          <cell r="E50">
            <v>10</v>
          </cell>
          <cell r="G50" t="str">
            <v>Y</v>
          </cell>
        </row>
        <row r="51">
          <cell r="E51">
            <v>3</v>
          </cell>
          <cell r="G51" t="str">
            <v>N</v>
          </cell>
        </row>
        <row r="52">
          <cell r="E52">
            <v>2</v>
          </cell>
          <cell r="G52" t="str">
            <v>N</v>
          </cell>
        </row>
        <row r="53">
          <cell r="E53">
            <v>7</v>
          </cell>
          <cell r="G53" t="str">
            <v>N</v>
          </cell>
        </row>
        <row r="54">
          <cell r="E54">
            <v>9</v>
          </cell>
          <cell r="G54" t="str">
            <v>N</v>
          </cell>
        </row>
        <row r="55">
          <cell r="E55">
            <v>10</v>
          </cell>
          <cell r="G55" t="str">
            <v>Y</v>
          </cell>
        </row>
        <row r="56">
          <cell r="E56">
            <v>6</v>
          </cell>
          <cell r="G56" t="str">
            <v>Y</v>
          </cell>
        </row>
        <row r="57">
          <cell r="E57">
            <v>8</v>
          </cell>
          <cell r="G57" t="str">
            <v>Y</v>
          </cell>
        </row>
        <row r="58">
          <cell r="E58">
            <v>3</v>
          </cell>
          <cell r="G58" t="str">
            <v>Y</v>
          </cell>
        </row>
        <row r="59">
          <cell r="E59">
            <v>1</v>
          </cell>
          <cell r="G59" t="str">
            <v>N</v>
          </cell>
        </row>
        <row r="60">
          <cell r="E60">
            <v>9</v>
          </cell>
          <cell r="G60" t="str">
            <v>Y</v>
          </cell>
        </row>
        <row r="61">
          <cell r="E61">
            <v>4</v>
          </cell>
          <cell r="G61" t="str">
            <v>N</v>
          </cell>
        </row>
        <row r="62">
          <cell r="E62">
            <v>8</v>
          </cell>
          <cell r="G62" t="str">
            <v>Y</v>
          </cell>
        </row>
        <row r="63">
          <cell r="E63">
            <v>3</v>
          </cell>
          <cell r="G63" t="str">
            <v>N</v>
          </cell>
        </row>
        <row r="64">
          <cell r="E64">
            <v>7</v>
          </cell>
          <cell r="G64" t="str">
            <v>Y</v>
          </cell>
        </row>
        <row r="65">
          <cell r="E65">
            <v>10</v>
          </cell>
          <cell r="G65" t="str">
            <v>Y</v>
          </cell>
        </row>
        <row r="66">
          <cell r="E66">
            <v>4</v>
          </cell>
          <cell r="G66" t="str">
            <v>Y</v>
          </cell>
        </row>
        <row r="74">
          <cell r="E74">
            <v>5</v>
          </cell>
          <cell r="G74" t="str">
            <v>N</v>
          </cell>
        </row>
        <row r="75">
          <cell r="E75">
            <v>3</v>
          </cell>
          <cell r="G75" t="str">
            <v>N</v>
          </cell>
        </row>
        <row r="76">
          <cell r="E76">
            <v>10</v>
          </cell>
          <cell r="G76" t="str">
            <v>N</v>
          </cell>
        </row>
        <row r="77">
          <cell r="E77">
            <v>1</v>
          </cell>
          <cell r="G77" t="str">
            <v>N</v>
          </cell>
        </row>
        <row r="78">
          <cell r="E78">
            <v>1</v>
          </cell>
          <cell r="G78" t="str">
            <v>Y</v>
          </cell>
        </row>
        <row r="79">
          <cell r="E79">
            <v>7</v>
          </cell>
          <cell r="G79" t="str">
            <v>Y</v>
          </cell>
        </row>
        <row r="80">
          <cell r="E80">
            <v>7</v>
          </cell>
          <cell r="G80" t="str">
            <v>Y</v>
          </cell>
        </row>
        <row r="81">
          <cell r="E81">
            <v>6</v>
          </cell>
          <cell r="G81" t="str">
            <v>N</v>
          </cell>
        </row>
        <row r="82">
          <cell r="E82">
            <v>7</v>
          </cell>
          <cell r="G82" t="str">
            <v>N</v>
          </cell>
        </row>
        <row r="83">
          <cell r="E83">
            <v>8</v>
          </cell>
          <cell r="G83" t="str">
            <v>N</v>
          </cell>
        </row>
        <row r="84">
          <cell r="E84">
            <v>2</v>
          </cell>
          <cell r="G84" t="str">
            <v>N</v>
          </cell>
        </row>
        <row r="85">
          <cell r="E85">
            <v>5</v>
          </cell>
          <cell r="G85" t="str">
            <v>Y</v>
          </cell>
        </row>
        <row r="86">
          <cell r="E86">
            <v>2</v>
          </cell>
          <cell r="G86" t="str">
            <v>N</v>
          </cell>
        </row>
        <row r="87">
          <cell r="E87">
            <v>4</v>
          </cell>
          <cell r="G87" t="str">
            <v>Y</v>
          </cell>
        </row>
        <row r="88">
          <cell r="E88">
            <v>3</v>
          </cell>
          <cell r="G88" t="str">
            <v>Y</v>
          </cell>
        </row>
        <row r="89">
          <cell r="E89">
            <v>6</v>
          </cell>
          <cell r="G89" t="str">
            <v>Y</v>
          </cell>
        </row>
        <row r="90">
          <cell r="E90">
            <v>8</v>
          </cell>
          <cell r="G90" t="str">
            <v>Y</v>
          </cell>
        </row>
        <row r="91">
          <cell r="E91">
            <v>6</v>
          </cell>
          <cell r="G91" t="str">
            <v>N</v>
          </cell>
        </row>
        <row r="92">
          <cell r="E92">
            <v>8</v>
          </cell>
          <cell r="G92" t="str">
            <v>Y</v>
          </cell>
        </row>
        <row r="93">
          <cell r="E93">
            <v>5</v>
          </cell>
          <cell r="G93" t="str">
            <v>Y</v>
          </cell>
        </row>
        <row r="94">
          <cell r="E94">
            <v>1</v>
          </cell>
          <cell r="G94" t="str">
            <v>N</v>
          </cell>
        </row>
        <row r="95">
          <cell r="E95">
            <v>4</v>
          </cell>
          <cell r="G95" t="str">
            <v>N</v>
          </cell>
        </row>
        <row r="96">
          <cell r="E96">
            <v>1</v>
          </cell>
          <cell r="G96" t="str">
            <v>N</v>
          </cell>
        </row>
        <row r="97">
          <cell r="E97">
            <v>10</v>
          </cell>
          <cell r="G97" t="str">
            <v>N</v>
          </cell>
        </row>
        <row r="98">
          <cell r="E98">
            <v>9</v>
          </cell>
          <cell r="G98" t="str">
            <v>Y</v>
          </cell>
        </row>
        <row r="99">
          <cell r="E99">
            <v>3</v>
          </cell>
          <cell r="G99" t="str">
            <v>N</v>
          </cell>
        </row>
        <row r="100">
          <cell r="E100">
            <v>10</v>
          </cell>
          <cell r="G100" t="str">
            <v>Y</v>
          </cell>
        </row>
        <row r="108">
          <cell r="E108">
            <v>5</v>
          </cell>
          <cell r="G108" t="str">
            <v>N</v>
          </cell>
        </row>
        <row r="109">
          <cell r="E109">
            <v>3</v>
          </cell>
          <cell r="G109" t="str">
            <v>N</v>
          </cell>
        </row>
        <row r="110">
          <cell r="E110">
            <v>6</v>
          </cell>
          <cell r="G110" t="str">
            <v>Y</v>
          </cell>
        </row>
        <row r="111">
          <cell r="E111">
            <v>5</v>
          </cell>
          <cell r="G111" t="str">
            <v>Y</v>
          </cell>
        </row>
        <row r="112">
          <cell r="E112">
            <v>3</v>
          </cell>
          <cell r="G112" t="str">
            <v>N</v>
          </cell>
        </row>
        <row r="113">
          <cell r="E113">
            <v>7</v>
          </cell>
          <cell r="G113" t="str">
            <v>N</v>
          </cell>
        </row>
        <row r="114">
          <cell r="E114">
            <v>4</v>
          </cell>
          <cell r="G114" t="str">
            <v>Y</v>
          </cell>
        </row>
        <row r="115">
          <cell r="E115">
            <v>5</v>
          </cell>
          <cell r="G115" t="str">
            <v>Y</v>
          </cell>
        </row>
        <row r="116">
          <cell r="E116">
            <v>10</v>
          </cell>
          <cell r="G116" t="str">
            <v>Y</v>
          </cell>
        </row>
        <row r="117">
          <cell r="E117">
            <v>5</v>
          </cell>
          <cell r="G117" t="str">
            <v>Y</v>
          </cell>
        </row>
        <row r="118">
          <cell r="E118">
            <v>5</v>
          </cell>
          <cell r="G118" t="str">
            <v>Y</v>
          </cell>
        </row>
        <row r="119">
          <cell r="E119">
            <v>6</v>
          </cell>
          <cell r="G119" t="str">
            <v>N</v>
          </cell>
        </row>
        <row r="120">
          <cell r="E120">
            <v>3</v>
          </cell>
          <cell r="G120" t="str">
            <v>Y</v>
          </cell>
        </row>
        <row r="121">
          <cell r="E121">
            <v>10</v>
          </cell>
          <cell r="G121" t="str">
            <v>Y</v>
          </cell>
        </row>
        <row r="122">
          <cell r="E122">
            <v>1</v>
          </cell>
          <cell r="G122" t="str">
            <v>N</v>
          </cell>
        </row>
        <row r="123">
          <cell r="E123">
            <v>6</v>
          </cell>
          <cell r="G123" t="str">
            <v>N</v>
          </cell>
        </row>
        <row r="124">
          <cell r="E124">
            <v>9</v>
          </cell>
          <cell r="G124" t="str">
            <v>N</v>
          </cell>
        </row>
        <row r="125">
          <cell r="E125">
            <v>7</v>
          </cell>
          <cell r="G125" t="str">
            <v>Y</v>
          </cell>
        </row>
        <row r="126">
          <cell r="E126">
            <v>6</v>
          </cell>
          <cell r="G126" t="str">
            <v>N</v>
          </cell>
        </row>
        <row r="127">
          <cell r="E127">
            <v>3</v>
          </cell>
          <cell r="G127" t="str">
            <v>N</v>
          </cell>
        </row>
        <row r="128">
          <cell r="E128">
            <v>4</v>
          </cell>
          <cell r="G128" t="str">
            <v>N</v>
          </cell>
        </row>
        <row r="129">
          <cell r="E129">
            <v>1</v>
          </cell>
          <cell r="G129" t="str">
            <v>N</v>
          </cell>
        </row>
        <row r="130">
          <cell r="E130">
            <v>10</v>
          </cell>
          <cell r="G130" t="str">
            <v>Y</v>
          </cell>
        </row>
        <row r="131">
          <cell r="E131">
            <v>6</v>
          </cell>
          <cell r="G131" t="str">
            <v>N</v>
          </cell>
        </row>
        <row r="132">
          <cell r="E132">
            <v>6</v>
          </cell>
          <cell r="G132" t="str">
            <v>Y</v>
          </cell>
        </row>
        <row r="133">
          <cell r="E133">
            <v>2</v>
          </cell>
          <cell r="G133" t="str">
            <v>N</v>
          </cell>
        </row>
        <row r="134">
          <cell r="E134">
            <v>3</v>
          </cell>
          <cell r="G134" t="str">
            <v>N</v>
          </cell>
        </row>
        <row r="142">
          <cell r="E142">
            <v>8</v>
          </cell>
          <cell r="G142" t="str">
            <v>N</v>
          </cell>
        </row>
        <row r="143">
          <cell r="E143">
            <v>5</v>
          </cell>
          <cell r="G143" t="str">
            <v>N</v>
          </cell>
        </row>
        <row r="144">
          <cell r="E144">
            <v>7</v>
          </cell>
          <cell r="G144" t="str">
            <v>Y</v>
          </cell>
        </row>
        <row r="145">
          <cell r="E145">
            <v>9</v>
          </cell>
          <cell r="G145" t="str">
            <v>Y</v>
          </cell>
        </row>
        <row r="146">
          <cell r="E146">
            <v>7</v>
          </cell>
          <cell r="G146" t="str">
            <v>N</v>
          </cell>
        </row>
        <row r="147">
          <cell r="E147">
            <v>5</v>
          </cell>
          <cell r="G147" t="str">
            <v>N</v>
          </cell>
        </row>
        <row r="148">
          <cell r="E148">
            <v>2</v>
          </cell>
          <cell r="G148" t="str">
            <v>Y</v>
          </cell>
        </row>
        <row r="149">
          <cell r="E149">
            <v>5</v>
          </cell>
          <cell r="G149" t="str">
            <v>Y</v>
          </cell>
        </row>
        <row r="150">
          <cell r="E150">
            <v>8</v>
          </cell>
          <cell r="G150" t="str">
            <v>N</v>
          </cell>
        </row>
        <row r="151">
          <cell r="E151">
            <v>7</v>
          </cell>
          <cell r="G151" t="str">
            <v>N</v>
          </cell>
        </row>
        <row r="152">
          <cell r="E152">
            <v>9</v>
          </cell>
          <cell r="G152" t="str">
            <v>N</v>
          </cell>
        </row>
        <row r="153">
          <cell r="E153">
            <v>7</v>
          </cell>
          <cell r="G153" t="str">
            <v>N</v>
          </cell>
        </row>
        <row r="154">
          <cell r="E154">
            <v>2</v>
          </cell>
          <cell r="G154" t="str">
            <v>N</v>
          </cell>
        </row>
        <row r="155">
          <cell r="E155">
            <v>6</v>
          </cell>
          <cell r="G155" t="str">
            <v>Y</v>
          </cell>
        </row>
        <row r="156">
          <cell r="E156">
            <v>5</v>
          </cell>
          <cell r="G156" t="str">
            <v>Y</v>
          </cell>
        </row>
        <row r="157">
          <cell r="E157">
            <v>10</v>
          </cell>
          <cell r="G157" t="str">
            <v>N</v>
          </cell>
        </row>
        <row r="158">
          <cell r="E158">
            <v>10</v>
          </cell>
          <cell r="G158" t="str">
            <v>N</v>
          </cell>
        </row>
        <row r="159">
          <cell r="E159">
            <v>10</v>
          </cell>
          <cell r="G159" t="str">
            <v>Y</v>
          </cell>
        </row>
        <row r="160">
          <cell r="E160">
            <v>10</v>
          </cell>
          <cell r="G160" t="str">
            <v>N</v>
          </cell>
        </row>
        <row r="161">
          <cell r="E161">
            <v>3</v>
          </cell>
          <cell r="G161" t="str">
            <v>Y</v>
          </cell>
        </row>
        <row r="162">
          <cell r="E162">
            <v>10</v>
          </cell>
          <cell r="G162" t="str">
            <v>N</v>
          </cell>
        </row>
        <row r="163">
          <cell r="E163">
            <v>10</v>
          </cell>
          <cell r="G163" t="str">
            <v>N</v>
          </cell>
        </row>
        <row r="164">
          <cell r="E164">
            <v>4</v>
          </cell>
          <cell r="G164" t="str">
            <v>Y</v>
          </cell>
        </row>
        <row r="165">
          <cell r="E165">
            <v>5</v>
          </cell>
          <cell r="G165" t="str">
            <v>N</v>
          </cell>
        </row>
        <row r="166">
          <cell r="E166">
            <v>4</v>
          </cell>
          <cell r="G166" t="str">
            <v>N</v>
          </cell>
        </row>
        <row r="167">
          <cell r="E167">
            <v>9</v>
          </cell>
          <cell r="G167" t="str">
            <v>N</v>
          </cell>
        </row>
        <row r="168">
          <cell r="E168">
            <v>10</v>
          </cell>
          <cell r="G168" t="str">
            <v>N</v>
          </cell>
        </row>
      </sheetData>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Page (Joslyn)"/>
      <sheetName val="Info page"/>
      <sheetName val="Dashbord"/>
      <sheetName val="Academy student (ALL) "/>
      <sheetName val="Class A(Joslyn))"/>
      <sheetName val="Intership(Antonino Gagliano)"/>
      <sheetName val="Class  B(Pathikrit) "/>
      <sheetName val="Class  C(chandrika)"/>
      <sheetName val="Tuition(Chandrika)"/>
      <sheetName val="After School Club(Pathikrit)"/>
      <sheetName val="Class  D(Suraj McCune)"/>
      <sheetName val="Library Fees(Suraj McCune)"/>
      <sheetName val="Schlorships (Joslyn)"/>
      <sheetName val="Acedemic calander(Joslyn)"/>
      <sheetName val="Even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2">
          <cell r="C2" t="str">
            <v>Burke</v>
          </cell>
          <cell r="E2">
            <v>19</v>
          </cell>
        </row>
        <row r="3">
          <cell r="C3" t="str">
            <v>Campos</v>
          </cell>
          <cell r="E3">
            <v>66</v>
          </cell>
        </row>
        <row r="4">
          <cell r="C4" t="str">
            <v>Long</v>
          </cell>
          <cell r="E4">
            <v>93</v>
          </cell>
        </row>
        <row r="5">
          <cell r="C5" t="str">
            <v>Strickland</v>
          </cell>
          <cell r="E5">
            <v>16</v>
          </cell>
        </row>
        <row r="6">
          <cell r="C6" t="str">
            <v>Reynolds</v>
          </cell>
          <cell r="E6">
            <v>23</v>
          </cell>
        </row>
        <row r="7">
          <cell r="C7" t="str">
            <v>Carpenter</v>
          </cell>
          <cell r="E7">
            <v>85</v>
          </cell>
        </row>
        <row r="8">
          <cell r="C8" t="str">
            <v>Sherman</v>
          </cell>
          <cell r="E8">
            <v>38</v>
          </cell>
        </row>
        <row r="9">
          <cell r="C9" t="str">
            <v>Watkins</v>
          </cell>
          <cell r="E9">
            <v>44</v>
          </cell>
        </row>
        <row r="10">
          <cell r="C10" t="str">
            <v>Stone</v>
          </cell>
          <cell r="E10">
            <v>48</v>
          </cell>
        </row>
        <row r="11">
          <cell r="C11" t="str">
            <v>Newton</v>
          </cell>
          <cell r="E11">
            <v>9</v>
          </cell>
        </row>
        <row r="12">
          <cell r="C12" t="str">
            <v>O'Reilly</v>
          </cell>
          <cell r="E12">
            <v>19</v>
          </cell>
        </row>
        <row r="13">
          <cell r="C13" t="str">
            <v>Thorne</v>
          </cell>
          <cell r="E13">
            <v>15</v>
          </cell>
        </row>
        <row r="14">
          <cell r="C14" t="str">
            <v>Zimmerman</v>
          </cell>
          <cell r="E14">
            <v>36</v>
          </cell>
        </row>
        <row r="15">
          <cell r="C15" t="str">
            <v>Holland</v>
          </cell>
          <cell r="E15">
            <v>94</v>
          </cell>
        </row>
        <row r="16">
          <cell r="C16" t="str">
            <v>McCarthy</v>
          </cell>
          <cell r="E16">
            <v>19</v>
          </cell>
        </row>
        <row r="17">
          <cell r="C17" t="str">
            <v>Ferguson</v>
          </cell>
          <cell r="E17">
            <v>73</v>
          </cell>
        </row>
        <row r="18">
          <cell r="C18" t="str">
            <v>Hawkins</v>
          </cell>
          <cell r="E18">
            <v>51</v>
          </cell>
        </row>
        <row r="19">
          <cell r="C19" t="str">
            <v>Richardson</v>
          </cell>
          <cell r="E19">
            <v>100</v>
          </cell>
        </row>
        <row r="20">
          <cell r="C20" t="str">
            <v>Hunt</v>
          </cell>
          <cell r="E20">
            <v>46</v>
          </cell>
        </row>
        <row r="21">
          <cell r="C21" t="str">
            <v>Crawford</v>
          </cell>
          <cell r="E21">
            <v>36</v>
          </cell>
        </row>
      </sheetData>
      <sheetData sheetId="11" refreshError="1"/>
      <sheetData sheetId="12" refreshError="1"/>
      <sheetData sheetId="13" refreshError="1"/>
      <sheetData sheetId="14"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CS48Final%20Project.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microsoft.com/office/2006/relationships/xlExternalLinkPath/xlPathMissing" Target="Book1" TargetMode="External"/><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2" Type="http://schemas.microsoft.com/office/2006/relationships/xlExternalLinkPath/xlPathMissing" Target="CS48Final%20ProjectREPAIR.xlsm" TargetMode="External"/><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2" Type="http://schemas.openxmlformats.org/officeDocument/2006/relationships/externalLinkPath" Target="https://cuny-my.sharepoint.com/personal/joslyn_brown25_qmail_cuny_edu/Documents/JoslynWilsonExcelproject.xlsm" TargetMode="External"/><Relationship Id="rId1" Type="http://schemas.openxmlformats.org/officeDocument/2006/relationships/pivotCacheRecords" Target="pivotCacheRecords8.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510.485712384259" createdVersion="8" refreshedVersion="8" minRefreshableVersion="3" recordCount="12" xr:uid="{075C8598-04A2-481A-A997-DAD5AFC48D62}">
  <cacheSource type="worksheet">
    <worksheetSource ref="A1:D1" sheet="Class  B(Pathikrit) " r:id="rId2"/>
  </cacheSource>
  <cacheFields count="4">
    <cacheField name="Student ID" numFmtId="0">
      <sharedItems containsSemiMixedTypes="0" containsString="0" containsNumber="1" containsInteger="1" minValue="14858103" maxValue="99978671"/>
    </cacheField>
    <cacheField name="Last Name" numFmtId="0">
      <sharedItems count="12">
        <s v="Cannon"/>
        <s v="Kapoor"/>
        <s v="Crawford"/>
        <s v="Ball"/>
        <s v="Clements"/>
        <s v="Stewart"/>
        <s v="Devgan"/>
        <s v="Hawkins"/>
        <s v="Gray"/>
        <s v="Bachchan"/>
        <s v="Ford"/>
        <s v="Wilson"/>
      </sharedItems>
    </cacheField>
    <cacheField name="First Name" numFmtId="0">
      <sharedItems count="12">
        <s v="Shirley"/>
        <s v="Shraddha"/>
        <s v="Esme"/>
        <s v="Billie"/>
        <s v="Mary"/>
        <s v="Robert"/>
        <s v="Ajay"/>
        <s v="Owen"/>
        <s v="Oliver"/>
        <s v="Abhishek"/>
        <s v="Harrison"/>
        <s v="Josh"/>
      </sharedItems>
    </cacheField>
    <cacheField name="Grades" numFmtId="0">
      <sharedItems containsSemiMixedTypes="0" containsString="0" containsNumber="1" containsInteger="1" minValue="7" maxValue="1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lyn Brown" refreshedDate="45511.827173379628" createdVersion="8" refreshedVersion="8" minRefreshableVersion="3" recordCount="13" xr:uid="{EB6AD3B8-AD29-481F-8F9D-023FCCA6C47C}">
  <cacheSource type="worksheet">
    <worksheetSource name="ClassAT4"/>
  </cacheSource>
  <cacheFields count="11">
    <cacheField name="Student ID" numFmtId="0">
      <sharedItems containsSemiMixedTypes="0" containsString="0" containsNumber="1" containsInteger="1" minValue="10648455" maxValue="60161889"/>
    </cacheField>
    <cacheField name="Last Name" numFmtId="0">
      <sharedItems/>
    </cacheField>
    <cacheField name="First Names" numFmtId="0">
      <sharedItems/>
    </cacheField>
    <cacheField name="Exam 1" numFmtId="0">
      <sharedItems containsSemiMixedTypes="0" containsString="0" containsNumber="1" containsInteger="1" minValue="81" maxValue="100"/>
    </cacheField>
    <cacheField name="Exam 2" numFmtId="0">
      <sharedItems containsSemiMixedTypes="0" containsString="0" containsNumber="1" containsInteger="1" minValue="81" maxValue="100"/>
    </cacheField>
    <cacheField name="Exam 3" numFmtId="0">
      <sharedItems containsSemiMixedTypes="0" containsString="0" containsNumber="1" containsInteger="1" minValue="81" maxValue="100"/>
    </cacheField>
    <cacheField name="Exam 4" numFmtId="0">
      <sharedItems containsSemiMixedTypes="0" containsString="0" containsNumber="1" containsInteger="1" minValue="80" maxValue="100" count="9">
        <n v="100"/>
        <n v="82"/>
        <n v="80"/>
        <n v="96"/>
        <n v="94"/>
        <n v="91"/>
        <n v="98"/>
        <n v="99"/>
        <n v="90"/>
      </sharedItems>
    </cacheField>
    <cacheField name="Homework precent" numFmtId="0">
      <sharedItems containsSemiMixedTypes="0" containsString="0" containsNumber="1" containsInteger="1" minValue="83" maxValue="99"/>
    </cacheField>
    <cacheField name="Final GPA" numFmtId="0">
      <sharedItems containsSemiMixedTypes="0" containsString="0" containsNumber="1" minValue="86.800000000000011" maxValue="96.4"/>
    </cacheField>
    <cacheField name="Letter Grade" numFmtId="0">
      <sharedItems count="2">
        <s v="B+"/>
        <s v="A"/>
      </sharedItems>
    </cacheField>
    <cacheField name="Rank" numFmtId="0">
      <sharedItems containsSemiMixedTypes="0" containsString="0" containsNumber="1" containsInteger="1" minValue="1" maxValue="13"/>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lyn Brown" refreshedDate="45511.830359143518" createdVersion="8" refreshedVersion="8" minRefreshableVersion="3" recordCount="30" xr:uid="{AA0AAE9F-7CA2-4C1E-A822-D7B20D1E4A41}">
  <cacheSource type="worksheet">
    <worksheetSource name="TeachersList"/>
  </cacheSource>
  <cacheFields count="7">
    <cacheField name="Employee ID" numFmtId="0">
      <sharedItems containsSemiMixedTypes="0" containsString="0" containsNumber="1" containsInteger="1" minValue="116780" maxValue="698749"/>
    </cacheField>
    <cacheField name="TLastName" numFmtId="0">
      <sharedItems count="30">
        <s v="Cortez"/>
        <s v="Oneill"/>
        <s v="Chaney"/>
        <s v="Rogers"/>
        <s v="Cowan"/>
        <s v="Glenn"/>
        <s v="Mcknight"/>
        <s v="Boyd"/>
        <s v="Duffy"/>
        <s v="Grant"/>
        <s v="Barajas"/>
        <s v="Hayes"/>
        <s v="Atkinson"/>
        <s v="Bush"/>
        <s v="Merritt"/>
        <s v="Juarez"/>
        <s v="Sharp"/>
        <s v="Luna"/>
        <s v="Reese"/>
        <s v="Orozco"/>
        <s v="Archer"/>
        <s v="Roberts"/>
        <s v="Ortiz"/>
        <s v="Cline"/>
        <s v="Kirby"/>
        <s v="Patrick"/>
        <s v="Hoffman"/>
        <s v="Duke"/>
        <s v="Morrow"/>
        <s v="David"/>
      </sharedItems>
    </cacheField>
    <cacheField name="TFirstName" numFmtId="0">
      <sharedItems count="30">
        <s v="Alice"/>
        <s v="Briana"/>
        <s v="Reggie"/>
        <s v="Lindsay"/>
        <s v="Marcella"/>
        <s v="Daryl"/>
        <s v="Violet"/>
        <s v="Burton"/>
        <s v="Mariana"/>
        <s v="Jonathon"/>
        <s v="Stanley"/>
        <s v="Melvin"/>
        <s v="Carrol"/>
        <s v="Mavis"/>
        <s v="Omar"/>
        <s v="Barton"/>
        <s v="Herb"/>
        <s v="Dolores"/>
        <s v="Amado"/>
        <s v="Ivy"/>
        <s v="Pearl"/>
        <s v="Wilfredo"/>
        <s v="Jessica"/>
        <s v="Johnathan"/>
        <s v="Cassandra"/>
        <s v="Gabriel"/>
        <s v="Quentin"/>
        <s v="Coy"/>
        <s v="Lois"/>
        <s v="Dale"/>
      </sharedItems>
    </cacheField>
    <cacheField name="Valentines day dance" numFmtId="0">
      <sharedItems count="2">
        <s v="No"/>
        <s v="Yes"/>
      </sharedItems>
    </cacheField>
    <cacheField name="Holloween dance" numFmtId="0">
      <sharedItems/>
    </cacheField>
    <cacheField name="Prom" numFmtId="0">
      <sharedItems count="2">
        <s v="No"/>
        <s v="Yes"/>
      </sharedItems>
    </cacheField>
    <cacheField name="Annual school trip" numFmtId="0">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lyn Brown" refreshedDate="45512.594416319444" createdVersion="8" refreshedVersion="8" minRefreshableVersion="3" recordCount="64" xr:uid="{CD6E83D0-9BD5-4954-9419-832C49A5A98B}">
  <cacheSource type="worksheet">
    <worksheetSource ref="D4:J67" sheet="Internship" r:id="rId2"/>
  </cacheSource>
  <cacheFields count="12">
    <cacheField name="d" numFmtId="0">
      <sharedItems count="4">
        <s v="D"/>
        <s v="C"/>
        <s v="B"/>
        <s v="A"/>
      </sharedItems>
    </cacheField>
    <cacheField name="Journalism" numFmtId="0">
      <sharedItems count="4">
        <s v="English"/>
        <s v="Journalism"/>
        <s v="Biology"/>
        <s v="Anthroplogy"/>
      </sharedItems>
    </cacheField>
    <cacheField name="7/1/2024" numFmtId="14">
      <sharedItems containsSemiMixedTypes="0" containsNonDate="0" containsDate="1" containsString="0" minDate="2024-06-01T00:00:00" maxDate="2024-08-02T00:00:00" count="9">
        <d v="2024-06-01T00:00:00"/>
        <d v="2024-07-01T00:00:00"/>
        <d v="2024-08-01T00:00:00"/>
        <d v="2024-07-22T00:00:00"/>
        <d v="2024-07-02T00:00:00"/>
        <d v="2024-07-23T00:00:00"/>
        <d v="2024-06-09T00:00:00"/>
        <d v="2024-07-18T00:00:00"/>
        <d v="2024-07-26T00:00:00"/>
      </sharedItems>
      <fieldGroup par="8"/>
    </cacheField>
    <cacheField name="9/1/2024" numFmtId="14">
      <sharedItems containsSemiMixedTypes="0" containsNonDate="0" containsDate="1" containsString="0" minDate="2024-08-22T00:00:00" maxDate="2024-09-10T00:00:00" count="12">
        <d v="2024-08-31T00:00:00"/>
        <d v="2024-09-01T00:00:00"/>
        <d v="2024-09-02T00:00:00"/>
        <d v="2024-09-03T00:00:00"/>
        <d v="2024-09-04T00:00:00"/>
        <d v="2024-09-05T00:00:00"/>
        <d v="2024-09-06T00:00:00"/>
        <d v="2024-09-07T00:00:00"/>
        <d v="2024-09-08T00:00:00"/>
        <d v="2024-09-09T00:00:00"/>
        <d v="2024-08-22T00:00:00"/>
        <d v="2024-08-23T00:00:00"/>
      </sharedItems>
      <fieldGroup par="10"/>
    </cacheField>
    <cacheField name="12:00 PM" numFmtId="168">
      <sharedItems containsSemiMixedTypes="0" containsNonDate="0" containsDate="1" containsString="0" minDate="1899-12-30T09:00:00" maxDate="1899-12-30T10:30:00"/>
    </cacheField>
    <cacheField name="8:00 PM" numFmtId="18">
      <sharedItems containsSemiMixedTypes="0" containsNonDate="0" containsDate="1" containsString="0" minDate="1899-12-30T14:00:00" maxDate="1899-12-30T17:00:00" count="4">
        <d v="1899-12-30T17:00:00"/>
        <d v="1899-12-30T14:00:00"/>
        <d v="1899-12-30T15:00:00"/>
        <d v="1899-12-30T16:00:00"/>
      </sharedItems>
      <fieldGroup par="11"/>
    </cacheField>
    <cacheField name="8" numFmtId="2">
      <sharedItems containsSemiMixedTypes="0" containsString="0" containsNumber="1" containsInteger="1" minValue="3" maxValue="8"/>
    </cacheField>
    <cacheField name="Days (7/1/2024)" numFmtId="0" databaseField="0">
      <fieldGroup base="2">
        <rangePr groupBy="days" startDate="2024-06-01T00:00:00" endDate="2024-08-02T00:00:00"/>
        <groupItems count="368">
          <s v="&lt;6/1/202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2/2024"/>
        </groupItems>
      </fieldGroup>
    </cacheField>
    <cacheField name="Months (7/1/2024)" numFmtId="0" databaseField="0">
      <fieldGroup base="2">
        <rangePr groupBy="months" startDate="2024-06-01T00:00:00" endDate="2024-08-02T00:00:00"/>
        <groupItems count="14">
          <s v="&lt;6/1/2024"/>
          <s v="Jan"/>
          <s v="Feb"/>
          <s v="Mar"/>
          <s v="Apr"/>
          <s v="May"/>
          <s v="Jun"/>
          <s v="Jul"/>
          <s v="Aug"/>
          <s v="Sep"/>
          <s v="Oct"/>
          <s v="Nov"/>
          <s v="Dec"/>
          <s v="&gt;8/2/2024"/>
        </groupItems>
      </fieldGroup>
    </cacheField>
    <cacheField name="Days (9/1/2024)" numFmtId="0" databaseField="0">
      <fieldGroup base="3">
        <rangePr groupBy="days" startDate="2024-08-22T00:00:00" endDate="2024-09-10T00:00:00"/>
        <groupItems count="368">
          <s v="&lt;8/22/202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9/10/2024"/>
        </groupItems>
      </fieldGroup>
    </cacheField>
    <cacheField name="Months (9/1/2024)" numFmtId="0" databaseField="0">
      <fieldGroup base="3">
        <rangePr groupBy="months" startDate="2024-08-22T00:00:00" endDate="2024-09-10T00:00:00"/>
        <groupItems count="14">
          <s v="&lt;8/22/2024"/>
          <s v="Jan"/>
          <s v="Feb"/>
          <s v="Mar"/>
          <s v="Apr"/>
          <s v="May"/>
          <s v="Jun"/>
          <s v="Jul"/>
          <s v="Aug"/>
          <s v="Sep"/>
          <s v="Oct"/>
          <s v="Nov"/>
          <s v="Dec"/>
          <s v="&gt;9/10/2024"/>
        </groupItems>
      </fieldGroup>
    </cacheField>
    <cacheField name="Hours (8:00 PM)" numFmtId="0" databaseField="0">
      <fieldGroup base="5">
        <rangePr groupBy="hours" startDate="1899-12-30T14:00:00" endDate="1899-12-30T17:00:00"/>
        <groupItems count="26">
          <s v="&lt;1/0/1900"/>
          <s v="12 AM"/>
          <s v="1 AM"/>
          <s v="2 AM"/>
          <s v="3 AM"/>
          <s v="4 AM"/>
          <s v="5 AM"/>
          <s v="6 AM"/>
          <s v="7 AM"/>
          <s v="8 AM"/>
          <s v="9 AM"/>
          <s v="10 AM"/>
          <s v="11 AM"/>
          <s v="12 PM"/>
          <s v="1 PM"/>
          <s v="2 PM"/>
          <s v="3 PM"/>
          <s v="4 PM"/>
          <s v="5 PM"/>
          <s v="6 PM"/>
          <s v="7 PM"/>
          <s v="8 PM"/>
          <s v="9 PM"/>
          <s v="10 PM"/>
          <s v="11 PM"/>
          <s v="&gt;1/0/1900"/>
        </groupItems>
      </fieldGroup>
    </cacheField>
  </cacheFields>
  <extLst>
    <ext xmlns:x14="http://schemas.microsoft.com/office/spreadsheetml/2009/9/main" uri="{725AE2AE-9491-48be-B2B4-4EB974FC3084}">
      <x14:pivotCacheDefinition pivotCacheId="693386919"/>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lyn Brown" refreshedDate="45512.650291435188" createdVersion="8" refreshedVersion="8" minRefreshableVersion="3" recordCount="100" xr:uid="{D1BCE78D-0D59-429D-AF2D-79E6225F354D}">
  <cacheSource type="worksheet">
    <worksheetSource name="Schooldata"/>
  </cacheSource>
  <cacheFields count="6">
    <cacheField name="Student ID" numFmtId="0">
      <sharedItems containsSemiMixedTypes="0" containsString="0" containsNumber="1" containsInteger="1" minValue="10287797" maxValue="99978671"/>
    </cacheField>
    <cacheField name="SLast Name" numFmtId="0">
      <sharedItems count="87">
        <s v="Wilson"/>
        <s v="Elric"/>
        <s v="McCarthy"/>
        <s v="Cruise"/>
        <s v="Cromwell"/>
        <s v="Richardson"/>
        <s v="Khan"/>
        <s v="Oberoi"/>
        <s v="Burke"/>
        <s v="Duke"/>
        <s v="Newton"/>
        <s v="Gallen"/>
        <s v="Kapoor"/>
        <s v="Singleton"/>
        <s v="Walker"/>
        <s v="Scarlet"/>
        <s v="Forger"/>
        <s v="Hunt"/>
        <s v="Kapur"/>
        <s v="Zimmerman"/>
        <s v="Park"/>
        <s v="Heyman "/>
        <s v="Best"/>
        <s v="Reynolds"/>
        <s v="Watkins"/>
        <s v="Frank"/>
        <s v="Thorne"/>
        <s v="Yeager"/>
        <s v="Reid"/>
        <s v="Lopez"/>
        <s v="Townsend"/>
        <s v="Holmes"/>
        <s v="Brady"/>
        <s v="Valentine"/>
        <s v="Sherman"/>
        <s v="Stone"/>
        <s v="Bachchan"/>
        <s v="Bell"/>
        <s v="Kurosaki"/>
        <s v="Brown"/>
        <s v="Weaver"/>
        <s v="Cox"/>
        <s v="Woods"/>
        <s v="Walsh"/>
        <s v="Smith"/>
        <s v="Betty"/>
        <s v="Acosta"/>
        <s v="Holland"/>
        <s v="Hayes"/>
        <s v="Strickland"/>
        <s v="Barrera"/>
        <s v="Pineda"/>
        <s v="Mann"/>
        <s v="Meyers"/>
        <s v="Long"/>
        <s v="Frederick"/>
        <s v="Kumar"/>
        <s v="Campos"/>
        <s v="Deol"/>
        <s v="Steven"/>
        <s v="Ramirez"/>
        <s v="Krtchum"/>
        <s v="Mustang"/>
        <s v="Villatteal"/>
        <s v="Ferguson"/>
        <s v="Griffith"/>
        <s v="Theory"/>
        <s v="O'Reilly"/>
        <s v="James"/>
        <s v="Cannon"/>
        <s v="Crawford"/>
        <s v="Ball"/>
        <s v="Clements"/>
        <s v="Stewart"/>
        <s v="Devgan"/>
        <s v="Hawkins"/>
        <s v="Gray"/>
        <s v="Ford"/>
        <s v="Hinata"/>
        <s v="Akerman"/>
        <s v="Chaney"/>
        <s v="Carpenter"/>
        <s v="Kento"/>
        <s v="Koirala"/>
        <s v="Nico"/>
        <s v="Reyes"/>
        <s v="Brando"/>
      </sharedItems>
    </cacheField>
    <cacheField name="SFirst Names" numFmtId="0">
      <sharedItems count="99">
        <s v="Misa"/>
        <s v="Edward"/>
        <s v="Sonny"/>
        <s v="Tom"/>
        <s v="Jason"/>
        <s v="Lachlan"/>
        <s v="Sakib"/>
        <s v="Vivek"/>
        <s v="Louis"/>
        <s v="Zoe"/>
        <s v="Flora"/>
        <s v="Zac"/>
        <s v="Sanjay"/>
        <s v="Perry"/>
        <s v="Allen"/>
        <s v="Ezra"/>
        <s v="Anya"/>
        <s v="Ethan"/>
        <s v="Aditya"/>
        <s v="Cory"/>
        <s v="John"/>
        <s v="Paul"/>
        <s v="Salman"/>
        <s v="Sakura"/>
        <s v="Charlie"/>
        <s v="Demi"/>
        <s v="Saif Ali"/>
        <s v="Joesph"/>
        <s v="Alexia"/>
        <s v="Eren"/>
        <s v="Ssammie"/>
        <s v="Omar"/>
        <s v="Solomon"/>
        <s v="Sherlock"/>
        <s v="Matthew"/>
        <s v="Valentina"/>
        <s v="Eddie"/>
        <s v="Lukas"/>
        <s v="Aishwaria"/>
        <s v="Jack"/>
        <s v="Ichigo"/>
        <s v="Gray"/>
        <s v="Prince"/>
        <s v="Jennifer"/>
        <s v="Melissa"/>
        <s v="Rhea"/>
        <s v="Erwin"/>
        <s v="James"/>
        <s v="Micheal"/>
        <s v="Amelia"/>
        <s v="Aamir"/>
        <s v="Carmelo"/>
        <s v="Kye"/>
        <s v="Blanche"/>
        <s v="Denis"/>
        <s v="Glen"/>
        <s v="Wilber"/>
        <s v="Amitabh"/>
        <s v="Josiah"/>
        <s v="Sylvia"/>
        <s v="Akshay"/>
        <s v="Lee"/>
        <s v="Sunny"/>
        <s v="Christopher"/>
        <s v="Mercy"/>
        <s v="Ash"/>
        <s v="Roy"/>
        <s v="Dory"/>
        <s v="Claudia"/>
        <s v="Anil"/>
        <s v="Allison"/>
        <s v="Austin "/>
        <s v="Robin"/>
        <s v="Andreq"/>
        <s v="Ashley"/>
        <s v="Shirley"/>
        <s v="Shraddha"/>
        <s v="Esme"/>
        <s v="Billie"/>
        <s v="Mary"/>
        <s v="Robert"/>
        <s v="Ajay"/>
        <s v="Owen"/>
        <s v="Oliver"/>
        <s v="Abishek"/>
        <s v="Harrison"/>
        <s v="Josh "/>
        <s v="Shahrukh "/>
        <s v="Shoyo"/>
        <s v="Levi"/>
        <s v="Kevin"/>
        <s v="Bobby"/>
        <s v="Penelope"/>
        <s v="Alphonse"/>
        <s v="nanami"/>
        <s v="Manisha"/>
        <s v="Sonam"/>
        <s v="Donald"/>
        <s v="Dio"/>
      </sharedItems>
    </cacheField>
    <cacheField name="PlacementExam 1" numFmtId="0">
      <sharedItems containsSemiMixedTypes="0" containsString="0" containsNumber="1" containsInteger="1" minValue="1" maxValue="100"/>
    </cacheField>
    <cacheField name="PlacementExam 2" numFmtId="0">
      <sharedItems containsSemiMixedTypes="0" containsString="0" containsNumber="1" containsInteger="1" minValue="0" maxValue="100"/>
    </cacheField>
    <cacheField name="PlacementScore" numFmtId="0">
      <sharedItems containsSemiMixedTypes="0" containsString="0" containsNumber="1" minValue="9" maxValue="99.5" count="74">
        <n v="20"/>
        <n v="9"/>
        <n v="12.5"/>
        <n v="14"/>
        <n v="14.5"/>
        <n v="15"/>
        <n v="15.5"/>
        <n v="16"/>
        <n v="17"/>
        <n v="19"/>
        <n v="20.5"/>
        <n v="21"/>
        <n v="22"/>
        <n v="23"/>
        <n v="23.5"/>
        <n v="25"/>
        <n v="25.5"/>
        <n v="27"/>
        <n v="27.5"/>
        <n v="28"/>
        <n v="29"/>
        <n v="30"/>
        <n v="30.5"/>
        <n v="31"/>
        <n v="31.5"/>
        <n v="32"/>
        <n v="32.5"/>
        <n v="34"/>
        <n v="36"/>
        <n v="37.5"/>
        <n v="38"/>
        <n v="39.5"/>
        <n v="40"/>
        <n v="40.5"/>
        <n v="43"/>
        <n v="43.5"/>
        <n v="45"/>
        <n v="45.5"/>
        <n v="46"/>
        <n v="48"/>
        <n v="49"/>
        <n v="49.5"/>
        <n v="50.5"/>
        <n v="51"/>
        <n v="52"/>
        <n v="52.5"/>
        <n v="54"/>
        <n v="54.5"/>
        <n v="55"/>
        <n v="55.5"/>
        <n v="56"/>
        <n v="56.5"/>
        <n v="57"/>
        <n v="59"/>
        <n v="59.5"/>
        <n v="60.5"/>
        <n v="62"/>
        <n v="63.5"/>
        <n v="64"/>
        <n v="68"/>
        <n v="70"/>
        <n v="71"/>
        <n v="72"/>
        <n v="77"/>
        <n v="78"/>
        <n v="80.5"/>
        <n v="81"/>
        <n v="88"/>
        <n v="89"/>
        <n v="89.5"/>
        <n v="97"/>
        <n v="93.5"/>
        <n v="94"/>
        <n v="99.5"/>
      </sharedItems>
    </cacheField>
  </cacheFields>
  <extLst>
    <ext xmlns:x14="http://schemas.microsoft.com/office/spreadsheetml/2009/9/main" uri="{725AE2AE-9491-48be-B2B4-4EB974FC3084}">
      <x14:pivotCacheDefinition pivotCacheId="1785995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511.47499722222" createdVersion="8" refreshedVersion="8" minRefreshableVersion="3" recordCount="27" xr:uid="{7F7A0817-E082-4ED3-A5F4-03D7EAA9973C}">
  <cacheSource type="worksheet">
    <worksheetSource ref="A2:I29" sheet="Library Fees(Suraj McCune)" r:id="rId2"/>
  </cacheSource>
  <cacheFields count="9">
    <cacheField name="Student ID" numFmtId="0">
      <sharedItems containsSemiMixedTypes="0" containsString="0" containsNumber="1" containsInteger="1" minValue="12255677" maxValue="90908811" count="27">
        <n v="32695778"/>
        <n v="55677878"/>
        <n v="13692938"/>
        <n v="49461380"/>
        <n v="66065006"/>
        <n v="14185496"/>
        <n v="22222762"/>
        <n v="33006505"/>
        <n v="27658150"/>
        <n v="54116555"/>
        <n v="12255677"/>
        <n v="80079978"/>
        <n v="62672194"/>
        <n v="22975112"/>
        <n v="17117302"/>
        <n v="17175244"/>
        <n v="67176280"/>
        <n v="90908811"/>
        <n v="37800314"/>
        <n v="59343896"/>
        <n v="56278487"/>
        <n v="77890678"/>
        <n v="33896032"/>
        <n v="40723551"/>
        <n v="23010569"/>
        <n v="44900212"/>
        <n v="42395721"/>
      </sharedItems>
    </cacheField>
    <cacheField name="LastName" numFmtId="0">
      <sharedItems count="26">
        <s v="Newton"/>
        <s v="Gallen"/>
        <s v="Kapoor"/>
        <s v="Singleton"/>
        <s v="Walker"/>
        <s v="Scarlet"/>
        <s v="Forger"/>
        <s v="Hunt"/>
        <s v="Kapur"/>
        <s v="Zimmerman"/>
        <s v="Park"/>
        <s v="Heyman "/>
        <s v="Khan"/>
        <s v="Best"/>
        <s v="Reynolds"/>
        <s v="Watkins"/>
        <s v="Frank"/>
        <s v="Thorne"/>
        <s v="Yeager"/>
        <s v="Reid"/>
        <s v="Lopez"/>
        <s v="Townsend"/>
        <s v="Holmes"/>
        <s v="Brady"/>
        <s v="Valentine"/>
        <s v="Sherman"/>
      </sharedItems>
    </cacheField>
    <cacheField name="FirstName" numFmtId="0">
      <sharedItems count="27">
        <s v="Flora"/>
        <s v="Zac"/>
        <s v="Sanjay"/>
        <s v="Perry"/>
        <s v="Allen"/>
        <s v="Ezra"/>
        <s v="Anya"/>
        <s v="Ethan"/>
        <s v="Aditya"/>
        <s v="Cory"/>
        <s v="John"/>
        <s v="Paul"/>
        <s v="Salman"/>
        <s v="Sakura"/>
        <s v="Charlie"/>
        <s v="Demi"/>
        <s v="Saif Ali"/>
        <s v="Joesph"/>
        <s v="Alexia"/>
        <s v="Eren"/>
        <s v="Ssammie"/>
        <s v="Omar"/>
        <s v="Solomon"/>
        <s v="Sherlock"/>
        <s v="Matthew"/>
        <s v="Valentina"/>
        <s v="Eddie"/>
      </sharedItems>
    </cacheField>
    <cacheField name="Term 1 " numFmtId="169">
      <sharedItems containsSemiMixedTypes="0" containsString="0" containsNumber="1" minValue="0" maxValue="44.910000000000004"/>
    </cacheField>
    <cacheField name="Term 2" numFmtId="169">
      <sharedItems containsSemiMixedTypes="0" containsString="0" containsNumber="1" minValue="0" maxValue="49.900000000000006"/>
    </cacheField>
    <cacheField name="Term 3" numFmtId="169">
      <sharedItems containsSemiMixedTypes="0" containsString="0" containsNumber="1" minValue="0" maxValue="44.910000000000004"/>
    </cacheField>
    <cacheField name="Term 4" numFmtId="169">
      <sharedItems containsSemiMixedTypes="0" containsString="0" containsNumber="1" minValue="0" maxValue="49.900000000000006"/>
    </cacheField>
    <cacheField name="Total fees" numFmtId="169">
      <sharedItems containsSemiMixedTypes="0" containsString="0" containsNumber="1" minValue="0" maxValue="119.76" count="15">
        <n v="94.81"/>
        <n v="54.89"/>
        <n v="79.84"/>
        <n v="34.93"/>
        <n v="59.88"/>
        <n v="0"/>
        <n v="29.94"/>
        <n v="74.849999999999994"/>
        <n v="49.900000000000006"/>
        <n v="19.96"/>
        <n v="74.850000000000009"/>
        <n v="4.99"/>
        <n v="119.76"/>
        <n v="69.860000000000014"/>
        <n v="64.87"/>
      </sharedItems>
    </cacheField>
    <cacheField name="Statu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715819014"/>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own, Joslyn" refreshedDate="45520.724535879628" createdVersion="8" refreshedVersion="8" minRefreshableVersion="3" recordCount="100" xr:uid="{9C589C17-4AA6-4978-852A-D9191728A025}">
  <cacheSource type="worksheet">
    <worksheetSource ref="A5:E105" sheet="End Year Report"/>
  </cacheSource>
  <cacheFields count="5">
    <cacheField name="Student ID" numFmtId="0">
      <sharedItems containsSemiMixedTypes="0" containsString="0" containsNumber="1" containsInteger="1" minValue="10287797" maxValue="99978671"/>
    </cacheField>
    <cacheField name="Last Name" numFmtId="0">
      <sharedItems/>
    </cacheField>
    <cacheField name="First Name" numFmtId="0">
      <sharedItems/>
    </cacheField>
    <cacheField name="Class" numFmtId="0">
      <sharedItems containsBlank="1"/>
    </cacheField>
    <cacheField name="Final GPA" numFmtId="0">
      <sharedItems count="6">
        <s v="B"/>
        <s v="B-"/>
        <s v="C"/>
        <s v="D"/>
        <s v="A"/>
        <s v="B+"/>
      </sharedItems>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lyn Brown" refreshedDate="45512.594416319444" createdVersion="8" refreshedVersion="8" minRefreshableVersion="3" recordCount="64" xr:uid="{6A0D71AD-B86B-4A4D-AF26-2805BBF57D49}">
  <cacheSource type="worksheet">
    <worksheetSource ref="D4:J67" sheet="Internship" r:id="rId2"/>
  </cacheSource>
  <cacheFields count="12">
    <cacheField name="d" numFmtId="0">
      <sharedItems count="4">
        <s v="D"/>
        <s v="C"/>
        <s v="B"/>
        <s v="A"/>
      </sharedItems>
    </cacheField>
    <cacheField name="Journalism" numFmtId="0">
      <sharedItems count="4">
        <s v="English"/>
        <s v="Journalism"/>
        <s v="Biology"/>
        <s v="Anthroplogy"/>
      </sharedItems>
    </cacheField>
    <cacheField name="7/1/2024" numFmtId="14">
      <sharedItems containsSemiMixedTypes="0" containsNonDate="0" containsDate="1" containsString="0" minDate="2024-06-01T00:00:00" maxDate="2024-08-02T00:00:00" count="9">
        <d v="2024-06-01T00:00:00"/>
        <d v="2024-07-01T00:00:00"/>
        <d v="2024-08-01T00:00:00"/>
        <d v="2024-07-22T00:00:00"/>
        <d v="2024-07-02T00:00:00"/>
        <d v="2024-07-23T00:00:00"/>
        <d v="2024-06-09T00:00:00"/>
        <d v="2024-07-18T00:00:00"/>
        <d v="2024-07-26T00:00:00"/>
      </sharedItems>
      <fieldGroup par="8"/>
    </cacheField>
    <cacheField name="9/1/2024" numFmtId="14">
      <sharedItems containsSemiMixedTypes="0" containsNonDate="0" containsDate="1" containsString="0" minDate="2024-08-22T00:00:00" maxDate="2024-09-10T00:00:00" count="12">
        <d v="2024-08-31T00:00:00"/>
        <d v="2024-09-01T00:00:00"/>
        <d v="2024-09-02T00:00:00"/>
        <d v="2024-09-03T00:00:00"/>
        <d v="2024-09-04T00:00:00"/>
        <d v="2024-09-05T00:00:00"/>
        <d v="2024-09-06T00:00:00"/>
        <d v="2024-09-07T00:00:00"/>
        <d v="2024-09-08T00:00:00"/>
        <d v="2024-09-09T00:00:00"/>
        <d v="2024-08-22T00:00:00"/>
        <d v="2024-08-23T00:00:00"/>
      </sharedItems>
      <fieldGroup par="10"/>
    </cacheField>
    <cacheField name="12:00 PM" numFmtId="168">
      <sharedItems containsSemiMixedTypes="0" containsNonDate="0" containsDate="1" containsString="0" minDate="1899-12-30T09:00:00" maxDate="1899-12-30T10:30:00"/>
    </cacheField>
    <cacheField name="8:00 PM" numFmtId="18">
      <sharedItems containsSemiMixedTypes="0" containsNonDate="0" containsDate="1" containsString="0" minDate="1899-12-30T14:00:00" maxDate="1899-12-30T17:00:00" count="4">
        <d v="1899-12-30T17:00:00"/>
        <d v="1899-12-30T14:00:00"/>
        <d v="1899-12-30T15:00:00"/>
        <d v="1899-12-30T16:00:00"/>
      </sharedItems>
      <fieldGroup par="11"/>
    </cacheField>
    <cacheField name="8" numFmtId="2">
      <sharedItems containsSemiMixedTypes="0" containsString="0" containsNumber="1" containsInteger="1" minValue="3" maxValue="8"/>
    </cacheField>
    <cacheField name="Days (7/1/2024)" numFmtId="0" databaseField="0">
      <fieldGroup base="2">
        <rangePr groupBy="days" startDate="2024-06-01T00:00:00" endDate="2024-08-02T00:00:00"/>
        <groupItems count="368">
          <s v="&lt;6/1/202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2/2024"/>
        </groupItems>
      </fieldGroup>
    </cacheField>
    <cacheField name="Months (7/1/2024)" numFmtId="0" databaseField="0">
      <fieldGroup base="2">
        <rangePr groupBy="months" startDate="2024-06-01T00:00:00" endDate="2024-08-02T00:00:00"/>
        <groupItems count="14">
          <s v="&lt;6/1/2024"/>
          <s v="Jan"/>
          <s v="Feb"/>
          <s v="Mar"/>
          <s v="Apr"/>
          <s v="May"/>
          <s v="Jun"/>
          <s v="Jul"/>
          <s v="Aug"/>
          <s v="Sep"/>
          <s v="Oct"/>
          <s v="Nov"/>
          <s v="Dec"/>
          <s v="&gt;8/2/2024"/>
        </groupItems>
      </fieldGroup>
    </cacheField>
    <cacheField name="Days (9/1/2024)" numFmtId="0" databaseField="0">
      <fieldGroup base="3">
        <rangePr groupBy="days" startDate="2024-08-22T00:00:00" endDate="2024-09-10T00:00:00"/>
        <groupItems count="368">
          <s v="&lt;8/22/202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9/10/2024"/>
        </groupItems>
      </fieldGroup>
    </cacheField>
    <cacheField name="Months (9/1/2024)" numFmtId="0" databaseField="0">
      <fieldGroup base="3">
        <rangePr groupBy="months" startDate="2024-08-22T00:00:00" endDate="2024-09-10T00:00:00"/>
        <groupItems count="14">
          <s v="&lt;8/22/2024"/>
          <s v="Jan"/>
          <s v="Feb"/>
          <s v="Mar"/>
          <s v="Apr"/>
          <s v="May"/>
          <s v="Jun"/>
          <s v="Jul"/>
          <s v="Aug"/>
          <s v="Sep"/>
          <s v="Oct"/>
          <s v="Nov"/>
          <s v="Dec"/>
          <s v="&gt;9/10/2024"/>
        </groupItems>
      </fieldGroup>
    </cacheField>
    <cacheField name="Hours (8:00 PM)" numFmtId="0" databaseField="0">
      <fieldGroup base="5">
        <rangePr groupBy="hours" startDate="1899-12-30T14:00:00" endDate="1899-12-30T17:00:00"/>
        <groupItems count="26">
          <s v="&lt;1/0/1900"/>
          <s v="12 AM"/>
          <s v="1 AM"/>
          <s v="2 AM"/>
          <s v="3 AM"/>
          <s v="4 AM"/>
          <s v="5 AM"/>
          <s v="6 AM"/>
          <s v="7 AM"/>
          <s v="8 AM"/>
          <s v="9 AM"/>
          <s v="10 AM"/>
          <s v="11 AM"/>
          <s v="12 PM"/>
          <s v="1 PM"/>
          <s v="2 PM"/>
          <s v="3 PM"/>
          <s v="4 PM"/>
          <s v="5 PM"/>
          <s v="6 PM"/>
          <s v="7 PM"/>
          <s v="8 PM"/>
          <s v="9 PM"/>
          <s v="10 PM"/>
          <s v="11 PM"/>
          <s v="&gt;1/0/1900"/>
        </groupItems>
      </fieldGroup>
    </cacheField>
  </cacheFields>
  <extLst>
    <ext xmlns:x14="http://schemas.microsoft.com/office/spreadsheetml/2009/9/main" uri="{725AE2AE-9491-48be-B2B4-4EB974FC3084}">
      <x14:pivotCacheDefinition pivotCacheId="21568986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n v="16251330"/>
    <x v="0"/>
    <x v="0"/>
    <n v="14"/>
  </r>
  <r>
    <n v="35471023"/>
    <x v="1"/>
    <x v="1"/>
    <n v="73"/>
  </r>
  <r>
    <n v="50822121"/>
    <x v="2"/>
    <x v="2"/>
    <n v="100"/>
  </r>
  <r>
    <n v="45322100"/>
    <x v="3"/>
    <x v="3"/>
    <n v="37"/>
  </r>
  <r>
    <n v="55251417"/>
    <x v="4"/>
    <x v="4"/>
    <n v="77"/>
  </r>
  <r>
    <n v="14858103"/>
    <x v="5"/>
    <x v="5"/>
    <n v="29"/>
  </r>
  <r>
    <n v="46271285"/>
    <x v="6"/>
    <x v="6"/>
    <n v="69"/>
  </r>
  <r>
    <n v="42393621"/>
    <x v="7"/>
    <x v="7"/>
    <n v="7"/>
  </r>
  <r>
    <n v="88900987"/>
    <x v="8"/>
    <x v="8"/>
    <n v="22"/>
  </r>
  <r>
    <n v="61539595"/>
    <x v="9"/>
    <x v="9"/>
    <n v="81"/>
  </r>
  <r>
    <n v="99978671"/>
    <x v="10"/>
    <x v="10"/>
    <n v="97"/>
  </r>
  <r>
    <n v="66788007"/>
    <x v="11"/>
    <x v="11"/>
    <n v="4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n v="26430751"/>
    <s v="Khan"/>
    <s v="Shahrukh "/>
    <n v="92"/>
    <n v="81"/>
    <n v="86"/>
    <x v="0"/>
    <n v="83"/>
    <n v="88.4"/>
    <x v="0"/>
    <n v="11"/>
  </r>
  <r>
    <n v="56566555"/>
    <s v="Hinata"/>
    <s v="Shoyo"/>
    <n v="87"/>
    <n v="92"/>
    <n v="92"/>
    <x v="1"/>
    <n v="89"/>
    <n v="88.4"/>
    <x v="0"/>
    <n v="11"/>
  </r>
  <r>
    <n v="54881230"/>
    <s v="Akerman"/>
    <s v="Levi"/>
    <n v="93"/>
    <n v="98"/>
    <n v="82"/>
    <x v="2"/>
    <n v="99"/>
    <n v="90.4"/>
    <x v="1"/>
    <n v="7"/>
  </r>
  <r>
    <n v="36326243"/>
    <s v="Chaney"/>
    <s v="Kevin"/>
    <n v="95"/>
    <n v="100"/>
    <n v="98"/>
    <x v="3"/>
    <n v="93"/>
    <n v="96.4"/>
    <x v="1"/>
    <n v="1"/>
  </r>
  <r>
    <n v="42567936"/>
    <s v="Deol"/>
    <s v="Bobby"/>
    <n v="94"/>
    <n v="93"/>
    <n v="84"/>
    <x v="4"/>
    <n v="83"/>
    <n v="89.6"/>
    <x v="0"/>
    <n v="10"/>
  </r>
  <r>
    <n v="30497977"/>
    <s v="Carpenter"/>
    <s v="Penelope"/>
    <n v="100"/>
    <n v="89"/>
    <n v="85"/>
    <x v="1"/>
    <n v="94"/>
    <n v="90"/>
    <x v="1"/>
    <n v="8"/>
  </r>
  <r>
    <n v="60161889"/>
    <s v="Elric"/>
    <s v="Alphonse"/>
    <n v="92"/>
    <n v="89"/>
    <n v="96"/>
    <x v="5"/>
    <n v="95"/>
    <n v="92.600000000000009"/>
    <x v="1"/>
    <n v="6"/>
  </r>
  <r>
    <n v="23970827"/>
    <s v="Kento"/>
    <s v="nanami"/>
    <n v="88"/>
    <n v="94"/>
    <n v="92"/>
    <x v="6"/>
    <n v="93"/>
    <n v="93"/>
    <x v="1"/>
    <n v="3"/>
  </r>
  <r>
    <n v="15767535"/>
    <s v="Koirala"/>
    <s v="Manisha"/>
    <n v="99"/>
    <n v="96"/>
    <n v="95"/>
    <x v="3"/>
    <n v="93"/>
    <n v="95.800000000000011"/>
    <x v="1"/>
    <n v="2"/>
  </r>
  <r>
    <n v="10648455"/>
    <s v="Kapoor"/>
    <s v="Sonam"/>
    <n v="92"/>
    <n v="82"/>
    <n v="93"/>
    <x v="2"/>
    <n v="87"/>
    <n v="86.800000000000011"/>
    <x v="0"/>
    <n v="13"/>
  </r>
  <r>
    <n v="31440459"/>
    <s v="Nico"/>
    <s v="Robin"/>
    <n v="81"/>
    <n v="94"/>
    <n v="96"/>
    <x v="0"/>
    <n v="94"/>
    <n v="93"/>
    <x v="1"/>
    <n v="3"/>
  </r>
  <r>
    <n v="19259601"/>
    <s v="Reyes"/>
    <s v="Donald"/>
    <n v="91"/>
    <n v="94"/>
    <n v="81"/>
    <x v="7"/>
    <n v="84"/>
    <n v="89.8"/>
    <x v="0"/>
    <n v="9"/>
  </r>
  <r>
    <n v="37849714"/>
    <s v="Brando"/>
    <s v="Dio"/>
    <n v="97"/>
    <n v="85"/>
    <n v="100"/>
    <x v="8"/>
    <n v="92"/>
    <n v="92.800000000000011"/>
    <x v="1"/>
    <n v="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n v="652424"/>
    <x v="0"/>
    <x v="0"/>
    <x v="0"/>
    <s v="Yes"/>
    <x v="0"/>
    <s v="Yes"/>
  </r>
  <r>
    <n v="368744"/>
    <x v="1"/>
    <x v="1"/>
    <x v="0"/>
    <s v="Yes"/>
    <x v="0"/>
    <s v="Yes"/>
  </r>
  <r>
    <n v="675151"/>
    <x v="2"/>
    <x v="2"/>
    <x v="1"/>
    <s v="No"/>
    <x v="1"/>
    <s v="No"/>
  </r>
  <r>
    <n v="698749"/>
    <x v="3"/>
    <x v="3"/>
    <x v="0"/>
    <s v="Yes"/>
    <x v="0"/>
    <s v="Yes"/>
  </r>
  <r>
    <n v="381477"/>
    <x v="4"/>
    <x v="4"/>
    <x v="0"/>
    <s v="Yes"/>
    <x v="0"/>
    <s v="Yes"/>
  </r>
  <r>
    <n v="653601"/>
    <x v="5"/>
    <x v="5"/>
    <x v="0"/>
    <s v="Yes"/>
    <x v="0"/>
    <s v="Yes"/>
  </r>
  <r>
    <n v="508339"/>
    <x v="6"/>
    <x v="6"/>
    <x v="0"/>
    <s v="Yes"/>
    <x v="0"/>
    <s v="Yes"/>
  </r>
  <r>
    <n v="415890"/>
    <x v="7"/>
    <x v="7"/>
    <x v="0"/>
    <s v="Yes"/>
    <x v="0"/>
    <s v="Yes"/>
  </r>
  <r>
    <n v="116780"/>
    <x v="8"/>
    <x v="8"/>
    <x v="0"/>
    <s v="Yes"/>
    <x v="0"/>
    <s v="Yes"/>
  </r>
  <r>
    <n v="691757"/>
    <x v="9"/>
    <x v="9"/>
    <x v="0"/>
    <s v="Yes"/>
    <x v="0"/>
    <s v="Yes"/>
  </r>
  <r>
    <n v="177275"/>
    <x v="10"/>
    <x v="10"/>
    <x v="0"/>
    <s v="Yes"/>
    <x v="0"/>
    <s v="Yes"/>
  </r>
  <r>
    <n v="503413"/>
    <x v="11"/>
    <x v="11"/>
    <x v="0"/>
    <s v="Yes"/>
    <x v="0"/>
    <s v="Yes"/>
  </r>
  <r>
    <n v="200167"/>
    <x v="12"/>
    <x v="12"/>
    <x v="0"/>
    <s v="Yes"/>
    <x v="0"/>
    <s v="Yes"/>
  </r>
  <r>
    <n v="229763"/>
    <x v="13"/>
    <x v="13"/>
    <x v="0"/>
    <s v="Yes"/>
    <x v="0"/>
    <s v="Yes"/>
  </r>
  <r>
    <n v="238491"/>
    <x v="14"/>
    <x v="14"/>
    <x v="0"/>
    <s v="Yes"/>
    <x v="0"/>
    <s v="Yes"/>
  </r>
  <r>
    <n v="303803"/>
    <x v="15"/>
    <x v="15"/>
    <x v="1"/>
    <s v="No"/>
    <x v="1"/>
    <s v="No"/>
  </r>
  <r>
    <n v="190632"/>
    <x v="16"/>
    <x v="16"/>
    <x v="0"/>
    <s v="Yes"/>
    <x v="0"/>
    <s v="Yes"/>
  </r>
  <r>
    <n v="211925"/>
    <x v="17"/>
    <x v="17"/>
    <x v="0"/>
    <s v="Yes"/>
    <x v="0"/>
    <s v="Yes"/>
  </r>
  <r>
    <n v="439380"/>
    <x v="18"/>
    <x v="18"/>
    <x v="1"/>
    <s v="No"/>
    <x v="1"/>
    <s v="No"/>
  </r>
  <r>
    <n v="610702"/>
    <x v="19"/>
    <x v="19"/>
    <x v="0"/>
    <s v="Yes"/>
    <x v="0"/>
    <s v="Yes"/>
  </r>
  <r>
    <n v="431063"/>
    <x v="20"/>
    <x v="20"/>
    <x v="0"/>
    <s v="Yes"/>
    <x v="0"/>
    <s v="Yes"/>
  </r>
  <r>
    <n v="294431"/>
    <x v="21"/>
    <x v="21"/>
    <x v="1"/>
    <s v="No"/>
    <x v="1"/>
    <s v="No"/>
  </r>
  <r>
    <n v="552430"/>
    <x v="22"/>
    <x v="22"/>
    <x v="1"/>
    <s v="No"/>
    <x v="1"/>
    <s v="No"/>
  </r>
  <r>
    <n v="674518"/>
    <x v="23"/>
    <x v="23"/>
    <x v="0"/>
    <s v="Yes"/>
    <x v="0"/>
    <s v="Yes"/>
  </r>
  <r>
    <n v="502168"/>
    <x v="24"/>
    <x v="24"/>
    <x v="0"/>
    <s v="Yes"/>
    <x v="0"/>
    <s v="Yes"/>
  </r>
  <r>
    <n v="532207"/>
    <x v="25"/>
    <x v="25"/>
    <x v="0"/>
    <s v="Yes"/>
    <x v="0"/>
    <s v="Yes"/>
  </r>
  <r>
    <n v="134560"/>
    <x v="26"/>
    <x v="26"/>
    <x v="0"/>
    <s v="Yes"/>
    <x v="0"/>
    <s v="Yes"/>
  </r>
  <r>
    <n v="589646"/>
    <x v="27"/>
    <x v="27"/>
    <x v="0"/>
    <s v="Yes"/>
    <x v="0"/>
    <s v="Yes"/>
  </r>
  <r>
    <n v="259086"/>
    <x v="28"/>
    <x v="28"/>
    <x v="1"/>
    <s v="No"/>
    <x v="1"/>
    <s v="No"/>
  </r>
  <r>
    <n v="251960"/>
    <x v="29"/>
    <x v="29"/>
    <x v="0"/>
    <s v="Yes"/>
    <x v="0"/>
    <s v="Yes"/>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x v="0"/>
    <x v="0"/>
    <x v="0"/>
    <d v="1899-12-30T10:00:00"/>
    <x v="0"/>
    <n v="7"/>
  </r>
  <r>
    <x v="1"/>
    <x v="1"/>
    <x v="0"/>
    <x v="0"/>
    <d v="1899-12-30T10:30:00"/>
    <x v="1"/>
    <n v="3"/>
  </r>
  <r>
    <x v="1"/>
    <x v="1"/>
    <x v="1"/>
    <x v="1"/>
    <d v="1899-12-30T10:00:00"/>
    <x v="2"/>
    <n v="5"/>
  </r>
  <r>
    <x v="1"/>
    <x v="2"/>
    <x v="2"/>
    <x v="2"/>
    <d v="1899-12-30T10:30:00"/>
    <x v="1"/>
    <n v="3"/>
  </r>
  <r>
    <x v="1"/>
    <x v="0"/>
    <x v="1"/>
    <x v="3"/>
    <d v="1899-12-30T10:00:00"/>
    <x v="0"/>
    <n v="7"/>
  </r>
  <r>
    <x v="1"/>
    <x v="3"/>
    <x v="3"/>
    <x v="4"/>
    <d v="1899-12-30T10:00:00"/>
    <x v="2"/>
    <n v="5"/>
  </r>
  <r>
    <x v="1"/>
    <x v="1"/>
    <x v="4"/>
    <x v="5"/>
    <d v="1899-12-30T10:30:00"/>
    <x v="1"/>
    <n v="3"/>
  </r>
  <r>
    <x v="1"/>
    <x v="1"/>
    <x v="3"/>
    <x v="6"/>
    <d v="1899-12-30T10:30:00"/>
    <x v="3"/>
    <n v="5"/>
  </r>
  <r>
    <x v="1"/>
    <x v="2"/>
    <x v="5"/>
    <x v="7"/>
    <d v="1899-12-30T10:30:00"/>
    <x v="3"/>
    <n v="5"/>
  </r>
  <r>
    <x v="1"/>
    <x v="2"/>
    <x v="5"/>
    <x v="8"/>
    <d v="1899-12-30T10:30:00"/>
    <x v="3"/>
    <n v="5"/>
  </r>
  <r>
    <x v="1"/>
    <x v="2"/>
    <x v="1"/>
    <x v="9"/>
    <d v="1899-12-30T10:30:00"/>
    <x v="2"/>
    <n v="4"/>
  </r>
  <r>
    <x v="1"/>
    <x v="1"/>
    <x v="6"/>
    <x v="10"/>
    <d v="1899-12-30T09:00:00"/>
    <x v="1"/>
    <n v="5"/>
  </r>
  <r>
    <x v="1"/>
    <x v="1"/>
    <x v="7"/>
    <x v="11"/>
    <d v="1899-12-30T10:30:00"/>
    <x v="1"/>
    <n v="3"/>
  </r>
  <r>
    <x v="1"/>
    <x v="2"/>
    <x v="8"/>
    <x v="1"/>
    <d v="1899-12-30T09:30:00"/>
    <x v="3"/>
    <n v="6"/>
  </r>
  <r>
    <x v="1"/>
    <x v="2"/>
    <x v="0"/>
    <x v="0"/>
    <d v="1899-12-30T10:30:00"/>
    <x v="0"/>
    <n v="6"/>
  </r>
  <r>
    <x v="1"/>
    <x v="3"/>
    <x v="1"/>
    <x v="1"/>
    <d v="1899-12-30T09:00:00"/>
    <x v="3"/>
    <n v="7"/>
  </r>
  <r>
    <x v="1"/>
    <x v="2"/>
    <x v="2"/>
    <x v="2"/>
    <d v="1899-12-30T10:30:00"/>
    <x v="2"/>
    <n v="4"/>
  </r>
  <r>
    <x v="1"/>
    <x v="3"/>
    <x v="1"/>
    <x v="3"/>
    <d v="1899-12-30T09:30:00"/>
    <x v="2"/>
    <n v="5"/>
  </r>
  <r>
    <x v="1"/>
    <x v="1"/>
    <x v="3"/>
    <x v="4"/>
    <d v="1899-12-30T10:30:00"/>
    <x v="2"/>
    <n v="4"/>
  </r>
  <r>
    <x v="1"/>
    <x v="2"/>
    <x v="4"/>
    <x v="5"/>
    <d v="1899-12-30T10:30:00"/>
    <x v="1"/>
    <n v="3"/>
  </r>
  <r>
    <x v="1"/>
    <x v="0"/>
    <x v="3"/>
    <x v="6"/>
    <d v="1899-12-30T10:30:00"/>
    <x v="1"/>
    <n v="3"/>
  </r>
  <r>
    <x v="1"/>
    <x v="0"/>
    <x v="5"/>
    <x v="7"/>
    <d v="1899-12-30T09:30:00"/>
    <x v="1"/>
    <n v="4"/>
  </r>
  <r>
    <x v="1"/>
    <x v="3"/>
    <x v="5"/>
    <x v="8"/>
    <d v="1899-12-30T09:30:00"/>
    <x v="0"/>
    <n v="7"/>
  </r>
  <r>
    <x v="1"/>
    <x v="1"/>
    <x v="1"/>
    <x v="9"/>
    <d v="1899-12-30T09:00:00"/>
    <x v="2"/>
    <n v="6"/>
  </r>
  <r>
    <x v="1"/>
    <x v="1"/>
    <x v="6"/>
    <x v="10"/>
    <d v="1899-12-30T10:00:00"/>
    <x v="1"/>
    <n v="4"/>
  </r>
  <r>
    <x v="1"/>
    <x v="3"/>
    <x v="7"/>
    <x v="11"/>
    <d v="1899-12-30T10:30:00"/>
    <x v="0"/>
    <n v="6"/>
  </r>
  <r>
    <x v="1"/>
    <x v="1"/>
    <x v="8"/>
    <x v="1"/>
    <d v="1899-12-30T09:30:00"/>
    <x v="1"/>
    <n v="4"/>
  </r>
  <r>
    <x v="1"/>
    <x v="0"/>
    <x v="0"/>
    <x v="0"/>
    <d v="1899-12-30T10:00:00"/>
    <x v="2"/>
    <n v="5"/>
  </r>
  <r>
    <x v="1"/>
    <x v="2"/>
    <x v="1"/>
    <x v="1"/>
    <d v="1899-12-30T09:00:00"/>
    <x v="1"/>
    <n v="5"/>
  </r>
  <r>
    <x v="1"/>
    <x v="1"/>
    <x v="0"/>
    <x v="0"/>
    <d v="1899-12-30T10:30:00"/>
    <x v="0"/>
    <n v="6"/>
  </r>
  <r>
    <x v="1"/>
    <x v="2"/>
    <x v="0"/>
    <x v="0"/>
    <d v="1899-12-30T09:30:00"/>
    <x v="3"/>
    <n v="6"/>
  </r>
  <r>
    <x v="1"/>
    <x v="2"/>
    <x v="1"/>
    <x v="1"/>
    <d v="1899-12-30T09:00:00"/>
    <x v="1"/>
    <n v="5"/>
  </r>
  <r>
    <x v="1"/>
    <x v="1"/>
    <x v="2"/>
    <x v="2"/>
    <d v="1899-12-30T09:00:00"/>
    <x v="0"/>
    <n v="8"/>
  </r>
  <r>
    <x v="1"/>
    <x v="3"/>
    <x v="1"/>
    <x v="3"/>
    <d v="1899-12-30T09:30:00"/>
    <x v="1"/>
    <n v="4"/>
  </r>
  <r>
    <x v="1"/>
    <x v="3"/>
    <x v="3"/>
    <x v="4"/>
    <d v="1899-12-30T10:00:00"/>
    <x v="1"/>
    <n v="4"/>
  </r>
  <r>
    <x v="1"/>
    <x v="3"/>
    <x v="4"/>
    <x v="5"/>
    <d v="1899-12-30T10:30:00"/>
    <x v="1"/>
    <n v="3"/>
  </r>
  <r>
    <x v="1"/>
    <x v="3"/>
    <x v="3"/>
    <x v="6"/>
    <d v="1899-12-30T09:00:00"/>
    <x v="2"/>
    <n v="6"/>
  </r>
  <r>
    <x v="1"/>
    <x v="0"/>
    <x v="5"/>
    <x v="7"/>
    <d v="1899-12-30T10:00:00"/>
    <x v="1"/>
    <n v="4"/>
  </r>
  <r>
    <x v="1"/>
    <x v="1"/>
    <x v="5"/>
    <x v="8"/>
    <d v="1899-12-30T10:30:00"/>
    <x v="1"/>
    <n v="3"/>
  </r>
  <r>
    <x v="2"/>
    <x v="2"/>
    <x v="1"/>
    <x v="9"/>
    <d v="1899-12-30T09:00:00"/>
    <x v="1"/>
    <n v="5"/>
  </r>
  <r>
    <x v="2"/>
    <x v="0"/>
    <x v="6"/>
    <x v="10"/>
    <d v="1899-12-30T10:30:00"/>
    <x v="1"/>
    <n v="3"/>
  </r>
  <r>
    <x v="2"/>
    <x v="2"/>
    <x v="7"/>
    <x v="11"/>
    <d v="1899-12-30T10:30:00"/>
    <x v="1"/>
    <n v="3"/>
  </r>
  <r>
    <x v="2"/>
    <x v="2"/>
    <x v="8"/>
    <x v="1"/>
    <d v="1899-12-30T10:00:00"/>
    <x v="0"/>
    <n v="7"/>
  </r>
  <r>
    <x v="2"/>
    <x v="3"/>
    <x v="0"/>
    <x v="0"/>
    <d v="1899-12-30T09:30:00"/>
    <x v="0"/>
    <n v="7"/>
  </r>
  <r>
    <x v="2"/>
    <x v="2"/>
    <x v="1"/>
    <x v="1"/>
    <d v="1899-12-30T09:30:00"/>
    <x v="0"/>
    <n v="7"/>
  </r>
  <r>
    <x v="2"/>
    <x v="1"/>
    <x v="2"/>
    <x v="2"/>
    <d v="1899-12-30T09:00:00"/>
    <x v="1"/>
    <n v="5"/>
  </r>
  <r>
    <x v="2"/>
    <x v="3"/>
    <x v="1"/>
    <x v="3"/>
    <d v="1899-12-30T10:30:00"/>
    <x v="0"/>
    <n v="6"/>
  </r>
  <r>
    <x v="2"/>
    <x v="1"/>
    <x v="3"/>
    <x v="4"/>
    <d v="1899-12-30T09:30:00"/>
    <x v="1"/>
    <n v="4"/>
  </r>
  <r>
    <x v="2"/>
    <x v="2"/>
    <x v="4"/>
    <x v="5"/>
    <d v="1899-12-30T09:00:00"/>
    <x v="1"/>
    <n v="5"/>
  </r>
  <r>
    <x v="2"/>
    <x v="0"/>
    <x v="3"/>
    <x v="6"/>
    <d v="1899-12-30T10:00:00"/>
    <x v="3"/>
    <n v="6"/>
  </r>
  <r>
    <x v="3"/>
    <x v="0"/>
    <x v="5"/>
    <x v="8"/>
    <d v="1899-12-30T09:00:00"/>
    <x v="1"/>
    <n v="5"/>
  </r>
  <r>
    <x v="3"/>
    <x v="2"/>
    <x v="1"/>
    <x v="9"/>
    <d v="1899-12-30T10:30:00"/>
    <x v="0"/>
    <n v="6"/>
  </r>
  <r>
    <x v="3"/>
    <x v="2"/>
    <x v="6"/>
    <x v="10"/>
    <d v="1899-12-30T10:00:00"/>
    <x v="2"/>
    <n v="5"/>
  </r>
  <r>
    <x v="3"/>
    <x v="1"/>
    <x v="7"/>
    <x v="11"/>
    <d v="1899-12-30T10:30:00"/>
    <x v="1"/>
    <n v="3"/>
  </r>
  <r>
    <x v="3"/>
    <x v="1"/>
    <x v="8"/>
    <x v="1"/>
    <d v="1899-12-30T09:00:00"/>
    <x v="1"/>
    <n v="5"/>
  </r>
  <r>
    <x v="3"/>
    <x v="2"/>
    <x v="0"/>
    <x v="0"/>
    <d v="1899-12-30T10:30:00"/>
    <x v="2"/>
    <n v="4"/>
  </r>
  <r>
    <x v="3"/>
    <x v="3"/>
    <x v="1"/>
    <x v="1"/>
    <d v="1899-12-30T10:00:00"/>
    <x v="1"/>
    <n v="4"/>
  </r>
  <r>
    <x v="3"/>
    <x v="2"/>
    <x v="0"/>
    <x v="0"/>
    <d v="1899-12-30T10:30:00"/>
    <x v="3"/>
    <n v="5"/>
  </r>
  <r>
    <x v="3"/>
    <x v="1"/>
    <x v="0"/>
    <x v="0"/>
    <d v="1899-12-30T10:30:00"/>
    <x v="1"/>
    <n v="3"/>
  </r>
  <r>
    <x v="3"/>
    <x v="2"/>
    <x v="1"/>
    <x v="1"/>
    <d v="1899-12-30T10:30:00"/>
    <x v="3"/>
    <n v="5"/>
  </r>
  <r>
    <x v="3"/>
    <x v="2"/>
    <x v="2"/>
    <x v="2"/>
    <d v="1899-12-30T10:00:00"/>
    <x v="1"/>
    <n v="4"/>
  </r>
  <r>
    <x v="3"/>
    <x v="2"/>
    <x v="1"/>
    <x v="3"/>
    <d v="1899-12-30T09:00:00"/>
    <x v="0"/>
    <n v="8"/>
  </r>
  <r>
    <x v="3"/>
    <x v="2"/>
    <x v="3"/>
    <x v="4"/>
    <d v="1899-12-30T09:00:00"/>
    <x v="1"/>
    <n v="5"/>
  </r>
  <r>
    <x v="3"/>
    <x v="2"/>
    <x v="4"/>
    <x v="5"/>
    <d v="1899-12-30T10:30:00"/>
    <x v="1"/>
    <n v="3"/>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52069506"/>
    <x v="0"/>
    <x v="0"/>
    <n v="40"/>
    <n v="0"/>
    <x v="0"/>
  </r>
  <r>
    <n v="14550989"/>
    <x v="1"/>
    <x v="1"/>
    <n v="13"/>
    <n v="5"/>
    <x v="1"/>
  </r>
  <r>
    <n v="48862811"/>
    <x v="2"/>
    <x v="2"/>
    <n v="19"/>
    <n v="6"/>
    <x v="2"/>
  </r>
  <r>
    <n v="10287797"/>
    <x v="3"/>
    <x v="3"/>
    <n v="12"/>
    <n v="16"/>
    <x v="3"/>
  </r>
  <r>
    <n v="22355690"/>
    <x v="4"/>
    <x v="4"/>
    <n v="23"/>
    <n v="6"/>
    <x v="4"/>
  </r>
  <r>
    <n v="59305766"/>
    <x v="5"/>
    <x v="5"/>
    <n v="9"/>
    <n v="21"/>
    <x v="5"/>
  </r>
  <r>
    <n v="28475996"/>
    <x v="6"/>
    <x v="6"/>
    <n v="7"/>
    <n v="24"/>
    <x v="6"/>
  </r>
  <r>
    <n v="64198194"/>
    <x v="7"/>
    <x v="7"/>
    <n v="14"/>
    <n v="18"/>
    <x v="7"/>
  </r>
  <r>
    <n v="29655035"/>
    <x v="8"/>
    <x v="8"/>
    <n v="19"/>
    <n v="15"/>
    <x v="8"/>
  </r>
  <r>
    <n v="68339915"/>
    <x v="9"/>
    <x v="9"/>
    <n v="10"/>
    <n v="28"/>
    <x v="9"/>
  </r>
  <r>
    <n v="32695778"/>
    <x v="10"/>
    <x v="10"/>
    <n v="9"/>
    <n v="32"/>
    <x v="10"/>
  </r>
  <r>
    <n v="55677878"/>
    <x v="11"/>
    <x v="11"/>
    <n v="23"/>
    <n v="19"/>
    <x v="11"/>
  </r>
  <r>
    <n v="13692938"/>
    <x v="12"/>
    <x v="12"/>
    <n v="26"/>
    <n v="18"/>
    <x v="12"/>
  </r>
  <r>
    <n v="49461380"/>
    <x v="13"/>
    <x v="13"/>
    <n v="25"/>
    <n v="21"/>
    <x v="13"/>
  </r>
  <r>
    <n v="66065006"/>
    <x v="14"/>
    <x v="14"/>
    <n v="8"/>
    <n v="39"/>
    <x v="14"/>
  </r>
  <r>
    <n v="14185496"/>
    <x v="15"/>
    <x v="15"/>
    <n v="23"/>
    <n v="27"/>
    <x v="15"/>
  </r>
  <r>
    <n v="22222762"/>
    <x v="16"/>
    <x v="16"/>
    <n v="42"/>
    <n v="9"/>
    <x v="16"/>
  </r>
  <r>
    <n v="33006505"/>
    <x v="17"/>
    <x v="17"/>
    <n v="46"/>
    <n v="8"/>
    <x v="17"/>
  </r>
  <r>
    <n v="27658150"/>
    <x v="18"/>
    <x v="18"/>
    <n v="22"/>
    <n v="33"/>
    <x v="18"/>
  </r>
  <r>
    <n v="54116555"/>
    <x v="19"/>
    <x v="19"/>
    <n v="36"/>
    <n v="20"/>
    <x v="19"/>
  </r>
  <r>
    <n v="12255677"/>
    <x v="20"/>
    <x v="20"/>
    <n v="3"/>
    <n v="55"/>
    <x v="20"/>
  </r>
  <r>
    <n v="80079978"/>
    <x v="21"/>
    <x v="21"/>
    <n v="21"/>
    <n v="37"/>
    <x v="20"/>
  </r>
  <r>
    <n v="62672194"/>
    <x v="6"/>
    <x v="22"/>
    <n v="37"/>
    <n v="21"/>
    <x v="20"/>
  </r>
  <r>
    <n v="22975112"/>
    <x v="22"/>
    <x v="23"/>
    <n v="60"/>
    <n v="0"/>
    <x v="21"/>
  </r>
  <r>
    <n v="17117302"/>
    <x v="23"/>
    <x v="24"/>
    <n v="23"/>
    <n v="38"/>
    <x v="22"/>
  </r>
  <r>
    <n v="17175244"/>
    <x v="24"/>
    <x v="25"/>
    <n v="44"/>
    <n v="17"/>
    <x v="22"/>
  </r>
  <r>
    <n v="67176280"/>
    <x v="6"/>
    <x v="26"/>
    <n v="29"/>
    <n v="33"/>
    <x v="23"/>
  </r>
  <r>
    <n v="90908811"/>
    <x v="25"/>
    <x v="27"/>
    <n v="34"/>
    <n v="28"/>
    <x v="23"/>
  </r>
  <r>
    <n v="37800314"/>
    <x v="26"/>
    <x v="28"/>
    <n v="15"/>
    <n v="48"/>
    <x v="24"/>
  </r>
  <r>
    <n v="59343896"/>
    <x v="27"/>
    <x v="29"/>
    <n v="33"/>
    <n v="31"/>
    <x v="25"/>
  </r>
  <r>
    <n v="56278487"/>
    <x v="28"/>
    <x v="30"/>
    <n v="29"/>
    <n v="36"/>
    <x v="26"/>
  </r>
  <r>
    <n v="77890678"/>
    <x v="29"/>
    <x v="31"/>
    <n v="46"/>
    <n v="22"/>
    <x v="27"/>
  </r>
  <r>
    <n v="33896032"/>
    <x v="30"/>
    <x v="32"/>
    <n v="9"/>
    <n v="63"/>
    <x v="28"/>
  </r>
  <r>
    <n v="40723551"/>
    <x v="31"/>
    <x v="33"/>
    <n v="39"/>
    <n v="36"/>
    <x v="29"/>
  </r>
  <r>
    <n v="23010569"/>
    <x v="32"/>
    <x v="34"/>
    <n v="40"/>
    <n v="36"/>
    <x v="30"/>
  </r>
  <r>
    <n v="44900212"/>
    <x v="33"/>
    <x v="35"/>
    <n v="10"/>
    <n v="69"/>
    <x v="31"/>
  </r>
  <r>
    <n v="42395721"/>
    <x v="34"/>
    <x v="36"/>
    <n v="38"/>
    <n v="41"/>
    <x v="31"/>
  </r>
  <r>
    <n v="28046284"/>
    <x v="35"/>
    <x v="37"/>
    <n v="48"/>
    <n v="32"/>
    <x v="32"/>
  </r>
  <r>
    <n v="49517726"/>
    <x v="36"/>
    <x v="38"/>
    <n v="10"/>
    <n v="70"/>
    <x v="32"/>
  </r>
  <r>
    <n v="11266789"/>
    <x v="37"/>
    <x v="39"/>
    <n v="21"/>
    <n v="60"/>
    <x v="33"/>
  </r>
  <r>
    <n v="31207252"/>
    <x v="38"/>
    <x v="40"/>
    <n v="45"/>
    <n v="36"/>
    <x v="33"/>
  </r>
  <r>
    <n v="40941908"/>
    <x v="39"/>
    <x v="41"/>
    <n v="51"/>
    <n v="30"/>
    <x v="33"/>
  </r>
  <r>
    <n v="28380069"/>
    <x v="40"/>
    <x v="42"/>
    <n v="46"/>
    <n v="40"/>
    <x v="34"/>
  </r>
  <r>
    <n v="33455570"/>
    <x v="41"/>
    <x v="43"/>
    <n v="80"/>
    <n v="7"/>
    <x v="35"/>
  </r>
  <r>
    <n v="52775578"/>
    <x v="42"/>
    <x v="44"/>
    <n v="86"/>
    <n v="1"/>
    <x v="35"/>
  </r>
  <r>
    <n v="69512922"/>
    <x v="43"/>
    <x v="45"/>
    <n v="17"/>
    <n v="73"/>
    <x v="36"/>
  </r>
  <r>
    <n v="20320994"/>
    <x v="44"/>
    <x v="46"/>
    <n v="46"/>
    <n v="45"/>
    <x v="37"/>
  </r>
  <r>
    <n v="51855406"/>
    <x v="45"/>
    <x v="47"/>
    <n v="7"/>
    <n v="85"/>
    <x v="38"/>
  </r>
  <r>
    <n v="22312334"/>
    <x v="46"/>
    <x v="48"/>
    <n v="4"/>
    <n v="92"/>
    <x v="39"/>
  </r>
  <r>
    <n v="66173853"/>
    <x v="47"/>
    <x v="49"/>
    <n v="94"/>
    <n v="2"/>
    <x v="39"/>
  </r>
  <r>
    <n v="46774911"/>
    <x v="6"/>
    <x v="50"/>
    <n v="69"/>
    <n v="29"/>
    <x v="40"/>
  </r>
  <r>
    <n v="88099789"/>
    <x v="48"/>
    <x v="51"/>
    <n v="72"/>
    <n v="26"/>
    <x v="40"/>
  </r>
  <r>
    <n v="21171011"/>
    <x v="49"/>
    <x v="52"/>
    <n v="16"/>
    <n v="83"/>
    <x v="41"/>
  </r>
  <r>
    <n v="56229618"/>
    <x v="50"/>
    <x v="53"/>
    <n v="36"/>
    <n v="63"/>
    <x v="41"/>
  </r>
  <r>
    <n v="24895680"/>
    <x v="51"/>
    <x v="54"/>
    <n v="62"/>
    <n v="37"/>
    <x v="41"/>
  </r>
  <r>
    <n v="24074179"/>
    <x v="52"/>
    <x v="55"/>
    <n v="75"/>
    <n v="24"/>
    <x v="41"/>
  </r>
  <r>
    <n v="14100297"/>
    <x v="53"/>
    <x v="56"/>
    <n v="1"/>
    <n v="100"/>
    <x v="42"/>
  </r>
  <r>
    <n v="47953857"/>
    <x v="36"/>
    <x v="57"/>
    <n v="62"/>
    <n v="39"/>
    <x v="42"/>
  </r>
  <r>
    <n v="61870635"/>
    <x v="54"/>
    <x v="58"/>
    <n v="69"/>
    <n v="32"/>
    <x v="42"/>
  </r>
  <r>
    <n v="30476018"/>
    <x v="55"/>
    <x v="59"/>
    <n v="10"/>
    <n v="92"/>
    <x v="43"/>
  </r>
  <r>
    <n v="29169845"/>
    <x v="56"/>
    <x v="60"/>
    <n v="73"/>
    <n v="29"/>
    <x v="43"/>
  </r>
  <r>
    <n v="31920733"/>
    <x v="57"/>
    <x v="61"/>
    <n v="66"/>
    <n v="38"/>
    <x v="44"/>
  </r>
  <r>
    <n v="59135219"/>
    <x v="58"/>
    <x v="62"/>
    <n v="53"/>
    <n v="52"/>
    <x v="45"/>
  </r>
  <r>
    <n v="29617570"/>
    <x v="59"/>
    <x v="63"/>
    <n v="95"/>
    <n v="13"/>
    <x v="46"/>
  </r>
  <r>
    <n v="41604417"/>
    <x v="60"/>
    <x v="64"/>
    <n v="36"/>
    <n v="73"/>
    <x v="47"/>
  </r>
  <r>
    <n v="67642835"/>
    <x v="61"/>
    <x v="65"/>
    <n v="13"/>
    <n v="97"/>
    <x v="48"/>
  </r>
  <r>
    <n v="65777672"/>
    <x v="62"/>
    <x v="66"/>
    <n v="35"/>
    <n v="76"/>
    <x v="49"/>
  </r>
  <r>
    <n v="57031215"/>
    <x v="63"/>
    <x v="67"/>
    <n v="65"/>
    <n v="46"/>
    <x v="49"/>
  </r>
  <r>
    <n v="14679298"/>
    <x v="64"/>
    <x v="68"/>
    <n v="73"/>
    <n v="38"/>
    <x v="49"/>
  </r>
  <r>
    <n v="26610470"/>
    <x v="12"/>
    <x v="69"/>
    <n v="81"/>
    <n v="31"/>
    <x v="50"/>
  </r>
  <r>
    <n v="39378097"/>
    <x v="65"/>
    <x v="70"/>
    <n v="39"/>
    <n v="74"/>
    <x v="51"/>
  </r>
  <r>
    <n v="12255678"/>
    <x v="66"/>
    <x v="71"/>
    <n v="69"/>
    <n v="45"/>
    <x v="52"/>
  </r>
  <r>
    <n v="23300401"/>
    <x v="67"/>
    <x v="72"/>
    <n v="19"/>
    <n v="99"/>
    <x v="53"/>
  </r>
  <r>
    <n v="73797335"/>
    <x v="46"/>
    <x v="73"/>
    <n v="33"/>
    <n v="85"/>
    <x v="53"/>
  </r>
  <r>
    <n v="96788908"/>
    <x v="68"/>
    <x v="74"/>
    <n v="62"/>
    <n v="57"/>
    <x v="54"/>
  </r>
  <r>
    <n v="16251330"/>
    <x v="69"/>
    <x v="75"/>
    <n v="22"/>
    <n v="99"/>
    <x v="55"/>
  </r>
  <r>
    <n v="35471023"/>
    <x v="12"/>
    <x v="76"/>
    <n v="41"/>
    <n v="80"/>
    <x v="55"/>
  </r>
  <r>
    <n v="50822121"/>
    <x v="70"/>
    <x v="77"/>
    <n v="36"/>
    <n v="88"/>
    <x v="56"/>
  </r>
  <r>
    <n v="45322100"/>
    <x v="71"/>
    <x v="78"/>
    <n v="86"/>
    <n v="41"/>
    <x v="57"/>
  </r>
  <r>
    <n v="55251417"/>
    <x v="72"/>
    <x v="79"/>
    <n v="58"/>
    <n v="70"/>
    <x v="58"/>
  </r>
  <r>
    <n v="14858103"/>
    <x v="73"/>
    <x v="80"/>
    <n v="37"/>
    <n v="99"/>
    <x v="59"/>
  </r>
  <r>
    <n v="46271285"/>
    <x v="74"/>
    <x v="81"/>
    <n v="51"/>
    <n v="89"/>
    <x v="60"/>
  </r>
  <r>
    <n v="42393621"/>
    <x v="75"/>
    <x v="82"/>
    <n v="51"/>
    <n v="91"/>
    <x v="61"/>
  </r>
  <r>
    <n v="88900987"/>
    <x v="76"/>
    <x v="83"/>
    <n v="74"/>
    <n v="70"/>
    <x v="62"/>
  </r>
  <r>
    <n v="61539595"/>
    <x v="36"/>
    <x v="84"/>
    <n v="85"/>
    <n v="69"/>
    <x v="63"/>
  </r>
  <r>
    <n v="99978671"/>
    <x v="77"/>
    <x v="85"/>
    <n v="98"/>
    <n v="56"/>
    <x v="63"/>
  </r>
  <r>
    <n v="66788007"/>
    <x v="0"/>
    <x v="86"/>
    <n v="65"/>
    <n v="91"/>
    <x v="64"/>
  </r>
  <r>
    <n v="26430751"/>
    <x v="6"/>
    <x v="87"/>
    <n v="77"/>
    <n v="84"/>
    <x v="65"/>
  </r>
  <r>
    <n v="56566555"/>
    <x v="78"/>
    <x v="88"/>
    <n v="80"/>
    <n v="82"/>
    <x v="66"/>
  </r>
  <r>
    <n v="54881230"/>
    <x v="79"/>
    <x v="89"/>
    <n v="86"/>
    <n v="90"/>
    <x v="67"/>
  </r>
  <r>
    <n v="36326243"/>
    <x v="80"/>
    <x v="90"/>
    <n v="87"/>
    <n v="89"/>
    <x v="67"/>
  </r>
  <r>
    <n v="42567936"/>
    <x v="58"/>
    <x v="91"/>
    <n v="95"/>
    <n v="81"/>
    <x v="67"/>
  </r>
  <r>
    <n v="30497977"/>
    <x v="81"/>
    <x v="92"/>
    <n v="85"/>
    <n v="93"/>
    <x v="68"/>
  </r>
  <r>
    <n v="60161889"/>
    <x v="1"/>
    <x v="93"/>
    <n v="88"/>
    <n v="90"/>
    <x v="68"/>
  </r>
  <r>
    <n v="23970827"/>
    <x v="82"/>
    <x v="94"/>
    <n v="90"/>
    <n v="89"/>
    <x v="69"/>
  </r>
  <r>
    <n v="15767535"/>
    <x v="83"/>
    <x v="95"/>
    <n v="97"/>
    <n v="97"/>
    <x v="70"/>
  </r>
  <r>
    <n v="10648455"/>
    <x v="12"/>
    <x v="96"/>
    <n v="97"/>
    <n v="90"/>
    <x v="71"/>
  </r>
  <r>
    <n v="31440459"/>
    <x v="84"/>
    <x v="72"/>
    <n v="100"/>
    <n v="88"/>
    <x v="72"/>
  </r>
  <r>
    <n v="19259601"/>
    <x v="85"/>
    <x v="97"/>
    <n v="97"/>
    <n v="97"/>
    <x v="70"/>
  </r>
  <r>
    <n v="37849714"/>
    <x v="86"/>
    <x v="98"/>
    <n v="99"/>
    <n v="100"/>
    <x v="73"/>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x v="0"/>
    <x v="0"/>
    <x v="0"/>
    <n v="4.99"/>
    <n v="24.950000000000003"/>
    <n v="24.950000000000003"/>
    <n v="39.92"/>
    <x v="0"/>
    <n v="0"/>
  </r>
  <r>
    <x v="1"/>
    <x v="1"/>
    <x v="1"/>
    <n v="0"/>
    <n v="14.97"/>
    <n v="14.97"/>
    <n v="24.950000000000003"/>
    <x v="1"/>
    <n v="0"/>
  </r>
  <r>
    <x v="2"/>
    <x v="2"/>
    <x v="2"/>
    <n v="29.94"/>
    <n v="49.900000000000006"/>
    <n v="0"/>
    <n v="0"/>
    <x v="2"/>
    <n v="0"/>
  </r>
  <r>
    <x v="3"/>
    <x v="3"/>
    <x v="3"/>
    <n v="29.94"/>
    <n v="4.99"/>
    <n v="0"/>
    <n v="0"/>
    <x v="3"/>
    <n v="0"/>
  </r>
  <r>
    <x v="4"/>
    <x v="4"/>
    <x v="4"/>
    <n v="29.94"/>
    <n v="0"/>
    <n v="14.97"/>
    <n v="34.93"/>
    <x v="2"/>
    <n v="0"/>
  </r>
  <r>
    <x v="5"/>
    <x v="5"/>
    <x v="5"/>
    <n v="0"/>
    <n v="0"/>
    <n v="34.93"/>
    <n v="24.950000000000003"/>
    <x v="4"/>
    <n v="0"/>
  </r>
  <r>
    <x v="6"/>
    <x v="6"/>
    <x v="6"/>
    <n v="0"/>
    <n v="0"/>
    <n v="0"/>
    <n v="0"/>
    <x v="5"/>
    <n v="0"/>
  </r>
  <r>
    <x v="7"/>
    <x v="7"/>
    <x v="7"/>
    <n v="0"/>
    <n v="29.94"/>
    <n v="0"/>
    <n v="0"/>
    <x v="6"/>
    <n v="0"/>
  </r>
  <r>
    <x v="8"/>
    <x v="8"/>
    <x v="8"/>
    <n v="0"/>
    <n v="34.93"/>
    <n v="0"/>
    <n v="39.92"/>
    <x v="7"/>
    <n v="0"/>
  </r>
  <r>
    <x v="9"/>
    <x v="9"/>
    <x v="9"/>
    <n v="19.96"/>
    <n v="39.92"/>
    <n v="0"/>
    <n v="34.93"/>
    <x v="0"/>
    <n v="0"/>
  </r>
  <r>
    <x v="10"/>
    <x v="10"/>
    <x v="10"/>
    <n v="0"/>
    <n v="9.98"/>
    <n v="0"/>
    <n v="44.910000000000004"/>
    <x v="1"/>
    <n v="0"/>
  </r>
  <r>
    <x v="11"/>
    <x v="11"/>
    <x v="11"/>
    <n v="14.97"/>
    <n v="0"/>
    <n v="29.94"/>
    <n v="34.93"/>
    <x v="2"/>
    <n v="0"/>
  </r>
  <r>
    <x v="12"/>
    <x v="12"/>
    <x v="12"/>
    <n v="9.98"/>
    <n v="9.98"/>
    <n v="0"/>
    <n v="9.98"/>
    <x v="6"/>
    <n v="0"/>
  </r>
  <r>
    <x v="13"/>
    <x v="13"/>
    <x v="13"/>
    <n v="34.93"/>
    <n v="0"/>
    <n v="0"/>
    <n v="0"/>
    <x v="3"/>
    <n v="0"/>
  </r>
  <r>
    <x v="14"/>
    <x v="14"/>
    <x v="14"/>
    <n v="44.910000000000004"/>
    <n v="0"/>
    <n v="4.99"/>
    <n v="0"/>
    <x v="8"/>
    <n v="0"/>
  </r>
  <r>
    <x v="15"/>
    <x v="15"/>
    <x v="15"/>
    <n v="0"/>
    <n v="0"/>
    <n v="29.94"/>
    <n v="49.900000000000006"/>
    <x v="2"/>
    <n v="0"/>
  </r>
  <r>
    <x v="16"/>
    <x v="12"/>
    <x v="16"/>
    <n v="0"/>
    <n v="0"/>
    <n v="44.910000000000004"/>
    <n v="49.900000000000006"/>
    <x v="0"/>
    <n v="0"/>
  </r>
  <r>
    <x v="17"/>
    <x v="16"/>
    <x v="17"/>
    <n v="0"/>
    <n v="29.94"/>
    <n v="0"/>
    <n v="0"/>
    <x v="6"/>
    <n v="0"/>
  </r>
  <r>
    <x v="18"/>
    <x v="17"/>
    <x v="18"/>
    <n v="0"/>
    <n v="0"/>
    <n v="29.94"/>
    <n v="49.900000000000006"/>
    <x v="2"/>
    <n v="0"/>
  </r>
  <r>
    <x v="19"/>
    <x v="18"/>
    <x v="19"/>
    <n v="4.99"/>
    <n v="0"/>
    <n v="14.97"/>
    <n v="0"/>
    <x v="9"/>
    <n v="0"/>
  </r>
  <r>
    <x v="20"/>
    <x v="19"/>
    <x v="20"/>
    <n v="0"/>
    <n v="4.99"/>
    <n v="19.96"/>
    <n v="49.900000000000006"/>
    <x v="10"/>
    <n v="0"/>
  </r>
  <r>
    <x v="21"/>
    <x v="20"/>
    <x v="21"/>
    <n v="19.96"/>
    <n v="19.96"/>
    <n v="4.99"/>
    <n v="49.900000000000006"/>
    <x v="0"/>
    <n v="0"/>
  </r>
  <r>
    <x v="22"/>
    <x v="21"/>
    <x v="22"/>
    <n v="0"/>
    <n v="4.99"/>
    <n v="0"/>
    <n v="0"/>
    <x v="11"/>
    <n v="0"/>
  </r>
  <r>
    <x v="23"/>
    <x v="22"/>
    <x v="23"/>
    <n v="14.97"/>
    <n v="49.900000000000006"/>
    <n v="29.94"/>
    <n v="24.950000000000003"/>
    <x v="12"/>
    <n v="0"/>
  </r>
  <r>
    <x v="24"/>
    <x v="23"/>
    <x v="24"/>
    <n v="0"/>
    <n v="0"/>
    <n v="0"/>
    <n v="19.96"/>
    <x v="9"/>
    <n v="0"/>
  </r>
  <r>
    <x v="25"/>
    <x v="24"/>
    <x v="25"/>
    <n v="0"/>
    <n v="14.97"/>
    <n v="9.98"/>
    <n v="44.910000000000004"/>
    <x v="13"/>
    <n v="0"/>
  </r>
  <r>
    <x v="26"/>
    <x v="25"/>
    <x v="26"/>
    <n v="0"/>
    <n v="0"/>
    <n v="14.97"/>
    <n v="49.900000000000006"/>
    <x v="14"/>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52069506"/>
    <s v="Wilson"/>
    <s v="Misa"/>
    <s v="F"/>
    <x v="0"/>
  </r>
  <r>
    <n v="14550989"/>
    <s v="Elric"/>
    <s v="Edward"/>
    <s v="F"/>
    <x v="0"/>
  </r>
  <r>
    <n v="48862811"/>
    <s v="McCarthy"/>
    <s v="Sonny"/>
    <s v="F"/>
    <x v="1"/>
  </r>
  <r>
    <n v="10287797"/>
    <s v="Cruise"/>
    <s v="Tom"/>
    <s v="F"/>
    <x v="1"/>
  </r>
  <r>
    <n v="22355690"/>
    <s v="Cromwell"/>
    <s v="Jason"/>
    <s v="F"/>
    <x v="0"/>
  </r>
  <r>
    <n v="59305766"/>
    <s v="Richardson"/>
    <s v="Lachlan"/>
    <s v="F"/>
    <x v="0"/>
  </r>
  <r>
    <n v="28475996"/>
    <s v="Khan"/>
    <s v="Sakib"/>
    <s v="F"/>
    <x v="0"/>
  </r>
  <r>
    <n v="64198194"/>
    <s v="Oberoi"/>
    <s v="Vivek"/>
    <s v="F"/>
    <x v="0"/>
  </r>
  <r>
    <n v="29655035"/>
    <s v="Burke"/>
    <s v="Louis"/>
    <s v="F"/>
    <x v="0"/>
  </r>
  <r>
    <n v="68339915"/>
    <s v="Duke"/>
    <s v="Zoe"/>
    <s v="F"/>
    <x v="0"/>
  </r>
  <r>
    <n v="32695778"/>
    <s v="Newton"/>
    <s v="Flora"/>
    <s v="D"/>
    <x v="0"/>
  </r>
  <r>
    <n v="55677878"/>
    <s v="Gallen"/>
    <s v="Zac"/>
    <s v="D"/>
    <x v="2"/>
  </r>
  <r>
    <n v="13692938"/>
    <s v="Kapoor"/>
    <s v="Sanjay"/>
    <s v="D"/>
    <x v="2"/>
  </r>
  <r>
    <n v="49461380"/>
    <s v="Singleton"/>
    <s v="Perry"/>
    <s v="D"/>
    <x v="2"/>
  </r>
  <r>
    <n v="66065006"/>
    <s v="Walker"/>
    <s v="Allen"/>
    <s v="D"/>
    <x v="2"/>
  </r>
  <r>
    <n v="14185496"/>
    <s v="Scarlet"/>
    <s v="Ezra"/>
    <s v="D"/>
    <x v="2"/>
  </r>
  <r>
    <n v="22222762"/>
    <s v="Forger"/>
    <s v="Anya"/>
    <s v="D"/>
    <x v="2"/>
  </r>
  <r>
    <n v="33006505"/>
    <s v="Hunt"/>
    <s v="Ethan"/>
    <s v="D"/>
    <x v="2"/>
  </r>
  <r>
    <n v="27658150"/>
    <s v="Kapur"/>
    <s v="Aditya"/>
    <s v="D"/>
    <x v="0"/>
  </r>
  <r>
    <n v="54116555"/>
    <s v="Zimmerman"/>
    <s v="Cory"/>
    <s v="D"/>
    <x v="2"/>
  </r>
  <r>
    <n v="12255677"/>
    <s v="Park"/>
    <s v="John"/>
    <s v="D"/>
    <x v="2"/>
  </r>
  <r>
    <n v="80079978"/>
    <s v="Heyman "/>
    <s v="Paul"/>
    <s v="D"/>
    <x v="0"/>
  </r>
  <r>
    <n v="62672194"/>
    <s v="Khan"/>
    <s v="Salman"/>
    <s v="D"/>
    <x v="3"/>
  </r>
  <r>
    <n v="22975112"/>
    <s v="Best"/>
    <s v="Sakura"/>
    <s v="D"/>
    <x v="0"/>
  </r>
  <r>
    <n v="17117302"/>
    <s v="Reynolds"/>
    <s v="Charlie"/>
    <s v="D"/>
    <x v="0"/>
  </r>
  <r>
    <n v="17175244"/>
    <s v="Watkins"/>
    <s v="Demi"/>
    <s v="D"/>
    <x v="2"/>
  </r>
  <r>
    <n v="67176280"/>
    <s v="Khan"/>
    <s v="Saif Ali"/>
    <s v="D"/>
    <x v="2"/>
  </r>
  <r>
    <n v="90908811"/>
    <s v="Frank"/>
    <s v="Joesph"/>
    <s v="D"/>
    <x v="2"/>
  </r>
  <r>
    <n v="37800314"/>
    <s v="Thorne"/>
    <s v="Alexia"/>
    <s v="D"/>
    <x v="2"/>
  </r>
  <r>
    <n v="59343896"/>
    <s v="Yeager"/>
    <s v="Eren"/>
    <s v="D"/>
    <x v="0"/>
  </r>
  <r>
    <n v="56278487"/>
    <s v="Reid"/>
    <s v="Ssammie"/>
    <s v="D"/>
    <x v="2"/>
  </r>
  <r>
    <n v="77890678"/>
    <s v="Lopez"/>
    <s v="Omar"/>
    <s v="D"/>
    <x v="2"/>
  </r>
  <r>
    <n v="33896032"/>
    <s v="Townsend"/>
    <s v="Solomon"/>
    <s v="D"/>
    <x v="2"/>
  </r>
  <r>
    <n v="40723551"/>
    <s v="Holmes"/>
    <s v="Sherlock"/>
    <s v="D"/>
    <x v="0"/>
  </r>
  <r>
    <n v="23010569"/>
    <s v="Brady"/>
    <s v="Matthew"/>
    <s v="D"/>
    <x v="2"/>
  </r>
  <r>
    <n v="44900212"/>
    <s v="Valentine"/>
    <s v="Valentina"/>
    <s v="D"/>
    <x v="3"/>
  </r>
  <r>
    <n v="42395721"/>
    <s v="Sherman"/>
    <s v="Eddie"/>
    <s v="D"/>
    <x v="2"/>
  </r>
  <r>
    <n v="28046284"/>
    <s v="Stone"/>
    <s v="Lukas"/>
    <s v="C"/>
    <x v="4"/>
  </r>
  <r>
    <n v="49517726"/>
    <s v="Bachchan"/>
    <s v="Aishwaria"/>
    <s v="C"/>
    <x v="0"/>
  </r>
  <r>
    <n v="11266789"/>
    <s v="Bell"/>
    <s v="Jack"/>
    <s v="C"/>
    <x v="4"/>
  </r>
  <r>
    <n v="31207252"/>
    <s v="Kurosaki"/>
    <s v="Ichigo"/>
    <s v="C"/>
    <x v="0"/>
  </r>
  <r>
    <n v="40941908"/>
    <s v="Brown"/>
    <s v="Gray"/>
    <s v="C"/>
    <x v="0"/>
  </r>
  <r>
    <n v="28380069"/>
    <s v="Weaver"/>
    <s v="Prince"/>
    <s v="C"/>
    <x v="4"/>
  </r>
  <r>
    <n v="33455570"/>
    <s v="Cox"/>
    <s v="Jennifer"/>
    <s v="C"/>
    <x v="0"/>
  </r>
  <r>
    <n v="52775578"/>
    <s v="Woods"/>
    <s v="Melissa"/>
    <s v="C"/>
    <x v="0"/>
  </r>
  <r>
    <n v="69512922"/>
    <s v="Walsh"/>
    <s v="Rhea"/>
    <s v="C"/>
    <x v="0"/>
  </r>
  <r>
    <n v="20320994"/>
    <s v="Smith"/>
    <s v="Erwin"/>
    <s v="C"/>
    <x v="0"/>
  </r>
  <r>
    <n v="51855406"/>
    <s v="Betty"/>
    <s v="James"/>
    <s v="C"/>
    <x v="0"/>
  </r>
  <r>
    <n v="22312334"/>
    <s v="Acosta"/>
    <s v="Micheal"/>
    <s v="C"/>
    <x v="4"/>
  </r>
  <r>
    <n v="66173853"/>
    <s v="Holland"/>
    <s v="Amelia"/>
    <m/>
    <x v="4"/>
  </r>
  <r>
    <n v="46774911"/>
    <s v="Khan"/>
    <s v="Aamir"/>
    <s v="C"/>
    <x v="0"/>
  </r>
  <r>
    <n v="88099789"/>
    <s v="Hayes"/>
    <s v="Carmelo"/>
    <s v="C"/>
    <x v="0"/>
  </r>
  <r>
    <n v="21171011"/>
    <s v="Strickland"/>
    <s v="Kye"/>
    <s v="C"/>
    <x v="0"/>
  </r>
  <r>
    <n v="56229618"/>
    <s v="Barrera"/>
    <s v="Blanche"/>
    <s v="C"/>
    <x v="0"/>
  </r>
  <r>
    <n v="24895680"/>
    <s v="Pineda"/>
    <s v="Denis"/>
    <s v="C"/>
    <x v="0"/>
  </r>
  <r>
    <n v="24074179"/>
    <s v="Mann"/>
    <s v="Glen"/>
    <s v="C"/>
    <x v="4"/>
  </r>
  <r>
    <n v="14100297"/>
    <s v="Meyers"/>
    <s v="Wilber"/>
    <s v="C"/>
    <x v="4"/>
  </r>
  <r>
    <n v="47953857"/>
    <s v="Bachchan"/>
    <s v="Amitabh"/>
    <s v="C"/>
    <x v="0"/>
  </r>
  <r>
    <n v="61870635"/>
    <s v="Long"/>
    <s v="Josiah"/>
    <s v="C"/>
    <x v="4"/>
  </r>
  <r>
    <n v="30476018"/>
    <s v="Frederick"/>
    <s v="Sylvia"/>
    <s v="C"/>
    <x v="4"/>
  </r>
  <r>
    <n v="29169845"/>
    <s v="Kumar"/>
    <s v="Akshay"/>
    <s v="C"/>
    <x v="0"/>
  </r>
  <r>
    <n v="31920733"/>
    <s v="Campos"/>
    <s v="Lee"/>
    <s v="C"/>
    <x v="4"/>
  </r>
  <r>
    <n v="59135219"/>
    <s v="Deol"/>
    <s v="Sunny"/>
    <s v="C"/>
    <x v="4"/>
  </r>
  <r>
    <n v="29617570"/>
    <s v="Steven"/>
    <s v="Christopher"/>
    <s v="C"/>
    <x v="4"/>
  </r>
  <r>
    <n v="41604417"/>
    <s v="Ramirez"/>
    <s v="Mercy"/>
    <s v="C"/>
    <x v="4"/>
  </r>
  <r>
    <n v="67642835"/>
    <s v="Krtchum"/>
    <s v="Ash"/>
    <s v="C"/>
    <x v="4"/>
  </r>
  <r>
    <n v="65777672"/>
    <s v="Mustang"/>
    <s v="Roy"/>
    <s v="C"/>
    <x v="4"/>
  </r>
  <r>
    <n v="57031215"/>
    <s v="Villatteal"/>
    <s v="Dory"/>
    <s v="C"/>
    <x v="4"/>
  </r>
  <r>
    <n v="14679298"/>
    <s v="Ferguson"/>
    <s v="Claudia"/>
    <s v="C"/>
    <x v="4"/>
  </r>
  <r>
    <n v="26610470"/>
    <s v="Kapoor"/>
    <s v="Anil"/>
    <s v="C"/>
    <x v="4"/>
  </r>
  <r>
    <n v="39378097"/>
    <s v="Griffith"/>
    <s v="Allison"/>
    <s v="C"/>
    <x v="4"/>
  </r>
  <r>
    <n v="12255678"/>
    <s v="Theory"/>
    <s v="Austin "/>
    <s v="C"/>
    <x v="4"/>
  </r>
  <r>
    <n v="23300401"/>
    <s v="O'Reilly"/>
    <s v="Robin"/>
    <s v="C"/>
    <x v="4"/>
  </r>
  <r>
    <n v="73797335"/>
    <s v="Acosta"/>
    <s v="Andreq"/>
    <s v="C"/>
    <x v="4"/>
  </r>
  <r>
    <n v="96788908"/>
    <s v="James"/>
    <s v="Ashley"/>
    <s v="C"/>
    <x v="4"/>
  </r>
  <r>
    <n v="16251330"/>
    <s v="Cannon"/>
    <s v="Shirley"/>
    <s v="B"/>
    <x v="4"/>
  </r>
  <r>
    <n v="35471023"/>
    <s v="Kapoor"/>
    <s v="Shraddha"/>
    <s v="B"/>
    <x v="4"/>
  </r>
  <r>
    <n v="50822121"/>
    <s v="Crawford"/>
    <s v="Esme"/>
    <s v="B"/>
    <x v="4"/>
  </r>
  <r>
    <n v="45322100"/>
    <s v="Ball"/>
    <s v="Billie"/>
    <s v="B"/>
    <x v="4"/>
  </r>
  <r>
    <n v="55251417"/>
    <s v="Clements"/>
    <s v="Mary"/>
    <s v="B"/>
    <x v="4"/>
  </r>
  <r>
    <n v="14858103"/>
    <s v="Stewart"/>
    <s v="Robert"/>
    <s v="B"/>
    <x v="5"/>
  </r>
  <r>
    <n v="46271285"/>
    <s v="Devgan"/>
    <s v="Ajay"/>
    <s v="B"/>
    <x v="5"/>
  </r>
  <r>
    <n v="42393621"/>
    <s v="Hawkins"/>
    <s v="Owen"/>
    <s v="B"/>
    <x v="4"/>
  </r>
  <r>
    <n v="88900987"/>
    <s v="Gray"/>
    <s v="Oliver"/>
    <s v="B"/>
    <x v="4"/>
  </r>
  <r>
    <n v="61539595"/>
    <s v="Bachchan"/>
    <s v="Abishek"/>
    <s v="B"/>
    <x v="4"/>
  </r>
  <r>
    <n v="99978671"/>
    <s v="Ford"/>
    <s v="Harrison"/>
    <s v="B"/>
    <x v="4"/>
  </r>
  <r>
    <n v="66788007"/>
    <s v="Wilson"/>
    <s v="Josh "/>
    <s v="B"/>
    <x v="4"/>
  </r>
  <r>
    <n v="26430751"/>
    <s v="Khan"/>
    <s v="Shahrukh "/>
    <s v="A"/>
    <x v="4"/>
  </r>
  <r>
    <n v="56566555"/>
    <s v="Hinata"/>
    <s v="Shoyo"/>
    <s v="A"/>
    <x v="4"/>
  </r>
  <r>
    <n v="54881230"/>
    <s v="Akerman"/>
    <s v="Levi"/>
    <s v="A"/>
    <x v="4"/>
  </r>
  <r>
    <n v="36326243"/>
    <s v="Chaney"/>
    <s v="Kevin"/>
    <s v="A"/>
    <x v="4"/>
  </r>
  <r>
    <n v="42567936"/>
    <s v="Deol"/>
    <s v="Bobby"/>
    <s v="A"/>
    <x v="4"/>
  </r>
  <r>
    <n v="30497977"/>
    <s v="Carpenter"/>
    <s v="Penelope"/>
    <s v="A"/>
    <x v="4"/>
  </r>
  <r>
    <n v="60161889"/>
    <s v="Elric"/>
    <s v="Alphonse"/>
    <s v="A"/>
    <x v="4"/>
  </r>
  <r>
    <n v="23970827"/>
    <s v="Kento"/>
    <s v="nanami"/>
    <s v="A"/>
    <x v="4"/>
  </r>
  <r>
    <n v="15767535"/>
    <s v="Koirala"/>
    <s v="Manisha"/>
    <s v="A"/>
    <x v="5"/>
  </r>
  <r>
    <n v="10648455"/>
    <s v="Kapoor"/>
    <s v="Sonam"/>
    <s v="A"/>
    <x v="5"/>
  </r>
  <r>
    <n v="31440459"/>
    <s v="Nico"/>
    <s v="Robin"/>
    <s v="A"/>
    <x v="5"/>
  </r>
  <r>
    <n v="19259601"/>
    <s v="Reyes"/>
    <s v="Donald"/>
    <s v="A"/>
    <x v="5"/>
  </r>
  <r>
    <n v="37849714"/>
    <s v="Brando"/>
    <s v="Dio"/>
    <s v="A"/>
    <x v="5"/>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x v="0"/>
    <x v="0"/>
    <x v="0"/>
    <d v="1899-12-30T10:00:00"/>
    <x v="0"/>
    <n v="7"/>
  </r>
  <r>
    <x v="1"/>
    <x v="1"/>
    <x v="0"/>
    <x v="0"/>
    <d v="1899-12-30T10:30:00"/>
    <x v="1"/>
    <n v="3"/>
  </r>
  <r>
    <x v="1"/>
    <x v="1"/>
    <x v="1"/>
    <x v="1"/>
    <d v="1899-12-30T10:00:00"/>
    <x v="2"/>
    <n v="5"/>
  </r>
  <r>
    <x v="1"/>
    <x v="2"/>
    <x v="2"/>
    <x v="2"/>
    <d v="1899-12-30T10:30:00"/>
    <x v="1"/>
    <n v="3"/>
  </r>
  <r>
    <x v="1"/>
    <x v="0"/>
    <x v="1"/>
    <x v="3"/>
    <d v="1899-12-30T10:00:00"/>
    <x v="0"/>
    <n v="7"/>
  </r>
  <r>
    <x v="1"/>
    <x v="3"/>
    <x v="3"/>
    <x v="4"/>
    <d v="1899-12-30T10:00:00"/>
    <x v="2"/>
    <n v="5"/>
  </r>
  <r>
    <x v="1"/>
    <x v="1"/>
    <x v="4"/>
    <x v="5"/>
    <d v="1899-12-30T10:30:00"/>
    <x v="1"/>
    <n v="3"/>
  </r>
  <r>
    <x v="1"/>
    <x v="1"/>
    <x v="3"/>
    <x v="6"/>
    <d v="1899-12-30T10:30:00"/>
    <x v="3"/>
    <n v="5"/>
  </r>
  <r>
    <x v="1"/>
    <x v="2"/>
    <x v="5"/>
    <x v="7"/>
    <d v="1899-12-30T10:30:00"/>
    <x v="3"/>
    <n v="5"/>
  </r>
  <r>
    <x v="1"/>
    <x v="2"/>
    <x v="5"/>
    <x v="8"/>
    <d v="1899-12-30T10:30:00"/>
    <x v="3"/>
    <n v="5"/>
  </r>
  <r>
    <x v="1"/>
    <x v="2"/>
    <x v="1"/>
    <x v="9"/>
    <d v="1899-12-30T10:30:00"/>
    <x v="2"/>
    <n v="4"/>
  </r>
  <r>
    <x v="1"/>
    <x v="1"/>
    <x v="6"/>
    <x v="10"/>
    <d v="1899-12-30T09:00:00"/>
    <x v="1"/>
    <n v="5"/>
  </r>
  <r>
    <x v="1"/>
    <x v="1"/>
    <x v="7"/>
    <x v="11"/>
    <d v="1899-12-30T10:30:00"/>
    <x v="1"/>
    <n v="3"/>
  </r>
  <r>
    <x v="1"/>
    <x v="2"/>
    <x v="8"/>
    <x v="1"/>
    <d v="1899-12-30T09:30:00"/>
    <x v="3"/>
    <n v="6"/>
  </r>
  <r>
    <x v="1"/>
    <x v="2"/>
    <x v="0"/>
    <x v="0"/>
    <d v="1899-12-30T10:30:00"/>
    <x v="0"/>
    <n v="6"/>
  </r>
  <r>
    <x v="1"/>
    <x v="3"/>
    <x v="1"/>
    <x v="1"/>
    <d v="1899-12-30T09:00:00"/>
    <x v="3"/>
    <n v="7"/>
  </r>
  <r>
    <x v="1"/>
    <x v="2"/>
    <x v="2"/>
    <x v="2"/>
    <d v="1899-12-30T10:30:00"/>
    <x v="2"/>
    <n v="4"/>
  </r>
  <r>
    <x v="1"/>
    <x v="3"/>
    <x v="1"/>
    <x v="3"/>
    <d v="1899-12-30T09:30:00"/>
    <x v="2"/>
    <n v="5"/>
  </r>
  <r>
    <x v="1"/>
    <x v="1"/>
    <x v="3"/>
    <x v="4"/>
    <d v="1899-12-30T10:30:00"/>
    <x v="2"/>
    <n v="4"/>
  </r>
  <r>
    <x v="1"/>
    <x v="2"/>
    <x v="4"/>
    <x v="5"/>
    <d v="1899-12-30T10:30:00"/>
    <x v="1"/>
    <n v="3"/>
  </r>
  <r>
    <x v="1"/>
    <x v="0"/>
    <x v="3"/>
    <x v="6"/>
    <d v="1899-12-30T10:30:00"/>
    <x v="1"/>
    <n v="3"/>
  </r>
  <r>
    <x v="1"/>
    <x v="0"/>
    <x v="5"/>
    <x v="7"/>
    <d v="1899-12-30T09:30:00"/>
    <x v="1"/>
    <n v="4"/>
  </r>
  <r>
    <x v="1"/>
    <x v="3"/>
    <x v="5"/>
    <x v="8"/>
    <d v="1899-12-30T09:30:00"/>
    <x v="0"/>
    <n v="7"/>
  </r>
  <r>
    <x v="1"/>
    <x v="1"/>
    <x v="1"/>
    <x v="9"/>
    <d v="1899-12-30T09:00:00"/>
    <x v="2"/>
    <n v="6"/>
  </r>
  <r>
    <x v="1"/>
    <x v="1"/>
    <x v="6"/>
    <x v="10"/>
    <d v="1899-12-30T10:00:00"/>
    <x v="1"/>
    <n v="4"/>
  </r>
  <r>
    <x v="1"/>
    <x v="3"/>
    <x v="7"/>
    <x v="11"/>
    <d v="1899-12-30T10:30:00"/>
    <x v="0"/>
    <n v="6"/>
  </r>
  <r>
    <x v="1"/>
    <x v="1"/>
    <x v="8"/>
    <x v="1"/>
    <d v="1899-12-30T09:30:00"/>
    <x v="1"/>
    <n v="4"/>
  </r>
  <r>
    <x v="1"/>
    <x v="0"/>
    <x v="0"/>
    <x v="0"/>
    <d v="1899-12-30T10:00:00"/>
    <x v="2"/>
    <n v="5"/>
  </r>
  <r>
    <x v="1"/>
    <x v="2"/>
    <x v="1"/>
    <x v="1"/>
    <d v="1899-12-30T09:00:00"/>
    <x v="1"/>
    <n v="5"/>
  </r>
  <r>
    <x v="1"/>
    <x v="1"/>
    <x v="0"/>
    <x v="0"/>
    <d v="1899-12-30T10:30:00"/>
    <x v="0"/>
    <n v="6"/>
  </r>
  <r>
    <x v="1"/>
    <x v="2"/>
    <x v="0"/>
    <x v="0"/>
    <d v="1899-12-30T09:30:00"/>
    <x v="3"/>
    <n v="6"/>
  </r>
  <r>
    <x v="1"/>
    <x v="2"/>
    <x v="1"/>
    <x v="1"/>
    <d v="1899-12-30T09:00:00"/>
    <x v="1"/>
    <n v="5"/>
  </r>
  <r>
    <x v="1"/>
    <x v="1"/>
    <x v="2"/>
    <x v="2"/>
    <d v="1899-12-30T09:00:00"/>
    <x v="0"/>
    <n v="8"/>
  </r>
  <r>
    <x v="1"/>
    <x v="3"/>
    <x v="1"/>
    <x v="3"/>
    <d v="1899-12-30T09:30:00"/>
    <x v="1"/>
    <n v="4"/>
  </r>
  <r>
    <x v="1"/>
    <x v="3"/>
    <x v="3"/>
    <x v="4"/>
    <d v="1899-12-30T10:00:00"/>
    <x v="1"/>
    <n v="4"/>
  </r>
  <r>
    <x v="1"/>
    <x v="3"/>
    <x v="4"/>
    <x v="5"/>
    <d v="1899-12-30T10:30:00"/>
    <x v="1"/>
    <n v="3"/>
  </r>
  <r>
    <x v="1"/>
    <x v="3"/>
    <x v="3"/>
    <x v="6"/>
    <d v="1899-12-30T09:00:00"/>
    <x v="2"/>
    <n v="6"/>
  </r>
  <r>
    <x v="1"/>
    <x v="0"/>
    <x v="5"/>
    <x v="7"/>
    <d v="1899-12-30T10:00:00"/>
    <x v="1"/>
    <n v="4"/>
  </r>
  <r>
    <x v="1"/>
    <x v="1"/>
    <x v="5"/>
    <x v="8"/>
    <d v="1899-12-30T10:30:00"/>
    <x v="1"/>
    <n v="3"/>
  </r>
  <r>
    <x v="2"/>
    <x v="2"/>
    <x v="1"/>
    <x v="9"/>
    <d v="1899-12-30T09:00:00"/>
    <x v="1"/>
    <n v="5"/>
  </r>
  <r>
    <x v="2"/>
    <x v="0"/>
    <x v="6"/>
    <x v="10"/>
    <d v="1899-12-30T10:30:00"/>
    <x v="1"/>
    <n v="3"/>
  </r>
  <r>
    <x v="2"/>
    <x v="2"/>
    <x v="7"/>
    <x v="11"/>
    <d v="1899-12-30T10:30:00"/>
    <x v="1"/>
    <n v="3"/>
  </r>
  <r>
    <x v="2"/>
    <x v="2"/>
    <x v="8"/>
    <x v="1"/>
    <d v="1899-12-30T10:00:00"/>
    <x v="0"/>
    <n v="7"/>
  </r>
  <r>
    <x v="2"/>
    <x v="3"/>
    <x v="0"/>
    <x v="0"/>
    <d v="1899-12-30T09:30:00"/>
    <x v="0"/>
    <n v="7"/>
  </r>
  <r>
    <x v="2"/>
    <x v="2"/>
    <x v="1"/>
    <x v="1"/>
    <d v="1899-12-30T09:30:00"/>
    <x v="0"/>
    <n v="7"/>
  </r>
  <r>
    <x v="2"/>
    <x v="1"/>
    <x v="2"/>
    <x v="2"/>
    <d v="1899-12-30T09:00:00"/>
    <x v="1"/>
    <n v="5"/>
  </r>
  <r>
    <x v="2"/>
    <x v="3"/>
    <x v="1"/>
    <x v="3"/>
    <d v="1899-12-30T10:30:00"/>
    <x v="0"/>
    <n v="6"/>
  </r>
  <r>
    <x v="2"/>
    <x v="1"/>
    <x v="3"/>
    <x v="4"/>
    <d v="1899-12-30T09:30:00"/>
    <x v="1"/>
    <n v="4"/>
  </r>
  <r>
    <x v="2"/>
    <x v="2"/>
    <x v="4"/>
    <x v="5"/>
    <d v="1899-12-30T09:00:00"/>
    <x v="1"/>
    <n v="5"/>
  </r>
  <r>
    <x v="2"/>
    <x v="0"/>
    <x v="3"/>
    <x v="6"/>
    <d v="1899-12-30T10:00:00"/>
    <x v="3"/>
    <n v="6"/>
  </r>
  <r>
    <x v="3"/>
    <x v="0"/>
    <x v="5"/>
    <x v="8"/>
    <d v="1899-12-30T09:00:00"/>
    <x v="1"/>
    <n v="5"/>
  </r>
  <r>
    <x v="3"/>
    <x v="2"/>
    <x v="1"/>
    <x v="9"/>
    <d v="1899-12-30T10:30:00"/>
    <x v="0"/>
    <n v="6"/>
  </r>
  <r>
    <x v="3"/>
    <x v="2"/>
    <x v="6"/>
    <x v="10"/>
    <d v="1899-12-30T10:00:00"/>
    <x v="2"/>
    <n v="5"/>
  </r>
  <r>
    <x v="3"/>
    <x v="1"/>
    <x v="7"/>
    <x v="11"/>
    <d v="1899-12-30T10:30:00"/>
    <x v="1"/>
    <n v="3"/>
  </r>
  <r>
    <x v="3"/>
    <x v="1"/>
    <x v="8"/>
    <x v="1"/>
    <d v="1899-12-30T09:00:00"/>
    <x v="1"/>
    <n v="5"/>
  </r>
  <r>
    <x v="3"/>
    <x v="2"/>
    <x v="0"/>
    <x v="0"/>
    <d v="1899-12-30T10:30:00"/>
    <x v="2"/>
    <n v="4"/>
  </r>
  <r>
    <x v="3"/>
    <x v="3"/>
    <x v="1"/>
    <x v="1"/>
    <d v="1899-12-30T10:00:00"/>
    <x v="1"/>
    <n v="4"/>
  </r>
  <r>
    <x v="3"/>
    <x v="2"/>
    <x v="0"/>
    <x v="0"/>
    <d v="1899-12-30T10:30:00"/>
    <x v="3"/>
    <n v="5"/>
  </r>
  <r>
    <x v="3"/>
    <x v="1"/>
    <x v="0"/>
    <x v="0"/>
    <d v="1899-12-30T10:30:00"/>
    <x v="1"/>
    <n v="3"/>
  </r>
  <r>
    <x v="3"/>
    <x v="2"/>
    <x v="1"/>
    <x v="1"/>
    <d v="1899-12-30T10:30:00"/>
    <x v="3"/>
    <n v="5"/>
  </r>
  <r>
    <x v="3"/>
    <x v="2"/>
    <x v="2"/>
    <x v="2"/>
    <d v="1899-12-30T10:00:00"/>
    <x v="1"/>
    <n v="4"/>
  </r>
  <r>
    <x v="3"/>
    <x v="2"/>
    <x v="1"/>
    <x v="3"/>
    <d v="1899-12-30T09:00:00"/>
    <x v="0"/>
    <n v="8"/>
  </r>
  <r>
    <x v="3"/>
    <x v="2"/>
    <x v="3"/>
    <x v="4"/>
    <d v="1899-12-30T09:00:00"/>
    <x v="1"/>
    <n v="5"/>
  </r>
  <r>
    <x v="3"/>
    <x v="2"/>
    <x v="4"/>
    <x v="5"/>
    <d v="1899-12-30T10:30:00"/>
    <x v="1"/>
    <n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8305A07-0819-4FA0-90E7-904E1C5DF97D}" name="PivotTable42"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Subjscts">
  <location ref="M31:N37" firstHeaderRow="1" firstDataRow="1" firstDataCol="1"/>
  <pivotFields count="12">
    <pivotField axis="axisRow" showAll="0">
      <items count="5">
        <item x="3"/>
        <item h="1" x="2"/>
        <item h="1" x="1"/>
        <item h="1" x="0"/>
        <item t="default"/>
      </items>
    </pivotField>
    <pivotField axis="axisRow" showAll="0">
      <items count="5">
        <item sd="0" x="3"/>
        <item sd="0" x="2"/>
        <item sd="0" x="0"/>
        <item sd="0" x="1"/>
        <item t="default"/>
      </items>
    </pivotField>
    <pivotField numFmtId="14" showAll="0">
      <items count="10">
        <item x="0"/>
        <item x="6"/>
        <item x="1"/>
        <item x="4"/>
        <item x="7"/>
        <item x="3"/>
        <item x="5"/>
        <item x="8"/>
        <item x="2"/>
        <item t="default"/>
      </items>
    </pivotField>
    <pivotField axis="axisRow" numFmtId="14" showAll="0">
      <items count="13">
        <item x="10"/>
        <item x="11"/>
        <item x="0"/>
        <item x="1"/>
        <item x="2"/>
        <item x="3"/>
        <item x="4"/>
        <item x="5"/>
        <item x="6"/>
        <item x="7"/>
        <item x="8"/>
        <item x="9"/>
        <item t="default"/>
      </items>
    </pivotField>
    <pivotField numFmtId="168" showAll="0"/>
    <pivotField axis="axisRow" numFmtId="18" showAll="0">
      <items count="5">
        <item x="1"/>
        <item x="2"/>
        <item x="3"/>
        <item x="0"/>
        <item t="default"/>
      </items>
    </pivotField>
    <pivotField dataField="1" numFmtId="2"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x="8"/>
        <item sd="0" x="9"/>
        <item sd="0" x="10"/>
        <item sd="0" x="11"/>
        <item sd="0" x="12"/>
        <item sd="0" x="13"/>
        <item t="default"/>
      </items>
    </pivotField>
    <pivotField axis="axisRow"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9">
    <field x="0"/>
    <field x="1"/>
    <field x="8"/>
    <field x="7"/>
    <field x="10"/>
    <field x="9"/>
    <field x="3"/>
    <field x="11"/>
    <field x="5"/>
  </rowFields>
  <rowItems count="6">
    <i>
      <x/>
    </i>
    <i r="1">
      <x/>
    </i>
    <i r="1">
      <x v="1"/>
    </i>
    <i r="1">
      <x v="2"/>
    </i>
    <i r="1">
      <x v="3"/>
    </i>
    <i t="grand">
      <x/>
    </i>
  </rowItems>
  <colItems count="1">
    <i/>
  </colItems>
  <dataFields count="1">
    <dataField name="Sum of hours"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7B7AD99-68F5-42A8-9045-B4A9C841E94A}" name="PivotTable4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udent">
  <location ref="A3:D8" firstHeaderRow="0" firstDataRow="1" firstDataCol="1"/>
  <pivotFields count="6">
    <pivotField showAll="0"/>
    <pivotField axis="axisRow" showAll="0">
      <items count="88">
        <item x="46"/>
        <item x="79"/>
        <item x="36"/>
        <item x="71"/>
        <item x="50"/>
        <item x="37"/>
        <item x="22"/>
        <item x="45"/>
        <item x="32"/>
        <item x="86"/>
        <item x="39"/>
        <item x="8"/>
        <item x="57"/>
        <item x="69"/>
        <item x="81"/>
        <item x="80"/>
        <item x="72"/>
        <item x="41"/>
        <item x="70"/>
        <item x="4"/>
        <item x="3"/>
        <item x="58"/>
        <item x="74"/>
        <item x="9"/>
        <item x="1"/>
        <item x="64"/>
        <item x="77"/>
        <item x="16"/>
        <item x="25"/>
        <item x="55"/>
        <item x="11"/>
        <item x="76"/>
        <item x="65"/>
        <item x="75"/>
        <item x="48"/>
        <item x="21"/>
        <item x="78"/>
        <item x="47"/>
        <item x="31"/>
        <item x="17"/>
        <item x="68"/>
        <item x="12"/>
        <item x="18"/>
        <item x="82"/>
        <item x="6"/>
        <item x="83"/>
        <item x="61"/>
        <item x="56"/>
        <item x="38"/>
        <item x="54"/>
        <item x="29"/>
        <item x="52"/>
        <item x="2"/>
        <item x="53"/>
        <item x="62"/>
        <item x="10"/>
        <item x="84"/>
        <item x="7"/>
        <item x="67"/>
        <item x="20"/>
        <item x="51"/>
        <item x="60"/>
        <item x="28"/>
        <item x="85"/>
        <item x="23"/>
        <item x="5"/>
        <item x="15"/>
        <item x="34"/>
        <item x="13"/>
        <item x="44"/>
        <item x="59"/>
        <item x="73"/>
        <item x="35"/>
        <item x="49"/>
        <item x="66"/>
        <item x="26"/>
        <item x="30"/>
        <item x="33"/>
        <item x="63"/>
        <item x="14"/>
        <item x="43"/>
        <item x="24"/>
        <item x="40"/>
        <item x="0"/>
        <item x="42"/>
        <item x="27"/>
        <item x="19"/>
        <item t="default"/>
      </items>
    </pivotField>
    <pivotField axis="axisRow" showAll="0">
      <items count="100">
        <item x="50"/>
        <item x="84"/>
        <item x="18"/>
        <item x="38"/>
        <item x="81"/>
        <item x="60"/>
        <item x="28"/>
        <item x="14"/>
        <item x="70"/>
        <item x="93"/>
        <item x="49"/>
        <item x="57"/>
        <item x="73"/>
        <item x="69"/>
        <item x="16"/>
        <item x="65"/>
        <item x="74"/>
        <item x="71"/>
        <item x="78"/>
        <item x="53"/>
        <item x="91"/>
        <item x="51"/>
        <item x="24"/>
        <item x="63"/>
        <item x="68"/>
        <item x="19"/>
        <item x="25"/>
        <item x="54"/>
        <item x="98"/>
        <item x="97"/>
        <item x="67"/>
        <item x="36"/>
        <item x="1"/>
        <item x="29"/>
        <item x="46"/>
        <item x="77"/>
        <item x="17"/>
        <item x="15"/>
        <item x="10"/>
        <item x="55"/>
        <item x="41"/>
        <item x="85"/>
        <item x="40"/>
        <item x="39"/>
        <item x="47"/>
        <item x="4"/>
        <item x="43"/>
        <item x="27"/>
        <item x="20"/>
        <item x="86"/>
        <item x="58"/>
        <item x="90"/>
        <item x="52"/>
        <item x="5"/>
        <item x="61"/>
        <item x="89"/>
        <item x="8"/>
        <item x="37"/>
        <item x="95"/>
        <item x="79"/>
        <item x="34"/>
        <item x="44"/>
        <item x="64"/>
        <item x="48"/>
        <item x="0"/>
        <item x="94"/>
        <item x="83"/>
        <item x="31"/>
        <item x="82"/>
        <item x="21"/>
        <item x="92"/>
        <item x="13"/>
        <item x="42"/>
        <item x="45"/>
        <item x="80"/>
        <item x="72"/>
        <item x="66"/>
        <item x="26"/>
        <item x="6"/>
        <item x="23"/>
        <item x="22"/>
        <item x="12"/>
        <item x="87"/>
        <item x="33"/>
        <item x="75"/>
        <item x="88"/>
        <item x="76"/>
        <item x="32"/>
        <item x="96"/>
        <item x="2"/>
        <item x="30"/>
        <item x="62"/>
        <item x="59"/>
        <item x="3"/>
        <item x="35"/>
        <item x="7"/>
        <item x="56"/>
        <item x="11"/>
        <item x="9"/>
        <item t="default"/>
      </items>
    </pivotField>
    <pivotField dataField="1" showAll="0"/>
    <pivotField dataField="1" showAll="0"/>
    <pivotField dataField="1" showAll="0">
      <items count="75">
        <item h="1" x="1"/>
        <item h="1" x="2"/>
        <item h="1" x="3"/>
        <item h="1" x="4"/>
        <item h="1" x="5"/>
        <item h="1" x="6"/>
        <item h="1" x="7"/>
        <item h="1" x="8"/>
        <item h="1" x="9"/>
        <item h="1" x="0"/>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1"/>
        <item h="1" x="72"/>
        <item h="1" x="70"/>
        <item h="1" x="73"/>
        <item t="default"/>
      </items>
    </pivotField>
  </pivotFields>
  <rowFields count="2">
    <field x="1"/>
    <field x="2"/>
  </rowFields>
  <rowItems count="5">
    <i>
      <x/>
    </i>
    <i r="1">
      <x v="63"/>
    </i>
    <i>
      <x v="37"/>
    </i>
    <i r="1">
      <x v="10"/>
    </i>
    <i t="grand">
      <x/>
    </i>
  </rowItems>
  <colFields count="1">
    <field x="-2"/>
  </colFields>
  <colItems count="3">
    <i>
      <x/>
    </i>
    <i i="1">
      <x v="1"/>
    </i>
    <i i="2">
      <x v="2"/>
    </i>
  </colItems>
  <dataFields count="3">
    <dataField name="Average of PlacementScore" fld="5" subtotal="average" baseField="1" baseItem="0"/>
    <dataField name="Average of PlacementExam 1" fld="3" subtotal="average" baseField="1" baseItem="0"/>
    <dataField name="Average of PlacementExam 2" fld="4" subtotal="average" baseField="1" baseItem="0"/>
  </dataFields>
  <formats count="8">
    <format dxfId="279">
      <pivotArea type="all" dataOnly="0" outline="0" fieldPosition="0"/>
    </format>
    <format dxfId="278">
      <pivotArea outline="0" collapsedLevelsAreSubtotals="1" fieldPosition="0"/>
    </format>
    <format dxfId="277">
      <pivotArea field="1" type="button" dataOnly="0" labelOnly="1" outline="0" axis="axisRow" fieldPosition="0"/>
    </format>
    <format dxfId="276">
      <pivotArea dataOnly="0" labelOnly="1" fieldPosition="0">
        <references count="1">
          <reference field="1" count="2">
            <x v="0"/>
            <x v="37"/>
          </reference>
        </references>
      </pivotArea>
    </format>
    <format dxfId="275">
      <pivotArea dataOnly="0" labelOnly="1" grandRow="1" outline="0" fieldPosition="0"/>
    </format>
    <format dxfId="274">
      <pivotArea dataOnly="0" labelOnly="1" fieldPosition="0">
        <references count="2">
          <reference field="1" count="1" selected="0">
            <x v="0"/>
          </reference>
          <reference field="2" count="1">
            <x v="63"/>
          </reference>
        </references>
      </pivotArea>
    </format>
    <format dxfId="273">
      <pivotArea dataOnly="0" labelOnly="1" fieldPosition="0">
        <references count="2">
          <reference field="1" count="1" selected="0">
            <x v="37"/>
          </reference>
          <reference field="2" count="1">
            <x v="10"/>
          </reference>
        </references>
      </pivotArea>
    </format>
    <format dxfId="272">
      <pivotArea dataOnly="0" labelOnly="1" outline="0" fieldPosition="0">
        <references count="1">
          <reference field="4294967294" count="3">
            <x v="0"/>
            <x v="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249ED43-0E89-41D7-B945-1CD27873D741}"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12:O23" firstHeaderRow="1" firstDataRow="2" firstDataCol="1"/>
  <pivotFields count="11">
    <pivotField showAll="0"/>
    <pivotField showAll="0"/>
    <pivotField showAll="0"/>
    <pivotField showAll="0"/>
    <pivotField showAll="0"/>
    <pivotField showAll="0"/>
    <pivotField axis="axisRow" showAll="0">
      <items count="10">
        <item x="2"/>
        <item x="1"/>
        <item x="8"/>
        <item x="5"/>
        <item x="4"/>
        <item x="3"/>
        <item x="6"/>
        <item x="7"/>
        <item x="0"/>
        <item t="default"/>
      </items>
    </pivotField>
    <pivotField showAll="0"/>
    <pivotField dataField="1" showAll="0"/>
    <pivotField axis="axisCol" showAll="0">
      <items count="3">
        <item x="1"/>
        <item x="0"/>
        <item t="default"/>
      </items>
    </pivotField>
    <pivotField showAll="0"/>
  </pivotFields>
  <rowFields count="1">
    <field x="6"/>
  </rowFields>
  <rowItems count="10">
    <i>
      <x/>
    </i>
    <i>
      <x v="1"/>
    </i>
    <i>
      <x v="2"/>
    </i>
    <i>
      <x v="3"/>
    </i>
    <i>
      <x v="4"/>
    </i>
    <i>
      <x v="5"/>
    </i>
    <i>
      <x v="6"/>
    </i>
    <i>
      <x v="7"/>
    </i>
    <i>
      <x v="8"/>
    </i>
    <i t="grand">
      <x/>
    </i>
  </rowItems>
  <colFields count="1">
    <field x="9"/>
  </colFields>
  <colItems count="3">
    <i>
      <x/>
    </i>
    <i>
      <x v="1"/>
    </i>
    <i t="grand">
      <x/>
    </i>
  </colItems>
  <dataFields count="1">
    <dataField name="Sum of Final GPA" fld="8" baseField="0" baseItem="0"/>
  </dataFields>
  <formats count="14">
    <format dxfId="270">
      <pivotArea collapsedLevelsAreSubtotals="1" fieldPosition="0">
        <references count="1">
          <reference field="6" count="7">
            <x v="0"/>
            <x v="1"/>
            <x v="2"/>
            <x v="3"/>
            <x v="4"/>
            <x v="5"/>
            <x v="6"/>
          </reference>
        </references>
      </pivotArea>
    </format>
    <format dxfId="269">
      <pivotArea collapsedLevelsAreSubtotals="1" fieldPosition="0">
        <references count="1">
          <reference field="6" count="2">
            <x v="7"/>
            <x v="8"/>
          </reference>
        </references>
      </pivotArea>
    </format>
    <format dxfId="268">
      <pivotArea grandRow="1" outline="0" collapsedLevelsAreSubtotals="1" fieldPosition="0"/>
    </format>
    <format dxfId="267">
      <pivotArea outline="0" collapsedLevelsAreSubtotals="1" fieldPosition="0">
        <references count="1">
          <reference field="9" count="1" selected="0">
            <x v="1"/>
          </reference>
        </references>
      </pivotArea>
    </format>
    <format dxfId="266">
      <pivotArea field="6" type="button" dataOnly="0" labelOnly="1" outline="0" axis="axisRow" fieldPosition="0"/>
    </format>
    <format dxfId="265">
      <pivotArea dataOnly="0" labelOnly="1" fieldPosition="0">
        <references count="1">
          <reference field="9" count="0"/>
        </references>
      </pivotArea>
    </format>
    <format dxfId="264">
      <pivotArea dataOnly="0" labelOnly="1" grandCol="1" outline="0" fieldPosition="0"/>
    </format>
    <format dxfId="263">
      <pivotArea type="origin" dataOnly="0" labelOnly="1" outline="0" fieldPosition="0"/>
    </format>
    <format dxfId="262">
      <pivotArea field="9" type="button" dataOnly="0" labelOnly="1" outline="0" axis="axisCol" fieldPosition="0"/>
    </format>
    <format dxfId="261">
      <pivotArea type="topRight" dataOnly="0" labelOnly="1" outline="0" fieldPosition="0"/>
    </format>
    <format dxfId="260">
      <pivotArea dataOnly="0" labelOnly="1" fieldPosition="0">
        <references count="1">
          <reference field="6" count="0"/>
        </references>
      </pivotArea>
    </format>
    <format dxfId="259">
      <pivotArea collapsedLevelsAreSubtotals="1" fieldPosition="0">
        <references count="2">
          <reference field="6" count="0"/>
          <reference field="9" count="1" selected="0">
            <x v="1"/>
          </reference>
        </references>
      </pivotArea>
    </format>
    <format dxfId="258">
      <pivotArea field="9" grandRow="1" outline="0" collapsedLevelsAreSubtotals="1" axis="axisCol" fieldPosition="0">
        <references count="1">
          <reference field="9" count="0" selected="0"/>
        </references>
      </pivotArea>
    </format>
    <format dxfId="257">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FA7A694-0866-41C9-97B9-28966E4DD093}" name="PivotTable2"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61:D86" firstHeaderRow="0" firstDataRow="1" firstDataCol="2"/>
  <pivotFields count="4">
    <pivotField dataField="1" compact="0" outline="0" showAll="0"/>
    <pivotField axis="axisRow" compact="0" outline="0" showAll="0">
      <items count="13">
        <item x="9"/>
        <item x="3"/>
        <item x="0"/>
        <item x="4"/>
        <item x="2"/>
        <item x="6"/>
        <item x="10"/>
        <item x="8"/>
        <item x="7"/>
        <item x="1"/>
        <item x="5"/>
        <item x="11"/>
        <item t="default"/>
      </items>
    </pivotField>
    <pivotField axis="axisRow" compact="0" outline="0" showAll="0">
      <items count="13">
        <item x="9"/>
        <item x="6"/>
        <item x="3"/>
        <item x="2"/>
        <item x="10"/>
        <item x="11"/>
        <item x="4"/>
        <item x="8"/>
        <item x="7"/>
        <item x="5"/>
        <item x="0"/>
        <item x="1"/>
        <item t="default"/>
      </items>
    </pivotField>
    <pivotField dataField="1" compact="0" outline="0" showAll="0"/>
  </pivotFields>
  <rowFields count="2">
    <field x="1"/>
    <field x="2"/>
  </rowFields>
  <rowItems count="25">
    <i>
      <x/>
      <x/>
    </i>
    <i t="default">
      <x/>
    </i>
    <i>
      <x v="1"/>
      <x v="2"/>
    </i>
    <i t="default">
      <x v="1"/>
    </i>
    <i>
      <x v="2"/>
      <x v="10"/>
    </i>
    <i t="default">
      <x v="2"/>
    </i>
    <i>
      <x v="3"/>
      <x v="6"/>
    </i>
    <i t="default">
      <x v="3"/>
    </i>
    <i>
      <x v="4"/>
      <x v="3"/>
    </i>
    <i t="default">
      <x v="4"/>
    </i>
    <i>
      <x v="5"/>
      <x v="1"/>
    </i>
    <i t="default">
      <x v="5"/>
    </i>
    <i>
      <x v="6"/>
      <x v="4"/>
    </i>
    <i t="default">
      <x v="6"/>
    </i>
    <i>
      <x v="7"/>
      <x v="7"/>
    </i>
    <i t="default">
      <x v="7"/>
    </i>
    <i>
      <x v="8"/>
      <x v="8"/>
    </i>
    <i t="default">
      <x v="8"/>
    </i>
    <i>
      <x v="9"/>
      <x v="11"/>
    </i>
    <i t="default">
      <x v="9"/>
    </i>
    <i>
      <x v="10"/>
      <x v="9"/>
    </i>
    <i t="default">
      <x v="10"/>
    </i>
    <i>
      <x v="11"/>
      <x v="5"/>
    </i>
    <i t="default">
      <x v="11"/>
    </i>
    <i t="grand">
      <x/>
    </i>
  </rowItems>
  <colFields count="1">
    <field x="-2"/>
  </colFields>
  <colItems count="2">
    <i>
      <x/>
    </i>
    <i i="1">
      <x v="1"/>
    </i>
  </colItems>
  <dataFields count="2">
    <dataField name="Sum of Student ID" fld="0" baseField="0" baseItem="0"/>
    <dataField name="Average of Grades" fld="3" subtotal="average" baseField="1" baseItem="0"/>
  </dataFields>
  <formats count="22">
    <format dxfId="205">
      <pivotArea type="all" dataOnly="0" outline="0" fieldPosition="0"/>
    </format>
    <format dxfId="204">
      <pivotArea outline="0" collapsedLevelsAreSubtotals="1" fieldPosition="0"/>
    </format>
    <format dxfId="203">
      <pivotArea field="1" type="button" dataOnly="0" labelOnly="1" outline="0" axis="axisRow" fieldPosition="0"/>
    </format>
    <format dxfId="202">
      <pivotArea field="2" type="button" dataOnly="0" labelOnly="1" outline="0" axis="axisRow" fieldPosition="1"/>
    </format>
    <format dxfId="201">
      <pivotArea dataOnly="0" labelOnly="1" outline="0" fieldPosition="0">
        <references count="1">
          <reference field="1" count="0"/>
        </references>
      </pivotArea>
    </format>
    <format dxfId="200">
      <pivotArea dataOnly="0" labelOnly="1" outline="0" fieldPosition="0">
        <references count="1">
          <reference field="1" count="0" defaultSubtotal="1"/>
        </references>
      </pivotArea>
    </format>
    <format dxfId="199">
      <pivotArea dataOnly="0" labelOnly="1" grandRow="1" outline="0" fieldPosition="0"/>
    </format>
    <format dxfId="198">
      <pivotArea dataOnly="0" labelOnly="1" outline="0" fieldPosition="0">
        <references count="2">
          <reference field="1" count="1" selected="0">
            <x v="0"/>
          </reference>
          <reference field="2" count="1">
            <x v="0"/>
          </reference>
        </references>
      </pivotArea>
    </format>
    <format dxfId="197">
      <pivotArea dataOnly="0" labelOnly="1" outline="0" fieldPosition="0">
        <references count="2">
          <reference field="1" count="1" selected="0">
            <x v="1"/>
          </reference>
          <reference field="2" count="1">
            <x v="2"/>
          </reference>
        </references>
      </pivotArea>
    </format>
    <format dxfId="196">
      <pivotArea dataOnly="0" labelOnly="1" outline="0" fieldPosition="0">
        <references count="2">
          <reference field="1" count="1" selected="0">
            <x v="2"/>
          </reference>
          <reference field="2" count="1">
            <x v="10"/>
          </reference>
        </references>
      </pivotArea>
    </format>
    <format dxfId="195">
      <pivotArea dataOnly="0" labelOnly="1" outline="0" fieldPosition="0">
        <references count="2">
          <reference field="1" count="1" selected="0">
            <x v="3"/>
          </reference>
          <reference field="2" count="1">
            <x v="6"/>
          </reference>
        </references>
      </pivotArea>
    </format>
    <format dxfId="194">
      <pivotArea dataOnly="0" labelOnly="1" outline="0" fieldPosition="0">
        <references count="2">
          <reference field="1" count="1" selected="0">
            <x v="4"/>
          </reference>
          <reference field="2" count="1">
            <x v="3"/>
          </reference>
        </references>
      </pivotArea>
    </format>
    <format dxfId="193">
      <pivotArea dataOnly="0" labelOnly="1" outline="0" fieldPosition="0">
        <references count="2">
          <reference field="1" count="1" selected="0">
            <x v="5"/>
          </reference>
          <reference field="2" count="1">
            <x v="1"/>
          </reference>
        </references>
      </pivotArea>
    </format>
    <format dxfId="192">
      <pivotArea dataOnly="0" labelOnly="1" outline="0" fieldPosition="0">
        <references count="2">
          <reference field="1" count="1" selected="0">
            <x v="6"/>
          </reference>
          <reference field="2" count="1">
            <x v="4"/>
          </reference>
        </references>
      </pivotArea>
    </format>
    <format dxfId="191">
      <pivotArea dataOnly="0" labelOnly="1" outline="0" fieldPosition="0">
        <references count="2">
          <reference field="1" count="1" selected="0">
            <x v="7"/>
          </reference>
          <reference field="2" count="1">
            <x v="7"/>
          </reference>
        </references>
      </pivotArea>
    </format>
    <format dxfId="190">
      <pivotArea dataOnly="0" labelOnly="1" outline="0" fieldPosition="0">
        <references count="2">
          <reference field="1" count="1" selected="0">
            <x v="8"/>
          </reference>
          <reference field="2" count="1">
            <x v="8"/>
          </reference>
        </references>
      </pivotArea>
    </format>
    <format dxfId="189">
      <pivotArea dataOnly="0" labelOnly="1" outline="0" fieldPosition="0">
        <references count="2">
          <reference field="1" count="1" selected="0">
            <x v="9"/>
          </reference>
          <reference field="2" count="1">
            <x v="11"/>
          </reference>
        </references>
      </pivotArea>
    </format>
    <format dxfId="188">
      <pivotArea dataOnly="0" labelOnly="1" outline="0" fieldPosition="0">
        <references count="2">
          <reference field="1" count="1" selected="0">
            <x v="10"/>
          </reference>
          <reference field="2" count="1">
            <x v="9"/>
          </reference>
        </references>
      </pivotArea>
    </format>
    <format dxfId="187">
      <pivotArea dataOnly="0" labelOnly="1" outline="0" fieldPosition="0">
        <references count="2">
          <reference field="1" count="1" selected="0">
            <x v="11"/>
          </reference>
          <reference field="2" count="1">
            <x v="5"/>
          </reference>
        </references>
      </pivotArea>
    </format>
    <format dxfId="186">
      <pivotArea dataOnly="0" labelOnly="1" outline="0" fieldPosition="0">
        <references count="1">
          <reference field="4294967294" count="2">
            <x v="0"/>
            <x v="1"/>
          </reference>
        </references>
      </pivotArea>
    </format>
    <format dxfId="185">
      <pivotArea outline="0" fieldPosition="0">
        <references count="1">
          <reference field="4294967294" count="1" selected="0">
            <x v="1"/>
          </reference>
        </references>
      </pivotArea>
    </format>
    <format dxfId="184">
      <pivotArea dataOnly="0" labelOnly="1" outline="0" fieldPosition="0">
        <references count="1">
          <reference field="4294967294" count="1">
            <x v="1"/>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1E76ECC-3B4E-4FF9-A371-5A6FD85D253F}" name="PivotTable1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Valentinrs day">
  <location ref="J14:J17" firstHeaderRow="1" firstDataRow="1" firstDataCol="1"/>
  <pivotFields count="7">
    <pivotField showAll="0"/>
    <pivotField axis="axisRow" showAll="0">
      <items count="31">
        <item x="20"/>
        <item x="12"/>
        <item x="10"/>
        <item x="7"/>
        <item x="13"/>
        <item x="2"/>
        <item x="23"/>
        <item x="0"/>
        <item x="4"/>
        <item x="29"/>
        <item x="8"/>
        <item x="27"/>
        <item x="5"/>
        <item x="9"/>
        <item x="11"/>
        <item x="26"/>
        <item x="15"/>
        <item x="24"/>
        <item x="17"/>
        <item x="6"/>
        <item x="14"/>
        <item x="28"/>
        <item x="1"/>
        <item x="19"/>
        <item x="22"/>
        <item x="25"/>
        <item x="18"/>
        <item x="21"/>
        <item x="3"/>
        <item x="16"/>
        <item t="default"/>
      </items>
    </pivotField>
    <pivotField axis="axisRow" showAll="0">
      <items count="31">
        <item x="0"/>
        <item x="18"/>
        <item x="15"/>
        <item x="1"/>
        <item x="7"/>
        <item x="12"/>
        <item x="24"/>
        <item x="27"/>
        <item x="29"/>
        <item x="5"/>
        <item x="17"/>
        <item x="25"/>
        <item x="16"/>
        <item x="19"/>
        <item x="22"/>
        <item x="23"/>
        <item x="9"/>
        <item x="3"/>
        <item x="28"/>
        <item x="4"/>
        <item x="8"/>
        <item x="13"/>
        <item x="11"/>
        <item x="14"/>
        <item x="20"/>
        <item x="26"/>
        <item x="2"/>
        <item x="10"/>
        <item x="6"/>
        <item x="21"/>
        <item t="default"/>
      </items>
    </pivotField>
    <pivotField axis="axisRow" showAll="0">
      <items count="3">
        <item sd="0" x="0"/>
        <item sd="0" x="1"/>
        <item t="default"/>
      </items>
    </pivotField>
    <pivotField showAll="0"/>
    <pivotField showAll="0"/>
    <pivotField showAll="0"/>
  </pivotFields>
  <rowFields count="3">
    <field x="3"/>
    <field x="1"/>
    <field x="2"/>
  </rowFields>
  <rowItems count="3">
    <i>
      <x/>
    </i>
    <i>
      <x v="1"/>
    </i>
    <i t="grand">
      <x/>
    </i>
  </rowItems>
  <colItems count="1">
    <i/>
  </colItems>
  <formats count="16">
    <format dxfId="100">
      <pivotArea type="all" dataOnly="0" outline="0" fieldPosition="0"/>
    </format>
    <format dxfId="99">
      <pivotArea field="3" type="button" dataOnly="0" labelOnly="1" outline="0" axis="axisRow" fieldPosition="0"/>
    </format>
    <format dxfId="98">
      <pivotArea dataOnly="0" labelOnly="1" fieldPosition="0">
        <references count="1">
          <reference field="3" count="0"/>
        </references>
      </pivotArea>
    </format>
    <format dxfId="97">
      <pivotArea dataOnly="0" labelOnly="1" grandRow="1" outline="0" fieldPosition="0"/>
    </format>
    <format dxfId="96">
      <pivotArea type="all" dataOnly="0" outline="0" fieldPosition="0"/>
    </format>
    <format dxfId="95">
      <pivotArea field="3" type="button" dataOnly="0" labelOnly="1" outline="0" axis="axisRow" fieldPosition="0"/>
    </format>
    <format dxfId="94">
      <pivotArea dataOnly="0" labelOnly="1" fieldPosition="0">
        <references count="1">
          <reference field="3" count="0"/>
        </references>
      </pivotArea>
    </format>
    <format dxfId="93">
      <pivotArea dataOnly="0" labelOnly="1" grandRow="1" outline="0" fieldPosition="0"/>
    </format>
    <format dxfId="92">
      <pivotArea type="all" dataOnly="0" outline="0" fieldPosition="0"/>
    </format>
    <format dxfId="91">
      <pivotArea field="3" type="button" dataOnly="0" labelOnly="1" outline="0" axis="axisRow" fieldPosition="0"/>
    </format>
    <format dxfId="90">
      <pivotArea dataOnly="0" labelOnly="1" fieldPosition="0">
        <references count="1">
          <reference field="3" count="0"/>
        </references>
      </pivotArea>
    </format>
    <format dxfId="89">
      <pivotArea dataOnly="0" labelOnly="1" grandRow="1" outline="0" fieldPosition="0"/>
    </format>
    <format dxfId="88">
      <pivotArea field="3" type="button" dataOnly="0" labelOnly="1" outline="0" axis="axisRow" fieldPosition="0"/>
    </format>
    <format dxfId="87">
      <pivotArea dataOnly="0" labelOnly="1" fieldPosition="0">
        <references count="1">
          <reference field="3" count="1">
            <x v="0"/>
          </reference>
        </references>
      </pivotArea>
    </format>
    <format dxfId="86">
      <pivotArea dataOnly="0" labelOnly="1" fieldPosition="0">
        <references count="1">
          <reference field="3" count="1">
            <x v="1"/>
          </reference>
        </references>
      </pivotArea>
    </format>
    <format dxfId="85">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1EC59ED-3DBE-4286-8D69-CDB67FADC71B}" name="PivotTable4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21:K36" firstHeaderRow="1" firstDataRow="1" firstDataCol="1"/>
  <pivotFields count="7">
    <pivotField dataField="1" showAll="0"/>
    <pivotField axis="axisRow" showAll="0">
      <items count="31">
        <item x="20"/>
        <item x="12"/>
        <item x="10"/>
        <item x="7"/>
        <item x="13"/>
        <item x="2"/>
        <item x="23"/>
        <item x="0"/>
        <item x="4"/>
        <item x="29"/>
        <item x="8"/>
        <item x="27"/>
        <item x="5"/>
        <item x="9"/>
        <item x="11"/>
        <item x="26"/>
        <item x="15"/>
        <item x="24"/>
        <item x="17"/>
        <item x="6"/>
        <item x="14"/>
        <item x="28"/>
        <item x="1"/>
        <item x="19"/>
        <item x="22"/>
        <item x="25"/>
        <item x="18"/>
        <item x="21"/>
        <item x="3"/>
        <item x="16"/>
        <item t="default"/>
      </items>
    </pivotField>
    <pivotField axis="axisRow" showAll="0">
      <items count="31">
        <item x="0"/>
        <item x="18"/>
        <item x="15"/>
        <item x="1"/>
        <item x="7"/>
        <item x="12"/>
        <item x="24"/>
        <item x="27"/>
        <item x="29"/>
        <item x="5"/>
        <item x="17"/>
        <item x="25"/>
        <item x="16"/>
        <item x="19"/>
        <item x="22"/>
        <item x="23"/>
        <item x="9"/>
        <item x="3"/>
        <item x="28"/>
        <item x="4"/>
        <item x="8"/>
        <item x="13"/>
        <item x="11"/>
        <item x="14"/>
        <item x="20"/>
        <item x="26"/>
        <item x="2"/>
        <item x="10"/>
        <item x="6"/>
        <item x="21"/>
        <item t="default"/>
      </items>
    </pivotField>
    <pivotField showAll="0"/>
    <pivotField showAll="0"/>
    <pivotField axis="axisRow" showAll="0">
      <items count="3">
        <item sd="0" x="0"/>
        <item x="1"/>
        <item t="default" sd="0"/>
      </items>
    </pivotField>
    <pivotField showAll="0"/>
  </pivotFields>
  <rowFields count="3">
    <field x="5"/>
    <field x="1"/>
    <field x="2"/>
  </rowFields>
  <rowItems count="15">
    <i>
      <x/>
    </i>
    <i>
      <x v="1"/>
    </i>
    <i r="1">
      <x v="5"/>
    </i>
    <i r="2">
      <x v="26"/>
    </i>
    <i r="1">
      <x v="16"/>
    </i>
    <i r="2">
      <x v="2"/>
    </i>
    <i r="1">
      <x v="21"/>
    </i>
    <i r="2">
      <x v="18"/>
    </i>
    <i r="1">
      <x v="24"/>
    </i>
    <i r="2">
      <x v="14"/>
    </i>
    <i r="1">
      <x v="26"/>
    </i>
    <i r="2">
      <x v="1"/>
    </i>
    <i r="1">
      <x v="27"/>
    </i>
    <i r="2">
      <x v="29"/>
    </i>
    <i t="grand">
      <x/>
    </i>
  </rowItems>
  <colItems count="1">
    <i/>
  </colItems>
  <dataFields count="1">
    <dataField name="Count of Employee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2D49CA6-9AEF-4342-86EE-7A4BF3961C70}" name="PivotTable9"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Majors">
  <location ref="L35:M48" firstHeaderRow="1" firstDataRow="1" firstDataCol="1"/>
  <pivotFields count="12">
    <pivotField axis="axisRow" showAll="0">
      <items count="5">
        <item x="3"/>
        <item h="1" x="2"/>
        <item h="1" x="1"/>
        <item h="1" x="0"/>
        <item t="default"/>
      </items>
    </pivotField>
    <pivotField axis="axisRow" showAll="0">
      <items count="5">
        <item x="3"/>
        <item x="2"/>
        <item x="0"/>
        <item x="1"/>
        <item t="default"/>
      </items>
    </pivotField>
    <pivotField numFmtId="14" showAll="0">
      <items count="10">
        <item x="0"/>
        <item x="6"/>
        <item x="1"/>
        <item x="4"/>
        <item x="7"/>
        <item x="3"/>
        <item x="5"/>
        <item x="8"/>
        <item x="2"/>
        <item t="default"/>
      </items>
    </pivotField>
    <pivotField axis="axisRow" numFmtId="14" showAll="0">
      <items count="13">
        <item x="10"/>
        <item x="11"/>
        <item x="0"/>
        <item x="1"/>
        <item x="2"/>
        <item x="3"/>
        <item x="4"/>
        <item x="5"/>
        <item x="6"/>
        <item x="7"/>
        <item x="8"/>
        <item x="9"/>
        <item t="default"/>
      </items>
    </pivotField>
    <pivotField numFmtId="168" showAll="0"/>
    <pivotField axis="axisRow" numFmtId="18" showAll="0">
      <items count="5">
        <item x="1"/>
        <item x="2"/>
        <item x="3"/>
        <item x="0"/>
        <item t="default"/>
      </items>
    </pivotField>
    <pivotField dataField="1" numFmtId="2"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9">
    <field x="0"/>
    <field x="1"/>
    <field x="8"/>
    <field x="7"/>
    <field x="10"/>
    <field x="9"/>
    <field x="3"/>
    <field x="11"/>
    <field x="5"/>
  </rowFields>
  <rowItems count="13">
    <i>
      <x/>
    </i>
    <i r="1">
      <x/>
    </i>
    <i r="2">
      <x v="7"/>
    </i>
    <i r="1">
      <x v="1"/>
    </i>
    <i r="2">
      <x v="6"/>
    </i>
    <i r="2">
      <x v="7"/>
    </i>
    <i r="2">
      <x v="8"/>
    </i>
    <i r="1">
      <x v="2"/>
    </i>
    <i r="2">
      <x v="7"/>
    </i>
    <i r="1">
      <x v="3"/>
    </i>
    <i r="2">
      <x v="6"/>
    </i>
    <i r="2">
      <x v="7"/>
    </i>
    <i t="grand">
      <x/>
    </i>
  </rowItems>
  <colItems count="1">
    <i/>
  </colItems>
  <dataFields count="1">
    <dataField name="Sum of hours" fld="6" baseField="0" baseItem="0"/>
  </dataFields>
  <formats count="55">
    <format dxfId="67">
      <pivotArea type="all" dataOnly="0" outline="0" fieldPosition="0"/>
    </format>
    <format dxfId="66">
      <pivotArea outline="0" collapsedLevelsAreSubtotals="1" fieldPosition="0"/>
    </format>
    <format dxfId="65">
      <pivotArea field="0" type="button" dataOnly="0" labelOnly="1" outline="0" axis="axisRow" fieldPosition="0"/>
    </format>
    <format dxfId="64">
      <pivotArea dataOnly="0" labelOnly="1" fieldPosition="0">
        <references count="1">
          <reference field="0" count="0"/>
        </references>
      </pivotArea>
    </format>
    <format dxfId="63">
      <pivotArea dataOnly="0" labelOnly="1" grandRow="1" outline="0" fieldPosition="0"/>
    </format>
    <format dxfId="62">
      <pivotArea dataOnly="0" labelOnly="1" fieldPosition="0">
        <references count="2">
          <reference field="0" count="0" selected="0"/>
          <reference field="1" count="0"/>
        </references>
      </pivotArea>
    </format>
    <format dxfId="61">
      <pivotArea dataOnly="0" labelOnly="1" fieldPosition="0">
        <references count="3">
          <reference field="0" count="0" selected="0"/>
          <reference field="1" count="1" selected="0">
            <x v="0"/>
          </reference>
          <reference field="8" count="1">
            <x v="7"/>
          </reference>
        </references>
      </pivotArea>
    </format>
    <format dxfId="60">
      <pivotArea dataOnly="0" labelOnly="1" fieldPosition="0">
        <references count="3">
          <reference field="0" count="0" selected="0"/>
          <reference field="1" count="1" selected="0">
            <x v="1"/>
          </reference>
          <reference field="8" count="3">
            <x v="6"/>
            <x v="7"/>
            <x v="8"/>
          </reference>
        </references>
      </pivotArea>
    </format>
    <format dxfId="59">
      <pivotArea dataOnly="0" labelOnly="1" fieldPosition="0">
        <references count="3">
          <reference field="0" count="0" selected="0"/>
          <reference field="1" count="1" selected="0">
            <x v="2"/>
          </reference>
          <reference field="8" count="1">
            <x v="7"/>
          </reference>
        </references>
      </pivotArea>
    </format>
    <format dxfId="58">
      <pivotArea dataOnly="0" labelOnly="1" fieldPosition="0">
        <references count="3">
          <reference field="0" count="0" selected="0"/>
          <reference field="1" count="1" selected="0">
            <x v="3"/>
          </reference>
          <reference field="8" count="2">
            <x v="6"/>
            <x v="7"/>
          </reference>
        </references>
      </pivotArea>
    </format>
    <format dxfId="57">
      <pivotArea dataOnly="0" labelOnly="1" outline="0" axis="axisValues" fieldPosition="0"/>
    </format>
    <format dxfId="56">
      <pivotArea type="all" dataOnly="0" outline="0" fieldPosition="0"/>
    </format>
    <format dxfId="55">
      <pivotArea outline="0" collapsedLevelsAreSubtotals="1" fieldPosition="0"/>
    </format>
    <format dxfId="54">
      <pivotArea field="0" type="button" dataOnly="0" labelOnly="1" outline="0" axis="axisRow" fieldPosition="0"/>
    </format>
    <format dxfId="53">
      <pivotArea dataOnly="0" labelOnly="1" fieldPosition="0">
        <references count="1">
          <reference field="0" count="0"/>
        </references>
      </pivotArea>
    </format>
    <format dxfId="52">
      <pivotArea dataOnly="0" labelOnly="1" grandRow="1" outline="0" fieldPosition="0"/>
    </format>
    <format dxfId="51">
      <pivotArea dataOnly="0" labelOnly="1" fieldPosition="0">
        <references count="2">
          <reference field="0" count="0" selected="0"/>
          <reference field="1" count="0"/>
        </references>
      </pivotArea>
    </format>
    <format dxfId="50">
      <pivotArea dataOnly="0" labelOnly="1" fieldPosition="0">
        <references count="3">
          <reference field="0" count="0" selected="0"/>
          <reference field="1" count="1" selected="0">
            <x v="0"/>
          </reference>
          <reference field="8" count="1">
            <x v="7"/>
          </reference>
        </references>
      </pivotArea>
    </format>
    <format dxfId="49">
      <pivotArea dataOnly="0" labelOnly="1" fieldPosition="0">
        <references count="3">
          <reference field="0" count="0" selected="0"/>
          <reference field="1" count="1" selected="0">
            <x v="1"/>
          </reference>
          <reference field="8" count="3">
            <x v="6"/>
            <x v="7"/>
            <x v="8"/>
          </reference>
        </references>
      </pivotArea>
    </format>
    <format dxfId="48">
      <pivotArea dataOnly="0" labelOnly="1" fieldPosition="0">
        <references count="3">
          <reference field="0" count="0" selected="0"/>
          <reference field="1" count="1" selected="0">
            <x v="2"/>
          </reference>
          <reference field="8" count="1">
            <x v="7"/>
          </reference>
        </references>
      </pivotArea>
    </format>
    <format dxfId="47">
      <pivotArea dataOnly="0" labelOnly="1" fieldPosition="0">
        <references count="3">
          <reference field="0" count="0" selected="0"/>
          <reference field="1" count="1" selected="0">
            <x v="3"/>
          </reference>
          <reference field="8" count="2">
            <x v="6"/>
            <x v="7"/>
          </reference>
        </references>
      </pivotArea>
    </format>
    <format dxfId="46">
      <pivotArea dataOnly="0" labelOnly="1" outline="0" axis="axisValues" fieldPosition="0"/>
    </format>
    <format dxfId="45">
      <pivotArea type="all" dataOnly="0" outline="0" fieldPosition="0"/>
    </format>
    <format dxfId="44">
      <pivotArea outline="0" collapsedLevelsAreSubtotals="1" fieldPosition="0"/>
    </format>
    <format dxfId="43">
      <pivotArea field="0" type="button" dataOnly="0" labelOnly="1" outline="0" axis="axisRow" fieldPosition="0"/>
    </format>
    <format dxfId="42">
      <pivotArea dataOnly="0" labelOnly="1" fieldPosition="0">
        <references count="1">
          <reference field="0" count="0"/>
        </references>
      </pivotArea>
    </format>
    <format dxfId="41">
      <pivotArea dataOnly="0" labelOnly="1" grandRow="1" outline="0" fieldPosition="0"/>
    </format>
    <format dxfId="40">
      <pivotArea dataOnly="0" labelOnly="1" fieldPosition="0">
        <references count="2">
          <reference field="0" count="0" selected="0"/>
          <reference field="1" count="0"/>
        </references>
      </pivotArea>
    </format>
    <format dxfId="39">
      <pivotArea dataOnly="0" labelOnly="1" fieldPosition="0">
        <references count="3">
          <reference field="0" count="0" selected="0"/>
          <reference field="1" count="1" selected="0">
            <x v="0"/>
          </reference>
          <reference field="8" count="1">
            <x v="7"/>
          </reference>
        </references>
      </pivotArea>
    </format>
    <format dxfId="38">
      <pivotArea dataOnly="0" labelOnly="1" fieldPosition="0">
        <references count="3">
          <reference field="0" count="0" selected="0"/>
          <reference field="1" count="1" selected="0">
            <x v="1"/>
          </reference>
          <reference field="8" count="3">
            <x v="6"/>
            <x v="7"/>
            <x v="8"/>
          </reference>
        </references>
      </pivotArea>
    </format>
    <format dxfId="37">
      <pivotArea dataOnly="0" labelOnly="1" fieldPosition="0">
        <references count="3">
          <reference field="0" count="0" selected="0"/>
          <reference field="1" count="1" selected="0">
            <x v="2"/>
          </reference>
          <reference field="8" count="1">
            <x v="7"/>
          </reference>
        </references>
      </pivotArea>
    </format>
    <format dxfId="36">
      <pivotArea dataOnly="0" labelOnly="1" fieldPosition="0">
        <references count="3">
          <reference field="0" count="0" selected="0"/>
          <reference field="1" count="1" selected="0">
            <x v="3"/>
          </reference>
          <reference field="8" count="2">
            <x v="6"/>
            <x v="7"/>
          </reference>
        </references>
      </pivotArea>
    </format>
    <format dxfId="35">
      <pivotArea dataOnly="0" labelOnly="1" outline="0" axis="axisValues" fieldPosition="0"/>
    </format>
    <format dxfId="34">
      <pivotArea type="all" dataOnly="0" outline="0" fieldPosition="0"/>
    </format>
    <format dxfId="33">
      <pivotArea outline="0" collapsedLevelsAreSubtotals="1" fieldPosition="0"/>
    </format>
    <format dxfId="32">
      <pivotArea field="0" type="button" dataOnly="0" labelOnly="1" outline="0" axis="axisRow" fieldPosition="0"/>
    </format>
    <format dxfId="31">
      <pivotArea dataOnly="0" labelOnly="1" fieldPosition="0">
        <references count="1">
          <reference field="0" count="0"/>
        </references>
      </pivotArea>
    </format>
    <format dxfId="30">
      <pivotArea dataOnly="0" labelOnly="1" grandRow="1" outline="0" fieldPosition="0"/>
    </format>
    <format dxfId="29">
      <pivotArea dataOnly="0" labelOnly="1" fieldPosition="0">
        <references count="2">
          <reference field="0" count="0" selected="0"/>
          <reference field="1" count="0"/>
        </references>
      </pivotArea>
    </format>
    <format dxfId="28">
      <pivotArea dataOnly="0" labelOnly="1" fieldPosition="0">
        <references count="3">
          <reference field="0" count="0" selected="0"/>
          <reference field="1" count="1" selected="0">
            <x v="0"/>
          </reference>
          <reference field="8" count="1">
            <x v="7"/>
          </reference>
        </references>
      </pivotArea>
    </format>
    <format dxfId="27">
      <pivotArea dataOnly="0" labelOnly="1" fieldPosition="0">
        <references count="3">
          <reference field="0" count="0" selected="0"/>
          <reference field="1" count="1" selected="0">
            <x v="1"/>
          </reference>
          <reference field="8" count="3">
            <x v="6"/>
            <x v="7"/>
            <x v="8"/>
          </reference>
        </references>
      </pivotArea>
    </format>
    <format dxfId="26">
      <pivotArea dataOnly="0" labelOnly="1" fieldPosition="0">
        <references count="3">
          <reference field="0" count="0" selected="0"/>
          <reference field="1" count="1" selected="0">
            <x v="2"/>
          </reference>
          <reference field="8" count="1">
            <x v="7"/>
          </reference>
        </references>
      </pivotArea>
    </format>
    <format dxfId="25">
      <pivotArea dataOnly="0" labelOnly="1" fieldPosition="0">
        <references count="3">
          <reference field="0" count="0" selected="0"/>
          <reference field="1" count="1" selected="0">
            <x v="3"/>
          </reference>
          <reference field="8" count="2">
            <x v="6"/>
            <x v="7"/>
          </reference>
        </references>
      </pivotArea>
    </format>
    <format dxfId="24">
      <pivotArea dataOnly="0" labelOnly="1" outline="0" axis="axisValues" fieldPosition="0"/>
    </format>
    <format dxfId="23">
      <pivotArea type="all" dataOnly="0" outline="0" fieldPosition="0"/>
    </format>
    <format dxfId="22">
      <pivotArea outline="0" collapsedLevelsAreSubtotals="1" fieldPosition="0"/>
    </format>
    <format dxfId="21">
      <pivotArea dataOnly="0" labelOnly="1" fieldPosition="0">
        <references count="1">
          <reference field="0" count="0"/>
        </references>
      </pivotArea>
    </format>
    <format dxfId="20">
      <pivotArea dataOnly="0" labelOnly="1" grandRow="1" outline="0" fieldPosition="0"/>
    </format>
    <format dxfId="19">
      <pivotArea dataOnly="0" labelOnly="1" fieldPosition="0">
        <references count="2">
          <reference field="0" count="0" selected="0"/>
          <reference field="1" count="0"/>
        </references>
      </pivotArea>
    </format>
    <format dxfId="18">
      <pivotArea dataOnly="0" labelOnly="1" fieldPosition="0">
        <references count="3">
          <reference field="0" count="0" selected="0"/>
          <reference field="1" count="1" selected="0">
            <x v="0"/>
          </reference>
          <reference field="8" count="1">
            <x v="7"/>
          </reference>
        </references>
      </pivotArea>
    </format>
    <format dxfId="17">
      <pivotArea dataOnly="0" labelOnly="1" fieldPosition="0">
        <references count="3">
          <reference field="0" count="0" selected="0"/>
          <reference field="1" count="1" selected="0">
            <x v="1"/>
          </reference>
          <reference field="8" count="3">
            <x v="6"/>
            <x v="7"/>
            <x v="8"/>
          </reference>
        </references>
      </pivotArea>
    </format>
    <format dxfId="16">
      <pivotArea dataOnly="0" labelOnly="1" fieldPosition="0">
        <references count="3">
          <reference field="0" count="0" selected="0"/>
          <reference field="1" count="1" selected="0">
            <x v="2"/>
          </reference>
          <reference field="8" count="1">
            <x v="7"/>
          </reference>
        </references>
      </pivotArea>
    </format>
    <format dxfId="15">
      <pivotArea dataOnly="0" labelOnly="1" fieldPosition="0">
        <references count="3">
          <reference field="0" count="0" selected="0"/>
          <reference field="1" count="1" selected="0">
            <x v="3"/>
          </reference>
          <reference field="8" count="2">
            <x v="6"/>
            <x v="7"/>
          </reference>
        </references>
      </pivotArea>
    </format>
    <format dxfId="14">
      <pivotArea dataOnly="0" labelOnly="1" outline="0" axis="axisValues" fieldPosition="0"/>
    </format>
    <format dxfId="13">
      <pivotArea field="0"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803D2E4-0BD0-4BB1-BD85-A5BA9EC4766D}" name="Library Fees" cacheId="5" applyNumberFormats="0" applyBorderFormats="0" applyFontFormats="0" applyPatternFormats="0" applyAlignmentFormats="0" applyWidthHeightFormats="1" dataCaption="Values" updatedVersion="7" minRefreshableVersion="3" useAutoFormatting="1" rowGrandTotals="0" itemPrintTitles="1" createdVersion="8" indent="0" compact="0" outline="1" outlineData="1" compactData="0" multipleFieldFilters="0">
  <location ref="K53:S134" firstHeaderRow="0" firstDataRow="1" firstDataCol="3"/>
  <pivotFields count="9">
    <pivotField axis="axisRow" compact="0" showAll="0">
      <items count="28">
        <item x="10"/>
        <item x="2"/>
        <item x="5"/>
        <item x="14"/>
        <item x="15"/>
        <item x="6"/>
        <item x="13"/>
        <item x="24"/>
        <item x="8"/>
        <item x="0"/>
        <item x="7"/>
        <item x="22"/>
        <item x="18"/>
        <item x="23"/>
        <item x="26"/>
        <item x="25"/>
        <item x="3"/>
        <item x="9"/>
        <item x="1"/>
        <item x="20"/>
        <item x="19"/>
        <item x="12"/>
        <item x="4"/>
        <item x="16"/>
        <item x="21"/>
        <item x="11"/>
        <item x="17"/>
        <item t="default"/>
      </items>
    </pivotField>
    <pivotField axis="axisRow" compact="0" showAll="0">
      <items count="27">
        <item x="13"/>
        <item x="23"/>
        <item x="6"/>
        <item x="16"/>
        <item x="1"/>
        <item x="11"/>
        <item x="22"/>
        <item x="7"/>
        <item x="2"/>
        <item x="8"/>
        <item x="12"/>
        <item x="20"/>
        <item x="0"/>
        <item x="10"/>
        <item x="19"/>
        <item x="14"/>
        <item x="5"/>
        <item x="25"/>
        <item x="3"/>
        <item x="17"/>
        <item x="21"/>
        <item x="24"/>
        <item x="4"/>
        <item x="15"/>
        <item x="18"/>
        <item x="9"/>
        <item t="default"/>
      </items>
    </pivotField>
    <pivotField axis="axisRow" compact="0" showAll="0">
      <items count="28">
        <item x="8"/>
        <item x="18"/>
        <item x="4"/>
        <item x="6"/>
        <item x="14"/>
        <item x="9"/>
        <item x="15"/>
        <item x="26"/>
        <item x="19"/>
        <item x="7"/>
        <item x="5"/>
        <item x="0"/>
        <item x="17"/>
        <item x="10"/>
        <item x="24"/>
        <item x="21"/>
        <item x="11"/>
        <item x="3"/>
        <item x="16"/>
        <item x="13"/>
        <item x="12"/>
        <item x="2"/>
        <item x="23"/>
        <item x="22"/>
        <item x="20"/>
        <item x="25"/>
        <item x="1"/>
        <item t="default"/>
      </items>
    </pivotField>
    <pivotField dataField="1" compact="0" numFmtId="169" showAll="0"/>
    <pivotField dataField="1" compact="0" numFmtId="169" showAll="0"/>
    <pivotField dataField="1" compact="0" numFmtId="169" showAll="0"/>
    <pivotField dataField="1" compact="0" numFmtId="169" showAll="0"/>
    <pivotField dataField="1" compact="0" numFmtId="169" showAll="0">
      <items count="16">
        <item x="5"/>
        <item x="11"/>
        <item x="9"/>
        <item x="6"/>
        <item x="3"/>
        <item x="8"/>
        <item x="1"/>
        <item x="4"/>
        <item x="14"/>
        <item x="13"/>
        <item x="7"/>
        <item x="10"/>
        <item x="2"/>
        <item x="0"/>
        <item x="12"/>
        <item t="default"/>
      </items>
    </pivotField>
    <pivotField dataField="1" compact="0" showAll="0"/>
  </pivotFields>
  <rowFields count="3">
    <field x="0"/>
    <field x="1"/>
    <field x="2"/>
  </rowFields>
  <rowItems count="81">
    <i>
      <x/>
    </i>
    <i r="1">
      <x v="13"/>
    </i>
    <i r="2">
      <x v="13"/>
    </i>
    <i>
      <x v="1"/>
    </i>
    <i r="1">
      <x v="8"/>
    </i>
    <i r="2">
      <x v="21"/>
    </i>
    <i>
      <x v="2"/>
    </i>
    <i r="1">
      <x v="16"/>
    </i>
    <i r="2">
      <x v="10"/>
    </i>
    <i>
      <x v="3"/>
    </i>
    <i r="1">
      <x v="15"/>
    </i>
    <i r="2">
      <x v="4"/>
    </i>
    <i>
      <x v="4"/>
    </i>
    <i r="1">
      <x v="23"/>
    </i>
    <i r="2">
      <x v="6"/>
    </i>
    <i>
      <x v="5"/>
    </i>
    <i r="1">
      <x v="2"/>
    </i>
    <i r="2">
      <x v="3"/>
    </i>
    <i>
      <x v="6"/>
    </i>
    <i r="1">
      <x/>
    </i>
    <i r="2">
      <x v="19"/>
    </i>
    <i>
      <x v="7"/>
    </i>
    <i r="1">
      <x v="1"/>
    </i>
    <i r="2">
      <x v="14"/>
    </i>
    <i>
      <x v="8"/>
    </i>
    <i r="1">
      <x v="9"/>
    </i>
    <i r="2">
      <x/>
    </i>
    <i>
      <x v="9"/>
    </i>
    <i r="1">
      <x v="12"/>
    </i>
    <i r="2">
      <x v="11"/>
    </i>
    <i>
      <x v="10"/>
    </i>
    <i r="1">
      <x v="7"/>
    </i>
    <i r="2">
      <x v="9"/>
    </i>
    <i>
      <x v="11"/>
    </i>
    <i r="1">
      <x v="20"/>
    </i>
    <i r="2">
      <x v="23"/>
    </i>
    <i>
      <x v="12"/>
    </i>
    <i r="1">
      <x v="19"/>
    </i>
    <i r="2">
      <x v="1"/>
    </i>
    <i>
      <x v="13"/>
    </i>
    <i r="1">
      <x v="6"/>
    </i>
    <i r="2">
      <x v="22"/>
    </i>
    <i>
      <x v="14"/>
    </i>
    <i r="1">
      <x v="17"/>
    </i>
    <i r="2">
      <x v="7"/>
    </i>
    <i>
      <x v="15"/>
    </i>
    <i r="1">
      <x v="21"/>
    </i>
    <i r="2">
      <x v="25"/>
    </i>
    <i>
      <x v="16"/>
    </i>
    <i r="1">
      <x v="18"/>
    </i>
    <i r="2">
      <x v="17"/>
    </i>
    <i>
      <x v="17"/>
    </i>
    <i r="1">
      <x v="25"/>
    </i>
    <i r="2">
      <x v="5"/>
    </i>
    <i>
      <x v="18"/>
    </i>
    <i r="1">
      <x v="4"/>
    </i>
    <i r="2">
      <x v="26"/>
    </i>
    <i>
      <x v="19"/>
    </i>
    <i r="1">
      <x v="14"/>
    </i>
    <i r="2">
      <x v="24"/>
    </i>
    <i>
      <x v="20"/>
    </i>
    <i r="1">
      <x v="24"/>
    </i>
    <i r="2">
      <x v="8"/>
    </i>
    <i>
      <x v="21"/>
    </i>
    <i r="1">
      <x v="10"/>
    </i>
    <i r="2">
      <x v="20"/>
    </i>
    <i>
      <x v="22"/>
    </i>
    <i r="1">
      <x v="22"/>
    </i>
    <i r="2">
      <x v="2"/>
    </i>
    <i>
      <x v="23"/>
    </i>
    <i r="1">
      <x v="10"/>
    </i>
    <i r="2">
      <x v="18"/>
    </i>
    <i>
      <x v="24"/>
    </i>
    <i r="1">
      <x v="11"/>
    </i>
    <i r="2">
      <x v="15"/>
    </i>
    <i>
      <x v="25"/>
    </i>
    <i r="1">
      <x v="5"/>
    </i>
    <i r="2">
      <x v="16"/>
    </i>
    <i>
      <x v="26"/>
    </i>
    <i r="1">
      <x v="3"/>
    </i>
    <i r="2">
      <x v="12"/>
    </i>
  </rowItems>
  <colFields count="1">
    <field x="-2"/>
  </colFields>
  <colItems count="6">
    <i>
      <x/>
    </i>
    <i i="1">
      <x v="1"/>
    </i>
    <i i="2">
      <x v="2"/>
    </i>
    <i i="3">
      <x v="3"/>
    </i>
    <i i="4">
      <x v="4"/>
    </i>
    <i i="5">
      <x v="5"/>
    </i>
  </colItems>
  <dataFields count="6">
    <dataField name="Sum of Term 1 " fld="3" baseField="0" baseItem="0"/>
    <dataField name="Sum of Term 2" fld="4" baseField="0" baseItem="0"/>
    <dataField name="Sum of Term 3" fld="5" baseField="0" baseItem="0"/>
    <dataField name="Sum of Term 4" fld="6" baseField="0" baseItem="0"/>
    <dataField name="Sum of Total fees" fld="7" baseField="0" baseItem="4294967295"/>
    <dataField name="Count of Status" fld="8" subtotal="count" baseField="0" baseItem="0"/>
  </dataFields>
  <pivotTableStyleInfo name="PivotStyleMedium11"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6E97438-17E1-4376-A06A-426A781CDEE3}" name="PivotTable7" cacheId="6"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0">
  <location ref="G29:H35" firstHeaderRow="1" firstDataRow="1" firstDataCol="1"/>
  <pivotFields count="5">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items count="7">
        <item x="4"/>
        <item x="0"/>
        <item x="1"/>
        <item x="5"/>
        <item x="2"/>
        <item x="3"/>
        <item t="default"/>
      </items>
      <extLst>
        <ext xmlns:x14="http://schemas.microsoft.com/office/spreadsheetml/2009/9/main" uri="{2946ED86-A175-432a-8AC1-64E0C546D7DE}">
          <x14:pivotField fillDownLabels="1"/>
        </ext>
      </extLst>
    </pivotField>
  </pivotFields>
  <rowFields count="1">
    <field x="4"/>
  </rowFields>
  <rowItems count="6">
    <i>
      <x/>
    </i>
    <i>
      <x v="1"/>
    </i>
    <i>
      <x v="2"/>
    </i>
    <i>
      <x v="3"/>
    </i>
    <i>
      <x v="4"/>
    </i>
    <i>
      <x v="5"/>
    </i>
  </rowItems>
  <colItems count="1">
    <i/>
  </colItems>
  <dataFields count="1">
    <dataField name="Count of Student ID" fld="0" subtotal="count" baseField="0" baseItem="0"/>
  </dataFields>
  <chartFormats count="1">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cementScore" xr10:uid="{9BE19BE3-0880-4B0F-93C7-292F7391E875}" sourceName="PlacementScore">
  <pivotTables>
    <pivotTable tabId="44" name="PivotTable41"/>
  </pivotTables>
  <data>
    <tabular pivotCacheId="17859958">
      <items count="74">
        <i x="1"/>
        <i x="2"/>
        <i x="3"/>
        <i x="4"/>
        <i x="5"/>
        <i x="6"/>
        <i x="7"/>
        <i x="8"/>
        <i x="9"/>
        <i x="0"/>
        <i x="10"/>
        <i x="11"/>
        <i x="12"/>
        <i x="13"/>
        <i x="14"/>
        <i x="15"/>
        <i x="16"/>
        <i x="17"/>
        <i x="18"/>
        <i x="19"/>
        <i x="20"/>
        <i x="21"/>
        <i x="22"/>
        <i x="23"/>
        <i x="24"/>
        <i x="25"/>
        <i x="26"/>
        <i x="27"/>
        <i x="28"/>
        <i x="29"/>
        <i x="30"/>
        <i x="31"/>
        <i x="32"/>
        <i x="33"/>
        <i x="34"/>
        <i x="35"/>
        <i x="36"/>
        <i x="37"/>
        <i x="38"/>
        <i x="39" s="1"/>
        <i x="40"/>
        <i x="41"/>
        <i x="42"/>
        <i x="43"/>
        <i x="44"/>
        <i x="45"/>
        <i x="46"/>
        <i x="47"/>
        <i x="48"/>
        <i x="49"/>
        <i x="50"/>
        <i x="51"/>
        <i x="52"/>
        <i x="53"/>
        <i x="54"/>
        <i x="55"/>
        <i x="56"/>
        <i x="57"/>
        <i x="58"/>
        <i x="59"/>
        <i x="60"/>
        <i x="61"/>
        <i x="62"/>
        <i x="63"/>
        <i x="64"/>
        <i x="65"/>
        <i x="66"/>
        <i x="67"/>
        <i x="68"/>
        <i x="69"/>
        <i x="71"/>
        <i x="72"/>
        <i x="70"/>
        <i x="7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 xr10:uid="{1A2FE758-637A-4432-892A-88C147EBC92E}" sourceName="d">
  <pivotTables>
    <pivotTable tabId="31" name="PivotTable42"/>
  </pivotTables>
  <data>
    <tabular pivotCacheId="693386919">
      <items count="4">
        <i x="3" s="1"/>
        <i x="2"/>
        <i x="1"/>
        <i x="0"/>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tal_fees" xr10:uid="{29322F98-3282-4C3B-9A41-87D1DBE882A5}" sourceName="Total fees">
  <data>
    <tabular pivotCacheId="715819014">
      <items count="15">
        <i x="5" s="1"/>
        <i x="11" s="1"/>
        <i x="9" s="1"/>
        <i x="6" s="1"/>
        <i x="3" s="1"/>
        <i x="8" s="1"/>
        <i x="1" s="1"/>
        <i x="4" s="1"/>
        <i x="14" s="1"/>
        <i x="13" s="1"/>
        <i x="7" s="1"/>
        <i x="10" s="1"/>
        <i x="2" s="1"/>
        <i x="0" s="1"/>
        <i x="1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1" xr10:uid="{9E459612-6CF9-4676-9067-FC5A494F09A5}" sourceName="d">
  <data>
    <tabular pivotCacheId="215689864">
      <items count="4">
        <i x="3" s="1"/>
        <i x="2"/>
        <i x="1"/>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 1" xr10:uid="{CFD7B826-F4B9-4E8B-9176-5B14AD798635}" cache="Slicer_d" caption="Class"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cementScore" xr10:uid="{9CDDD5B2-10B0-477E-A390-F6DAAA8E8DBA}" cache="Slicer_PlacementScore" caption="PlacementScore"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 2" xr10:uid="{7F9688C3-736E-485B-B041-9D5E45F71252}" cache="Slicer_d1" caption="Class"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otal fees" xr10:uid="{3E25CC28-96F6-4239-923B-C1DE9CCA3A58}" cache="Slicer_Total_fees" caption="Total fees" startItem="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485BA74-83AB-4702-8E72-0C820739AC57}" name="Schooldata" displayName="Schooldata" ref="A4:F105" totalsRowCount="1" headerRowDxfId="295" dataDxfId="294" totalsRowDxfId="292" tableBorderDxfId="293">
  <autoFilter ref="A4:F104" xr:uid="{24DB34C0-C4F9-46FD-8086-A64B302D1928}"/>
  <tableColumns count="6">
    <tableColumn id="1" xr3:uid="{09907606-DF5A-4A14-8A50-B07B9F783504}" name="Student ID" totalsRowFunction="count" dataDxfId="291" totalsRowDxfId="290" totalsRowCellStyle="20% - Accent2"/>
    <tableColumn id="2" xr3:uid="{106195F2-68B3-4CC0-8C23-C26796308865}" name="SLast Name" totalsRowFunction="count" dataDxfId="289" totalsRowDxfId="288" totalsRowCellStyle="20% - Accent2"/>
    <tableColumn id="3" xr3:uid="{767EC2A7-8B27-49C8-97B6-6FD8C3DACF05}" name="SFirst Names" totalsRowFunction="count" dataDxfId="287" totalsRowDxfId="286" totalsRowCellStyle="20% - Accent2"/>
    <tableColumn id="4" xr3:uid="{A732B555-CBE1-43C2-87CA-1CAFE4F09DCA}" name="PlacementExam 1" totalsRowFunction="average" dataDxfId="285" totalsRowDxfId="284" totalsRowCellStyle="20% - Accent2"/>
    <tableColumn id="5" xr3:uid="{52695639-4256-42D8-9549-74BB1EF71A6B}" name="PlacementExam 2" totalsRowFunction="average" dataDxfId="283" totalsRowDxfId="282" totalsRowCellStyle="20% - Accent2"/>
    <tableColumn id="6" xr3:uid="{1C226CAB-DFEB-49F1-8F57-F49CF9361C2C}" name="PlacementScore" totalsRowFunction="average" dataDxfId="281" totalsRowDxfId="280" dataCellStyle="20% - Accent2" totalsRowCellStyle="20% - Accent2">
      <calculatedColumnFormula>AVERAGE(D5:E5)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34E81C-B348-48D0-A97E-DF1065DFF607}" name="ClassAT1" displayName="ClassAT1" ref="A6:K19" totalsRowShown="0" dataDxfId="256" tableBorderDxfId="255">
  <autoFilter ref="A6:K19" xr:uid="{EFDC295E-008B-4A7E-9DCD-39C43E3C4337}"/>
  <sortState xmlns:xlrd2="http://schemas.microsoft.com/office/spreadsheetml/2017/richdata2" ref="A7:K19">
    <sortCondition ref="A6:A19"/>
  </sortState>
  <tableColumns count="11">
    <tableColumn id="1" xr3:uid="{FBC9F360-2041-4138-A2DB-897DCCC83C98}" name="Student ID" dataDxfId="254" dataCellStyle="20% - Accent2"/>
    <tableColumn id="2" xr3:uid="{E7F0E519-520F-4122-BDE4-00BFFEC77B87}" name="Last Name" dataDxfId="253" dataCellStyle="20% - Accent2"/>
    <tableColumn id="3" xr3:uid="{D98B48F4-4263-4572-BD28-0CF3B89EBF32}" name="First Names" dataDxfId="252" dataCellStyle="20% - Accent2"/>
    <tableColumn id="4" xr3:uid="{BD3A14FA-ECD5-43C4-935E-BAFA7D51A511}" name="Exam 1" dataDxfId="251"/>
    <tableColumn id="5" xr3:uid="{94AB7125-BD76-475E-9291-1AB96DCF2C06}" name="Exam 2" dataDxfId="250"/>
    <tableColumn id="6" xr3:uid="{5AB679C7-B986-48A2-8648-921AA4E85B1E}" name="Exam 3" dataDxfId="249"/>
    <tableColumn id="7" xr3:uid="{1BA07E9F-6590-4879-ACF5-48E236ED10DB}" name="Exam 4" dataDxfId="248"/>
    <tableColumn id="8" xr3:uid="{986BB3C3-2C30-40ED-902D-5762E9227BC7}" name="Homework precent" dataDxfId="247"/>
    <tableColumn id="9" xr3:uid="{CE4ECFAD-FC98-406D-8EA4-1430A0A003C1}" name="GPA" dataDxfId="246">
      <calculatedColumnFormula>D7*0.2+E7*0.2+F7*0.2+G7*0.2+H7*0.2</calculatedColumnFormula>
    </tableColumn>
    <tableColumn id="10" xr3:uid="{73EDFFE9-55B4-497C-BB8D-920AE2C82F06}" name="Letter Grade" dataDxfId="245">
      <calculatedColumnFormula>_xlfn.IFS(I7&gt;=97, "A+",I7&gt;= 90, "A",I7&gt;=86, "B+", I7&gt;=80, "B",I7&gt;=76, "C+", I7&gt;= 70, "C",I7&gt;= 60, "D",I7&lt; 60, "F")</calculatedColumnFormula>
    </tableColumn>
    <tableColumn id="11" xr3:uid="{22076B8A-FAEE-4C6F-B242-1B385F001354}" name="Class Rank" dataDxfId="244">
      <calculatedColumnFormula>RANK(ClassAT1[[#This Row],[GPA]],ClassAT1[GPA])</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E5D95AE-4009-4EB1-9AC9-7680D4308704}" name="ClassAT2" displayName="ClassAT2" ref="A22:K35" totalsRowShown="0" tableBorderDxfId="243">
  <autoFilter ref="A22:K35" xr:uid="{3E07A174-7366-4905-82E0-336582495776}"/>
  <sortState xmlns:xlrd2="http://schemas.microsoft.com/office/spreadsheetml/2017/richdata2" ref="A23:K35">
    <sortCondition ref="A22:A35"/>
  </sortState>
  <tableColumns count="11">
    <tableColumn id="1" xr3:uid="{9ECD2A62-AE72-48B4-B1CF-2AA2A8AB8116}" name="Student ID" dataDxfId="242" dataCellStyle="20% - Accent2"/>
    <tableColumn id="2" xr3:uid="{D6790CA2-8BA3-42B0-BAEC-748C63CE0907}" name="Last Name" dataDxfId="241" dataCellStyle="20% - Accent2"/>
    <tableColumn id="3" xr3:uid="{8E88FE20-CB6F-4B5A-B639-0B21D8B48351}" name="First Names" dataDxfId="240" dataCellStyle="20% - Accent2"/>
    <tableColumn id="4" xr3:uid="{5645A73E-7211-4A62-976F-CA2FB178BC49}" name="Exam 1" dataDxfId="239"/>
    <tableColumn id="5" xr3:uid="{F9B3FEC3-F66D-4A50-B1DF-DBD28FA75D50}" name="Exam 2" dataDxfId="238"/>
    <tableColumn id="6" xr3:uid="{087E3048-837E-4398-8EAA-9B3E30B718B2}" name="Exam 3" dataDxfId="237"/>
    <tableColumn id="7" xr3:uid="{F01D9E35-5318-431B-BE2C-340BF891BB35}" name="Exam 4" dataDxfId="236"/>
    <tableColumn id="8" xr3:uid="{D4D1DFA8-AE9A-453D-87CA-AC93E9CBF766}" name="Homework precent" dataDxfId="235"/>
    <tableColumn id="9" xr3:uid="{782FDAAB-59F4-4B1E-ACC3-526B1EB6EAD7}" name="GPA" dataDxfId="234">
      <calculatedColumnFormula>D23*0.2+E23*0.2+F23*0.2+G23*0.2+H23*0.2</calculatedColumnFormula>
    </tableColumn>
    <tableColumn id="10" xr3:uid="{D696FBF9-FC0B-407F-9FFA-2EC3F19756A5}" name="Letter Grade" dataDxfId="233">
      <calculatedColumnFormula>_xlfn.IFS(I23&gt;=97, "A+",I7&gt;= 90, "A",I23&gt;=86, "B+", I23&gt;=80, "B",I23&gt;=76, "C+", I23&gt;= 70, "C",I23&gt;= 60, "D",I23&lt; 60, "F")</calculatedColumnFormula>
    </tableColumn>
    <tableColumn id="11" xr3:uid="{D59F7F7F-5E90-4123-8998-03BEAC001E4A}" name="Class Rank" dataDxfId="232">
      <calculatedColumnFormula>RANK(ClassAT2[[#This Row],[GPA]],ClassAT2[GPA])</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92E42F6-47C1-4ACB-8867-CAF3ED0058B9}" name="ClassAT4" displayName="ClassAT4" ref="A54:K67" totalsRowShown="0" headerRowDxfId="231" tableBorderDxfId="230">
  <autoFilter ref="A54:K67" xr:uid="{CBAAD599-87F0-4270-9D19-002685533F45}"/>
  <sortState xmlns:xlrd2="http://schemas.microsoft.com/office/spreadsheetml/2017/richdata2" ref="A55:K67">
    <sortCondition ref="K54:K67"/>
  </sortState>
  <tableColumns count="11">
    <tableColumn id="1" xr3:uid="{61B1884C-2387-4A5B-A228-D0498A90ABA9}" name="Student ID" dataDxfId="229" dataCellStyle="20% - Accent2"/>
    <tableColumn id="2" xr3:uid="{B2015EF7-DF4E-49E5-9876-7FA6CE0BA6F4}" name="Last Name" dataDxfId="228" dataCellStyle="20% - Accent2"/>
    <tableColumn id="3" xr3:uid="{5DCBB597-A742-4AB9-B674-21D8EA1E467E}" name="First Names" dataDxfId="227" dataCellStyle="20% - Accent2"/>
    <tableColumn id="4" xr3:uid="{6E2BA767-E2C3-4496-A58E-FCE6FD5FA446}" name="Exam 1" dataDxfId="226"/>
    <tableColumn id="5" xr3:uid="{5055C4A4-3D87-418D-9C6A-61A9D0D21EB3}" name="Exam 2" dataDxfId="225"/>
    <tableColumn id="6" xr3:uid="{4F183411-66EA-44A5-893E-32C26609092D}" name="Exam 3" dataDxfId="224"/>
    <tableColumn id="7" xr3:uid="{015B1B4F-29DA-4AD1-8A4A-ABC770545807}" name="Exam 4" dataDxfId="223"/>
    <tableColumn id="8" xr3:uid="{DBBC7141-B3D6-43A1-A321-0FE6B154D805}" name="Homework precent" dataDxfId="222"/>
    <tableColumn id="9" xr3:uid="{DE21C6C0-DF94-4D0F-91F0-8EC64ABF04D1}" name="Final GPA" dataDxfId="221">
      <calculatedColumnFormula>ClassAT4[[#This Row],[Exam 1]]*0.2+ClassAT4[[#This Row],[Exam 2]]*0.2+ClassAT4[[#This Row],[Exam 3]]*0.2+ClassAT4[[#This Row],[Exam 4]]*0.2+ClassAT4[[#This Row],[Homework precent]]*0.2</calculatedColumnFormula>
    </tableColumn>
    <tableColumn id="11" xr3:uid="{A18C2A73-739B-476E-AE9F-69439A12AEF6}" name="Letter Grade" dataDxfId="220">
      <calculatedColumnFormula>_xlfn.IFS(I55&gt;=97, "A+",I55&gt;= 90, "A",I55&gt;=86, "B+", I55&gt;=80, "B",I55&gt;=76, "C+", I55&gt;= 70, "C",I55&gt;= 60, "D",I55&lt; 60, "F")</calculatedColumnFormula>
    </tableColumn>
    <tableColumn id="12" xr3:uid="{741AA32C-5D7C-4D58-A843-8CBA516E4287}" name="Rank" dataDxfId="219">
      <calculatedColumnFormula>RANK(ClassAT4[[#This Row],[Final GPA]],ClassAT4[Final GPA])</calculatedColumnFormula>
    </tableColumn>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5BF6CC1-721A-4B53-8A9A-93B77A91EB89}" name="ClassAT3" displayName="ClassAT3" ref="A38:K51" totalsRowShown="0" headerRowDxfId="218" tableBorderDxfId="217">
  <autoFilter ref="A38:K51" xr:uid="{A02CE853-7ED5-48EA-8847-0488DF82E1BF}"/>
  <sortState xmlns:xlrd2="http://schemas.microsoft.com/office/spreadsheetml/2017/richdata2" ref="A39:K51">
    <sortCondition ref="A38:A51"/>
  </sortState>
  <tableColumns count="11">
    <tableColumn id="1" xr3:uid="{5AEC5884-B4DA-46CC-BD11-6FA3F9B3E594}" name="Student ID" dataDxfId="216" dataCellStyle="20% - Accent2"/>
    <tableColumn id="2" xr3:uid="{79AB642C-7112-410C-9416-722B7C7AC39F}" name="Last Name" dataDxfId="215" dataCellStyle="20% - Accent2"/>
    <tableColumn id="3" xr3:uid="{65EE5422-DBC4-4E46-80A4-359156CA0A09}" name="First Names" dataDxfId="214" dataCellStyle="20% - Accent2"/>
    <tableColumn id="4" xr3:uid="{2234B033-1605-4FC7-A9D7-A53051CAB15B}" name="Exam 1" dataDxfId="213"/>
    <tableColumn id="5" xr3:uid="{C54178AD-3815-43EE-BD43-BF14522CDAE9}" name="Exam 2" dataDxfId="212"/>
    <tableColumn id="6" xr3:uid="{827A87DC-03C3-4E9B-B46A-6158C6CFECE8}" name="Exam 3" dataDxfId="211"/>
    <tableColumn id="7" xr3:uid="{4F3D912E-419C-4A58-B15E-2B4D71ECFE42}" name="Exam 4" dataDxfId="210"/>
    <tableColumn id="8" xr3:uid="{2BA01742-D610-4520-80A1-1BE80516F6CB}" name="Homework precent" dataDxfId="209"/>
    <tableColumn id="9" xr3:uid="{45341BD6-A940-47B4-B6F0-B45833F1EEA7}" name="GPA" dataDxfId="208">
      <calculatedColumnFormula>ClassAT3[[#This Row],[Exam 1]]*0.2+ClassAT3[[#This Row],[Exam 2]]*0.2+ClassAT3[[#This Row],[Exam 3]]*0.2+ClassAT3[[#This Row],[Exam 4]]*0.2+ClassAT3[[#This Row],[Homework precent]]*0.2</calculatedColumnFormula>
    </tableColumn>
    <tableColumn id="10" xr3:uid="{8FB89EAE-C0F7-47CF-BEDC-777A7FAD3C74}" name="Letter Grade" dataDxfId="207">
      <calculatedColumnFormula>_xlfn.IFS(I39&gt;=97, "A+",I39&gt;= 90, "A",I39&gt;=86, "B+", I39&gt;=80, "B",I39&gt;=76, "C+", I39&gt;= 70, "C",I39&gt;= 60, "D",I39&lt; 60, "F")</calculatedColumnFormula>
    </tableColumn>
    <tableColumn id="11" xr3:uid="{C03E4650-A044-4571-A89A-BF56F95396BF}" name="Class Rank" dataDxfId="206">
      <calculatedColumnFormula>RANK(ClassAT3[[#This Row],[GPA]],ClassAT3[GPA])</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CAE2E56-AA05-4302-9CF1-5EE0B9F3D11F}" name="Table8" displayName="Table8" ref="A3:K13" totalsRowShown="0" headerRowDxfId="163" headerRowBorderDxfId="162" tableBorderDxfId="161">
  <autoFilter ref="A3:K13" xr:uid="{3091386C-575D-4C7B-9B1E-FBC3C0AF3FB6}"/>
  <tableColumns count="11">
    <tableColumn id="1" xr3:uid="{DEB1CD20-72B9-4CF8-A36D-6DDD741CC8EA}" name="Student ID" dataDxfId="160" dataCellStyle="20% - Accent2"/>
    <tableColumn id="2" xr3:uid="{EDFCE116-3043-4CBF-AA41-D49850A859FF}" name="Last Name" dataDxfId="159" dataCellStyle="20% - Accent2"/>
    <tableColumn id="3" xr3:uid="{C2E7682C-2B61-40C4-A096-68469B0C233D}" name="First Names" dataDxfId="158" dataCellStyle="20% - Accent2"/>
    <tableColumn id="4" xr3:uid="{82DF953F-75F3-4B2D-AF72-51D72C18D1CD}" name="Test 1" dataDxfId="157" dataCellStyle="20% - Accent2"/>
    <tableColumn id="5" xr3:uid="{508062FD-C05E-45E6-A8B0-882480CE2133}" name="Test 2" dataDxfId="156" dataCellStyle="20% - Accent2"/>
    <tableColumn id="6" xr3:uid="{D4252475-6EDA-4511-AF2F-58DE93856293}" name="HW" dataDxfId="155"/>
    <tableColumn id="7" xr3:uid="{C0091486-9B56-4583-8D01-7B16E8AD9455}" name="Project" dataDxfId="154"/>
    <tableColumn id="8" xr3:uid="{35987728-9F07-4967-88AD-0A80FC48F513}" name="Final Exam" dataDxfId="153"/>
    <tableColumn id="9" xr3:uid="{E6A69935-DF0D-489F-B263-8B107B89FC52}" name="Final Grade" dataDxfId="152">
      <calculatedColumnFormula>AVERAGE(Table8[[#This Row],[Test 1]:[Final Exam]])</calculatedColumnFormula>
    </tableColumn>
    <tableColumn id="10" xr3:uid="{9CAF2A30-34EC-40F2-BCE1-A39482220183}" name="Letter Grade" dataDxfId="151"/>
    <tableColumn id="11" xr3:uid="{2314C9C2-93D1-4C68-80FF-290AEF52EAD7}" name="GPA" dataDxfId="150">
      <calculatedColumnFormula>(D4*0.2)+(E4*0.2)+(F4*0.2)+(G4*0.2)+(H4*0.2)</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6B3AA85-3F4C-40D8-A9B5-D95B897ECDA3}" name="Table11" displayName="Table11" ref="A17:K27" totalsRowShown="0" headerRowDxfId="149" dataDxfId="147" headerRowBorderDxfId="148" tableBorderDxfId="146">
  <autoFilter ref="A17:K27" xr:uid="{C0BBA93D-ECD4-474C-9806-CF9C10E42881}"/>
  <tableColumns count="11">
    <tableColumn id="1" xr3:uid="{CC5D10AE-3B24-4DBC-9512-90FB2C5CD1AF}" name="Student ID" dataDxfId="145" dataCellStyle="20% - Accent2"/>
    <tableColumn id="2" xr3:uid="{9D4C2AF7-8E55-486B-82A6-307B4CF48A0D}" name="Last Name" dataDxfId="144" dataCellStyle="20% - Accent2"/>
    <tableColumn id="3" xr3:uid="{E6691356-42E7-40D1-A515-1755377B4783}" name="First Names" dataDxfId="143" dataCellStyle="20% - Accent2"/>
    <tableColumn id="4" xr3:uid="{B200F1C4-CDB0-47F5-AB93-14592C6A6427}" name="Test 1" dataDxfId="142"/>
    <tableColumn id="5" xr3:uid="{F0E46779-B3C8-4624-9BD1-09C2236C3DB7}" name="Test 2" dataDxfId="141"/>
    <tableColumn id="6" xr3:uid="{983AABE7-F2B2-4279-A99B-A2834ACBAA4C}" name="HW" dataDxfId="140"/>
    <tableColumn id="7" xr3:uid="{52D853AC-B26B-4E41-AF33-10A78BA62475}" name="Project" dataDxfId="139"/>
    <tableColumn id="8" xr3:uid="{2AB9B632-FEFC-469D-9151-6324A131F580}" name="Final Exam" dataDxfId="138"/>
    <tableColumn id="9" xr3:uid="{3F8F9FC0-9CC3-4835-BCA8-272692FB3466}" name="Final Grade" dataDxfId="137">
      <calculatedColumnFormula>AVERAGE(D18:H18)</calculatedColumnFormula>
    </tableColumn>
    <tableColumn id="10" xr3:uid="{66ECDC7B-C0C5-4A7A-8616-1C435A5E0655}" name="Letter Grade" dataDxfId="136"/>
    <tableColumn id="11" xr3:uid="{0D11D47F-AE49-410B-8CBA-B20F69358095}" name="GPA" dataDxfId="135">
      <calculatedColumnFormula>(D18*0.2)+(E18*0.2)+(F18*0.2)+(G18*0.2)+(H18*0.2)</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A8EFF9CA-5693-4DD7-8786-2F390CC335A8}" name="Table13" displayName="Table13" ref="A30:K40" totalsRowShown="0" headerRowDxfId="134" dataDxfId="132" headerRowBorderDxfId="133" tableBorderDxfId="131" totalsRowBorderDxfId="130">
  <autoFilter ref="A30:K40" xr:uid="{8F1C460D-E4A9-4B9C-BD02-7BB023E51206}"/>
  <tableColumns count="11">
    <tableColumn id="1" xr3:uid="{8E1A345F-78F6-4D51-BBDE-AFEBBE0A4A1F}" name="Student ID" dataDxfId="129" dataCellStyle="20% - Accent2"/>
    <tableColumn id="2" xr3:uid="{6A6E6E65-07A1-449A-A304-26B28AEBEF6D}" name="Last Name" dataDxfId="128" dataCellStyle="20% - Accent2"/>
    <tableColumn id="3" xr3:uid="{1851B854-E2AB-4784-A2F4-1AD0052DC879}" name="First Names" dataDxfId="127" dataCellStyle="20% - Accent2"/>
    <tableColumn id="4" xr3:uid="{15F6B37D-4F88-4232-BDF4-780FD2D9D732}" name="Test 1" dataDxfId="126"/>
    <tableColumn id="5" xr3:uid="{D3137187-B923-4ECF-9A2A-1427CBC42CB0}" name="Test 2" dataDxfId="125"/>
    <tableColumn id="6" xr3:uid="{9494682E-1611-4111-A699-B5F71801AFA3}" name="HW" dataDxfId="124"/>
    <tableColumn id="7" xr3:uid="{FC9B015C-5542-4FE5-879F-6F0AE828CFAC}" name="Project" dataDxfId="123"/>
    <tableColumn id="8" xr3:uid="{BAD31F7F-1F78-411F-B7DC-DA737F0FC071}" name="Final Exam" dataDxfId="122"/>
    <tableColumn id="9" xr3:uid="{AA6C1CD5-22C9-4174-9696-A7F36F5FC2DB}" name="Final Grade" dataDxfId="121">
      <calculatedColumnFormula>AVERAGE(Table13[[#This Row],[Test 1]:[Final Exam]])</calculatedColumnFormula>
    </tableColumn>
    <tableColumn id="10" xr3:uid="{27E6D084-0014-417D-9F98-B73B261A0580}" name="Letter Grade" dataDxfId="120"/>
    <tableColumn id="11" xr3:uid="{9AF43F83-E429-42A4-9298-98F3C52204E1}" name="GPA" dataDxfId="119">
      <calculatedColumnFormula>(D31*0.2)+(E31*0.2)+(F31*0.2)+(G31*0.2)+(H31*0.2)</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4A0021-8C5E-4724-8DD4-1F9D8F170FBC}" name="Table7" displayName="Table7" ref="A43:L53" totalsRowShown="0" headerRowDxfId="118" dataDxfId="116" headerRowBorderDxfId="117" tableBorderDxfId="115">
  <autoFilter ref="A43:L53" xr:uid="{A4CD0A50-6EA2-4931-BBAA-471E5EDEB70A}"/>
  <tableColumns count="12">
    <tableColumn id="1" xr3:uid="{A72DA0A6-7B45-449B-B799-5C3A6F4214F0}" name="Student ID" dataDxfId="114" dataCellStyle="20% - Accent2"/>
    <tableColumn id="2" xr3:uid="{85FB1D9D-3298-4C2C-B89D-08EEC1887DA1}" name="Last Name" dataDxfId="113" dataCellStyle="20% - Accent2"/>
    <tableColumn id="3" xr3:uid="{F13C13B6-CB62-40A9-9D5E-A3507F2AFC9E}" name="First Names" dataDxfId="112" dataCellStyle="20% - Accent2"/>
    <tableColumn id="4" xr3:uid="{17BC57A4-A7D0-48AE-94B1-6029E8B4D562}" name="Test 1" dataDxfId="111"/>
    <tableColumn id="5" xr3:uid="{BF2F8EB4-A25E-4CCA-8D2E-10665AC67662}" name="Test 2" dataDxfId="110"/>
    <tableColumn id="6" xr3:uid="{22A82EE4-1C5C-41C6-8F9A-51138353DB72}" name="HW" dataDxfId="109"/>
    <tableColumn id="7" xr3:uid="{40EBCD0A-5CE1-4F02-9764-6ED73E4AA6F1}" name="Project" dataDxfId="108"/>
    <tableColumn id="8" xr3:uid="{5DB68793-1950-4B1D-B030-CA25A99C2CE9}" name="Final Exam" dataDxfId="107"/>
    <tableColumn id="9" xr3:uid="{07303BE7-BEA0-4D9D-B496-819922FE7784}" name="Final Grade" dataDxfId="106">
      <calculatedColumnFormula>AVERAGE(Table7[[#This Row],[Test 1]:[Final Exam]])</calculatedColumnFormula>
    </tableColumn>
    <tableColumn id="10" xr3:uid="{123AF322-523E-4688-8983-E4E6C5C72BB6}" name="Letter Grade" dataDxfId="105"/>
    <tableColumn id="11" xr3:uid="{2E797CD0-E519-45C1-A84D-051B236A8F56}" name="GPA" dataDxfId="104">
      <calculatedColumnFormula>(D44*0.2)+(E44*0.2)+(F44*0.2)+(G44*0.2)+(H44*0.2)</calculatedColumnFormula>
    </tableColumn>
    <tableColumn id="12" xr3:uid="{12C094B8-95D3-4BC6-BE6D-711DAB326961}" name="Rank" dataDxfId="103">
      <calculatedColumnFormula>RANK(Table7[[#This Row],[GPA]],Table7[GPA])</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403D5-0A09-40C4-87DE-CDBE2D8A0DD6}" name="TeachersList" displayName="TeachersList" ref="B5:H36" totalsRowCount="1" headerRowDxfId="84" dataDxfId="83" totalsRowDxfId="82">
  <autoFilter ref="B5:H35" xr:uid="{BD030CA5-DAF7-4119-AF71-2CF6B1F8A5FD}"/>
  <sortState xmlns:xlrd2="http://schemas.microsoft.com/office/spreadsheetml/2017/richdata2" ref="B6:H35">
    <sortCondition ref="C5:C35"/>
  </sortState>
  <tableColumns count="7">
    <tableColumn id="9" xr3:uid="{46AFB7FF-95EB-4FCE-A7B8-1B2A6FE5BC46}" name="Employee ID" totalsRowLabel="Total chaperones" dataDxfId="81" totalsRowDxfId="80"/>
    <tableColumn id="1" xr3:uid="{BFD3CB3A-426D-4D23-B52D-AE80ADF9DF54}" name="TLastName" dataDxfId="79" totalsRowDxfId="78"/>
    <tableColumn id="2" xr3:uid="{67B20EF1-F2F1-444D-B90C-0DC3E02BDBE9}" name="TFirstName" dataDxfId="77" totalsRowDxfId="76"/>
    <tableColumn id="4" xr3:uid="{21FF2665-8CC5-4795-BF58-E08EF5415CA0}" name="Valentines day dance" totalsRowFunction="custom" dataDxfId="75" totalsRowDxfId="74">
      <calculatedColumnFormula>IF(RAND()&lt;0.25,"Yes","No")</calculatedColumnFormula>
      <totalsRowFormula>COUNTIF(TeachersList[Valentines day dance],"YES")</totalsRowFormula>
    </tableColumn>
    <tableColumn id="5" xr3:uid="{502A6586-F9BF-4419-9C3D-D4493150CE32}" name="Holloween dance" totalsRowFunction="custom" dataDxfId="73" totalsRowDxfId="72">
      <calculatedColumnFormula>IF(E6="Yes","No","Yes")</calculatedColumnFormula>
      <totalsRowFormula>COUNTIF(TeachersList[Holloween dance],"YES")</totalsRowFormula>
    </tableColumn>
    <tableColumn id="6" xr3:uid="{FED78C42-1EE7-4627-85D3-EA55C6004682}" name="Prom" totalsRowFunction="custom" dataDxfId="71" totalsRowDxfId="70">
      <calculatedColumnFormula>IF(F6="Yes","No","Yes")</calculatedColumnFormula>
      <totalsRowFormula>COUNTIF(TeachersList[Prom],"YES")</totalsRowFormula>
    </tableColumn>
    <tableColumn id="7" xr3:uid="{C82CFEA8-D3A8-46A6-9050-F92021959299}" name="Annual school trip" totalsRowFunction="custom" dataDxfId="69" totalsRowDxfId="68">
      <calculatedColumnFormula>IF(G6="Yes","No","Yes")</calculatedColumnFormula>
      <totalsRowFormula>COUNTIF(TeachersList[Annual school trip],"YES")</totalsRowFormula>
    </tableColumn>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FCA2391-8D3B-44AA-A4CE-394DED22919E}" name="Table10163" displayName="Table10163" ref="B1:J2" totalsRowShown="0" headerRowDxfId="12" dataDxfId="10" headerRowBorderDxfId="11" tableBorderDxfId="9">
  <autoFilter ref="B1:J2" xr:uid="{8D1E0E15-15E0-4374-B181-F90EA0F8E586}"/>
  <tableColumns count="9">
    <tableColumn id="1" xr3:uid="{4A612CFF-8DFF-43C3-8FFD-0ACB99A4757A}" name="Last Name" dataDxfId="8"/>
    <tableColumn id="2" xr3:uid="{03D5E14D-109D-4BDE-A590-A1BA3158FF9D}" name="First Name" dataDxfId="7"/>
    <tableColumn id="10" xr3:uid="{72230C5E-3567-478B-A1D1-EBC629D343D7}" name="Classes" dataDxfId="6"/>
    <tableColumn id="4" xr3:uid="{8F0C2249-5174-4C45-8657-A2EC2508EC57}" name="Major" dataDxfId="5">
      <calculatedColumnFormula>VLOOKUP(RAND(),$L$9:$M$12,2,TRUE)</calculatedColumnFormula>
    </tableColumn>
    <tableColumn id="5" xr3:uid="{E5A1DC9B-3768-466A-9C99-F461804E0E0A}" name="Start Date" dataDxfId="4"/>
    <tableColumn id="6" xr3:uid="{9AC33F6F-DFC2-41FF-8764-8F100BFBA455}" name="End Date" dataDxfId="3"/>
    <tableColumn id="7" xr3:uid="{8F10A736-A7D0-4CA9-A60A-F3514D71DD93}" name="Start Time" dataDxfId="2">
      <calculatedColumnFormula>VLOOKUP(RAND(),$L$16:$M$19,2,TRUE)</calculatedColumnFormula>
    </tableColumn>
    <tableColumn id="8" xr3:uid="{B6F06DCE-3B13-4747-9A31-79F88A74BE8A}" name=" End Time" dataDxfId="1">
      <calculatedColumnFormula>VLOOKUP(RAND(),$L$22:$M$25,2,TRUE)</calculatedColumnFormula>
    </tableColumn>
    <tableColumn id="9" xr3:uid="{E01B7634-47E6-446F-9937-819CE6A0D238}" name="Total Hours per day" dataDxfId="0">
      <calculatedColumnFormula>HOUR(I2-H2)</calculatedColumnFormula>
    </tableColumn>
  </tableColumns>
  <tableStyleInfo name="TableStyleMedium2" showFirstColumn="0" showLastColumn="0" showRowStripes="1" showColumnStripes="0"/>
</table>
</file>

<file path=xl/theme/_rels/theme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theme/theme1.xml><?xml version="1.0" encoding="utf-8"?>
<a:theme xmlns:a="http://schemas.openxmlformats.org/drawingml/2006/main" name="Organic">
  <a:themeElements>
    <a:clrScheme name="Organic">
      <a:dk1>
        <a:sysClr val="windowText" lastClr="000000"/>
      </a:dk1>
      <a:lt1>
        <a:sysClr val="window" lastClr="FFFFFF"/>
      </a:lt1>
      <a:dk2>
        <a:srgbClr val="212121"/>
      </a:dk2>
      <a:lt2>
        <a:srgbClr val="DADADA"/>
      </a:lt2>
      <a:accent1>
        <a:srgbClr val="83992A"/>
      </a:accent1>
      <a:accent2>
        <a:srgbClr val="3C9770"/>
      </a:accent2>
      <a:accent3>
        <a:srgbClr val="44709D"/>
      </a:accent3>
      <a:accent4>
        <a:srgbClr val="A23C33"/>
      </a:accent4>
      <a:accent5>
        <a:srgbClr val="D97828"/>
      </a:accent5>
      <a:accent6>
        <a:srgbClr val="DEB340"/>
      </a:accent6>
      <a:hlink>
        <a:srgbClr val="A8BF4D"/>
      </a:hlink>
      <a:folHlink>
        <a:srgbClr val="B4CA80"/>
      </a:folHlink>
    </a:clrScheme>
    <a:fontScheme name="Organic">
      <a:majorFont>
        <a:latin typeface="Garamond" panose="02020404030301010803"/>
        <a:ea typeface=""/>
        <a:cs typeface=""/>
        <a:font script="Jpan" typeface="ＭＳ Ｐゴシック"/>
        <a:font script="Hang" typeface="돋움"/>
        <a:font script="Hans" typeface="方正舒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Garamond" panose="02020404030301010803"/>
        <a:ea typeface=""/>
        <a:cs typeface=""/>
        <a:font script="Jpan" typeface="ＭＳ Ｐ明朝"/>
        <a:font script="Hang" typeface="바탕"/>
        <a:font script="Hans" typeface="方正舒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inorFont>
    </a:fontScheme>
    <a:fmtScheme name="Organic">
      <a:fillStyleLst>
        <a:solidFill>
          <a:schemeClr val="phClr"/>
        </a:solidFill>
        <a:gradFill rotWithShape="1">
          <a:gsLst>
            <a:gs pos="0">
              <a:schemeClr val="phClr">
                <a:tint val="60000"/>
                <a:lumMod val="110000"/>
              </a:schemeClr>
            </a:gs>
            <a:gs pos="100000">
              <a:schemeClr val="phClr">
                <a:tint val="82000"/>
              </a:schemeClr>
            </a:gs>
          </a:gsLst>
          <a:lin ang="5400000" scaled="0"/>
        </a:gradFill>
        <a:blipFill>
          <a:blip xmlns:r="http://schemas.openxmlformats.org/officeDocument/2006/relationships" r:embed="rId1">
            <a:duotone>
              <a:schemeClr val="phClr">
                <a:shade val="74000"/>
                <a:satMod val="130000"/>
                <a:lumMod val="90000"/>
              </a:schemeClr>
              <a:schemeClr val="phClr">
                <a:tint val="94000"/>
                <a:satMod val="120000"/>
                <a:lumMod val="104000"/>
              </a:schemeClr>
            </a:duotone>
          </a:blip>
          <a:tile tx="0" ty="0" sx="100000" sy="100000" flip="none" algn="tl"/>
        </a:blipFill>
      </a:fillStyleLst>
      <a:lnStyleLst>
        <a:ln w="9525" cap="flat" cmpd="sng" algn="ctr">
          <a:solidFill>
            <a:schemeClr val="phClr"/>
          </a:solidFill>
          <a:prstDash val="solid"/>
        </a:ln>
        <a:ln w="15875" cap="flat" cmpd="sng" algn="ctr">
          <a:solidFill>
            <a:schemeClr val="phClr"/>
          </a:solidFill>
          <a:prstDash val="solid"/>
        </a:ln>
        <a:ln w="25400" cap="flat" cmpd="sng" algn="ctr">
          <a:solidFill>
            <a:schemeClr val="phClr"/>
          </a:solidFill>
          <a:prstDash val="solid"/>
        </a:ln>
      </a:lnStyleLst>
      <a:effectStyleLst>
        <a:effectStyle>
          <a:effectLst/>
        </a:effectStyle>
        <a:effectStyle>
          <a:effectLst>
            <a:innerShdw blurRad="25400" dist="12700" dir="13500000">
              <a:srgbClr val="000000">
                <a:alpha val="45000"/>
              </a:srgbClr>
            </a:innerShdw>
          </a:effectLst>
        </a:effectStyle>
        <a:effectStyle>
          <a:effectLst>
            <a:outerShdw blurRad="38100" dist="25400" dir="5400000" rotWithShape="0">
              <a:srgbClr val="000000">
                <a:alpha val="60000"/>
              </a:srgbClr>
            </a:outerShdw>
          </a:effectLst>
        </a:effectStyle>
      </a:effectStyleLst>
      <a:bgFillStyleLst>
        <a:solidFill>
          <a:schemeClr val="phClr"/>
        </a:solidFill>
        <a:gradFill rotWithShape="1">
          <a:gsLst>
            <a:gs pos="0">
              <a:schemeClr val="phClr">
                <a:tint val="90000"/>
                <a:lumMod val="110000"/>
              </a:schemeClr>
            </a:gs>
            <a:gs pos="100000">
              <a:schemeClr val="phClr">
                <a:shade val="88000"/>
                <a:lumMod val="98000"/>
              </a:schemeClr>
            </a:gs>
          </a:gsLst>
          <a:lin ang="5400000" scaled="0"/>
        </a:gradFill>
        <a:blipFill>
          <a:blip xmlns:r="http://schemas.openxmlformats.org/officeDocument/2006/relationships" r:embed="rId2"/>
          <a:stretch/>
        </a:blipFill>
      </a:bgFillStyleLst>
    </a:fmtScheme>
  </a:themeElements>
  <a:objectDefaults/>
  <a:extraClrSchemeLst/>
  <a:extLst>
    <a:ext uri="{05A4C25C-085E-4340-85A3-A5531E510DB2}">
      <thm15:themeFamily xmlns:thm15="http://schemas.microsoft.com/office/thememl/2012/main" name="Organic" id="{28CDC826-8792-45C0-861B-85EB3ADEDA33}" vid="{7DAC20F1-423D-49E2-BD0B-50532748BAD0}"/>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4.emf"/><Relationship Id="rId5" Type="http://schemas.openxmlformats.org/officeDocument/2006/relationships/control" Target="../activeX/activeX1.xml"/><Relationship Id="rId4" Type="http://schemas.openxmlformats.org/officeDocument/2006/relationships/image" Target="../media/image3.jpeg"/></Relationships>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ivotTable" Target="../pivotTables/pivotTable1.xm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5.xml"/><Relationship Id="rId1" Type="http://schemas.openxmlformats.org/officeDocument/2006/relationships/pivotTable" Target="../pivotTables/pivotTable3.xm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2.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drawing" Target="../drawings/drawing9.xml"/><Relationship Id="rId5" Type="http://schemas.openxmlformats.org/officeDocument/2006/relationships/table" Target="../tables/table9.xml"/><Relationship Id="rId4"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drawing" Target="../drawings/drawing12.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pivotTable" Target="../pivotTables/pivotTable7.xml"/><Relationship Id="rId6" Type="http://schemas.openxmlformats.org/officeDocument/2006/relationships/ctrlProp" Target="../ctrlProps/ctrlProp6.xml"/><Relationship Id="rId5" Type="http://schemas.openxmlformats.org/officeDocument/2006/relationships/ctrlProp" Target="../ctrlProps/ctrlProp5.xml"/><Relationship Id="rId10" Type="http://schemas.microsoft.com/office/2007/relationships/slicer" Target="../slicers/slicer3.xml"/><Relationship Id="rId4" Type="http://schemas.openxmlformats.org/officeDocument/2006/relationships/vmlDrawing" Target="../drawings/vmlDrawing3.vml"/><Relationship Id="rId9"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6.bin"/><Relationship Id="rId1" Type="http://schemas.openxmlformats.org/officeDocument/2006/relationships/pivotTable" Target="../pivotTables/pivotTable8.xml"/><Relationship Id="rId6" Type="http://schemas.openxmlformats.org/officeDocument/2006/relationships/comments" Target="../comments1.xml"/><Relationship Id="rId5" Type="http://schemas.microsoft.com/office/2007/relationships/slicer" Target="../slicers/slicer4.xml"/><Relationship Id="rId4"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7C4290-A73E-494F-9D12-765689AEA2A2}">
  <sheetPr codeName="Sheet1">
    <tabColor rgb="FFFFFF00"/>
    <pageSetUpPr fitToPage="1"/>
  </sheetPr>
  <dimension ref="F18"/>
  <sheetViews>
    <sheetView showGridLines="0" tabSelected="1" zoomScaleNormal="100" workbookViewId="0">
      <selection activeCell="N5" sqref="N5"/>
    </sheetView>
  </sheetViews>
  <sheetFormatPr defaultColWidth="8.875" defaultRowHeight="14.4" x14ac:dyDescent="0.3"/>
  <sheetData>
    <row r="18" spans="6:6" x14ac:dyDescent="0.3">
      <c r="F18" s="317"/>
    </row>
  </sheetData>
  <pageMargins left="0.7" right="0.7" top="0.75" bottom="0.75" header="0.3" footer="0.3"/>
  <pageSetup scale="32" orientation="portrait" r:id="rId1"/>
  <drawing r:id="rId2"/>
  <legacyDrawing r:id="rId3"/>
  <picture r:id="rId4"/>
  <controls>
    <mc:AlternateContent xmlns:mc="http://schemas.openxmlformats.org/markup-compatibility/2006">
      <mc:Choice Requires="x14">
        <control shapeId="2054" r:id="rId5" name="CommandButton1">
          <controlPr defaultSize="0" autoLine="0" r:id="rId6">
            <anchor moveWithCells="1">
              <from>
                <xdr:col>16</xdr:col>
                <xdr:colOff>83820</xdr:colOff>
                <xdr:row>0</xdr:row>
                <xdr:rowOff>144780</xdr:rowOff>
              </from>
              <to>
                <xdr:col>22</xdr:col>
                <xdr:colOff>114300</xdr:colOff>
                <xdr:row>5</xdr:row>
                <xdr:rowOff>175260</xdr:rowOff>
              </to>
            </anchor>
          </controlPr>
        </control>
      </mc:Choice>
      <mc:Fallback>
        <control shapeId="2054" r:id="rId5"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FCDF3-642E-492B-A406-729E8F7859A5}">
  <sheetPr codeName="Sheet2">
    <tabColor rgb="FFFFFF00"/>
  </sheetPr>
  <dimension ref="A3:O65"/>
  <sheetViews>
    <sheetView zoomScale="85" zoomScaleNormal="85" workbookViewId="0">
      <selection activeCell="K8" sqref="K8"/>
    </sheetView>
  </sheetViews>
  <sheetFormatPr defaultColWidth="8.875" defaultRowHeight="14.4" x14ac:dyDescent="0.3"/>
  <cols>
    <col min="1" max="1" width="34.625" style="1" customWidth="1"/>
    <col min="2" max="2" width="16" style="1" customWidth="1"/>
    <col min="3" max="3" width="15" style="1" customWidth="1"/>
    <col min="4" max="4" width="19.125" style="1" customWidth="1"/>
    <col min="5" max="5" width="15.625" style="1" customWidth="1"/>
    <col min="6" max="6" width="13.125" style="1" customWidth="1"/>
    <col min="7" max="7" width="23.125" style="1" customWidth="1"/>
    <col min="8" max="8" width="11.875" style="1" customWidth="1"/>
    <col min="9" max="9" width="15.625" style="1" customWidth="1"/>
    <col min="10" max="10" width="12.25" style="1" customWidth="1"/>
    <col min="11" max="12" width="8.875" style="1"/>
    <col min="13" max="13" width="15.875" style="1" customWidth="1"/>
    <col min="14" max="14" width="12.625" style="1" customWidth="1"/>
    <col min="15" max="16384" width="8.875" style="1"/>
  </cols>
  <sheetData>
    <row r="3" spans="1:7" x14ac:dyDescent="0.3">
      <c r="A3" s="186" t="s">
        <v>351</v>
      </c>
      <c r="B3" s="186" t="s">
        <v>206</v>
      </c>
      <c r="C3" s="186" t="s">
        <v>207</v>
      </c>
      <c r="D3" s="186" t="s">
        <v>208</v>
      </c>
      <c r="E3" s="186"/>
    </row>
    <row r="4" spans="1:7" x14ac:dyDescent="0.3">
      <c r="A4" s="21" t="s">
        <v>281</v>
      </c>
      <c r="B4" s="323">
        <v>177275</v>
      </c>
      <c r="C4" s="21" t="str">
        <f>IFERROR(VLOOKUP($B$4,Aexclusive,2,FALSE)," ")</f>
        <v>Barajas</v>
      </c>
      <c r="D4" s="21" t="str">
        <f>IFERROR(VLOOKUP($B$4,Aexclusive,3,FALSE)," ")</f>
        <v>stanley</v>
      </c>
      <c r="E4" s="327" t="s">
        <v>321</v>
      </c>
      <c r="F4" s="327"/>
      <c r="G4" s="82">
        <f>COUNT(ClassA)</f>
        <v>13</v>
      </c>
    </row>
    <row r="5" spans="1:7" x14ac:dyDescent="0.3">
      <c r="B5" s="81"/>
      <c r="E5" s="81"/>
      <c r="F5" s="81"/>
      <c r="G5" s="81"/>
    </row>
    <row r="6" spans="1:7" x14ac:dyDescent="0.3">
      <c r="A6" s="21" t="s">
        <v>282</v>
      </c>
      <c r="B6" s="323">
        <v>653601</v>
      </c>
      <c r="C6" s="21" t="str">
        <f>IFERROR(VLOOKUP($B$6,Bexclusive,2,FALSE)," ")</f>
        <v>Glenn</v>
      </c>
      <c r="D6" s="21" t="str">
        <f>IFERROR(VLOOKUP($B$6,Bexclusive,3,FALSE)," ")</f>
        <v>Daryl</v>
      </c>
      <c r="E6" s="80" t="s">
        <v>321</v>
      </c>
      <c r="F6" s="80"/>
      <c r="G6" s="82">
        <f>COUNT(ClassB)</f>
        <v>12</v>
      </c>
    </row>
    <row r="7" spans="1:7" x14ac:dyDescent="0.3">
      <c r="B7" s="81"/>
      <c r="C7" s="29"/>
      <c r="D7" s="29"/>
      <c r="E7" s="81"/>
      <c r="F7" s="81"/>
      <c r="G7" s="81"/>
    </row>
    <row r="8" spans="1:7" x14ac:dyDescent="0.3">
      <c r="A8" s="21" t="s">
        <v>283</v>
      </c>
      <c r="B8" s="323">
        <v>303803</v>
      </c>
      <c r="C8" s="21" t="str">
        <f>IFERROR(VLOOKUP($B$8,TeachersList[],2,FALSE)," ")</f>
        <v>Juarez</v>
      </c>
      <c r="D8" s="21" t="str">
        <f>IFERROR(VLOOKUP($B$8,Cexclusive,3,FALSE)," ")</f>
        <v>Barton</v>
      </c>
      <c r="E8" s="80" t="s">
        <v>321</v>
      </c>
      <c r="F8" s="80"/>
      <c r="G8" s="82">
        <f>COUNT(ClassC)</f>
        <v>38</v>
      </c>
    </row>
    <row r="9" spans="1:7" x14ac:dyDescent="0.3">
      <c r="B9" s="81"/>
      <c r="C9" s="29"/>
      <c r="D9" s="29"/>
      <c r="E9" s="81"/>
      <c r="F9" s="81"/>
      <c r="G9" s="81"/>
    </row>
    <row r="10" spans="1:7" x14ac:dyDescent="0.3">
      <c r="A10" s="21" t="s">
        <v>284</v>
      </c>
      <c r="B10" s="323">
        <v>652424</v>
      </c>
      <c r="C10" s="21" t="str">
        <f>IFERROR(VLOOKUP($B$10,TeachersList[],2,FALSE)," ")</f>
        <v>Cortez</v>
      </c>
      <c r="D10" s="21" t="str">
        <f>IFERROR(VLOOKUP($B$10,TeachersList[],3,FALSE)," ")</f>
        <v>Alice</v>
      </c>
      <c r="E10" s="80" t="s">
        <v>321</v>
      </c>
      <c r="F10" s="80"/>
      <c r="G10" s="82">
        <f>COUNT(ClassAID)</f>
        <v>13</v>
      </c>
    </row>
    <row r="11" spans="1:7" x14ac:dyDescent="0.3">
      <c r="B11" s="81"/>
      <c r="C11" s="29"/>
      <c r="D11" s="29"/>
      <c r="E11" s="81"/>
      <c r="F11" s="81"/>
      <c r="G11" s="81"/>
    </row>
    <row r="12" spans="1:7" x14ac:dyDescent="0.3">
      <c r="A12" s="21" t="s">
        <v>285</v>
      </c>
      <c r="B12" s="323">
        <v>190632</v>
      </c>
      <c r="C12" s="21" t="str">
        <f>IFERROR(VLOOKUP($B$12,TeachersList[],2,FALSE)," ")</f>
        <v>Sharp</v>
      </c>
      <c r="D12" s="21" t="str">
        <f>IFERROR(VLOOKUP($B$12,Fexclusive,3,FALSE)," ")</f>
        <v>Herb</v>
      </c>
      <c r="E12" s="80" t="s">
        <v>321</v>
      </c>
      <c r="F12" s="80"/>
      <c r="G12" s="82">
        <f>COUNT(ClassAID)</f>
        <v>13</v>
      </c>
    </row>
    <row r="13" spans="1:7" x14ac:dyDescent="0.3">
      <c r="A13" s="200"/>
      <c r="B13" s="200"/>
      <c r="C13" s="200"/>
      <c r="D13" s="200"/>
      <c r="E13" s="265"/>
      <c r="F13" s="265"/>
      <c r="G13" s="81"/>
    </row>
    <row r="14" spans="1:7" x14ac:dyDescent="0.3">
      <c r="A14" s="200"/>
      <c r="B14" s="200"/>
      <c r="C14" s="200"/>
      <c r="D14" s="200"/>
      <c r="E14" s="265"/>
      <c r="F14" s="265"/>
      <c r="G14" s="81"/>
    </row>
    <row r="16" spans="1:7" x14ac:dyDescent="0.3">
      <c r="A16" s="186" t="s">
        <v>350</v>
      </c>
      <c r="B16" s="186"/>
    </row>
    <row r="17" spans="1:15" x14ac:dyDescent="0.3">
      <c r="A17" s="325" t="s">
        <v>206</v>
      </c>
      <c r="B17" s="326" t="s">
        <v>207</v>
      </c>
      <c r="C17" s="326" t="s">
        <v>208</v>
      </c>
      <c r="D17" s="326" t="s">
        <v>209</v>
      </c>
      <c r="E17" s="326" t="s">
        <v>210</v>
      </c>
      <c r="F17" s="326" t="s">
        <v>211</v>
      </c>
      <c r="G17" s="326" t="s">
        <v>212</v>
      </c>
    </row>
    <row r="18" spans="1:15" x14ac:dyDescent="0.3">
      <c r="A18" s="323">
        <v>674518</v>
      </c>
      <c r="B18" s="21" t="str">
        <f>IFERROR(VLOOKUP($A$18,TeachersList[],2,FALSE)," ")</f>
        <v>Cline</v>
      </c>
      <c r="C18" s="21" t="str">
        <f>IFERROR(VLOOKUP($A$18,TeachersList[],3,FALSE)," ")</f>
        <v>Johnathan</v>
      </c>
      <c r="D18" s="21" t="str">
        <f ca="1">IFERROR(VLOOKUP($A$18,TeachersList[],4,FALSE)," ")</f>
        <v>No</v>
      </c>
      <c r="E18" s="21" t="str">
        <f ca="1">IFERROR(VLOOKUP($A$18,TeachersList[],5,FALSE)," ")</f>
        <v>Yes</v>
      </c>
      <c r="F18" s="21" t="str">
        <f ca="1">IFERROR(VLOOKUP($A$18,TeachersList[],6,FALSE)," ")</f>
        <v>No</v>
      </c>
      <c r="G18" s="21" t="str">
        <f ca="1">IFERROR(VLOOKUP($A$18,TeachersList[],7,FALSE)," ")</f>
        <v>Yes</v>
      </c>
    </row>
    <row r="22" spans="1:15" x14ac:dyDescent="0.3">
      <c r="H22" s="1" t="b">
        <v>1</v>
      </c>
    </row>
    <row r="23" spans="1:15" x14ac:dyDescent="0.3">
      <c r="H23" s="1" t="b">
        <v>1</v>
      </c>
    </row>
    <row r="24" spans="1:15" x14ac:dyDescent="0.3">
      <c r="H24" s="1" t="b">
        <v>0</v>
      </c>
    </row>
    <row r="25" spans="1:15" x14ac:dyDescent="0.3">
      <c r="H25" s="1" t="b">
        <v>0</v>
      </c>
    </row>
    <row r="29" spans="1:15" ht="21" x14ac:dyDescent="0.4">
      <c r="M29" s="324" t="s">
        <v>380</v>
      </c>
    </row>
    <row r="31" spans="1:15" x14ac:dyDescent="0.3">
      <c r="M31" s="14" t="s">
        <v>381</v>
      </c>
      <c r="N31" t="s">
        <v>379</v>
      </c>
      <c r="O31"/>
    </row>
    <row r="32" spans="1:15" x14ac:dyDescent="0.3">
      <c r="M32" s="16" t="s">
        <v>311</v>
      </c>
      <c r="N32">
        <v>65</v>
      </c>
    </row>
    <row r="33" spans="13:15" x14ac:dyDescent="0.3">
      <c r="M33" s="17" t="s">
        <v>375</v>
      </c>
      <c r="N33">
        <v>4</v>
      </c>
      <c r="O33"/>
    </row>
    <row r="34" spans="13:15" x14ac:dyDescent="0.3">
      <c r="M34" s="17" t="s">
        <v>374</v>
      </c>
      <c r="N34">
        <v>45</v>
      </c>
    </row>
    <row r="35" spans="13:15" x14ac:dyDescent="0.3">
      <c r="M35" s="17" t="s">
        <v>373</v>
      </c>
      <c r="N35">
        <v>5</v>
      </c>
      <c r="O35"/>
    </row>
    <row r="36" spans="13:15" x14ac:dyDescent="0.3">
      <c r="M36" s="17" t="s">
        <v>372</v>
      </c>
      <c r="N36">
        <v>11</v>
      </c>
    </row>
    <row r="37" spans="13:15" x14ac:dyDescent="0.3">
      <c r="M37" s="16" t="s">
        <v>286</v>
      </c>
      <c r="N37">
        <v>65</v>
      </c>
      <c r="O37"/>
    </row>
    <row r="65" spans="12:12" x14ac:dyDescent="0.3">
      <c r="L65" s="1" t="b">
        <v>1</v>
      </c>
    </row>
  </sheetData>
  <mergeCells count="1">
    <mergeCell ref="E4:F4"/>
  </mergeCells>
  <dataValidations count="1">
    <dataValidation type="list" allowBlank="1" showInputMessage="1" showErrorMessage="1" sqref="B10" xr:uid="{249A6D84-DC2D-4683-8EB6-47AE059C0996}">
      <formula1>$Q$35:$Q$39</formula1>
    </dataValidation>
  </dataValidation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073" r:id="rId4" name="Check Box 1">
              <controlPr defaultSize="0" autoFill="0" autoLine="0" autoPict="0">
                <anchor moveWithCells="1">
                  <from>
                    <xdr:col>11</xdr:col>
                    <xdr:colOff>487680</xdr:colOff>
                    <xdr:row>17</xdr:row>
                    <xdr:rowOff>160020</xdr:rowOff>
                  </from>
                  <to>
                    <xdr:col>13</xdr:col>
                    <xdr:colOff>38100</xdr:colOff>
                    <xdr:row>20</xdr:row>
                    <xdr:rowOff>76200</xdr:rowOff>
                  </to>
                </anchor>
              </controlPr>
            </control>
          </mc:Choice>
        </mc:AlternateContent>
        <mc:AlternateContent xmlns:mc="http://schemas.openxmlformats.org/markup-compatibility/2006">
          <mc:Choice Requires="x14">
            <control shapeId="3074" r:id="rId5" name="Check Box 2">
              <controlPr defaultSize="0" autoFill="0" autoLine="0" autoPict="0">
                <anchor moveWithCells="1">
                  <from>
                    <xdr:col>11</xdr:col>
                    <xdr:colOff>495300</xdr:colOff>
                    <xdr:row>21</xdr:row>
                    <xdr:rowOff>175260</xdr:rowOff>
                  </from>
                  <to>
                    <xdr:col>13</xdr:col>
                    <xdr:colOff>45720</xdr:colOff>
                    <xdr:row>24</xdr:row>
                    <xdr:rowOff>114300</xdr:rowOff>
                  </to>
                </anchor>
              </controlPr>
            </control>
          </mc:Choice>
        </mc:AlternateContent>
        <mc:AlternateContent xmlns:mc="http://schemas.openxmlformats.org/markup-compatibility/2006">
          <mc:Choice Requires="x14">
            <control shapeId="3075" r:id="rId6" name="Check Box 3">
              <controlPr defaultSize="0" autoFill="0" autoLine="0" autoPict="0">
                <anchor moveWithCells="1">
                  <from>
                    <xdr:col>11</xdr:col>
                    <xdr:colOff>472440</xdr:colOff>
                    <xdr:row>15</xdr:row>
                    <xdr:rowOff>106680</xdr:rowOff>
                  </from>
                  <to>
                    <xdr:col>13</xdr:col>
                    <xdr:colOff>30480</xdr:colOff>
                    <xdr:row>18</xdr:row>
                    <xdr:rowOff>30480</xdr:rowOff>
                  </to>
                </anchor>
              </controlPr>
            </control>
          </mc:Choice>
        </mc:AlternateContent>
        <mc:AlternateContent xmlns:mc="http://schemas.openxmlformats.org/markup-compatibility/2006">
          <mc:Choice Requires="x14">
            <control shapeId="3076" r:id="rId7" name="Check Box 4">
              <controlPr defaultSize="0" autoFill="0" autoLine="0" autoPict="0">
                <anchor moveWithCells="1">
                  <from>
                    <xdr:col>11</xdr:col>
                    <xdr:colOff>487680</xdr:colOff>
                    <xdr:row>20</xdr:row>
                    <xdr:rowOff>0</xdr:rowOff>
                  </from>
                  <to>
                    <xdr:col>13</xdr:col>
                    <xdr:colOff>38100</xdr:colOff>
                    <xdr:row>22</xdr:row>
                    <xdr:rowOff>121920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166096C3-C33F-4CF8-8EEA-F73886AAE931}">
          <x14:formula1>
            <xm:f>'Event Staffing'!$B$6:$B$35</xm:f>
          </x14:formula1>
          <xm:sqref>A18</xm:sqref>
        </x14:dataValidation>
        <x14:dataValidation type="list" allowBlank="1" showInputMessage="1" showErrorMessage="1" xr:uid="{7EA4D910-E920-439E-83BC-4751AC1F15F9}">
          <x14:formula1>
            <xm:f>'Class  B'!$R$30:$R$35</xm:f>
          </x14:formula1>
          <xm:sqref>B6</xm:sqref>
        </x14:dataValidation>
        <x14:dataValidation type="list" allowBlank="1" showInputMessage="1" showErrorMessage="1" xr:uid="{575FCF5E-77F3-412F-BD44-9B6A3E7D70FA}">
          <x14:formula1>
            <xm:f>'Class C'!$N$13:$N$17</xm:f>
          </x14:formula1>
          <xm:sqref>B8</xm:sqref>
        </x14:dataValidation>
        <x14:dataValidation type="list" allowBlank="1" showInputMessage="1" showErrorMessage="1" xr:uid="{CF3D7ED4-A95C-4779-A4E9-2AF4220A693D}">
          <x14:formula1>
            <xm:f>'Class F '!$N$4:$N$7</xm:f>
          </x14:formula1>
          <xm:sqref>B12:B14</xm:sqref>
        </x14:dataValidation>
        <x14:dataValidation type="list" allowBlank="1" showInputMessage="1" showErrorMessage="1" xr:uid="{DD06518D-DF93-4882-9608-79E10B5FB6E6}">
          <x14:formula1>
            <xm:f>'Class A'!$M$6:$M$10</xm:f>
          </x14:formula1>
          <xm:sqref>B4</xm:sqref>
        </x14:dataValidation>
      </x14:dataValidations>
    </ext>
    <ext xmlns:x14="http://schemas.microsoft.com/office/spreadsheetml/2009/9/main" uri="{A8765BA9-456A-4dab-B4F3-ACF838C121DE}">
      <x14:slicerList>
        <x14:slicer r:id="rId8"/>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375EE-6BD6-48EA-819A-7771B2895718}">
  <sheetPr codeName="Sheet4">
    <tabColor rgb="FFFFFF00"/>
  </sheetPr>
  <dimension ref="A1:F105"/>
  <sheetViews>
    <sheetView zoomScaleNormal="100" workbookViewId="0">
      <selection sqref="A1:F3"/>
    </sheetView>
  </sheetViews>
  <sheetFormatPr defaultColWidth="9.125" defaultRowHeight="14.4" x14ac:dyDescent="0.3"/>
  <cols>
    <col min="1" max="1" width="12.75" style="15" customWidth="1"/>
    <col min="2" max="2" width="13.375" style="15" customWidth="1"/>
    <col min="3" max="3" width="14.75" style="15" customWidth="1"/>
    <col min="4" max="4" width="19" style="15" customWidth="1"/>
    <col min="5" max="5" width="20" style="15" bestFit="1" customWidth="1"/>
    <col min="6" max="6" width="17.75" style="15" customWidth="1"/>
    <col min="7" max="16384" width="9.125" style="15"/>
  </cols>
  <sheetData>
    <row r="1" spans="1:6" x14ac:dyDescent="0.3">
      <c r="A1" s="328" t="s">
        <v>320</v>
      </c>
      <c r="B1" s="328"/>
      <c r="C1" s="328"/>
      <c r="D1" s="328"/>
      <c r="E1" s="328"/>
      <c r="F1" s="328"/>
    </row>
    <row r="2" spans="1:6" x14ac:dyDescent="0.3">
      <c r="A2" s="328"/>
      <c r="B2" s="328"/>
      <c r="C2" s="328"/>
      <c r="D2" s="328"/>
      <c r="E2" s="328"/>
      <c r="F2" s="328"/>
    </row>
    <row r="3" spans="1:6" x14ac:dyDescent="0.3">
      <c r="A3" s="328"/>
      <c r="B3" s="328"/>
      <c r="C3" s="328"/>
      <c r="D3" s="328"/>
      <c r="E3" s="328"/>
      <c r="F3" s="328"/>
    </row>
    <row r="4" spans="1:6" x14ac:dyDescent="0.3">
      <c r="A4" s="258" t="s">
        <v>0</v>
      </c>
      <c r="B4" s="258" t="s">
        <v>3</v>
      </c>
      <c r="C4" s="258" t="s">
        <v>4</v>
      </c>
      <c r="D4" s="258" t="s">
        <v>5</v>
      </c>
      <c r="E4" s="258" t="s">
        <v>6</v>
      </c>
      <c r="F4" s="258" t="s">
        <v>7</v>
      </c>
    </row>
    <row r="5" spans="1:6" x14ac:dyDescent="0.3">
      <c r="A5" s="258">
        <v>52069506</v>
      </c>
      <c r="B5" s="258" t="s">
        <v>8</v>
      </c>
      <c r="C5" s="258" t="s">
        <v>9</v>
      </c>
      <c r="D5" s="258">
        <v>40</v>
      </c>
      <c r="E5" s="258">
        <v>0</v>
      </c>
      <c r="F5" s="258">
        <f t="shared" ref="F5:F36" si="0">AVERAGE(D5:E5)</f>
        <v>20</v>
      </c>
    </row>
    <row r="6" spans="1:6" x14ac:dyDescent="0.3">
      <c r="A6" s="258">
        <v>14550989</v>
      </c>
      <c r="B6" s="258" t="s">
        <v>10</v>
      </c>
      <c r="C6" s="258" t="s">
        <v>11</v>
      </c>
      <c r="D6" s="258">
        <v>13</v>
      </c>
      <c r="E6" s="258">
        <v>5</v>
      </c>
      <c r="F6" s="258">
        <f t="shared" si="0"/>
        <v>9</v>
      </c>
    </row>
    <row r="7" spans="1:6" x14ac:dyDescent="0.3">
      <c r="A7" s="258">
        <v>48862811</v>
      </c>
      <c r="B7" s="258" t="s">
        <v>12</v>
      </c>
      <c r="C7" s="258" t="s">
        <v>13</v>
      </c>
      <c r="D7" s="258">
        <v>19</v>
      </c>
      <c r="E7" s="258">
        <v>6</v>
      </c>
      <c r="F7" s="258">
        <f t="shared" si="0"/>
        <v>12.5</v>
      </c>
    </row>
    <row r="8" spans="1:6" x14ac:dyDescent="0.3">
      <c r="A8" s="258">
        <v>10287797</v>
      </c>
      <c r="B8" s="258" t="s">
        <v>14</v>
      </c>
      <c r="C8" s="258" t="s">
        <v>15</v>
      </c>
      <c r="D8" s="258">
        <v>12</v>
      </c>
      <c r="E8" s="258">
        <v>16</v>
      </c>
      <c r="F8" s="258">
        <f t="shared" si="0"/>
        <v>14</v>
      </c>
    </row>
    <row r="9" spans="1:6" x14ac:dyDescent="0.3">
      <c r="A9" s="258">
        <v>22355690</v>
      </c>
      <c r="B9" s="258" t="s">
        <v>16</v>
      </c>
      <c r="C9" s="258" t="s">
        <v>17</v>
      </c>
      <c r="D9" s="258">
        <v>23</v>
      </c>
      <c r="E9" s="258">
        <v>6</v>
      </c>
      <c r="F9" s="258">
        <f t="shared" si="0"/>
        <v>14.5</v>
      </c>
    </row>
    <row r="10" spans="1:6" x14ac:dyDescent="0.3">
      <c r="A10" s="258">
        <v>59305766</v>
      </c>
      <c r="B10" s="258" t="s">
        <v>18</v>
      </c>
      <c r="C10" s="258" t="s">
        <v>19</v>
      </c>
      <c r="D10" s="258">
        <v>9</v>
      </c>
      <c r="E10" s="258">
        <v>21</v>
      </c>
      <c r="F10" s="258">
        <f t="shared" si="0"/>
        <v>15</v>
      </c>
    </row>
    <row r="11" spans="1:6" x14ac:dyDescent="0.3">
      <c r="A11" s="258">
        <v>28475996</v>
      </c>
      <c r="B11" s="258" t="s">
        <v>20</v>
      </c>
      <c r="C11" s="258" t="s">
        <v>21</v>
      </c>
      <c r="D11" s="258">
        <v>7</v>
      </c>
      <c r="E11" s="258">
        <v>24</v>
      </c>
      <c r="F11" s="258">
        <f t="shared" si="0"/>
        <v>15.5</v>
      </c>
    </row>
    <row r="12" spans="1:6" x14ac:dyDescent="0.3">
      <c r="A12" s="258">
        <v>64198194</v>
      </c>
      <c r="B12" s="258" t="s">
        <v>22</v>
      </c>
      <c r="C12" s="258" t="s">
        <v>23</v>
      </c>
      <c r="D12" s="258">
        <v>14</v>
      </c>
      <c r="E12" s="258">
        <v>18</v>
      </c>
      <c r="F12" s="258">
        <f t="shared" si="0"/>
        <v>16</v>
      </c>
    </row>
    <row r="13" spans="1:6" x14ac:dyDescent="0.3">
      <c r="A13" s="258">
        <v>29655035</v>
      </c>
      <c r="B13" s="258" t="s">
        <v>24</v>
      </c>
      <c r="C13" s="258" t="s">
        <v>25</v>
      </c>
      <c r="D13" s="258">
        <v>19</v>
      </c>
      <c r="E13" s="258">
        <v>15</v>
      </c>
      <c r="F13" s="258">
        <f t="shared" si="0"/>
        <v>17</v>
      </c>
    </row>
    <row r="14" spans="1:6" x14ac:dyDescent="0.3">
      <c r="A14" s="258">
        <v>68339915</v>
      </c>
      <c r="B14" s="258" t="s">
        <v>26</v>
      </c>
      <c r="C14" s="258" t="s">
        <v>27</v>
      </c>
      <c r="D14" s="258">
        <v>10</v>
      </c>
      <c r="E14" s="258">
        <v>28</v>
      </c>
      <c r="F14" s="258">
        <f t="shared" si="0"/>
        <v>19</v>
      </c>
    </row>
    <row r="15" spans="1:6" x14ac:dyDescent="0.3">
      <c r="A15" s="258">
        <v>32695778</v>
      </c>
      <c r="B15" s="258" t="s">
        <v>28</v>
      </c>
      <c r="C15" s="258" t="s">
        <v>29</v>
      </c>
      <c r="D15" s="258">
        <v>9</v>
      </c>
      <c r="E15" s="258">
        <v>32</v>
      </c>
      <c r="F15" s="258">
        <f t="shared" si="0"/>
        <v>20.5</v>
      </c>
    </row>
    <row r="16" spans="1:6" x14ac:dyDescent="0.3">
      <c r="A16" s="258">
        <v>55677878</v>
      </c>
      <c r="B16" s="258" t="s">
        <v>30</v>
      </c>
      <c r="C16" s="258" t="s">
        <v>31</v>
      </c>
      <c r="D16" s="258">
        <v>23</v>
      </c>
      <c r="E16" s="258">
        <v>19</v>
      </c>
      <c r="F16" s="258">
        <f t="shared" si="0"/>
        <v>21</v>
      </c>
    </row>
    <row r="17" spans="1:6" x14ac:dyDescent="0.3">
      <c r="A17" s="258">
        <v>13692938</v>
      </c>
      <c r="B17" s="258" t="s">
        <v>32</v>
      </c>
      <c r="C17" s="258" t="s">
        <v>33</v>
      </c>
      <c r="D17" s="258">
        <v>26</v>
      </c>
      <c r="E17" s="258">
        <v>18</v>
      </c>
      <c r="F17" s="258">
        <f t="shared" si="0"/>
        <v>22</v>
      </c>
    </row>
    <row r="18" spans="1:6" x14ac:dyDescent="0.3">
      <c r="A18" s="258">
        <v>49461380</v>
      </c>
      <c r="B18" s="258" t="s">
        <v>34</v>
      </c>
      <c r="C18" s="258" t="s">
        <v>35</v>
      </c>
      <c r="D18" s="258">
        <v>25</v>
      </c>
      <c r="E18" s="258">
        <v>21</v>
      </c>
      <c r="F18" s="258">
        <f t="shared" si="0"/>
        <v>23</v>
      </c>
    </row>
    <row r="19" spans="1:6" x14ac:dyDescent="0.3">
      <c r="A19" s="258">
        <v>66065006</v>
      </c>
      <c r="B19" s="258" t="s">
        <v>36</v>
      </c>
      <c r="C19" s="258" t="s">
        <v>37</v>
      </c>
      <c r="D19" s="258">
        <v>8</v>
      </c>
      <c r="E19" s="258">
        <v>39</v>
      </c>
      <c r="F19" s="258">
        <f t="shared" si="0"/>
        <v>23.5</v>
      </c>
    </row>
    <row r="20" spans="1:6" x14ac:dyDescent="0.3">
      <c r="A20" s="258">
        <v>14185496</v>
      </c>
      <c r="B20" s="258" t="s">
        <v>38</v>
      </c>
      <c r="C20" s="258" t="s">
        <v>39</v>
      </c>
      <c r="D20" s="258">
        <v>23</v>
      </c>
      <c r="E20" s="258">
        <v>27</v>
      </c>
      <c r="F20" s="258">
        <f t="shared" si="0"/>
        <v>25</v>
      </c>
    </row>
    <row r="21" spans="1:6" x14ac:dyDescent="0.3">
      <c r="A21" s="258">
        <v>22222762</v>
      </c>
      <c r="B21" s="258" t="s">
        <v>40</v>
      </c>
      <c r="C21" s="258" t="s">
        <v>41</v>
      </c>
      <c r="D21" s="258">
        <v>42</v>
      </c>
      <c r="E21" s="258">
        <v>9</v>
      </c>
      <c r="F21" s="258">
        <f t="shared" si="0"/>
        <v>25.5</v>
      </c>
    </row>
    <row r="22" spans="1:6" x14ac:dyDescent="0.3">
      <c r="A22" s="258">
        <v>33006505</v>
      </c>
      <c r="B22" s="258" t="s">
        <v>42</v>
      </c>
      <c r="C22" s="258" t="s">
        <v>43</v>
      </c>
      <c r="D22" s="258">
        <v>46</v>
      </c>
      <c r="E22" s="258">
        <v>8</v>
      </c>
      <c r="F22" s="258">
        <f t="shared" si="0"/>
        <v>27</v>
      </c>
    </row>
    <row r="23" spans="1:6" x14ac:dyDescent="0.3">
      <c r="A23" s="258">
        <v>27658150</v>
      </c>
      <c r="B23" s="258" t="s">
        <v>44</v>
      </c>
      <c r="C23" s="258" t="s">
        <v>45</v>
      </c>
      <c r="D23" s="258">
        <v>22</v>
      </c>
      <c r="E23" s="258">
        <v>33</v>
      </c>
      <c r="F23" s="258">
        <f t="shared" si="0"/>
        <v>27.5</v>
      </c>
    </row>
    <row r="24" spans="1:6" x14ac:dyDescent="0.3">
      <c r="A24" s="258">
        <v>54116555</v>
      </c>
      <c r="B24" s="258" t="s">
        <v>46</v>
      </c>
      <c r="C24" s="258" t="s">
        <v>47</v>
      </c>
      <c r="D24" s="258">
        <v>36</v>
      </c>
      <c r="E24" s="258">
        <v>20</v>
      </c>
      <c r="F24" s="258">
        <f t="shared" si="0"/>
        <v>28</v>
      </c>
    </row>
    <row r="25" spans="1:6" x14ac:dyDescent="0.3">
      <c r="A25" s="258">
        <v>12255677</v>
      </c>
      <c r="B25" s="258" t="s">
        <v>48</v>
      </c>
      <c r="C25" s="258" t="s">
        <v>49</v>
      </c>
      <c r="D25" s="258">
        <v>3</v>
      </c>
      <c r="E25" s="258">
        <v>55</v>
      </c>
      <c r="F25" s="258">
        <f t="shared" si="0"/>
        <v>29</v>
      </c>
    </row>
    <row r="26" spans="1:6" x14ac:dyDescent="0.3">
      <c r="A26" s="258">
        <v>80079978</v>
      </c>
      <c r="B26" s="258" t="s">
        <v>50</v>
      </c>
      <c r="C26" s="258" t="s">
        <v>51</v>
      </c>
      <c r="D26" s="258">
        <v>21</v>
      </c>
      <c r="E26" s="258">
        <v>37</v>
      </c>
      <c r="F26" s="258">
        <f t="shared" si="0"/>
        <v>29</v>
      </c>
    </row>
    <row r="27" spans="1:6" x14ac:dyDescent="0.3">
      <c r="A27" s="258">
        <v>62672194</v>
      </c>
      <c r="B27" s="258" t="s">
        <v>20</v>
      </c>
      <c r="C27" s="258" t="s">
        <v>52</v>
      </c>
      <c r="D27" s="258">
        <v>37</v>
      </c>
      <c r="E27" s="258">
        <v>21</v>
      </c>
      <c r="F27" s="258">
        <f t="shared" si="0"/>
        <v>29</v>
      </c>
    </row>
    <row r="28" spans="1:6" x14ac:dyDescent="0.3">
      <c r="A28" s="258">
        <v>22975112</v>
      </c>
      <c r="B28" s="258" t="s">
        <v>53</v>
      </c>
      <c r="C28" s="258" t="s">
        <v>54</v>
      </c>
      <c r="D28" s="258">
        <v>60</v>
      </c>
      <c r="E28" s="258">
        <v>0</v>
      </c>
      <c r="F28" s="258">
        <f t="shared" si="0"/>
        <v>30</v>
      </c>
    </row>
    <row r="29" spans="1:6" x14ac:dyDescent="0.3">
      <c r="A29" s="258">
        <v>17117302</v>
      </c>
      <c r="B29" s="258" t="s">
        <v>55</v>
      </c>
      <c r="C29" s="258" t="s">
        <v>56</v>
      </c>
      <c r="D29" s="258">
        <v>23</v>
      </c>
      <c r="E29" s="258">
        <v>38</v>
      </c>
      <c r="F29" s="258">
        <f t="shared" si="0"/>
        <v>30.5</v>
      </c>
    </row>
    <row r="30" spans="1:6" x14ac:dyDescent="0.3">
      <c r="A30" s="258">
        <v>17175244</v>
      </c>
      <c r="B30" s="258" t="s">
        <v>57</v>
      </c>
      <c r="C30" s="258" t="s">
        <v>58</v>
      </c>
      <c r="D30" s="258">
        <v>44</v>
      </c>
      <c r="E30" s="258">
        <v>17</v>
      </c>
      <c r="F30" s="258">
        <f t="shared" si="0"/>
        <v>30.5</v>
      </c>
    </row>
    <row r="31" spans="1:6" x14ac:dyDescent="0.3">
      <c r="A31" s="258">
        <v>67176280</v>
      </c>
      <c r="B31" s="258" t="s">
        <v>20</v>
      </c>
      <c r="C31" s="258" t="s">
        <v>59</v>
      </c>
      <c r="D31" s="258">
        <v>29</v>
      </c>
      <c r="E31" s="258">
        <v>33</v>
      </c>
      <c r="F31" s="258">
        <f t="shared" si="0"/>
        <v>31</v>
      </c>
    </row>
    <row r="32" spans="1:6" x14ac:dyDescent="0.3">
      <c r="A32" s="258">
        <v>90908811</v>
      </c>
      <c r="B32" s="258" t="s">
        <v>60</v>
      </c>
      <c r="C32" s="258" t="s">
        <v>61</v>
      </c>
      <c r="D32" s="258">
        <v>34</v>
      </c>
      <c r="E32" s="258">
        <v>28</v>
      </c>
      <c r="F32" s="258">
        <f t="shared" si="0"/>
        <v>31</v>
      </c>
    </row>
    <row r="33" spans="1:6" x14ac:dyDescent="0.3">
      <c r="A33" s="258">
        <v>37800314</v>
      </c>
      <c r="B33" s="258" t="s">
        <v>62</v>
      </c>
      <c r="C33" s="258" t="s">
        <v>63</v>
      </c>
      <c r="D33" s="258">
        <v>15</v>
      </c>
      <c r="E33" s="258">
        <v>48</v>
      </c>
      <c r="F33" s="258">
        <f t="shared" si="0"/>
        <v>31.5</v>
      </c>
    </row>
    <row r="34" spans="1:6" x14ac:dyDescent="0.3">
      <c r="A34" s="258">
        <v>59343896</v>
      </c>
      <c r="B34" s="258" t="s">
        <v>64</v>
      </c>
      <c r="C34" s="258" t="s">
        <v>65</v>
      </c>
      <c r="D34" s="258">
        <v>33</v>
      </c>
      <c r="E34" s="258">
        <v>31</v>
      </c>
      <c r="F34" s="258">
        <f t="shared" si="0"/>
        <v>32</v>
      </c>
    </row>
    <row r="35" spans="1:6" x14ac:dyDescent="0.3">
      <c r="A35" s="258">
        <v>56278487</v>
      </c>
      <c r="B35" s="258" t="s">
        <v>66</v>
      </c>
      <c r="C35" s="258" t="s">
        <v>67</v>
      </c>
      <c r="D35" s="258">
        <v>29</v>
      </c>
      <c r="E35" s="258">
        <v>36</v>
      </c>
      <c r="F35" s="258">
        <f t="shared" si="0"/>
        <v>32.5</v>
      </c>
    </row>
    <row r="36" spans="1:6" x14ac:dyDescent="0.3">
      <c r="A36" s="258">
        <v>77890678</v>
      </c>
      <c r="B36" s="258" t="s">
        <v>68</v>
      </c>
      <c r="C36" s="258" t="s">
        <v>69</v>
      </c>
      <c r="D36" s="258">
        <v>46</v>
      </c>
      <c r="E36" s="258">
        <v>22</v>
      </c>
      <c r="F36" s="258">
        <f t="shared" si="0"/>
        <v>34</v>
      </c>
    </row>
    <row r="37" spans="1:6" x14ac:dyDescent="0.3">
      <c r="A37" s="258">
        <v>33896032</v>
      </c>
      <c r="B37" s="258" t="s">
        <v>70</v>
      </c>
      <c r="C37" s="258" t="s">
        <v>71</v>
      </c>
      <c r="D37" s="258">
        <v>9</v>
      </c>
      <c r="E37" s="258">
        <v>63</v>
      </c>
      <c r="F37" s="258">
        <f t="shared" ref="F37:F68" si="1">AVERAGE(D37:E37)</f>
        <v>36</v>
      </c>
    </row>
    <row r="38" spans="1:6" x14ac:dyDescent="0.3">
      <c r="A38" s="258">
        <v>40723551</v>
      </c>
      <c r="B38" s="258" t="s">
        <v>72</v>
      </c>
      <c r="C38" s="258" t="s">
        <v>73</v>
      </c>
      <c r="D38" s="258">
        <v>39</v>
      </c>
      <c r="E38" s="258">
        <v>36</v>
      </c>
      <c r="F38" s="258">
        <f t="shared" si="1"/>
        <v>37.5</v>
      </c>
    </row>
    <row r="39" spans="1:6" x14ac:dyDescent="0.3">
      <c r="A39" s="258">
        <v>23010569</v>
      </c>
      <c r="B39" s="258" t="s">
        <v>74</v>
      </c>
      <c r="C39" s="258" t="s">
        <v>75</v>
      </c>
      <c r="D39" s="258">
        <v>40</v>
      </c>
      <c r="E39" s="258">
        <v>36</v>
      </c>
      <c r="F39" s="258">
        <f t="shared" si="1"/>
        <v>38</v>
      </c>
    </row>
    <row r="40" spans="1:6" x14ac:dyDescent="0.3">
      <c r="A40" s="258">
        <v>44900212</v>
      </c>
      <c r="B40" s="258" t="s">
        <v>76</v>
      </c>
      <c r="C40" s="258" t="s">
        <v>77</v>
      </c>
      <c r="D40" s="258">
        <v>10</v>
      </c>
      <c r="E40" s="258">
        <v>69</v>
      </c>
      <c r="F40" s="258">
        <f t="shared" si="1"/>
        <v>39.5</v>
      </c>
    </row>
    <row r="41" spans="1:6" x14ac:dyDescent="0.3">
      <c r="A41" s="258">
        <v>42395721</v>
      </c>
      <c r="B41" s="258" t="s">
        <v>78</v>
      </c>
      <c r="C41" s="258" t="s">
        <v>79</v>
      </c>
      <c r="D41" s="258">
        <v>38</v>
      </c>
      <c r="E41" s="258">
        <v>41</v>
      </c>
      <c r="F41" s="258">
        <f t="shared" si="1"/>
        <v>39.5</v>
      </c>
    </row>
    <row r="42" spans="1:6" x14ac:dyDescent="0.3">
      <c r="A42" s="258">
        <v>28046284</v>
      </c>
      <c r="B42" s="258" t="s">
        <v>80</v>
      </c>
      <c r="C42" s="258" t="s">
        <v>81</v>
      </c>
      <c r="D42" s="258">
        <v>48</v>
      </c>
      <c r="E42" s="258">
        <v>32</v>
      </c>
      <c r="F42" s="258">
        <f t="shared" si="1"/>
        <v>40</v>
      </c>
    </row>
    <row r="43" spans="1:6" x14ac:dyDescent="0.3">
      <c r="A43" s="258">
        <v>49517726</v>
      </c>
      <c r="B43" s="258" t="s">
        <v>82</v>
      </c>
      <c r="C43" s="258" t="s">
        <v>83</v>
      </c>
      <c r="D43" s="258">
        <v>10</v>
      </c>
      <c r="E43" s="258">
        <v>70</v>
      </c>
      <c r="F43" s="258">
        <f t="shared" si="1"/>
        <v>40</v>
      </c>
    </row>
    <row r="44" spans="1:6" x14ac:dyDescent="0.3">
      <c r="A44" s="258">
        <v>11266789</v>
      </c>
      <c r="B44" s="258" t="s">
        <v>84</v>
      </c>
      <c r="C44" s="258" t="s">
        <v>85</v>
      </c>
      <c r="D44" s="258">
        <v>21</v>
      </c>
      <c r="E44" s="258">
        <v>60</v>
      </c>
      <c r="F44" s="258">
        <f t="shared" si="1"/>
        <v>40.5</v>
      </c>
    </row>
    <row r="45" spans="1:6" x14ac:dyDescent="0.3">
      <c r="A45" s="258">
        <v>31207252</v>
      </c>
      <c r="B45" s="258" t="s">
        <v>86</v>
      </c>
      <c r="C45" s="258" t="s">
        <v>87</v>
      </c>
      <c r="D45" s="258">
        <v>45</v>
      </c>
      <c r="E45" s="258">
        <v>36</v>
      </c>
      <c r="F45" s="258">
        <f t="shared" si="1"/>
        <v>40.5</v>
      </c>
    </row>
    <row r="46" spans="1:6" x14ac:dyDescent="0.3">
      <c r="A46" s="258">
        <v>40941908</v>
      </c>
      <c r="B46" s="258" t="s">
        <v>88</v>
      </c>
      <c r="C46" s="258" t="s">
        <v>89</v>
      </c>
      <c r="D46" s="258">
        <v>51</v>
      </c>
      <c r="E46" s="258">
        <v>30</v>
      </c>
      <c r="F46" s="258">
        <f t="shared" si="1"/>
        <v>40.5</v>
      </c>
    </row>
    <row r="47" spans="1:6" x14ac:dyDescent="0.3">
      <c r="A47" s="258">
        <v>28380069</v>
      </c>
      <c r="B47" s="258" t="s">
        <v>90</v>
      </c>
      <c r="C47" s="258" t="s">
        <v>91</v>
      </c>
      <c r="D47" s="258">
        <v>46</v>
      </c>
      <c r="E47" s="258">
        <v>40</v>
      </c>
      <c r="F47" s="258">
        <f t="shared" si="1"/>
        <v>43</v>
      </c>
    </row>
    <row r="48" spans="1:6" x14ac:dyDescent="0.3">
      <c r="A48" s="258">
        <v>33455570</v>
      </c>
      <c r="B48" s="258" t="s">
        <v>92</v>
      </c>
      <c r="C48" s="258" t="s">
        <v>93</v>
      </c>
      <c r="D48" s="258">
        <v>80</v>
      </c>
      <c r="E48" s="258">
        <v>7</v>
      </c>
      <c r="F48" s="258">
        <f t="shared" si="1"/>
        <v>43.5</v>
      </c>
    </row>
    <row r="49" spans="1:6" x14ac:dyDescent="0.3">
      <c r="A49" s="258">
        <v>52775578</v>
      </c>
      <c r="B49" s="258" t="s">
        <v>94</v>
      </c>
      <c r="C49" s="258" t="s">
        <v>95</v>
      </c>
      <c r="D49" s="258">
        <v>86</v>
      </c>
      <c r="E49" s="258">
        <v>1</v>
      </c>
      <c r="F49" s="258">
        <f t="shared" si="1"/>
        <v>43.5</v>
      </c>
    </row>
    <row r="50" spans="1:6" x14ac:dyDescent="0.3">
      <c r="A50" s="258">
        <v>69512922</v>
      </c>
      <c r="B50" s="258" t="s">
        <v>96</v>
      </c>
      <c r="C50" s="258" t="s">
        <v>97</v>
      </c>
      <c r="D50" s="258">
        <v>17</v>
      </c>
      <c r="E50" s="258">
        <v>73</v>
      </c>
      <c r="F50" s="258">
        <f t="shared" si="1"/>
        <v>45</v>
      </c>
    </row>
    <row r="51" spans="1:6" x14ac:dyDescent="0.3">
      <c r="A51" s="258">
        <v>20320994</v>
      </c>
      <c r="B51" s="258" t="s">
        <v>98</v>
      </c>
      <c r="C51" s="258" t="s">
        <v>99</v>
      </c>
      <c r="D51" s="258">
        <v>46</v>
      </c>
      <c r="E51" s="258">
        <v>45</v>
      </c>
      <c r="F51" s="258">
        <f t="shared" si="1"/>
        <v>45.5</v>
      </c>
    </row>
    <row r="52" spans="1:6" x14ac:dyDescent="0.3">
      <c r="A52" s="258">
        <v>51855406</v>
      </c>
      <c r="B52" s="258" t="s">
        <v>100</v>
      </c>
      <c r="C52" s="258" t="s">
        <v>101</v>
      </c>
      <c r="D52" s="258">
        <v>7</v>
      </c>
      <c r="E52" s="258">
        <v>85</v>
      </c>
      <c r="F52" s="258">
        <f t="shared" si="1"/>
        <v>46</v>
      </c>
    </row>
    <row r="53" spans="1:6" x14ac:dyDescent="0.3">
      <c r="A53" s="258">
        <v>22312334</v>
      </c>
      <c r="B53" s="258" t="s">
        <v>102</v>
      </c>
      <c r="C53" s="258" t="s">
        <v>103</v>
      </c>
      <c r="D53" s="258">
        <v>4</v>
      </c>
      <c r="E53" s="258">
        <v>92</v>
      </c>
      <c r="F53" s="258">
        <f t="shared" si="1"/>
        <v>48</v>
      </c>
    </row>
    <row r="54" spans="1:6" x14ac:dyDescent="0.3">
      <c r="A54" s="258">
        <v>66173853</v>
      </c>
      <c r="B54" s="258" t="s">
        <v>104</v>
      </c>
      <c r="C54" s="258" t="s">
        <v>105</v>
      </c>
      <c r="D54" s="258">
        <v>94</v>
      </c>
      <c r="E54" s="258">
        <v>2</v>
      </c>
      <c r="F54" s="258">
        <f t="shared" si="1"/>
        <v>48</v>
      </c>
    </row>
    <row r="55" spans="1:6" x14ac:dyDescent="0.3">
      <c r="A55" s="258">
        <v>46774911</v>
      </c>
      <c r="B55" s="258" t="s">
        <v>20</v>
      </c>
      <c r="C55" s="258" t="s">
        <v>106</v>
      </c>
      <c r="D55" s="258">
        <v>69</v>
      </c>
      <c r="E55" s="258">
        <v>29</v>
      </c>
      <c r="F55" s="258">
        <f t="shared" si="1"/>
        <v>49</v>
      </c>
    </row>
    <row r="56" spans="1:6" x14ac:dyDescent="0.3">
      <c r="A56" s="258">
        <v>88099789</v>
      </c>
      <c r="B56" s="258" t="s">
        <v>107</v>
      </c>
      <c r="C56" s="258" t="s">
        <v>108</v>
      </c>
      <c r="D56" s="258">
        <v>72</v>
      </c>
      <c r="E56" s="258">
        <v>26</v>
      </c>
      <c r="F56" s="258">
        <f t="shared" si="1"/>
        <v>49</v>
      </c>
    </row>
    <row r="57" spans="1:6" x14ac:dyDescent="0.3">
      <c r="A57" s="258">
        <v>21171011</v>
      </c>
      <c r="B57" s="258" t="s">
        <v>109</v>
      </c>
      <c r="C57" s="258" t="s">
        <v>110</v>
      </c>
      <c r="D57" s="258">
        <v>16</v>
      </c>
      <c r="E57" s="258">
        <v>83</v>
      </c>
      <c r="F57" s="258">
        <f t="shared" si="1"/>
        <v>49.5</v>
      </c>
    </row>
    <row r="58" spans="1:6" x14ac:dyDescent="0.3">
      <c r="A58" s="258">
        <v>56229618</v>
      </c>
      <c r="B58" s="258" t="s">
        <v>111</v>
      </c>
      <c r="C58" s="258" t="s">
        <v>112</v>
      </c>
      <c r="D58" s="258">
        <v>36</v>
      </c>
      <c r="E58" s="258">
        <v>63</v>
      </c>
      <c r="F58" s="258">
        <f t="shared" si="1"/>
        <v>49.5</v>
      </c>
    </row>
    <row r="59" spans="1:6" x14ac:dyDescent="0.3">
      <c r="A59" s="258">
        <v>24895680</v>
      </c>
      <c r="B59" s="258" t="s">
        <v>113</v>
      </c>
      <c r="C59" s="258" t="s">
        <v>114</v>
      </c>
      <c r="D59" s="258">
        <v>62</v>
      </c>
      <c r="E59" s="258">
        <v>37</v>
      </c>
      <c r="F59" s="258">
        <f t="shared" si="1"/>
        <v>49.5</v>
      </c>
    </row>
    <row r="60" spans="1:6" x14ac:dyDescent="0.3">
      <c r="A60" s="258">
        <v>24074179</v>
      </c>
      <c r="B60" s="258" t="s">
        <v>115</v>
      </c>
      <c r="C60" s="258" t="s">
        <v>116</v>
      </c>
      <c r="D60" s="258">
        <v>75</v>
      </c>
      <c r="E60" s="258">
        <v>24</v>
      </c>
      <c r="F60" s="258">
        <f t="shared" si="1"/>
        <v>49.5</v>
      </c>
    </row>
    <row r="61" spans="1:6" x14ac:dyDescent="0.3">
      <c r="A61" s="258">
        <v>14100297</v>
      </c>
      <c r="B61" s="258" t="s">
        <v>117</v>
      </c>
      <c r="C61" s="258" t="s">
        <v>118</v>
      </c>
      <c r="D61" s="258">
        <v>1</v>
      </c>
      <c r="E61" s="258">
        <v>100</v>
      </c>
      <c r="F61" s="258">
        <f t="shared" si="1"/>
        <v>50.5</v>
      </c>
    </row>
    <row r="62" spans="1:6" x14ac:dyDescent="0.3">
      <c r="A62" s="258">
        <v>47953857</v>
      </c>
      <c r="B62" s="258" t="s">
        <v>82</v>
      </c>
      <c r="C62" s="258" t="s">
        <v>119</v>
      </c>
      <c r="D62" s="258">
        <v>62</v>
      </c>
      <c r="E62" s="258">
        <v>39</v>
      </c>
      <c r="F62" s="258">
        <f t="shared" si="1"/>
        <v>50.5</v>
      </c>
    </row>
    <row r="63" spans="1:6" x14ac:dyDescent="0.3">
      <c r="A63" s="258">
        <v>61870635</v>
      </c>
      <c r="B63" s="258" t="s">
        <v>120</v>
      </c>
      <c r="C63" s="258" t="s">
        <v>121</v>
      </c>
      <c r="D63" s="258">
        <v>69</v>
      </c>
      <c r="E63" s="258">
        <v>32</v>
      </c>
      <c r="F63" s="258">
        <f t="shared" si="1"/>
        <v>50.5</v>
      </c>
    </row>
    <row r="64" spans="1:6" x14ac:dyDescent="0.3">
      <c r="A64" s="258">
        <v>30476018</v>
      </c>
      <c r="B64" s="258" t="s">
        <v>122</v>
      </c>
      <c r="C64" s="258" t="s">
        <v>123</v>
      </c>
      <c r="D64" s="258">
        <v>10</v>
      </c>
      <c r="E64" s="258">
        <v>92</v>
      </c>
      <c r="F64" s="258">
        <f t="shared" si="1"/>
        <v>51</v>
      </c>
    </row>
    <row r="65" spans="1:6" x14ac:dyDescent="0.3">
      <c r="A65" s="258">
        <v>29169845</v>
      </c>
      <c r="B65" s="258" t="s">
        <v>124</v>
      </c>
      <c r="C65" s="258" t="s">
        <v>125</v>
      </c>
      <c r="D65" s="258">
        <v>73</v>
      </c>
      <c r="E65" s="258">
        <v>29</v>
      </c>
      <c r="F65" s="258">
        <f t="shared" si="1"/>
        <v>51</v>
      </c>
    </row>
    <row r="66" spans="1:6" x14ac:dyDescent="0.3">
      <c r="A66" s="258">
        <v>31920733</v>
      </c>
      <c r="B66" s="258" t="s">
        <v>126</v>
      </c>
      <c r="C66" s="258" t="s">
        <v>127</v>
      </c>
      <c r="D66" s="258">
        <v>66</v>
      </c>
      <c r="E66" s="258">
        <v>38</v>
      </c>
      <c r="F66" s="258">
        <f t="shared" si="1"/>
        <v>52</v>
      </c>
    </row>
    <row r="67" spans="1:6" x14ac:dyDescent="0.3">
      <c r="A67" s="258">
        <v>59135219</v>
      </c>
      <c r="B67" s="258" t="s">
        <v>128</v>
      </c>
      <c r="C67" s="258" t="s">
        <v>129</v>
      </c>
      <c r="D67" s="258">
        <v>53</v>
      </c>
      <c r="E67" s="258">
        <v>52</v>
      </c>
      <c r="F67" s="258">
        <f t="shared" si="1"/>
        <v>52.5</v>
      </c>
    </row>
    <row r="68" spans="1:6" x14ac:dyDescent="0.3">
      <c r="A68" s="258">
        <v>29617570</v>
      </c>
      <c r="B68" s="258" t="s">
        <v>130</v>
      </c>
      <c r="C68" s="258" t="s">
        <v>131</v>
      </c>
      <c r="D68" s="258">
        <v>95</v>
      </c>
      <c r="E68" s="258">
        <v>13</v>
      </c>
      <c r="F68" s="258">
        <f t="shared" si="1"/>
        <v>54</v>
      </c>
    </row>
    <row r="69" spans="1:6" x14ac:dyDescent="0.3">
      <c r="A69" s="258">
        <v>41604417</v>
      </c>
      <c r="B69" s="258" t="s">
        <v>132</v>
      </c>
      <c r="C69" s="258" t="s">
        <v>133</v>
      </c>
      <c r="D69" s="258">
        <v>36</v>
      </c>
      <c r="E69" s="258">
        <v>73</v>
      </c>
      <c r="F69" s="258">
        <f t="shared" ref="F69:F99" si="2">AVERAGE(D69:E69)</f>
        <v>54.5</v>
      </c>
    </row>
    <row r="70" spans="1:6" x14ac:dyDescent="0.3">
      <c r="A70" s="258">
        <v>67642835</v>
      </c>
      <c r="B70" s="258" t="s">
        <v>134</v>
      </c>
      <c r="C70" s="258" t="s">
        <v>135</v>
      </c>
      <c r="D70" s="258">
        <v>13</v>
      </c>
      <c r="E70" s="258">
        <v>97</v>
      </c>
      <c r="F70" s="258">
        <f t="shared" si="2"/>
        <v>55</v>
      </c>
    </row>
    <row r="71" spans="1:6" x14ac:dyDescent="0.3">
      <c r="A71" s="258">
        <v>65777672</v>
      </c>
      <c r="B71" s="258" t="s">
        <v>136</v>
      </c>
      <c r="C71" s="258" t="s">
        <v>137</v>
      </c>
      <c r="D71" s="258">
        <v>35</v>
      </c>
      <c r="E71" s="258">
        <v>76</v>
      </c>
      <c r="F71" s="258">
        <f t="shared" si="2"/>
        <v>55.5</v>
      </c>
    </row>
    <row r="72" spans="1:6" x14ac:dyDescent="0.3">
      <c r="A72" s="258">
        <v>57031215</v>
      </c>
      <c r="B72" s="258" t="s">
        <v>138</v>
      </c>
      <c r="C72" s="258" t="s">
        <v>139</v>
      </c>
      <c r="D72" s="258">
        <v>65</v>
      </c>
      <c r="E72" s="258">
        <v>46</v>
      </c>
      <c r="F72" s="258">
        <f t="shared" si="2"/>
        <v>55.5</v>
      </c>
    </row>
    <row r="73" spans="1:6" x14ac:dyDescent="0.3">
      <c r="A73" s="258">
        <v>14679298</v>
      </c>
      <c r="B73" s="258" t="s">
        <v>140</v>
      </c>
      <c r="C73" s="258" t="s">
        <v>141</v>
      </c>
      <c r="D73" s="258">
        <v>73</v>
      </c>
      <c r="E73" s="258">
        <v>38</v>
      </c>
      <c r="F73" s="258">
        <f t="shared" si="2"/>
        <v>55.5</v>
      </c>
    </row>
    <row r="74" spans="1:6" x14ac:dyDescent="0.3">
      <c r="A74" s="258">
        <v>26610470</v>
      </c>
      <c r="B74" s="258" t="s">
        <v>32</v>
      </c>
      <c r="C74" s="258" t="s">
        <v>142</v>
      </c>
      <c r="D74" s="258">
        <v>81</v>
      </c>
      <c r="E74" s="258">
        <v>31</v>
      </c>
      <c r="F74" s="258">
        <f t="shared" si="2"/>
        <v>56</v>
      </c>
    </row>
    <row r="75" spans="1:6" x14ac:dyDescent="0.3">
      <c r="A75" s="258">
        <v>39378097</v>
      </c>
      <c r="B75" s="258" t="s">
        <v>143</v>
      </c>
      <c r="C75" s="258" t="s">
        <v>144</v>
      </c>
      <c r="D75" s="258">
        <v>39</v>
      </c>
      <c r="E75" s="258">
        <v>74</v>
      </c>
      <c r="F75" s="258">
        <f t="shared" si="2"/>
        <v>56.5</v>
      </c>
    </row>
    <row r="76" spans="1:6" x14ac:dyDescent="0.3">
      <c r="A76" s="258">
        <v>12255678</v>
      </c>
      <c r="B76" s="258" t="s">
        <v>145</v>
      </c>
      <c r="C76" s="258" t="s">
        <v>146</v>
      </c>
      <c r="D76" s="258">
        <v>69</v>
      </c>
      <c r="E76" s="258">
        <v>45</v>
      </c>
      <c r="F76" s="258">
        <f t="shared" si="2"/>
        <v>57</v>
      </c>
    </row>
    <row r="77" spans="1:6" x14ac:dyDescent="0.3">
      <c r="A77" s="258">
        <v>23300401</v>
      </c>
      <c r="B77" s="258" t="s">
        <v>147</v>
      </c>
      <c r="C77" s="258" t="s">
        <v>148</v>
      </c>
      <c r="D77" s="258">
        <v>19</v>
      </c>
      <c r="E77" s="258">
        <v>99</v>
      </c>
      <c r="F77" s="258">
        <f t="shared" si="2"/>
        <v>59</v>
      </c>
    </row>
    <row r="78" spans="1:6" x14ac:dyDescent="0.3">
      <c r="A78" s="258">
        <v>73797335</v>
      </c>
      <c r="B78" s="258" t="s">
        <v>102</v>
      </c>
      <c r="C78" s="258" t="s">
        <v>149</v>
      </c>
      <c r="D78" s="258">
        <v>33</v>
      </c>
      <c r="E78" s="258">
        <v>85</v>
      </c>
      <c r="F78" s="258">
        <f t="shared" si="2"/>
        <v>59</v>
      </c>
    </row>
    <row r="79" spans="1:6" x14ac:dyDescent="0.3">
      <c r="A79" s="258">
        <v>96788908</v>
      </c>
      <c r="B79" s="258" t="s">
        <v>101</v>
      </c>
      <c r="C79" s="258" t="s">
        <v>150</v>
      </c>
      <c r="D79" s="258">
        <v>62</v>
      </c>
      <c r="E79" s="258">
        <v>57</v>
      </c>
      <c r="F79" s="258">
        <f t="shared" si="2"/>
        <v>59.5</v>
      </c>
    </row>
    <row r="80" spans="1:6" x14ac:dyDescent="0.3">
      <c r="A80" s="258">
        <v>16251330</v>
      </c>
      <c r="B80" s="258" t="s">
        <v>151</v>
      </c>
      <c r="C80" s="258" t="s">
        <v>152</v>
      </c>
      <c r="D80" s="258">
        <v>22</v>
      </c>
      <c r="E80" s="258">
        <v>99</v>
      </c>
      <c r="F80" s="258">
        <f t="shared" si="2"/>
        <v>60.5</v>
      </c>
    </row>
    <row r="81" spans="1:6" x14ac:dyDescent="0.3">
      <c r="A81" s="258">
        <v>35471023</v>
      </c>
      <c r="B81" s="258" t="s">
        <v>32</v>
      </c>
      <c r="C81" s="258" t="s">
        <v>153</v>
      </c>
      <c r="D81" s="258">
        <v>41</v>
      </c>
      <c r="E81" s="258">
        <v>80</v>
      </c>
      <c r="F81" s="258">
        <f t="shared" si="2"/>
        <v>60.5</v>
      </c>
    </row>
    <row r="82" spans="1:6" x14ac:dyDescent="0.3">
      <c r="A82" s="258">
        <v>50822121</v>
      </c>
      <c r="B82" s="258" t="s">
        <v>154</v>
      </c>
      <c r="C82" s="258" t="s">
        <v>155</v>
      </c>
      <c r="D82" s="258">
        <v>36</v>
      </c>
      <c r="E82" s="258">
        <v>88</v>
      </c>
      <c r="F82" s="258">
        <f t="shared" si="2"/>
        <v>62</v>
      </c>
    </row>
    <row r="83" spans="1:6" x14ac:dyDescent="0.3">
      <c r="A83" s="258">
        <v>45322100</v>
      </c>
      <c r="B83" s="258" t="s">
        <v>156</v>
      </c>
      <c r="C83" s="258" t="s">
        <v>157</v>
      </c>
      <c r="D83" s="258">
        <v>86</v>
      </c>
      <c r="E83" s="258">
        <v>41</v>
      </c>
      <c r="F83" s="258">
        <f t="shared" si="2"/>
        <v>63.5</v>
      </c>
    </row>
    <row r="84" spans="1:6" x14ac:dyDescent="0.3">
      <c r="A84" s="258">
        <v>55251417</v>
      </c>
      <c r="B84" s="258" t="s">
        <v>158</v>
      </c>
      <c r="C84" s="258" t="s">
        <v>159</v>
      </c>
      <c r="D84" s="258">
        <v>58</v>
      </c>
      <c r="E84" s="258">
        <v>70</v>
      </c>
      <c r="F84" s="258">
        <f t="shared" si="2"/>
        <v>64</v>
      </c>
    </row>
    <row r="85" spans="1:6" x14ac:dyDescent="0.3">
      <c r="A85" s="258">
        <v>14858103</v>
      </c>
      <c r="B85" s="258" t="s">
        <v>160</v>
      </c>
      <c r="C85" s="258" t="s">
        <v>161</v>
      </c>
      <c r="D85" s="258">
        <v>37</v>
      </c>
      <c r="E85" s="258">
        <v>99</v>
      </c>
      <c r="F85" s="258">
        <f t="shared" si="2"/>
        <v>68</v>
      </c>
    </row>
    <row r="86" spans="1:6" x14ac:dyDescent="0.3">
      <c r="A86" s="258">
        <v>46271285</v>
      </c>
      <c r="B86" s="258" t="s">
        <v>162</v>
      </c>
      <c r="C86" s="258" t="s">
        <v>163</v>
      </c>
      <c r="D86" s="258">
        <v>51</v>
      </c>
      <c r="E86" s="258">
        <v>89</v>
      </c>
      <c r="F86" s="258">
        <f t="shared" si="2"/>
        <v>70</v>
      </c>
    </row>
    <row r="87" spans="1:6" x14ac:dyDescent="0.3">
      <c r="A87" s="258">
        <v>42393621</v>
      </c>
      <c r="B87" s="258" t="s">
        <v>164</v>
      </c>
      <c r="C87" s="258" t="s">
        <v>165</v>
      </c>
      <c r="D87" s="258">
        <v>51</v>
      </c>
      <c r="E87" s="258">
        <v>91</v>
      </c>
      <c r="F87" s="258">
        <f t="shared" si="2"/>
        <v>71</v>
      </c>
    </row>
    <row r="88" spans="1:6" x14ac:dyDescent="0.3">
      <c r="A88" s="258">
        <v>88900987</v>
      </c>
      <c r="B88" s="258" t="s">
        <v>89</v>
      </c>
      <c r="C88" s="258" t="s">
        <v>166</v>
      </c>
      <c r="D88" s="258">
        <v>74</v>
      </c>
      <c r="E88" s="258">
        <v>70</v>
      </c>
      <c r="F88" s="258">
        <f t="shared" si="2"/>
        <v>72</v>
      </c>
    </row>
    <row r="89" spans="1:6" x14ac:dyDescent="0.3">
      <c r="A89" s="258">
        <v>61539595</v>
      </c>
      <c r="B89" s="258" t="s">
        <v>82</v>
      </c>
      <c r="C89" s="258" t="s">
        <v>167</v>
      </c>
      <c r="D89" s="258">
        <v>85</v>
      </c>
      <c r="E89" s="258">
        <v>69</v>
      </c>
      <c r="F89" s="258">
        <f t="shared" si="2"/>
        <v>77</v>
      </c>
    </row>
    <row r="90" spans="1:6" x14ac:dyDescent="0.3">
      <c r="A90" s="258">
        <v>99978671</v>
      </c>
      <c r="B90" s="258" t="s">
        <v>168</v>
      </c>
      <c r="C90" s="258" t="s">
        <v>169</v>
      </c>
      <c r="D90" s="258">
        <v>98</v>
      </c>
      <c r="E90" s="258">
        <v>56</v>
      </c>
      <c r="F90" s="258">
        <f t="shared" si="2"/>
        <v>77</v>
      </c>
    </row>
    <row r="91" spans="1:6" x14ac:dyDescent="0.3">
      <c r="A91" s="258">
        <v>66788007</v>
      </c>
      <c r="B91" s="258" t="s">
        <v>8</v>
      </c>
      <c r="C91" s="258" t="s">
        <v>170</v>
      </c>
      <c r="D91" s="258">
        <v>65</v>
      </c>
      <c r="E91" s="258">
        <v>91</v>
      </c>
      <c r="F91" s="258">
        <f t="shared" si="2"/>
        <v>78</v>
      </c>
    </row>
    <row r="92" spans="1:6" x14ac:dyDescent="0.3">
      <c r="A92" s="258">
        <v>26430751</v>
      </c>
      <c r="B92" s="258" t="s">
        <v>20</v>
      </c>
      <c r="C92" s="258" t="s">
        <v>171</v>
      </c>
      <c r="D92" s="258">
        <v>77</v>
      </c>
      <c r="E92" s="258">
        <v>84</v>
      </c>
      <c r="F92" s="258">
        <f t="shared" si="2"/>
        <v>80.5</v>
      </c>
    </row>
    <row r="93" spans="1:6" x14ac:dyDescent="0.3">
      <c r="A93" s="258">
        <v>56566555</v>
      </c>
      <c r="B93" s="258" t="s">
        <v>172</v>
      </c>
      <c r="C93" s="258" t="s">
        <v>173</v>
      </c>
      <c r="D93" s="258">
        <v>80</v>
      </c>
      <c r="E93" s="258">
        <v>82</v>
      </c>
      <c r="F93" s="258">
        <f t="shared" si="2"/>
        <v>81</v>
      </c>
    </row>
    <row r="94" spans="1:6" x14ac:dyDescent="0.3">
      <c r="A94" s="258">
        <v>54881230</v>
      </c>
      <c r="B94" s="258" t="s">
        <v>174</v>
      </c>
      <c r="C94" s="258" t="s">
        <v>175</v>
      </c>
      <c r="D94" s="258">
        <v>86</v>
      </c>
      <c r="E94" s="258">
        <v>90</v>
      </c>
      <c r="F94" s="258">
        <f t="shared" si="2"/>
        <v>88</v>
      </c>
    </row>
    <row r="95" spans="1:6" x14ac:dyDescent="0.3">
      <c r="A95" s="258">
        <v>36326243</v>
      </c>
      <c r="B95" s="258" t="s">
        <v>176</v>
      </c>
      <c r="C95" s="258" t="s">
        <v>177</v>
      </c>
      <c r="D95" s="258">
        <v>87</v>
      </c>
      <c r="E95" s="258">
        <v>89</v>
      </c>
      <c r="F95" s="258">
        <f t="shared" si="2"/>
        <v>88</v>
      </c>
    </row>
    <row r="96" spans="1:6" x14ac:dyDescent="0.3">
      <c r="A96" s="258">
        <v>42567936</v>
      </c>
      <c r="B96" s="258" t="s">
        <v>128</v>
      </c>
      <c r="C96" s="258" t="s">
        <v>178</v>
      </c>
      <c r="D96" s="258">
        <v>95</v>
      </c>
      <c r="E96" s="258">
        <v>81</v>
      </c>
      <c r="F96" s="258">
        <f t="shared" si="2"/>
        <v>88</v>
      </c>
    </row>
    <row r="97" spans="1:6" x14ac:dyDescent="0.3">
      <c r="A97" s="258">
        <v>30497977</v>
      </c>
      <c r="B97" s="258" t="s">
        <v>179</v>
      </c>
      <c r="C97" s="258" t="s">
        <v>180</v>
      </c>
      <c r="D97" s="258">
        <v>85</v>
      </c>
      <c r="E97" s="258">
        <v>93</v>
      </c>
      <c r="F97" s="258">
        <f t="shared" si="2"/>
        <v>89</v>
      </c>
    </row>
    <row r="98" spans="1:6" x14ac:dyDescent="0.3">
      <c r="A98" s="258">
        <v>60161889</v>
      </c>
      <c r="B98" s="258" t="s">
        <v>10</v>
      </c>
      <c r="C98" s="258" t="s">
        <v>181</v>
      </c>
      <c r="D98" s="258">
        <v>88</v>
      </c>
      <c r="E98" s="258">
        <v>90</v>
      </c>
      <c r="F98" s="258">
        <f t="shared" si="2"/>
        <v>89</v>
      </c>
    </row>
    <row r="99" spans="1:6" x14ac:dyDescent="0.3">
      <c r="A99" s="258">
        <v>23970827</v>
      </c>
      <c r="B99" s="258" t="s">
        <v>182</v>
      </c>
      <c r="C99" s="258" t="s">
        <v>183</v>
      </c>
      <c r="D99" s="258">
        <v>90</v>
      </c>
      <c r="E99" s="258">
        <v>89</v>
      </c>
      <c r="F99" s="258">
        <f t="shared" si="2"/>
        <v>89.5</v>
      </c>
    </row>
    <row r="100" spans="1:6" x14ac:dyDescent="0.3">
      <c r="A100" s="258">
        <v>15767535</v>
      </c>
      <c r="B100" s="258" t="s">
        <v>184</v>
      </c>
      <c r="C100" s="258" t="s">
        <v>185</v>
      </c>
      <c r="D100" s="258">
        <v>97</v>
      </c>
      <c r="E100" s="258">
        <v>97</v>
      </c>
      <c r="F100" s="258">
        <v>97</v>
      </c>
    </row>
    <row r="101" spans="1:6" x14ac:dyDescent="0.3">
      <c r="A101" s="258">
        <v>10648455</v>
      </c>
      <c r="B101" s="258" t="s">
        <v>32</v>
      </c>
      <c r="C101" s="258" t="s">
        <v>186</v>
      </c>
      <c r="D101" s="258">
        <v>97</v>
      </c>
      <c r="E101" s="258">
        <v>90</v>
      </c>
      <c r="F101" s="258">
        <f>AVERAGE(D101:E101)</f>
        <v>93.5</v>
      </c>
    </row>
    <row r="102" spans="1:6" x14ac:dyDescent="0.3">
      <c r="A102" s="258">
        <v>31440459</v>
      </c>
      <c r="B102" s="258" t="s">
        <v>187</v>
      </c>
      <c r="C102" s="258" t="s">
        <v>148</v>
      </c>
      <c r="D102" s="258">
        <v>100</v>
      </c>
      <c r="E102" s="258">
        <v>88</v>
      </c>
      <c r="F102" s="258">
        <f>AVERAGE(D102:E102)</f>
        <v>94</v>
      </c>
    </row>
    <row r="103" spans="1:6" x14ac:dyDescent="0.3">
      <c r="A103" s="258">
        <v>19259601</v>
      </c>
      <c r="B103" s="258" t="s">
        <v>188</v>
      </c>
      <c r="C103" s="258" t="s">
        <v>189</v>
      </c>
      <c r="D103" s="258">
        <v>97</v>
      </c>
      <c r="E103" s="258">
        <v>97</v>
      </c>
      <c r="F103" s="258">
        <f>AVERAGE(D103:E103)</f>
        <v>97</v>
      </c>
    </row>
    <row r="104" spans="1:6" x14ac:dyDescent="0.3">
      <c r="A104" s="258">
        <v>37849714</v>
      </c>
      <c r="B104" s="258" t="s">
        <v>190</v>
      </c>
      <c r="C104" s="258" t="s">
        <v>191</v>
      </c>
      <c r="D104" s="258">
        <v>99</v>
      </c>
      <c r="E104" s="258">
        <v>100</v>
      </c>
      <c r="F104" s="258">
        <f>AVERAGE(D104:E104)</f>
        <v>99.5</v>
      </c>
    </row>
    <row r="105" spans="1:6" x14ac:dyDescent="0.3">
      <c r="A105" s="259">
        <f>SUBTOTAL(103,Schooldata[Student ID])</f>
        <v>100</v>
      </c>
      <c r="B105" s="259">
        <f>SUBTOTAL(103,Schooldata[SLast Name])</f>
        <v>100</v>
      </c>
      <c r="C105" s="259">
        <f>SUBTOTAL(103,Schooldata[SFirst Names])</f>
        <v>100</v>
      </c>
      <c r="D105" s="258">
        <f>SUBTOTAL(101,Schooldata[PlacementExam 1])</f>
        <v>46.57</v>
      </c>
      <c r="E105" s="259">
        <f>SUBTOTAL(101,Schooldata[PlacementExam 2])</f>
        <v>50.4</v>
      </c>
      <c r="F105" s="258">
        <f>SUBTOTAL(101,Schooldata[PlacementScore])</f>
        <v>48.484999999999999</v>
      </c>
    </row>
  </sheetData>
  <mergeCells count="1">
    <mergeCell ref="A1:F3"/>
  </mergeCells>
  <phoneticPr fontId="59" type="noConversion"/>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CA6D2-64C6-4C86-8B51-AD7BBCFBB427}">
  <sheetPr codeName="Sheet3">
    <tabColor rgb="FFFFFF00"/>
  </sheetPr>
  <dimension ref="A3:D8"/>
  <sheetViews>
    <sheetView zoomScaleNormal="100" workbookViewId="0">
      <selection activeCell="L27" sqref="L27"/>
    </sheetView>
  </sheetViews>
  <sheetFormatPr defaultColWidth="8.875" defaultRowHeight="14.4" x14ac:dyDescent="0.3"/>
  <cols>
    <col min="1" max="1" width="14" style="1" bestFit="1" customWidth="1"/>
    <col min="2" max="2" width="26.25" style="1" bestFit="1" customWidth="1"/>
    <col min="3" max="4" width="25.875" style="1" customWidth="1"/>
    <col min="5" max="16384" width="8.875" style="1"/>
  </cols>
  <sheetData>
    <row r="3" spans="1:4" x14ac:dyDescent="0.3">
      <c r="A3" s="1" t="s">
        <v>452</v>
      </c>
      <c r="B3" s="1" t="s">
        <v>378</v>
      </c>
      <c r="C3" s="1" t="s">
        <v>376</v>
      </c>
      <c r="D3" s="1" t="s">
        <v>377</v>
      </c>
    </row>
    <row r="4" spans="1:4" x14ac:dyDescent="0.3">
      <c r="A4" s="81" t="s">
        <v>102</v>
      </c>
      <c r="B4" s="1">
        <v>48</v>
      </c>
      <c r="C4" s="1">
        <v>4</v>
      </c>
      <c r="D4" s="1">
        <v>92</v>
      </c>
    </row>
    <row r="5" spans="1:4" x14ac:dyDescent="0.3">
      <c r="A5" s="191" t="s">
        <v>103</v>
      </c>
      <c r="B5" s="1">
        <v>48</v>
      </c>
      <c r="C5" s="1">
        <v>4</v>
      </c>
      <c r="D5" s="1">
        <v>92</v>
      </c>
    </row>
    <row r="6" spans="1:4" x14ac:dyDescent="0.3">
      <c r="A6" s="81" t="s">
        <v>104</v>
      </c>
      <c r="B6" s="1">
        <v>48</v>
      </c>
      <c r="C6" s="1">
        <v>94</v>
      </c>
      <c r="D6" s="1">
        <v>2</v>
      </c>
    </row>
    <row r="7" spans="1:4" x14ac:dyDescent="0.3">
      <c r="A7" s="191" t="s">
        <v>105</v>
      </c>
      <c r="B7" s="1">
        <v>48</v>
      </c>
      <c r="C7" s="1">
        <v>94</v>
      </c>
      <c r="D7" s="1">
        <v>2</v>
      </c>
    </row>
    <row r="8" spans="1:4" x14ac:dyDescent="0.3">
      <c r="A8" s="81" t="s">
        <v>286</v>
      </c>
      <c r="B8" s="1">
        <v>48</v>
      </c>
      <c r="C8" s="1">
        <v>49</v>
      </c>
      <c r="D8" s="1">
        <v>47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B1EFA3-D3FB-4DBF-824A-4CF1B2574D7D}">
  <sheetPr codeName="Sheet5">
    <tabColor theme="5"/>
  </sheetPr>
  <dimension ref="A1:BE67"/>
  <sheetViews>
    <sheetView zoomScaleNormal="100" workbookViewId="0">
      <pane ySplit="1" topLeftCell="A5" activePane="bottomLeft" state="frozen"/>
      <selection activeCell="AC33" sqref="AC33"/>
      <selection pane="bottomLeft"/>
    </sheetView>
  </sheetViews>
  <sheetFormatPr defaultColWidth="8.875" defaultRowHeight="14.4" x14ac:dyDescent="0.3"/>
  <cols>
    <col min="1" max="1" width="19.375" style="1" bestFit="1" customWidth="1"/>
    <col min="2" max="2" width="12.875" style="1" customWidth="1"/>
    <col min="3" max="3" width="14" style="1" customWidth="1"/>
    <col min="4" max="7" width="9.75" style="1" customWidth="1"/>
    <col min="8" max="8" width="20.625" style="1" customWidth="1"/>
    <col min="9" max="10" width="14.375" style="1" customWidth="1"/>
    <col min="11" max="11" width="13.25" style="1" customWidth="1"/>
    <col min="12" max="12" width="17.75" style="1" bestFit="1" customWidth="1"/>
    <col min="13" max="13" width="17.125" style="1" bestFit="1" customWidth="1"/>
    <col min="14" max="14" width="12.875" style="1" customWidth="1"/>
    <col min="15" max="15" width="14" style="1" customWidth="1"/>
    <col min="16" max="17" width="9.75" style="1" customWidth="1"/>
    <col min="18" max="18" width="50.625" style="1" customWidth="1"/>
    <col min="19" max="19" width="9.75" style="1" customWidth="1"/>
    <col min="20" max="20" width="20.625" style="1" customWidth="1"/>
    <col min="21" max="21" width="7.125" style="1" customWidth="1"/>
    <col min="22" max="22" width="15.625" style="1" customWidth="1"/>
    <col min="23" max="23" width="13.25" style="1" customWidth="1"/>
    <col min="24" max="24" width="13.625" style="1" customWidth="1"/>
    <col min="25" max="16384" width="8.875" style="1"/>
  </cols>
  <sheetData>
    <row r="1" spans="1:57" customFormat="1" ht="24.6" x14ac:dyDescent="0.4">
      <c r="A1" s="188" t="s">
        <v>281</v>
      </c>
      <c r="B1" s="1"/>
      <c r="C1" s="1"/>
      <c r="D1" s="1"/>
      <c r="E1" s="1"/>
      <c r="F1" s="1"/>
      <c r="G1" s="20"/>
      <c r="H1" s="329" t="s">
        <v>321</v>
      </c>
      <c r="I1" s="329"/>
      <c r="J1" s="22">
        <f>COUNT(ClassAID)</f>
        <v>13</v>
      </c>
      <c r="L1" s="1"/>
      <c r="M1" s="1"/>
      <c r="N1" s="1"/>
      <c r="O1" s="1"/>
      <c r="P1" s="1"/>
      <c r="Q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2" spans="1:57" x14ac:dyDescent="0.3">
      <c r="G2" s="15"/>
      <c r="H2" s="15"/>
      <c r="I2" s="15"/>
    </row>
    <row r="3" spans="1:57" x14ac:dyDescent="0.3">
      <c r="G3" s="15"/>
      <c r="H3" s="15"/>
      <c r="I3" s="15"/>
    </row>
    <row r="4" spans="1:57" x14ac:dyDescent="0.3">
      <c r="A4" s="26"/>
      <c r="B4" s="26"/>
      <c r="C4" s="26"/>
      <c r="D4" s="26"/>
      <c r="E4" s="26"/>
      <c r="F4" s="26"/>
      <c r="G4" s="26"/>
      <c r="H4" s="26"/>
      <c r="I4" s="26"/>
      <c r="J4" s="26"/>
      <c r="K4" s="26"/>
      <c r="L4" s="29"/>
      <c r="M4" s="29"/>
      <c r="N4" s="29"/>
      <c r="O4" s="29"/>
      <c r="P4" s="29"/>
      <c r="Q4" s="29"/>
      <c r="R4" s="29"/>
    </row>
    <row r="5" spans="1:57" customFormat="1" ht="27" x14ac:dyDescent="0.4">
      <c r="A5" s="330" t="s">
        <v>192</v>
      </c>
      <c r="B5" s="330"/>
      <c r="C5" s="330"/>
      <c r="D5" s="330"/>
      <c r="E5" s="330"/>
      <c r="F5" s="330"/>
      <c r="G5" s="330"/>
      <c r="H5" s="330"/>
      <c r="I5" s="330"/>
      <c r="J5" s="330"/>
      <c r="K5" s="330"/>
      <c r="L5" s="60"/>
      <c r="M5" s="23" t="s">
        <v>206</v>
      </c>
      <c r="N5" s="23" t="s">
        <v>207</v>
      </c>
      <c r="O5" s="60"/>
      <c r="P5" s="60"/>
      <c r="Q5" s="29"/>
      <c r="R5" s="29"/>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row>
    <row r="6" spans="1:57" customFormat="1" ht="15.6" x14ac:dyDescent="0.3">
      <c r="A6" t="s">
        <v>0</v>
      </c>
      <c r="B6" t="s">
        <v>193</v>
      </c>
      <c r="C6" t="s">
        <v>194</v>
      </c>
      <c r="D6" t="s">
        <v>195</v>
      </c>
      <c r="E6" t="s">
        <v>196</v>
      </c>
      <c r="F6" t="s">
        <v>197</v>
      </c>
      <c r="G6" t="s">
        <v>198</v>
      </c>
      <c r="H6" t="s">
        <v>199</v>
      </c>
      <c r="I6" t="s">
        <v>2</v>
      </c>
      <c r="J6" t="s">
        <v>200</v>
      </c>
      <c r="K6" t="s">
        <v>201</v>
      </c>
      <c r="L6" s="60"/>
      <c r="M6" s="23">
        <v>652424</v>
      </c>
      <c r="N6" s="23" t="s">
        <v>215</v>
      </c>
      <c r="O6" s="23" t="s">
        <v>428</v>
      </c>
      <c r="P6" s="60"/>
      <c r="Q6" s="29"/>
      <c r="R6" s="29"/>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row>
    <row r="7" spans="1:57" customFormat="1" ht="15.6" x14ac:dyDescent="0.3">
      <c r="A7">
        <v>10648455</v>
      </c>
      <c r="B7" t="s">
        <v>32</v>
      </c>
      <c r="C7" t="s">
        <v>186</v>
      </c>
      <c r="D7">
        <v>98</v>
      </c>
      <c r="E7">
        <v>78</v>
      </c>
      <c r="F7">
        <v>86</v>
      </c>
      <c r="G7">
        <v>87</v>
      </c>
      <c r="H7">
        <v>95</v>
      </c>
      <c r="I7">
        <f t="shared" ref="I7:I19" si="0">D7*0.2+E7*0.2+F7*0.2+G7*0.2+H7*0.2</f>
        <v>88.800000000000011</v>
      </c>
      <c r="J7" t="str">
        <f t="shared" ref="J7:J19" si="1">_xlfn.IFS(I7&gt;=97, "A+",I7&gt;= 90, "A",I7&gt;=86, "B+", I7&gt;=80, "B",I7&gt;=76, "C+", I7&gt;= 70, "C",I7&gt;= 60, "D",I7&lt; 60, "F")</f>
        <v>B+</v>
      </c>
      <c r="K7">
        <f>RANK(ClassAT1[[#This Row],[GPA]],ClassAT1[GPA])</f>
        <v>1</v>
      </c>
      <c r="L7" s="60"/>
      <c r="M7" s="23">
        <v>381477</v>
      </c>
      <c r="N7" s="23" t="s">
        <v>222</v>
      </c>
      <c r="O7" s="23" t="s">
        <v>429</v>
      </c>
      <c r="P7" s="60"/>
      <c r="Q7" s="29"/>
      <c r="R7" s="29"/>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row>
    <row r="8" spans="1:57" customFormat="1" ht="15.6" x14ac:dyDescent="0.3">
      <c r="A8">
        <v>15767535</v>
      </c>
      <c r="B8" t="s">
        <v>184</v>
      </c>
      <c r="C8" t="s">
        <v>185</v>
      </c>
      <c r="D8">
        <v>89</v>
      </c>
      <c r="E8">
        <v>88</v>
      </c>
      <c r="F8">
        <v>93</v>
      </c>
      <c r="G8">
        <v>77</v>
      </c>
      <c r="H8">
        <v>94</v>
      </c>
      <c r="I8">
        <f t="shared" si="0"/>
        <v>88.2</v>
      </c>
      <c r="J8" t="str">
        <f t="shared" si="1"/>
        <v>B+</v>
      </c>
      <c r="K8">
        <f>RANK(ClassAT1[[#This Row],[GPA]],ClassAT1[GPA])</f>
        <v>2</v>
      </c>
      <c r="L8" s="60"/>
      <c r="M8" s="23">
        <v>177275</v>
      </c>
      <c r="N8" s="23" t="s">
        <v>234</v>
      </c>
      <c r="O8" s="23" t="s">
        <v>430</v>
      </c>
      <c r="P8" s="60"/>
      <c r="Q8" s="29"/>
      <c r="R8" s="29"/>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row>
    <row r="9" spans="1:57" customFormat="1" ht="15.6" x14ac:dyDescent="0.3">
      <c r="A9">
        <v>19259601</v>
      </c>
      <c r="B9" t="s">
        <v>188</v>
      </c>
      <c r="C9" t="s">
        <v>189</v>
      </c>
      <c r="D9">
        <v>92</v>
      </c>
      <c r="E9">
        <v>93</v>
      </c>
      <c r="F9">
        <v>91</v>
      </c>
      <c r="G9">
        <v>78</v>
      </c>
      <c r="H9">
        <v>76</v>
      </c>
      <c r="I9">
        <f t="shared" si="0"/>
        <v>86.000000000000014</v>
      </c>
      <c r="J9" t="str">
        <f t="shared" si="1"/>
        <v>B+</v>
      </c>
      <c r="K9">
        <f>RANK(ClassAT1[[#This Row],[GPA]],ClassAT1[GPA])</f>
        <v>8</v>
      </c>
      <c r="L9" s="60"/>
      <c r="M9" s="23">
        <v>238491</v>
      </c>
      <c r="N9" s="23" t="s">
        <v>241</v>
      </c>
      <c r="O9" s="23" t="s">
        <v>431</v>
      </c>
      <c r="P9" s="60"/>
      <c r="Q9" s="29"/>
      <c r="R9" s="29"/>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row>
    <row r="10" spans="1:57" customFormat="1" ht="15.6" x14ac:dyDescent="0.3">
      <c r="A10">
        <v>23970827</v>
      </c>
      <c r="B10" t="s">
        <v>182</v>
      </c>
      <c r="C10" t="s">
        <v>183</v>
      </c>
      <c r="D10">
        <v>75</v>
      </c>
      <c r="E10">
        <v>84</v>
      </c>
      <c r="F10">
        <v>92</v>
      </c>
      <c r="G10">
        <v>73</v>
      </c>
      <c r="H10">
        <v>94</v>
      </c>
      <c r="I10">
        <f t="shared" si="0"/>
        <v>83.600000000000009</v>
      </c>
      <c r="J10" t="str">
        <f t="shared" si="1"/>
        <v>B</v>
      </c>
      <c r="K10">
        <f>RANK(ClassAT1[[#This Row],[GPA]],ClassAT1[GPA])</f>
        <v>10</v>
      </c>
      <c r="L10" s="60"/>
      <c r="M10" s="23">
        <v>294431</v>
      </c>
      <c r="N10" s="23" t="s">
        <v>254</v>
      </c>
      <c r="O10" s="23" t="s">
        <v>432</v>
      </c>
      <c r="P10" s="60"/>
      <c r="Q10" s="29"/>
      <c r="R10" s="29"/>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row>
    <row r="11" spans="1:57" customFormat="1" x14ac:dyDescent="0.3">
      <c r="A11">
        <v>26430751</v>
      </c>
      <c r="B11" t="s">
        <v>20</v>
      </c>
      <c r="C11" t="s">
        <v>171</v>
      </c>
      <c r="D11">
        <v>85</v>
      </c>
      <c r="E11">
        <v>99</v>
      </c>
      <c r="F11">
        <v>73</v>
      </c>
      <c r="G11">
        <v>77</v>
      </c>
      <c r="H11">
        <v>99</v>
      </c>
      <c r="I11">
        <f t="shared" si="0"/>
        <v>86.6</v>
      </c>
      <c r="J11" t="str">
        <f t="shared" si="1"/>
        <v>B+</v>
      </c>
      <c r="K11">
        <f>RANK(ClassAT1[[#This Row],[GPA]],ClassAT1[GPA])</f>
        <v>7</v>
      </c>
      <c r="L11" s="60"/>
      <c r="M11" s="60"/>
      <c r="N11" s="60"/>
      <c r="O11" s="60"/>
      <c r="P11" s="60"/>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row>
    <row r="12" spans="1:57" customFormat="1" x14ac:dyDescent="0.3">
      <c r="A12">
        <v>30497977</v>
      </c>
      <c r="B12" t="s">
        <v>179</v>
      </c>
      <c r="C12" t="s">
        <v>180</v>
      </c>
      <c r="D12">
        <v>85</v>
      </c>
      <c r="E12">
        <v>77</v>
      </c>
      <c r="F12">
        <v>87</v>
      </c>
      <c r="G12">
        <v>84</v>
      </c>
      <c r="H12">
        <v>73</v>
      </c>
      <c r="I12">
        <f t="shared" si="0"/>
        <v>81.199999999999989</v>
      </c>
      <c r="J12" t="str">
        <f t="shared" si="1"/>
        <v>B</v>
      </c>
      <c r="K12">
        <f>RANK(ClassAT1[[#This Row],[GPA]],ClassAT1[GPA])</f>
        <v>12</v>
      </c>
      <c r="L12" s="24" t="s">
        <v>324</v>
      </c>
      <c r="M12" s="24" t="s">
        <v>325</v>
      </c>
      <c r="N12" s="24"/>
      <c r="O12" s="24"/>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row>
    <row r="13" spans="1:57" customFormat="1" x14ac:dyDescent="0.3">
      <c r="A13">
        <v>31440459</v>
      </c>
      <c r="B13" t="s">
        <v>187</v>
      </c>
      <c r="C13" t="s">
        <v>148</v>
      </c>
      <c r="D13">
        <v>93</v>
      </c>
      <c r="E13">
        <v>85</v>
      </c>
      <c r="F13">
        <v>83</v>
      </c>
      <c r="G13">
        <v>94</v>
      </c>
      <c r="H13">
        <v>86</v>
      </c>
      <c r="I13">
        <f t="shared" si="0"/>
        <v>88.2</v>
      </c>
      <c r="J13" t="str">
        <f t="shared" si="1"/>
        <v>B+</v>
      </c>
      <c r="K13">
        <f>RANK(ClassAT1[[#This Row],[GPA]],ClassAT1[GPA])</f>
        <v>2</v>
      </c>
      <c r="L13" s="24" t="s">
        <v>323</v>
      </c>
      <c r="M13" s="24" t="s">
        <v>311</v>
      </c>
      <c r="N13" s="24" t="s">
        <v>326</v>
      </c>
      <c r="O13" s="24" t="s">
        <v>286</v>
      </c>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row>
    <row r="14" spans="1:57" customFormat="1" x14ac:dyDescent="0.3">
      <c r="A14">
        <v>36326243</v>
      </c>
      <c r="B14" t="s">
        <v>176</v>
      </c>
      <c r="C14" t="s">
        <v>177</v>
      </c>
      <c r="D14">
        <v>90</v>
      </c>
      <c r="E14">
        <v>84</v>
      </c>
      <c r="F14">
        <v>76</v>
      </c>
      <c r="G14">
        <v>82</v>
      </c>
      <c r="H14">
        <v>72</v>
      </c>
      <c r="I14">
        <f t="shared" si="0"/>
        <v>80.800000000000011</v>
      </c>
      <c r="J14" t="str">
        <f t="shared" si="1"/>
        <v>B</v>
      </c>
      <c r="K14">
        <f>RANK(ClassAT1[[#This Row],[GPA]],ClassAT1[GPA])</f>
        <v>13</v>
      </c>
      <c r="L14" s="185">
        <v>80</v>
      </c>
      <c r="M14" s="155">
        <v>90.4</v>
      </c>
      <c r="N14" s="24">
        <v>86.800000000000011</v>
      </c>
      <c r="O14" s="155">
        <v>177.20000000000002</v>
      </c>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row>
    <row r="15" spans="1:57" customFormat="1" x14ac:dyDescent="0.3">
      <c r="A15">
        <v>37849714</v>
      </c>
      <c r="B15" t="s">
        <v>190</v>
      </c>
      <c r="C15" t="s">
        <v>191</v>
      </c>
      <c r="D15">
        <v>71</v>
      </c>
      <c r="E15">
        <v>95</v>
      </c>
      <c r="F15">
        <v>100</v>
      </c>
      <c r="G15">
        <v>78</v>
      </c>
      <c r="H15">
        <v>74</v>
      </c>
      <c r="I15">
        <f t="shared" si="0"/>
        <v>83.600000000000009</v>
      </c>
      <c r="J15" t="str">
        <f t="shared" si="1"/>
        <v>B</v>
      </c>
      <c r="K15">
        <f>RANK(ClassAT1[[#This Row],[GPA]],ClassAT1[GPA])</f>
        <v>10</v>
      </c>
      <c r="L15" s="185">
        <v>82</v>
      </c>
      <c r="M15" s="155">
        <v>90</v>
      </c>
      <c r="N15" s="24">
        <v>88.4</v>
      </c>
      <c r="O15" s="155">
        <v>178.4</v>
      </c>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row>
    <row r="16" spans="1:57" customFormat="1" x14ac:dyDescent="0.3">
      <c r="A16">
        <v>42567936</v>
      </c>
      <c r="B16" t="s">
        <v>128</v>
      </c>
      <c r="C16" t="s">
        <v>178</v>
      </c>
      <c r="D16">
        <v>87</v>
      </c>
      <c r="E16">
        <v>70</v>
      </c>
      <c r="F16">
        <v>91</v>
      </c>
      <c r="G16">
        <v>88</v>
      </c>
      <c r="H16">
        <v>99</v>
      </c>
      <c r="I16">
        <f t="shared" si="0"/>
        <v>87</v>
      </c>
      <c r="J16" t="str">
        <f t="shared" si="1"/>
        <v>B+</v>
      </c>
      <c r="K16">
        <f>RANK(ClassAT1[[#This Row],[GPA]],ClassAT1[GPA])</f>
        <v>6</v>
      </c>
      <c r="L16" s="185">
        <v>90</v>
      </c>
      <c r="M16" s="155">
        <v>92.800000000000011</v>
      </c>
      <c r="N16" s="24"/>
      <c r="O16" s="155">
        <v>92.800000000000011</v>
      </c>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row>
    <row r="17" spans="1:57" customFormat="1" x14ac:dyDescent="0.3">
      <c r="A17">
        <v>54881230</v>
      </c>
      <c r="B17" t="s">
        <v>174</v>
      </c>
      <c r="C17" t="s">
        <v>175</v>
      </c>
      <c r="D17">
        <v>92</v>
      </c>
      <c r="E17">
        <v>80</v>
      </c>
      <c r="F17">
        <v>91</v>
      </c>
      <c r="G17">
        <v>92</v>
      </c>
      <c r="H17">
        <v>83</v>
      </c>
      <c r="I17">
        <f t="shared" si="0"/>
        <v>87.600000000000023</v>
      </c>
      <c r="J17" t="str">
        <f t="shared" si="1"/>
        <v>B+</v>
      </c>
      <c r="K17">
        <f>RANK(ClassAT1[[#This Row],[GPA]],ClassAT1[GPA])</f>
        <v>5</v>
      </c>
      <c r="L17" s="185">
        <v>91</v>
      </c>
      <c r="M17" s="155">
        <v>92.600000000000009</v>
      </c>
      <c r="N17" s="24"/>
      <c r="O17" s="155">
        <v>92.600000000000009</v>
      </c>
      <c r="P17" s="1"/>
      <c r="Q17" s="29"/>
      <c r="R17" s="29"/>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row>
    <row r="18" spans="1:57" customFormat="1" x14ac:dyDescent="0.3">
      <c r="A18">
        <v>56566555</v>
      </c>
      <c r="B18" t="s">
        <v>172</v>
      </c>
      <c r="C18" t="s">
        <v>173</v>
      </c>
      <c r="D18">
        <v>95</v>
      </c>
      <c r="E18">
        <v>77</v>
      </c>
      <c r="F18">
        <v>85</v>
      </c>
      <c r="G18">
        <v>71</v>
      </c>
      <c r="H18">
        <v>96</v>
      </c>
      <c r="I18">
        <f t="shared" si="0"/>
        <v>84.8</v>
      </c>
      <c r="J18" t="str">
        <f t="shared" si="1"/>
        <v>B</v>
      </c>
      <c r="K18">
        <f>RANK(ClassAT1[[#This Row],[GPA]],ClassAT1[GPA])</f>
        <v>9</v>
      </c>
      <c r="L18" s="185">
        <v>94</v>
      </c>
      <c r="M18" s="155"/>
      <c r="N18" s="24">
        <v>89.6</v>
      </c>
      <c r="O18" s="155">
        <v>89.6</v>
      </c>
      <c r="P18" s="1"/>
      <c r="Q18" s="29"/>
      <c r="R18" s="29"/>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row>
    <row r="19" spans="1:57" customFormat="1" x14ac:dyDescent="0.3">
      <c r="A19">
        <v>60161889</v>
      </c>
      <c r="B19" t="s">
        <v>10</v>
      </c>
      <c r="C19" t="s">
        <v>181</v>
      </c>
      <c r="D19">
        <v>75</v>
      </c>
      <c r="E19">
        <v>99</v>
      </c>
      <c r="F19">
        <v>90</v>
      </c>
      <c r="G19">
        <v>98</v>
      </c>
      <c r="H19">
        <v>78</v>
      </c>
      <c r="I19">
        <f t="shared" si="0"/>
        <v>88</v>
      </c>
      <c r="J19" t="str">
        <f t="shared" si="1"/>
        <v>B+</v>
      </c>
      <c r="K19">
        <f>RANK(ClassAT1[[#This Row],[GPA]],ClassAT1[GPA])</f>
        <v>4</v>
      </c>
      <c r="L19" s="185">
        <v>96</v>
      </c>
      <c r="M19" s="155">
        <v>192.20000000000002</v>
      </c>
      <c r="N19" s="24"/>
      <c r="O19" s="155">
        <v>192.20000000000002</v>
      </c>
      <c r="P19" s="1"/>
      <c r="Q19" s="29"/>
      <c r="R19" s="29"/>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row>
    <row r="20" spans="1:57" customFormat="1" x14ac:dyDescent="0.3">
      <c r="A20" s="26"/>
      <c r="B20" s="26"/>
      <c r="C20" s="26"/>
      <c r="D20" s="26"/>
      <c r="E20" s="26"/>
      <c r="F20" s="26"/>
      <c r="G20" s="26"/>
      <c r="H20" s="26"/>
      <c r="I20" s="26"/>
      <c r="J20" s="26"/>
      <c r="K20" s="26"/>
      <c r="L20" s="185">
        <v>98</v>
      </c>
      <c r="M20" s="155">
        <v>93</v>
      </c>
      <c r="N20" s="24"/>
      <c r="O20" s="155">
        <v>93</v>
      </c>
      <c r="P20" s="1"/>
      <c r="Q20" s="29"/>
      <c r="R20" s="29"/>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row>
    <row r="21" spans="1:57" customFormat="1" ht="27" x14ac:dyDescent="0.4">
      <c r="A21" s="330" t="s">
        <v>202</v>
      </c>
      <c r="B21" s="330"/>
      <c r="C21" s="330"/>
      <c r="D21" s="330"/>
      <c r="E21" s="330"/>
      <c r="F21" s="330"/>
      <c r="G21" s="330"/>
      <c r="H21" s="330"/>
      <c r="I21" s="330"/>
      <c r="J21" s="330"/>
      <c r="K21" s="330"/>
      <c r="L21" s="185">
        <v>99</v>
      </c>
      <c r="M21" s="155"/>
      <c r="N21" s="24">
        <v>89.8</v>
      </c>
      <c r="O21" s="155">
        <v>89.8</v>
      </c>
      <c r="P21" s="1"/>
      <c r="Q21" s="29"/>
      <c r="R21" s="29"/>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row>
    <row r="22" spans="1:57" customFormat="1" x14ac:dyDescent="0.3">
      <c r="A22" t="s">
        <v>0</v>
      </c>
      <c r="B22" t="s">
        <v>193</v>
      </c>
      <c r="C22" t="s">
        <v>194</v>
      </c>
      <c r="D22" t="s">
        <v>195</v>
      </c>
      <c r="E22" t="s">
        <v>196</v>
      </c>
      <c r="F22" t="s">
        <v>197</v>
      </c>
      <c r="G22" t="s">
        <v>198</v>
      </c>
      <c r="H22" t="s">
        <v>199</v>
      </c>
      <c r="I22" t="s">
        <v>2</v>
      </c>
      <c r="J22" t="s">
        <v>200</v>
      </c>
      <c r="K22" t="s">
        <v>201</v>
      </c>
      <c r="L22" s="185">
        <v>100</v>
      </c>
      <c r="M22" s="155">
        <v>93</v>
      </c>
      <c r="N22" s="24">
        <v>88.4</v>
      </c>
      <c r="O22" s="155">
        <v>181.4</v>
      </c>
      <c r="P22" s="1"/>
      <c r="Q22" s="29"/>
      <c r="R22" s="29"/>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row>
    <row r="23" spans="1:57" customFormat="1" ht="15.6" x14ac:dyDescent="0.3">
      <c r="A23">
        <v>10648455</v>
      </c>
      <c r="B23" t="s">
        <v>32</v>
      </c>
      <c r="C23" t="s">
        <v>186</v>
      </c>
      <c r="D23">
        <v>95</v>
      </c>
      <c r="E23">
        <v>86</v>
      </c>
      <c r="F23">
        <v>94</v>
      </c>
      <c r="G23">
        <v>71</v>
      </c>
      <c r="H23">
        <v>75</v>
      </c>
      <c r="I23">
        <f t="shared" ref="I23:I35" si="2">D23*0.2+E23*0.2+F23*0.2+G23*0.2+H23*0.2</f>
        <v>84.2</v>
      </c>
      <c r="J23" t="str">
        <f t="shared" ref="J23:J35" si="3">_xlfn.IFS(I23&gt;=97, "A+",I7&gt;= 90, "A",I23&gt;=86, "B+", I23&gt;=80, "B",I23&gt;=76, "C+", I23&gt;= 70, "C",I23&gt;= 60, "D",I23&lt; 60, "F")</f>
        <v>B</v>
      </c>
      <c r="K23">
        <f>RANK(ClassAT2[[#This Row],[GPA]],ClassAT2[GPA])</f>
        <v>9</v>
      </c>
      <c r="L23" s="156" t="s">
        <v>286</v>
      </c>
      <c r="M23" s="155">
        <v>744.00000000000011</v>
      </c>
      <c r="N23" s="155">
        <v>443</v>
      </c>
      <c r="O23" s="155">
        <v>1187</v>
      </c>
      <c r="P23" s="181"/>
      <c r="Q23" s="29"/>
      <c r="R23" s="29"/>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row>
    <row r="24" spans="1:57" customFormat="1" ht="15.6" x14ac:dyDescent="0.3">
      <c r="A24">
        <v>15767535</v>
      </c>
      <c r="B24" t="s">
        <v>184</v>
      </c>
      <c r="C24" t="s">
        <v>185</v>
      </c>
      <c r="D24">
        <v>78</v>
      </c>
      <c r="E24">
        <v>89</v>
      </c>
      <c r="F24">
        <v>77</v>
      </c>
      <c r="G24">
        <v>81</v>
      </c>
      <c r="H24">
        <v>88</v>
      </c>
      <c r="I24">
        <f t="shared" si="2"/>
        <v>82.6</v>
      </c>
      <c r="J24" t="str">
        <f t="shared" si="3"/>
        <v>B</v>
      </c>
      <c r="K24">
        <f>RANK(ClassAT2[[#This Row],[GPA]],ClassAT2[GPA])</f>
        <v>10</v>
      </c>
      <c r="L24" s="1"/>
      <c r="M24" s="1"/>
      <c r="N24" s="1"/>
      <c r="O24" s="1"/>
      <c r="P24" s="181"/>
      <c r="Q24" s="29"/>
      <c r="R24" s="29"/>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row>
    <row r="25" spans="1:57" customFormat="1" x14ac:dyDescent="0.3">
      <c r="A25">
        <v>19259601</v>
      </c>
      <c r="B25" t="s">
        <v>188</v>
      </c>
      <c r="C25" t="s">
        <v>189</v>
      </c>
      <c r="D25">
        <v>77</v>
      </c>
      <c r="E25">
        <v>97</v>
      </c>
      <c r="F25">
        <v>83</v>
      </c>
      <c r="G25">
        <v>93</v>
      </c>
      <c r="H25">
        <v>76</v>
      </c>
      <c r="I25">
        <f t="shared" si="2"/>
        <v>85.2</v>
      </c>
      <c r="J25" t="str">
        <f t="shared" si="3"/>
        <v>B</v>
      </c>
      <c r="K25">
        <f>RANK(ClassAT2[[#This Row],[GPA]],ClassAT2[GPA])</f>
        <v>7</v>
      </c>
      <c r="L25" s="29"/>
      <c r="M25" s="1"/>
      <c r="N25" s="1"/>
      <c r="O25" s="1"/>
      <c r="P25" s="1"/>
      <c r="Q25" s="29"/>
      <c r="R25" s="29"/>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row>
    <row r="26" spans="1:57" customFormat="1" x14ac:dyDescent="0.3">
      <c r="A26">
        <v>23970827</v>
      </c>
      <c r="B26" t="s">
        <v>182</v>
      </c>
      <c r="C26" t="s">
        <v>183</v>
      </c>
      <c r="D26">
        <v>79</v>
      </c>
      <c r="E26">
        <v>82</v>
      </c>
      <c r="F26">
        <v>90</v>
      </c>
      <c r="G26">
        <v>70</v>
      </c>
      <c r="H26">
        <v>72</v>
      </c>
      <c r="I26">
        <f t="shared" si="2"/>
        <v>78.600000000000009</v>
      </c>
      <c r="J26" t="str">
        <f t="shared" si="3"/>
        <v>C+</v>
      </c>
      <c r="K26">
        <f>RANK(ClassAT2[[#This Row],[GPA]],ClassAT2[GPA])</f>
        <v>12</v>
      </c>
      <c r="L26" s="29"/>
      <c r="M26" s="1"/>
      <c r="N26" s="1"/>
      <c r="O26" s="1"/>
      <c r="P26" s="1"/>
      <c r="Q26" s="29"/>
      <c r="R26" s="29"/>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row>
    <row r="27" spans="1:57" customFormat="1" x14ac:dyDescent="0.3">
      <c r="A27">
        <v>26430751</v>
      </c>
      <c r="B27" t="s">
        <v>20</v>
      </c>
      <c r="C27" t="s">
        <v>171</v>
      </c>
      <c r="D27">
        <v>72</v>
      </c>
      <c r="E27">
        <v>85</v>
      </c>
      <c r="F27">
        <v>77</v>
      </c>
      <c r="G27">
        <v>72</v>
      </c>
      <c r="H27">
        <v>90</v>
      </c>
      <c r="I27">
        <f t="shared" si="2"/>
        <v>79.199999999999989</v>
      </c>
      <c r="J27" t="str">
        <f t="shared" si="3"/>
        <v>C+</v>
      </c>
      <c r="K27">
        <f>RANK(ClassAT2[[#This Row],[GPA]],ClassAT2[GPA])</f>
        <v>11</v>
      </c>
      <c r="L27" s="29"/>
      <c r="M27" s="1"/>
      <c r="N27" s="1"/>
      <c r="O27" s="1"/>
      <c r="P27" s="1"/>
      <c r="Q27" s="29"/>
      <c r="R27" s="29"/>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row>
    <row r="28" spans="1:57" customFormat="1" x14ac:dyDescent="0.3">
      <c r="A28">
        <v>30497977</v>
      </c>
      <c r="B28" t="s">
        <v>179</v>
      </c>
      <c r="C28" t="s">
        <v>180</v>
      </c>
      <c r="D28">
        <v>87</v>
      </c>
      <c r="E28">
        <v>84</v>
      </c>
      <c r="F28">
        <v>86</v>
      </c>
      <c r="G28">
        <v>77</v>
      </c>
      <c r="H28">
        <v>97</v>
      </c>
      <c r="I28">
        <f t="shared" si="2"/>
        <v>86.200000000000017</v>
      </c>
      <c r="J28" t="str">
        <f t="shared" si="3"/>
        <v>B+</v>
      </c>
      <c r="K28">
        <f>RANK(ClassAT2[[#This Row],[GPA]],ClassAT2[GPA])</f>
        <v>6</v>
      </c>
      <c r="L28" s="29"/>
      <c r="M28" s="1"/>
      <c r="N28" s="1"/>
      <c r="O28" s="1"/>
      <c r="P28" s="1"/>
      <c r="Q28" s="29"/>
      <c r="R28" s="29"/>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row>
    <row r="29" spans="1:57" customFormat="1" x14ac:dyDescent="0.3">
      <c r="A29">
        <v>31440459</v>
      </c>
      <c r="B29" t="s">
        <v>187</v>
      </c>
      <c r="C29" t="s">
        <v>148</v>
      </c>
      <c r="D29">
        <v>95</v>
      </c>
      <c r="E29">
        <v>77</v>
      </c>
      <c r="F29">
        <v>92</v>
      </c>
      <c r="G29">
        <v>77</v>
      </c>
      <c r="H29">
        <v>97</v>
      </c>
      <c r="I29">
        <f t="shared" si="2"/>
        <v>87.600000000000009</v>
      </c>
      <c r="J29" t="str">
        <f t="shared" si="3"/>
        <v>B+</v>
      </c>
      <c r="K29">
        <f>RANK(ClassAT2[[#This Row],[GPA]],ClassAT2[GPA])</f>
        <v>4</v>
      </c>
      <c r="L29" s="29"/>
      <c r="M29" s="1"/>
      <c r="N29" s="1"/>
      <c r="O29" s="1"/>
      <c r="P29" s="1"/>
      <c r="Q29" s="29"/>
      <c r="R29" s="29"/>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row>
    <row r="30" spans="1:57" customFormat="1" x14ac:dyDescent="0.3">
      <c r="A30">
        <v>36326243</v>
      </c>
      <c r="B30" t="s">
        <v>176</v>
      </c>
      <c r="C30" t="s">
        <v>177</v>
      </c>
      <c r="D30">
        <v>74</v>
      </c>
      <c r="E30">
        <v>91</v>
      </c>
      <c r="F30">
        <v>71</v>
      </c>
      <c r="G30">
        <v>70</v>
      </c>
      <c r="H30">
        <v>77</v>
      </c>
      <c r="I30">
        <f t="shared" si="2"/>
        <v>76.600000000000009</v>
      </c>
      <c r="J30" t="str">
        <f t="shared" si="3"/>
        <v>C+</v>
      </c>
      <c r="K30">
        <f>RANK(ClassAT2[[#This Row],[GPA]],ClassAT2[GPA])</f>
        <v>13</v>
      </c>
      <c r="L30" s="29"/>
      <c r="M30" s="1"/>
      <c r="N30" s="1"/>
      <c r="O30" s="1"/>
      <c r="P30" s="1"/>
      <c r="Q30" s="29"/>
      <c r="R30" s="29"/>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row>
    <row r="31" spans="1:57" customFormat="1" x14ac:dyDescent="0.3">
      <c r="A31">
        <v>37849714</v>
      </c>
      <c r="B31" t="s">
        <v>190</v>
      </c>
      <c r="C31" t="s">
        <v>191</v>
      </c>
      <c r="D31">
        <v>87</v>
      </c>
      <c r="E31">
        <v>95</v>
      </c>
      <c r="F31">
        <v>100</v>
      </c>
      <c r="G31">
        <v>93</v>
      </c>
      <c r="H31">
        <v>82</v>
      </c>
      <c r="I31">
        <f t="shared" si="2"/>
        <v>91.4</v>
      </c>
      <c r="J31" t="str">
        <f t="shared" si="3"/>
        <v>B+</v>
      </c>
      <c r="K31">
        <f>RANK(ClassAT2[[#This Row],[GPA]],ClassAT2[GPA])</f>
        <v>3</v>
      </c>
      <c r="L31" s="29"/>
      <c r="M31" s="1"/>
      <c r="N31" s="1"/>
      <c r="O31" s="1"/>
      <c r="P31" s="1"/>
      <c r="Q31" s="29"/>
      <c r="R31" s="29"/>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row>
    <row r="32" spans="1:57" customFormat="1" x14ac:dyDescent="0.3">
      <c r="A32">
        <v>42567936</v>
      </c>
      <c r="B32" t="s">
        <v>128</v>
      </c>
      <c r="C32" t="s">
        <v>178</v>
      </c>
      <c r="D32">
        <v>80</v>
      </c>
      <c r="E32">
        <v>73</v>
      </c>
      <c r="F32">
        <v>97</v>
      </c>
      <c r="G32">
        <v>90</v>
      </c>
      <c r="H32">
        <v>82</v>
      </c>
      <c r="I32">
        <f t="shared" si="2"/>
        <v>84.4</v>
      </c>
      <c r="J32" t="str">
        <f t="shared" si="3"/>
        <v>B</v>
      </c>
      <c r="K32">
        <f>RANK(ClassAT2[[#This Row],[GPA]],ClassAT2[GPA])</f>
        <v>8</v>
      </c>
      <c r="L32" s="29"/>
      <c r="M32" s="1"/>
      <c r="N32" s="1"/>
      <c r="O32" s="1"/>
      <c r="P32" s="1"/>
      <c r="Q32" s="29"/>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row>
    <row r="33" spans="1:57" customFormat="1" x14ac:dyDescent="0.3">
      <c r="A33">
        <v>54881230</v>
      </c>
      <c r="B33" t="s">
        <v>174</v>
      </c>
      <c r="C33" t="s">
        <v>175</v>
      </c>
      <c r="D33">
        <v>83</v>
      </c>
      <c r="E33">
        <v>86</v>
      </c>
      <c r="F33">
        <v>95</v>
      </c>
      <c r="G33">
        <v>91</v>
      </c>
      <c r="H33">
        <v>83</v>
      </c>
      <c r="I33">
        <f t="shared" si="2"/>
        <v>87.6</v>
      </c>
      <c r="J33" t="str">
        <f t="shared" si="3"/>
        <v>B+</v>
      </c>
      <c r="K33">
        <f>RANK(ClassAT2[[#This Row],[GPA]],ClassAT2[GPA])</f>
        <v>5</v>
      </c>
      <c r="L33" s="29"/>
      <c r="M33" s="1"/>
      <c r="N33" s="1"/>
      <c r="O33" s="1"/>
      <c r="P33" s="1"/>
      <c r="Q33" s="29"/>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row>
    <row r="34" spans="1:57" customFormat="1" x14ac:dyDescent="0.3">
      <c r="A34">
        <v>56566555</v>
      </c>
      <c r="B34" t="s">
        <v>172</v>
      </c>
      <c r="C34" t="s">
        <v>173</v>
      </c>
      <c r="D34">
        <v>96</v>
      </c>
      <c r="E34">
        <v>95</v>
      </c>
      <c r="F34">
        <v>94</v>
      </c>
      <c r="G34">
        <v>99</v>
      </c>
      <c r="H34">
        <v>77</v>
      </c>
      <c r="I34">
        <f t="shared" si="2"/>
        <v>92.2</v>
      </c>
      <c r="J34" t="str">
        <f t="shared" si="3"/>
        <v>B+</v>
      </c>
      <c r="K34">
        <f>RANK(ClassAT2[[#This Row],[GPA]],ClassAT2[GPA])</f>
        <v>2</v>
      </c>
      <c r="L34" s="29"/>
      <c r="M34" s="1"/>
      <c r="N34" s="1"/>
      <c r="O34" s="1"/>
      <c r="P34" s="1"/>
      <c r="Q34" s="29"/>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row>
    <row r="35" spans="1:57" customFormat="1" x14ac:dyDescent="0.3">
      <c r="A35">
        <v>60161889</v>
      </c>
      <c r="B35" t="s">
        <v>10</v>
      </c>
      <c r="C35" t="s">
        <v>181</v>
      </c>
      <c r="D35">
        <v>80</v>
      </c>
      <c r="E35">
        <v>100</v>
      </c>
      <c r="F35">
        <v>94</v>
      </c>
      <c r="G35">
        <v>98</v>
      </c>
      <c r="H35">
        <v>90</v>
      </c>
      <c r="I35">
        <f t="shared" si="2"/>
        <v>92.4</v>
      </c>
      <c r="J35" t="str">
        <f t="shared" si="3"/>
        <v>B+</v>
      </c>
      <c r="K35">
        <f>RANK(ClassAT2[[#This Row],[GPA]],ClassAT2[GPA])</f>
        <v>1</v>
      </c>
      <c r="L35" s="29"/>
      <c r="M35" s="1"/>
      <c r="N35" s="1"/>
      <c r="O35" s="1"/>
      <c r="P35" s="1"/>
      <c r="Q35" s="29"/>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row>
    <row r="36" spans="1:57" customFormat="1" x14ac:dyDescent="0.3">
      <c r="A36" s="26"/>
      <c r="B36" s="26"/>
      <c r="C36" s="26"/>
      <c r="D36" s="26"/>
      <c r="E36" s="26"/>
      <c r="F36" s="26"/>
      <c r="G36" s="26"/>
      <c r="H36" s="26"/>
      <c r="I36" s="26"/>
      <c r="J36" s="26"/>
      <c r="K36" s="26"/>
      <c r="L36" s="29"/>
      <c r="M36" s="1"/>
      <c r="N36" s="1"/>
      <c r="O36" s="1"/>
      <c r="P36" s="1"/>
      <c r="Q36" s="29"/>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row>
    <row r="37" spans="1:57" customFormat="1" ht="27" x14ac:dyDescent="0.4">
      <c r="A37" s="330" t="s">
        <v>203</v>
      </c>
      <c r="B37" s="330"/>
      <c r="C37" s="330"/>
      <c r="D37" s="330"/>
      <c r="E37" s="330"/>
      <c r="F37" s="330"/>
      <c r="G37" s="330"/>
      <c r="H37" s="330"/>
      <c r="I37" s="330"/>
      <c r="J37" s="330"/>
      <c r="K37" s="330"/>
      <c r="L37" s="29"/>
      <c r="M37" s="29"/>
      <c r="N37" s="29"/>
      <c r="O37" s="29"/>
      <c r="P37" s="29"/>
      <c r="Q37" s="29"/>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row>
    <row r="38" spans="1:57" customFormat="1" x14ac:dyDescent="0.3">
      <c r="A38" t="s">
        <v>0</v>
      </c>
      <c r="B38" t="s">
        <v>193</v>
      </c>
      <c r="C38" t="s">
        <v>194</v>
      </c>
      <c r="D38" t="s">
        <v>195</v>
      </c>
      <c r="E38" t="s">
        <v>196</v>
      </c>
      <c r="F38" t="s">
        <v>197</v>
      </c>
      <c r="G38" t="s">
        <v>198</v>
      </c>
      <c r="H38" t="s">
        <v>199</v>
      </c>
      <c r="I38" t="s">
        <v>2</v>
      </c>
      <c r="J38" t="s">
        <v>200</v>
      </c>
      <c r="K38" t="s">
        <v>201</v>
      </c>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row>
    <row r="39" spans="1:57" customFormat="1" x14ac:dyDescent="0.3">
      <c r="A39">
        <v>10648455</v>
      </c>
      <c r="B39" t="s">
        <v>32</v>
      </c>
      <c r="C39" t="s">
        <v>186</v>
      </c>
      <c r="D39">
        <v>87</v>
      </c>
      <c r="E39">
        <v>77</v>
      </c>
      <c r="F39">
        <v>84</v>
      </c>
      <c r="G39">
        <v>73</v>
      </c>
      <c r="H39">
        <v>73</v>
      </c>
      <c r="I39">
        <f>ClassAT3[[#This Row],[Exam 1]]*0.2+ClassAT3[[#This Row],[Exam 2]]*0.2+ClassAT3[[#This Row],[Exam 3]]*0.2+ClassAT3[[#This Row],[Exam 4]]*0.2+ClassAT3[[#This Row],[Homework precent]]*0.2</f>
        <v>78.800000000000011</v>
      </c>
      <c r="J39" t="str">
        <f t="shared" ref="J39:J51" si="4">_xlfn.IFS(I39&gt;=97, "A+",I39&gt;= 90, "A",I39&gt;=86, "B+", I39&gt;=80, "B",I39&gt;=76, "C+", I39&gt;= 70, "C",I39&gt;= 60, "D",I39&lt; 60, "F")</f>
        <v>C+</v>
      </c>
      <c r="K39">
        <f>RANK(ClassAT3[[#This Row],[GPA]],ClassAT3[GPA])</f>
        <v>12</v>
      </c>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row>
    <row r="40" spans="1:57" customFormat="1" x14ac:dyDescent="0.3">
      <c r="A40">
        <v>15767535</v>
      </c>
      <c r="B40" t="s">
        <v>184</v>
      </c>
      <c r="C40" t="s">
        <v>185</v>
      </c>
      <c r="D40">
        <v>95</v>
      </c>
      <c r="E40">
        <v>80</v>
      </c>
      <c r="F40">
        <v>94</v>
      </c>
      <c r="G40">
        <v>71</v>
      </c>
      <c r="H40">
        <v>71</v>
      </c>
      <c r="I40">
        <f>ClassAT3[[#This Row],[Exam 1]]*0.2+ClassAT3[[#This Row],[Exam 2]]*0.2+ClassAT3[[#This Row],[Exam 3]]*0.2+ClassAT3[[#This Row],[Exam 4]]*0.2+ClassAT3[[#This Row],[Homework precent]]*0.2</f>
        <v>82.2</v>
      </c>
      <c r="J40" t="str">
        <f t="shared" si="4"/>
        <v>B</v>
      </c>
      <c r="K40">
        <f>RANK(ClassAT3[[#This Row],[GPA]],ClassAT3[GPA])</f>
        <v>10</v>
      </c>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row>
    <row r="41" spans="1:57" customFormat="1" x14ac:dyDescent="0.3">
      <c r="A41">
        <v>19259601</v>
      </c>
      <c r="B41" t="s">
        <v>188</v>
      </c>
      <c r="C41" t="s">
        <v>189</v>
      </c>
      <c r="D41">
        <v>86</v>
      </c>
      <c r="E41">
        <v>79</v>
      </c>
      <c r="F41">
        <v>83</v>
      </c>
      <c r="G41">
        <v>83</v>
      </c>
      <c r="H41">
        <v>73</v>
      </c>
      <c r="I41">
        <f>ClassAT3[[#This Row],[Exam 1]]*0.2+ClassAT3[[#This Row],[Exam 2]]*0.2+ClassAT3[[#This Row],[Exam 3]]*0.2+ClassAT3[[#This Row],[Exam 4]]*0.2+ClassAT3[[#This Row],[Homework precent]]*0.2</f>
        <v>80.800000000000011</v>
      </c>
      <c r="J41" t="str">
        <f t="shared" si="4"/>
        <v>B</v>
      </c>
      <c r="K41">
        <f>RANK(ClassAT3[[#This Row],[GPA]],ClassAT3[GPA])</f>
        <v>11</v>
      </c>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row>
    <row r="42" spans="1:57" customFormat="1" x14ac:dyDescent="0.3">
      <c r="A42">
        <v>23970827</v>
      </c>
      <c r="B42" t="s">
        <v>182</v>
      </c>
      <c r="C42" t="s">
        <v>183</v>
      </c>
      <c r="D42">
        <v>100</v>
      </c>
      <c r="E42">
        <v>85</v>
      </c>
      <c r="F42">
        <v>80</v>
      </c>
      <c r="G42">
        <v>100</v>
      </c>
      <c r="H42">
        <v>76</v>
      </c>
      <c r="I42">
        <f>ClassAT3[[#This Row],[Exam 1]]*0.2+ClassAT3[[#This Row],[Exam 2]]*0.2+ClassAT3[[#This Row],[Exam 3]]*0.2+ClassAT3[[#This Row],[Exam 4]]*0.2+ClassAT3[[#This Row],[Homework precent]]*0.2</f>
        <v>88.2</v>
      </c>
      <c r="J42" t="str">
        <f t="shared" si="4"/>
        <v>B+</v>
      </c>
      <c r="K42">
        <f>RANK(ClassAT3[[#This Row],[GPA]],ClassAT3[GPA])</f>
        <v>2</v>
      </c>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row>
    <row r="43" spans="1:57" customFormat="1" x14ac:dyDescent="0.3">
      <c r="A43">
        <v>26430751</v>
      </c>
      <c r="B43" t="s">
        <v>20</v>
      </c>
      <c r="C43" t="s">
        <v>171</v>
      </c>
      <c r="D43">
        <v>82</v>
      </c>
      <c r="E43">
        <v>71</v>
      </c>
      <c r="F43">
        <v>94</v>
      </c>
      <c r="G43">
        <v>92</v>
      </c>
      <c r="H43">
        <v>91</v>
      </c>
      <c r="I43">
        <f>ClassAT3[[#This Row],[Exam 1]]*0.2+ClassAT3[[#This Row],[Exam 2]]*0.2+ClassAT3[[#This Row],[Exam 3]]*0.2+ClassAT3[[#This Row],[Exam 4]]*0.2+ClassAT3[[#This Row],[Homework precent]]*0.2</f>
        <v>86.000000000000014</v>
      </c>
      <c r="J43" t="str">
        <f t="shared" si="4"/>
        <v>B+</v>
      </c>
      <c r="K43">
        <f>RANK(ClassAT3[[#This Row],[GPA]],ClassAT3[GPA])</f>
        <v>3</v>
      </c>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row>
    <row r="44" spans="1:57" customFormat="1" x14ac:dyDescent="0.3">
      <c r="A44">
        <v>30497977</v>
      </c>
      <c r="B44" t="s">
        <v>179</v>
      </c>
      <c r="C44" t="s">
        <v>180</v>
      </c>
      <c r="D44">
        <v>98</v>
      </c>
      <c r="E44">
        <v>70</v>
      </c>
      <c r="F44">
        <v>91</v>
      </c>
      <c r="G44">
        <v>79</v>
      </c>
      <c r="H44">
        <v>77</v>
      </c>
      <c r="I44">
        <f>ClassAT3[[#This Row],[Exam 1]]*0.2+ClassAT3[[#This Row],[Exam 2]]*0.2+ClassAT3[[#This Row],[Exam 3]]*0.2+ClassAT3[[#This Row],[Exam 4]]*0.2+ClassAT3[[#This Row],[Homework precent]]*0.2</f>
        <v>83</v>
      </c>
      <c r="J44" t="str">
        <f t="shared" si="4"/>
        <v>B</v>
      </c>
      <c r="K44">
        <f>RANK(ClassAT3[[#This Row],[GPA]],ClassAT3[GPA])</f>
        <v>8</v>
      </c>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row>
    <row r="45" spans="1:57" customFormat="1" x14ac:dyDescent="0.3">
      <c r="A45">
        <v>31440459</v>
      </c>
      <c r="B45" t="s">
        <v>187</v>
      </c>
      <c r="C45" t="s">
        <v>148</v>
      </c>
      <c r="D45">
        <v>80</v>
      </c>
      <c r="E45">
        <v>76</v>
      </c>
      <c r="F45">
        <v>96</v>
      </c>
      <c r="G45">
        <v>71</v>
      </c>
      <c r="H45">
        <v>95</v>
      </c>
      <c r="I45">
        <f>ClassAT3[[#This Row],[Exam 1]]*0.2+ClassAT3[[#This Row],[Exam 2]]*0.2+ClassAT3[[#This Row],[Exam 3]]*0.2+ClassAT3[[#This Row],[Exam 4]]*0.2+ClassAT3[[#This Row],[Homework precent]]*0.2</f>
        <v>83.600000000000009</v>
      </c>
      <c r="J45" t="str">
        <f t="shared" si="4"/>
        <v>B</v>
      </c>
      <c r="K45">
        <f>RANK(ClassAT3[[#This Row],[GPA]],ClassAT3[GPA])</f>
        <v>5</v>
      </c>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row>
    <row r="46" spans="1:57" customFormat="1" x14ac:dyDescent="0.3">
      <c r="A46">
        <v>36326243</v>
      </c>
      <c r="B46" t="s">
        <v>176</v>
      </c>
      <c r="C46" t="s">
        <v>177</v>
      </c>
      <c r="D46">
        <v>78</v>
      </c>
      <c r="E46">
        <v>82</v>
      </c>
      <c r="F46">
        <v>71</v>
      </c>
      <c r="G46">
        <v>76</v>
      </c>
      <c r="H46">
        <v>79</v>
      </c>
      <c r="I46">
        <f>ClassAT3[[#This Row],[Exam 1]]*0.2+ClassAT3[[#This Row],[Exam 2]]*0.2+ClassAT3[[#This Row],[Exam 3]]*0.2+ClassAT3[[#This Row],[Exam 4]]*0.2+ClassAT3[[#This Row],[Homework precent]]*0.2</f>
        <v>77.2</v>
      </c>
      <c r="J46" t="str">
        <f t="shared" si="4"/>
        <v>C+</v>
      </c>
      <c r="K46">
        <f>RANK(ClassAT3[[#This Row],[GPA]],ClassAT3[GPA])</f>
        <v>13</v>
      </c>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row>
    <row r="47" spans="1:57" customFormat="1" x14ac:dyDescent="0.3">
      <c r="A47">
        <v>37849714</v>
      </c>
      <c r="B47" t="s">
        <v>190</v>
      </c>
      <c r="C47" t="s">
        <v>191</v>
      </c>
      <c r="D47">
        <v>77</v>
      </c>
      <c r="E47">
        <v>77</v>
      </c>
      <c r="F47">
        <v>84</v>
      </c>
      <c r="G47">
        <v>86</v>
      </c>
      <c r="H47">
        <v>88</v>
      </c>
      <c r="I47">
        <f>ClassAT3[[#This Row],[Exam 1]]*0.2+ClassAT3[[#This Row],[Exam 2]]*0.2+ClassAT3[[#This Row],[Exam 3]]*0.2+ClassAT3[[#This Row],[Exam 4]]*0.2+ClassAT3[[#This Row],[Homework precent]]*0.2</f>
        <v>82.4</v>
      </c>
      <c r="J47" t="str">
        <f t="shared" si="4"/>
        <v>B</v>
      </c>
      <c r="K47">
        <f>RANK(ClassAT3[[#This Row],[GPA]],ClassAT3[GPA])</f>
        <v>9</v>
      </c>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row>
    <row r="48" spans="1:57" customFormat="1" x14ac:dyDescent="0.3">
      <c r="A48">
        <v>42567936</v>
      </c>
      <c r="B48" t="s">
        <v>128</v>
      </c>
      <c r="C48" t="s">
        <v>178</v>
      </c>
      <c r="D48">
        <v>86</v>
      </c>
      <c r="E48">
        <v>86</v>
      </c>
      <c r="F48">
        <v>80</v>
      </c>
      <c r="G48">
        <v>98</v>
      </c>
      <c r="H48">
        <v>74</v>
      </c>
      <c r="I48">
        <f>ClassAT3[[#This Row],[Exam 1]]*0.2+ClassAT3[[#This Row],[Exam 2]]*0.2+ClassAT3[[#This Row],[Exam 3]]*0.2+ClassAT3[[#This Row],[Exam 4]]*0.2+ClassAT3[[#This Row],[Homework precent]]*0.2</f>
        <v>84.8</v>
      </c>
      <c r="J48" t="str">
        <f t="shared" si="4"/>
        <v>B</v>
      </c>
      <c r="K48">
        <f>RANK(ClassAT3[[#This Row],[GPA]],ClassAT3[GPA])</f>
        <v>4</v>
      </c>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row>
    <row r="49" spans="1:57" customFormat="1" x14ac:dyDescent="0.3">
      <c r="A49">
        <v>54881230</v>
      </c>
      <c r="B49" t="s">
        <v>174</v>
      </c>
      <c r="C49" t="s">
        <v>175</v>
      </c>
      <c r="D49">
        <v>91</v>
      </c>
      <c r="E49">
        <v>75</v>
      </c>
      <c r="F49">
        <v>71</v>
      </c>
      <c r="G49">
        <v>86</v>
      </c>
      <c r="H49">
        <v>95</v>
      </c>
      <c r="I49">
        <f>ClassAT3[[#This Row],[Exam 1]]*0.2+ClassAT3[[#This Row],[Exam 2]]*0.2+ClassAT3[[#This Row],[Exam 3]]*0.2+ClassAT3[[#This Row],[Exam 4]]*0.2+ClassAT3[[#This Row],[Homework precent]]*0.2</f>
        <v>83.600000000000009</v>
      </c>
      <c r="J49" t="str">
        <f t="shared" si="4"/>
        <v>B</v>
      </c>
      <c r="K49">
        <f>RANK(ClassAT3[[#This Row],[GPA]],ClassAT3[GPA])</f>
        <v>5</v>
      </c>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row>
    <row r="50" spans="1:57" customFormat="1" x14ac:dyDescent="0.3">
      <c r="A50">
        <v>56566555</v>
      </c>
      <c r="B50" t="s">
        <v>172</v>
      </c>
      <c r="C50" t="s">
        <v>173</v>
      </c>
      <c r="D50">
        <v>77</v>
      </c>
      <c r="E50">
        <v>86</v>
      </c>
      <c r="F50">
        <v>91</v>
      </c>
      <c r="G50">
        <v>87</v>
      </c>
      <c r="H50">
        <v>75</v>
      </c>
      <c r="I50">
        <f>ClassAT3[[#This Row],[Exam 1]]*0.2+ClassAT3[[#This Row],[Exam 2]]*0.2+ClassAT3[[#This Row],[Exam 3]]*0.2+ClassAT3[[#This Row],[Exam 4]]*0.2+ClassAT3[[#This Row],[Homework precent]]*0.2</f>
        <v>83.2</v>
      </c>
      <c r="J50" t="str">
        <f t="shared" si="4"/>
        <v>B</v>
      </c>
      <c r="K50">
        <f>RANK(ClassAT3[[#This Row],[GPA]],ClassAT3[GPA])</f>
        <v>7</v>
      </c>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row>
    <row r="51" spans="1:57" customFormat="1" x14ac:dyDescent="0.3">
      <c r="A51">
        <v>60161889</v>
      </c>
      <c r="B51" t="s">
        <v>10</v>
      </c>
      <c r="C51" t="s">
        <v>181</v>
      </c>
      <c r="D51">
        <v>98</v>
      </c>
      <c r="E51">
        <v>81</v>
      </c>
      <c r="F51">
        <v>100</v>
      </c>
      <c r="G51">
        <v>86</v>
      </c>
      <c r="H51">
        <v>83</v>
      </c>
      <c r="I51">
        <f>ClassAT3[[#This Row],[Exam 1]]*0.2+ClassAT3[[#This Row],[Exam 2]]*0.2+ClassAT3[[#This Row],[Exam 3]]*0.2+ClassAT3[[#This Row],[Exam 4]]*0.2+ClassAT3[[#This Row],[Homework precent]]*0.2</f>
        <v>89.6</v>
      </c>
      <c r="J51" t="str">
        <f t="shared" si="4"/>
        <v>B+</v>
      </c>
      <c r="K51">
        <f>RANK(ClassAT3[[#This Row],[GPA]],ClassAT3[GPA])</f>
        <v>1</v>
      </c>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row>
    <row r="52" spans="1:57" customFormat="1" x14ac:dyDescent="0.3">
      <c r="A52" s="25"/>
      <c r="B52" s="25"/>
      <c r="C52" s="25"/>
      <c r="D52" s="26"/>
      <c r="E52" s="26"/>
      <c r="F52" s="26"/>
      <c r="G52" s="26"/>
      <c r="H52" s="26"/>
      <c r="I52" s="26"/>
      <c r="J52" s="26"/>
      <c r="K52" s="26"/>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row>
    <row r="53" spans="1:57" customFormat="1" ht="27" x14ac:dyDescent="0.4">
      <c r="A53" s="330" t="s">
        <v>204</v>
      </c>
      <c r="B53" s="330"/>
      <c r="C53" s="330"/>
      <c r="D53" s="330"/>
      <c r="E53" s="330"/>
      <c r="F53" s="330"/>
      <c r="G53" s="330"/>
      <c r="H53" s="330"/>
      <c r="I53" s="330"/>
      <c r="J53" s="330"/>
      <c r="K53" s="330"/>
      <c r="L53" s="1"/>
      <c r="M53" s="15"/>
      <c r="N53" s="15"/>
      <c r="O53" s="15"/>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row>
    <row r="54" spans="1:57" customFormat="1" x14ac:dyDescent="0.3">
      <c r="A54" t="s">
        <v>0</v>
      </c>
      <c r="B54" t="s">
        <v>193</v>
      </c>
      <c r="C54" t="s">
        <v>194</v>
      </c>
      <c r="D54" t="s">
        <v>195</v>
      </c>
      <c r="E54" t="s">
        <v>196</v>
      </c>
      <c r="F54" t="s">
        <v>197</v>
      </c>
      <c r="G54" t="s">
        <v>198</v>
      </c>
      <c r="H54" t="s">
        <v>199</v>
      </c>
      <c r="I54" t="s">
        <v>205</v>
      </c>
      <c r="J54" t="s">
        <v>200</v>
      </c>
      <c r="K54" t="s">
        <v>319</v>
      </c>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row>
    <row r="55" spans="1:57" customFormat="1" x14ac:dyDescent="0.3">
      <c r="A55">
        <v>36326243</v>
      </c>
      <c r="B55" t="s">
        <v>176</v>
      </c>
      <c r="C55" t="s">
        <v>177</v>
      </c>
      <c r="D55">
        <v>95</v>
      </c>
      <c r="E55">
        <v>100</v>
      </c>
      <c r="F55">
        <v>98</v>
      </c>
      <c r="G55">
        <v>96</v>
      </c>
      <c r="H55">
        <v>93</v>
      </c>
      <c r="I55">
        <f>ClassAT4[[#This Row],[Exam 1]]*0.2+ClassAT4[[#This Row],[Exam 2]]*0.2+ClassAT4[[#This Row],[Exam 3]]*0.2+ClassAT4[[#This Row],[Exam 4]]*0.2+ClassAT4[[#This Row],[Homework precent]]*0.2</f>
        <v>96.4</v>
      </c>
      <c r="J55" t="str">
        <f t="shared" ref="J55:J67" si="5">_xlfn.IFS(I55&gt;=97, "A+",I55&gt;= 90, "A",I55&gt;=86, "B+", I55&gt;=80, "B",I55&gt;=76, "C+", I55&gt;= 70, "C",I55&gt;= 60, "D",I55&lt; 60, "F")</f>
        <v>A</v>
      </c>
      <c r="K55">
        <f>RANK(ClassAT4[[#This Row],[Final GPA]],ClassAT4[Final GPA])</f>
        <v>1</v>
      </c>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row>
    <row r="56" spans="1:57" customFormat="1" x14ac:dyDescent="0.3">
      <c r="A56">
        <v>15767535</v>
      </c>
      <c r="B56" t="s">
        <v>184</v>
      </c>
      <c r="C56" t="s">
        <v>185</v>
      </c>
      <c r="D56">
        <v>99</v>
      </c>
      <c r="E56">
        <v>96</v>
      </c>
      <c r="F56">
        <v>95</v>
      </c>
      <c r="G56">
        <v>96</v>
      </c>
      <c r="H56">
        <v>93</v>
      </c>
      <c r="I56">
        <f>ClassAT4[[#This Row],[Exam 1]]*0.2+ClassAT4[[#This Row],[Exam 2]]*0.2+ClassAT4[[#This Row],[Exam 3]]*0.2+ClassAT4[[#This Row],[Exam 4]]*0.2+ClassAT4[[#This Row],[Homework precent]]*0.2</f>
        <v>95.800000000000011</v>
      </c>
      <c r="J56" t="str">
        <f t="shared" si="5"/>
        <v>A</v>
      </c>
      <c r="K56">
        <f>RANK(ClassAT4[[#This Row],[Final GPA]],ClassAT4[Final GPA])</f>
        <v>2</v>
      </c>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row>
    <row r="57" spans="1:57" customFormat="1" x14ac:dyDescent="0.3">
      <c r="A57">
        <v>23970827</v>
      </c>
      <c r="B57" t="s">
        <v>182</v>
      </c>
      <c r="C57" t="s">
        <v>183</v>
      </c>
      <c r="D57">
        <v>88</v>
      </c>
      <c r="E57">
        <v>94</v>
      </c>
      <c r="F57">
        <v>92</v>
      </c>
      <c r="G57">
        <v>98</v>
      </c>
      <c r="H57">
        <v>93</v>
      </c>
      <c r="I57">
        <f>ClassAT4[[#This Row],[Exam 1]]*0.2+ClassAT4[[#This Row],[Exam 2]]*0.2+ClassAT4[[#This Row],[Exam 3]]*0.2+ClassAT4[[#This Row],[Exam 4]]*0.2+ClassAT4[[#This Row],[Homework precent]]*0.2</f>
        <v>93</v>
      </c>
      <c r="J57" t="str">
        <f t="shared" si="5"/>
        <v>A</v>
      </c>
      <c r="K57">
        <f>RANK(ClassAT4[[#This Row],[Final GPA]],ClassAT4[Final GPA])</f>
        <v>3</v>
      </c>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row>
    <row r="58" spans="1:57" customFormat="1" x14ac:dyDescent="0.3">
      <c r="A58">
        <v>31440459</v>
      </c>
      <c r="B58" t="s">
        <v>187</v>
      </c>
      <c r="C58" t="s">
        <v>148</v>
      </c>
      <c r="D58">
        <v>81</v>
      </c>
      <c r="E58">
        <v>94</v>
      </c>
      <c r="F58">
        <v>96</v>
      </c>
      <c r="G58">
        <v>100</v>
      </c>
      <c r="H58">
        <v>94</v>
      </c>
      <c r="I58">
        <f>ClassAT4[[#This Row],[Exam 1]]*0.2+ClassAT4[[#This Row],[Exam 2]]*0.2+ClassAT4[[#This Row],[Exam 3]]*0.2+ClassAT4[[#This Row],[Exam 4]]*0.2+ClassAT4[[#This Row],[Homework precent]]*0.2</f>
        <v>93</v>
      </c>
      <c r="J58" t="str">
        <f t="shared" si="5"/>
        <v>A</v>
      </c>
      <c r="K58">
        <f>RANK(ClassAT4[[#This Row],[Final GPA]],ClassAT4[Final GPA])</f>
        <v>3</v>
      </c>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row>
    <row r="59" spans="1:57" customFormat="1" x14ac:dyDescent="0.3">
      <c r="A59">
        <v>37849714</v>
      </c>
      <c r="B59" t="s">
        <v>190</v>
      </c>
      <c r="C59" t="s">
        <v>191</v>
      </c>
      <c r="D59">
        <v>97</v>
      </c>
      <c r="E59">
        <v>85</v>
      </c>
      <c r="F59">
        <v>100</v>
      </c>
      <c r="G59">
        <v>90</v>
      </c>
      <c r="H59">
        <v>92</v>
      </c>
      <c r="I59">
        <f>ClassAT4[[#This Row],[Exam 1]]*0.2+ClassAT4[[#This Row],[Exam 2]]*0.2+ClassAT4[[#This Row],[Exam 3]]*0.2+ClassAT4[[#This Row],[Exam 4]]*0.2+ClassAT4[[#This Row],[Homework precent]]*0.2</f>
        <v>92.800000000000011</v>
      </c>
      <c r="J59" t="str">
        <f t="shared" si="5"/>
        <v>A</v>
      </c>
      <c r="K59">
        <f>RANK(ClassAT4[[#This Row],[Final GPA]],ClassAT4[Final GPA])</f>
        <v>5</v>
      </c>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row>
    <row r="60" spans="1:57" customFormat="1" x14ac:dyDescent="0.3">
      <c r="A60">
        <v>60161889</v>
      </c>
      <c r="B60" t="s">
        <v>10</v>
      </c>
      <c r="C60" t="s">
        <v>181</v>
      </c>
      <c r="D60">
        <v>92</v>
      </c>
      <c r="E60">
        <v>89</v>
      </c>
      <c r="F60">
        <v>96</v>
      </c>
      <c r="G60">
        <v>91</v>
      </c>
      <c r="H60">
        <v>95</v>
      </c>
      <c r="I60">
        <f>ClassAT4[[#This Row],[Exam 1]]*0.2+ClassAT4[[#This Row],[Exam 2]]*0.2+ClassAT4[[#This Row],[Exam 3]]*0.2+ClassAT4[[#This Row],[Exam 4]]*0.2+ClassAT4[[#This Row],[Homework precent]]*0.2</f>
        <v>92.600000000000009</v>
      </c>
      <c r="J60" t="str">
        <f t="shared" si="5"/>
        <v>A</v>
      </c>
      <c r="K60">
        <f>RANK(ClassAT4[[#This Row],[Final GPA]],ClassAT4[Final GPA])</f>
        <v>6</v>
      </c>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row>
    <row r="61" spans="1:57" customFormat="1" x14ac:dyDescent="0.3">
      <c r="A61">
        <v>54881230</v>
      </c>
      <c r="B61" t="s">
        <v>174</v>
      </c>
      <c r="C61" t="s">
        <v>175</v>
      </c>
      <c r="D61">
        <v>93</v>
      </c>
      <c r="E61">
        <v>98</v>
      </c>
      <c r="F61">
        <v>82</v>
      </c>
      <c r="G61">
        <v>80</v>
      </c>
      <c r="H61">
        <v>99</v>
      </c>
      <c r="I61">
        <f>ClassAT4[[#This Row],[Exam 1]]*0.2+ClassAT4[[#This Row],[Exam 2]]*0.2+ClassAT4[[#This Row],[Exam 3]]*0.2+ClassAT4[[#This Row],[Exam 4]]*0.2+ClassAT4[[#This Row],[Homework precent]]*0.2</f>
        <v>90.4</v>
      </c>
      <c r="J61" t="str">
        <f t="shared" si="5"/>
        <v>A</v>
      </c>
      <c r="K61">
        <f>RANK(ClassAT4[[#This Row],[Final GPA]],ClassAT4[Final GPA])</f>
        <v>7</v>
      </c>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row>
    <row r="62" spans="1:57" customFormat="1" x14ac:dyDescent="0.3">
      <c r="A62">
        <v>30497977</v>
      </c>
      <c r="B62" t="s">
        <v>179</v>
      </c>
      <c r="C62" t="s">
        <v>180</v>
      </c>
      <c r="D62">
        <v>100</v>
      </c>
      <c r="E62">
        <v>89</v>
      </c>
      <c r="F62">
        <v>85</v>
      </c>
      <c r="G62">
        <v>82</v>
      </c>
      <c r="H62">
        <v>94</v>
      </c>
      <c r="I62">
        <f>ClassAT4[[#This Row],[Exam 1]]*0.2+ClassAT4[[#This Row],[Exam 2]]*0.2+ClassAT4[[#This Row],[Exam 3]]*0.2+ClassAT4[[#This Row],[Exam 4]]*0.2+ClassAT4[[#This Row],[Homework precent]]*0.2</f>
        <v>90</v>
      </c>
      <c r="J62" t="str">
        <f t="shared" si="5"/>
        <v>A</v>
      </c>
      <c r="K62">
        <f>RANK(ClassAT4[[#This Row],[Final GPA]],ClassAT4[Final GPA])</f>
        <v>8</v>
      </c>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row>
    <row r="63" spans="1:57" customFormat="1" x14ac:dyDescent="0.3">
      <c r="A63">
        <v>19259601</v>
      </c>
      <c r="B63" t="s">
        <v>188</v>
      </c>
      <c r="C63" t="s">
        <v>189</v>
      </c>
      <c r="D63">
        <v>91</v>
      </c>
      <c r="E63">
        <v>94</v>
      </c>
      <c r="F63">
        <v>81</v>
      </c>
      <c r="G63">
        <v>99</v>
      </c>
      <c r="H63">
        <v>84</v>
      </c>
      <c r="I63">
        <f>ClassAT4[[#This Row],[Exam 1]]*0.2+ClassAT4[[#This Row],[Exam 2]]*0.2+ClassAT4[[#This Row],[Exam 3]]*0.2+ClassAT4[[#This Row],[Exam 4]]*0.2+ClassAT4[[#This Row],[Homework precent]]*0.2</f>
        <v>89.8</v>
      </c>
      <c r="J63" t="str">
        <f t="shared" si="5"/>
        <v>B+</v>
      </c>
      <c r="K63">
        <f>RANK(ClassAT4[[#This Row],[Final GPA]],ClassAT4[Final GPA])</f>
        <v>9</v>
      </c>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row>
    <row r="64" spans="1:57" customFormat="1" x14ac:dyDescent="0.3">
      <c r="A64">
        <v>42567936</v>
      </c>
      <c r="B64" t="s">
        <v>128</v>
      </c>
      <c r="C64" t="s">
        <v>178</v>
      </c>
      <c r="D64">
        <v>94</v>
      </c>
      <c r="E64">
        <v>93</v>
      </c>
      <c r="F64">
        <v>84</v>
      </c>
      <c r="G64">
        <v>94</v>
      </c>
      <c r="H64">
        <v>83</v>
      </c>
      <c r="I64">
        <f>ClassAT4[[#This Row],[Exam 1]]*0.2+ClassAT4[[#This Row],[Exam 2]]*0.2+ClassAT4[[#This Row],[Exam 3]]*0.2+ClassAT4[[#This Row],[Exam 4]]*0.2+ClassAT4[[#This Row],[Homework precent]]*0.2</f>
        <v>89.6</v>
      </c>
      <c r="J64" t="str">
        <f t="shared" si="5"/>
        <v>B+</v>
      </c>
      <c r="K64">
        <f>RANK(ClassAT4[[#This Row],[Final GPA]],ClassAT4[Final GPA])</f>
        <v>10</v>
      </c>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row>
    <row r="65" spans="1:57" customFormat="1" x14ac:dyDescent="0.3">
      <c r="A65">
        <v>26430751</v>
      </c>
      <c r="B65" t="s">
        <v>20</v>
      </c>
      <c r="C65" t="s">
        <v>171</v>
      </c>
      <c r="D65">
        <v>92</v>
      </c>
      <c r="E65">
        <v>81</v>
      </c>
      <c r="F65">
        <v>86</v>
      </c>
      <c r="G65">
        <v>100</v>
      </c>
      <c r="H65">
        <v>83</v>
      </c>
      <c r="I65">
        <f>ClassAT4[[#This Row],[Exam 1]]*0.2+ClassAT4[[#This Row],[Exam 2]]*0.2+ClassAT4[[#This Row],[Exam 3]]*0.2+ClassAT4[[#This Row],[Exam 4]]*0.2+ClassAT4[[#This Row],[Homework precent]]*0.2</f>
        <v>88.4</v>
      </c>
      <c r="J65" t="str">
        <f t="shared" si="5"/>
        <v>B+</v>
      </c>
      <c r="K65">
        <f>RANK(ClassAT4[[#This Row],[Final GPA]],ClassAT4[Final GPA])</f>
        <v>11</v>
      </c>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row>
    <row r="66" spans="1:57" customFormat="1" x14ac:dyDescent="0.3">
      <c r="A66">
        <v>56566555</v>
      </c>
      <c r="B66" t="s">
        <v>172</v>
      </c>
      <c r="C66" t="s">
        <v>173</v>
      </c>
      <c r="D66">
        <v>87</v>
      </c>
      <c r="E66">
        <v>92</v>
      </c>
      <c r="F66">
        <v>92</v>
      </c>
      <c r="G66">
        <v>82</v>
      </c>
      <c r="H66">
        <v>89</v>
      </c>
      <c r="I66">
        <f>ClassAT4[[#This Row],[Exam 1]]*0.2+ClassAT4[[#This Row],[Exam 2]]*0.2+ClassAT4[[#This Row],[Exam 3]]*0.2+ClassAT4[[#This Row],[Exam 4]]*0.2+ClassAT4[[#This Row],[Homework precent]]*0.2</f>
        <v>88.4</v>
      </c>
      <c r="J66" t="str">
        <f t="shared" si="5"/>
        <v>B+</v>
      </c>
      <c r="K66">
        <f>RANK(ClassAT4[[#This Row],[Final GPA]],ClassAT4[Final GPA])</f>
        <v>11</v>
      </c>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row>
    <row r="67" spans="1:57" customFormat="1" x14ac:dyDescent="0.3">
      <c r="A67">
        <v>10648455</v>
      </c>
      <c r="B67" t="s">
        <v>32</v>
      </c>
      <c r="C67" t="s">
        <v>186</v>
      </c>
      <c r="D67">
        <v>92</v>
      </c>
      <c r="E67">
        <v>82</v>
      </c>
      <c r="F67">
        <v>93</v>
      </c>
      <c r="G67">
        <v>80</v>
      </c>
      <c r="H67">
        <v>87</v>
      </c>
      <c r="I67">
        <f>ClassAT4[[#This Row],[Exam 1]]*0.2+ClassAT4[[#This Row],[Exam 2]]*0.2+ClassAT4[[#This Row],[Exam 3]]*0.2+ClassAT4[[#This Row],[Exam 4]]*0.2+ClassAT4[[#This Row],[Homework precent]]*0.2</f>
        <v>86.800000000000011</v>
      </c>
      <c r="J67" t="str">
        <f t="shared" si="5"/>
        <v>B+</v>
      </c>
      <c r="K67">
        <f>RANK(ClassAT4[[#This Row],[Final GPA]],ClassAT4[Final GPA])</f>
        <v>13</v>
      </c>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row>
  </sheetData>
  <mergeCells count="5">
    <mergeCell ref="H1:I1"/>
    <mergeCell ref="A5:K5"/>
    <mergeCell ref="A21:K21"/>
    <mergeCell ref="A37:K37"/>
    <mergeCell ref="A53:K53"/>
  </mergeCells>
  <conditionalFormatting sqref="I2:I3">
    <cfRule type="cellIs" dxfId="271" priority="9" operator="greaterThan">
      <formula>79</formula>
    </cfRule>
  </conditionalFormatting>
  <conditionalFormatting sqref="K55:K67">
    <cfRule type="colorScale" priority="8">
      <colorScale>
        <cfvo type="min"/>
        <cfvo type="percentile" val="50"/>
        <cfvo type="max"/>
        <color rgb="FF63BE7B"/>
        <color rgb="FFFFEB84"/>
        <color rgb="FFF8696B"/>
      </colorScale>
    </cfRule>
  </conditionalFormatting>
  <conditionalFormatting sqref="K39:K51">
    <cfRule type="colorScale" priority="7">
      <colorScale>
        <cfvo type="min"/>
        <cfvo type="percentile" val="50"/>
        <cfvo type="max"/>
        <color rgb="FF63BE7B"/>
        <color rgb="FFFFEB84"/>
        <color rgb="FFF8696B"/>
      </colorScale>
    </cfRule>
  </conditionalFormatting>
  <conditionalFormatting sqref="K23:K35">
    <cfRule type="colorScale" priority="6">
      <colorScale>
        <cfvo type="min"/>
        <cfvo type="percentile" val="50"/>
        <cfvo type="max"/>
        <color rgb="FF63BE7B"/>
        <color rgb="FFFFEB84"/>
        <color rgb="FFF8696B"/>
      </colorScale>
    </cfRule>
  </conditionalFormatting>
  <conditionalFormatting sqref="K7:K19">
    <cfRule type="colorScale" priority="5">
      <colorScale>
        <cfvo type="min"/>
        <cfvo type="percentile" val="50"/>
        <cfvo type="max"/>
        <color rgb="FF63BE7B"/>
        <color rgb="FFFFEB84"/>
        <color rgb="FFF8696B"/>
      </colorScale>
    </cfRule>
  </conditionalFormatting>
  <conditionalFormatting sqref="D7:I19">
    <cfRule type="dataBar" priority="4">
      <dataBar>
        <cfvo type="min"/>
        <cfvo type="max"/>
        <color rgb="FF63C384"/>
      </dataBar>
      <extLst>
        <ext xmlns:x14="http://schemas.microsoft.com/office/spreadsheetml/2009/9/main" uri="{B025F937-C7B1-47D3-B67F-A62EFF666E3E}">
          <x14:id>{9657B874-D8DB-48D4-9C70-1E690823E436}</x14:id>
        </ext>
      </extLst>
    </cfRule>
  </conditionalFormatting>
  <conditionalFormatting sqref="D23:H35">
    <cfRule type="dataBar" priority="3">
      <dataBar>
        <cfvo type="min"/>
        <cfvo type="max"/>
        <color rgb="FF63C384"/>
      </dataBar>
      <extLst>
        <ext xmlns:x14="http://schemas.microsoft.com/office/spreadsheetml/2009/9/main" uri="{B025F937-C7B1-47D3-B67F-A62EFF666E3E}">
          <x14:id>{F1DA4650-9CAC-43E4-B8E0-469B2E201973}</x14:id>
        </ext>
      </extLst>
    </cfRule>
  </conditionalFormatting>
  <conditionalFormatting sqref="D39:H51">
    <cfRule type="dataBar" priority="2">
      <dataBar>
        <cfvo type="min"/>
        <cfvo type="max"/>
        <color rgb="FF63C384"/>
      </dataBar>
      <extLst>
        <ext xmlns:x14="http://schemas.microsoft.com/office/spreadsheetml/2009/9/main" uri="{B025F937-C7B1-47D3-B67F-A62EFF666E3E}">
          <x14:id>{8B298DF0-7C20-4DB7-AD24-69CB65B797C3}</x14:id>
        </ext>
      </extLst>
    </cfRule>
  </conditionalFormatting>
  <conditionalFormatting sqref="D55:H67">
    <cfRule type="dataBar" priority="1">
      <dataBar>
        <cfvo type="min"/>
        <cfvo type="max"/>
        <color rgb="FF63C384"/>
      </dataBar>
      <extLst>
        <ext xmlns:x14="http://schemas.microsoft.com/office/spreadsheetml/2009/9/main" uri="{B025F937-C7B1-47D3-B67F-A62EFF666E3E}">
          <x14:id>{71DE8C78-5463-445D-8592-E85CC91C18E8}</x14:id>
        </ext>
      </extLst>
    </cfRule>
  </conditionalFormatting>
  <dataValidations count="1">
    <dataValidation type="list" allowBlank="1" showInputMessage="1" showErrorMessage="1" sqref="B1" xr:uid="{E7F660C5-668C-4793-B27D-E8EE942B797F}">
      <formula1>$M$6:$M$23</formula1>
    </dataValidation>
  </dataValidations>
  <pageMargins left="0.7" right="0.7" top="0.75" bottom="0.75" header="0.3" footer="0.3"/>
  <drawing r:id="rId2"/>
  <tableParts count="4">
    <tablePart r:id="rId3"/>
    <tablePart r:id="rId4"/>
    <tablePart r:id="rId5"/>
    <tablePart r:id="rId6"/>
  </tableParts>
  <extLst>
    <ext xmlns:x14="http://schemas.microsoft.com/office/spreadsheetml/2009/9/main" uri="{78C0D931-6437-407d-A8EE-F0AAD7539E65}">
      <x14:conditionalFormattings>
        <x14:conditionalFormatting xmlns:xm="http://schemas.microsoft.com/office/excel/2006/main">
          <x14:cfRule type="dataBar" id="{9657B874-D8DB-48D4-9C70-1E690823E436}">
            <x14:dataBar minLength="0" maxLength="100" border="1" negativeBarBorderColorSameAsPositive="0">
              <x14:cfvo type="autoMin"/>
              <x14:cfvo type="autoMax"/>
              <x14:borderColor rgb="FF63C384"/>
              <x14:negativeFillColor rgb="FFFF0000"/>
              <x14:negativeBorderColor rgb="FFFF0000"/>
              <x14:axisColor rgb="FF000000"/>
            </x14:dataBar>
          </x14:cfRule>
          <xm:sqref>D7:I19</xm:sqref>
        </x14:conditionalFormatting>
        <x14:conditionalFormatting xmlns:xm="http://schemas.microsoft.com/office/excel/2006/main">
          <x14:cfRule type="dataBar" id="{F1DA4650-9CAC-43E4-B8E0-469B2E201973}">
            <x14:dataBar minLength="0" maxLength="100" border="1" negativeBarBorderColorSameAsPositive="0">
              <x14:cfvo type="autoMin"/>
              <x14:cfvo type="autoMax"/>
              <x14:borderColor rgb="FF63C384"/>
              <x14:negativeFillColor rgb="FFFF0000"/>
              <x14:negativeBorderColor rgb="FFFF0000"/>
              <x14:axisColor rgb="FF000000"/>
            </x14:dataBar>
          </x14:cfRule>
          <xm:sqref>D23:H35</xm:sqref>
        </x14:conditionalFormatting>
        <x14:conditionalFormatting xmlns:xm="http://schemas.microsoft.com/office/excel/2006/main">
          <x14:cfRule type="dataBar" id="{8B298DF0-7C20-4DB7-AD24-69CB65B797C3}">
            <x14:dataBar minLength="0" maxLength="100" border="1" negativeBarBorderColorSameAsPositive="0">
              <x14:cfvo type="autoMin"/>
              <x14:cfvo type="autoMax"/>
              <x14:borderColor rgb="FF63C384"/>
              <x14:negativeFillColor rgb="FFFF0000"/>
              <x14:negativeBorderColor rgb="FFFF0000"/>
              <x14:axisColor rgb="FF000000"/>
            </x14:dataBar>
          </x14:cfRule>
          <xm:sqref>D39:H51</xm:sqref>
        </x14:conditionalFormatting>
        <x14:conditionalFormatting xmlns:xm="http://schemas.microsoft.com/office/excel/2006/main">
          <x14:cfRule type="dataBar" id="{71DE8C78-5463-445D-8592-E85CC91C18E8}">
            <x14:dataBar minLength="0" maxLength="100" border="1" negativeBarBorderColorSameAsPositive="0">
              <x14:cfvo type="autoMin"/>
              <x14:cfvo type="autoMax"/>
              <x14:borderColor rgb="FF63C384"/>
              <x14:negativeFillColor rgb="FFFF0000"/>
              <x14:negativeBorderColor rgb="FFFF0000"/>
              <x14:axisColor rgb="FF000000"/>
            </x14:dataBar>
          </x14:cfRule>
          <xm:sqref>D55:H67</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6E35F-28DE-4C1A-B098-F515E60E6EDE}">
  <sheetPr codeName="Sheet7">
    <tabColor theme="5"/>
  </sheetPr>
  <dimension ref="A1:Y87"/>
  <sheetViews>
    <sheetView zoomScaleNormal="100" workbookViewId="0">
      <pane ySplit="1" topLeftCell="A3" activePane="bottomLeft" state="frozen"/>
      <selection activeCell="AC33" sqref="AC33"/>
      <selection pane="bottomLeft"/>
    </sheetView>
  </sheetViews>
  <sheetFormatPr defaultColWidth="9.125" defaultRowHeight="14.4" x14ac:dyDescent="0.3"/>
  <cols>
    <col min="1" max="1" width="13.75" style="1" customWidth="1"/>
    <col min="2" max="2" width="12.875" style="1" customWidth="1"/>
    <col min="3" max="3" width="17.75" style="1" customWidth="1"/>
    <col min="4" max="4" width="24.875" style="1" customWidth="1"/>
    <col min="5" max="5" width="14.375" style="1" customWidth="1"/>
    <col min="6" max="6" width="16" style="1" customWidth="1"/>
    <col min="7" max="7" width="13.75" style="1" customWidth="1"/>
    <col min="8" max="8" width="14.375" style="1" customWidth="1"/>
    <col min="9" max="10" width="15.125" style="1" customWidth="1"/>
    <col min="11" max="11" width="14" style="1" customWidth="1"/>
    <col min="12" max="12" width="17" style="1" customWidth="1"/>
    <col min="13" max="13" width="17.25" style="1" customWidth="1"/>
    <col min="14" max="14" width="6.375" style="1" customWidth="1"/>
    <col min="15" max="17" width="9.125" style="1"/>
    <col min="18" max="18" width="15" style="1" customWidth="1"/>
    <col min="19" max="19" width="14.25" style="1" customWidth="1"/>
    <col min="20" max="20" width="14.75" style="1" customWidth="1"/>
    <col min="21" max="21" width="10.125" style="1" customWidth="1"/>
    <col min="22" max="24" width="9.875" style="1" customWidth="1"/>
    <col min="25" max="25" width="9.75" style="1" customWidth="1"/>
    <col min="26" max="16384" width="9.125" style="1"/>
  </cols>
  <sheetData>
    <row r="1" spans="1:14" s="29" customFormat="1" ht="28.5" customHeight="1" x14ac:dyDescent="0.4">
      <c r="A1" s="188" t="s">
        <v>282</v>
      </c>
      <c r="B1" s="188"/>
      <c r="C1" s="273"/>
      <c r="D1" s="273"/>
      <c r="E1" s="273"/>
      <c r="F1" s="273"/>
      <c r="G1" s="273"/>
      <c r="H1" s="329" t="s">
        <v>321</v>
      </c>
      <c r="I1" s="329"/>
      <c r="J1" s="329">
        <f>COUNT(ClassB)</f>
        <v>12</v>
      </c>
      <c r="K1" s="329"/>
    </row>
    <row r="2" spans="1:14" ht="31.8" x14ac:dyDescent="0.5">
      <c r="A2" s="335" t="s">
        <v>192</v>
      </c>
      <c r="B2" s="336"/>
      <c r="C2" s="336"/>
      <c r="D2" s="336"/>
      <c r="E2" s="336"/>
      <c r="F2" s="336"/>
      <c r="G2" s="336"/>
      <c r="H2" s="336"/>
      <c r="I2" s="336"/>
      <c r="J2" s="336"/>
      <c r="K2" s="336"/>
      <c r="L2" s="336"/>
    </row>
    <row r="3" spans="1:14" x14ac:dyDescent="0.3">
      <c r="A3" s="272" t="s">
        <v>0</v>
      </c>
      <c r="B3" s="272" t="s">
        <v>193</v>
      </c>
      <c r="C3" s="272" t="s">
        <v>194</v>
      </c>
      <c r="D3" s="272" t="s">
        <v>195</v>
      </c>
      <c r="E3" s="272" t="s">
        <v>196</v>
      </c>
      <c r="F3" s="272" t="s">
        <v>306</v>
      </c>
      <c r="G3" s="272" t="s">
        <v>305</v>
      </c>
      <c r="H3" s="272" t="s">
        <v>304</v>
      </c>
      <c r="I3" s="272" t="s">
        <v>318</v>
      </c>
      <c r="J3" s="272" t="s">
        <v>200</v>
      </c>
      <c r="K3" s="272" t="s">
        <v>317</v>
      </c>
      <c r="L3" s="272" t="s">
        <v>201</v>
      </c>
    </row>
    <row r="4" spans="1:14" x14ac:dyDescent="0.3">
      <c r="A4" s="272">
        <v>16251330</v>
      </c>
      <c r="B4" s="272" t="s">
        <v>151</v>
      </c>
      <c r="C4" s="272" t="s">
        <v>152</v>
      </c>
      <c r="D4" s="272">
        <v>92</v>
      </c>
      <c r="E4" s="272">
        <v>81</v>
      </c>
      <c r="F4" s="272">
        <v>85</v>
      </c>
      <c r="G4" s="272">
        <v>89</v>
      </c>
      <c r="H4" s="272">
        <v>86</v>
      </c>
      <c r="I4" s="272">
        <f t="shared" ref="I4:I15" si="0">AVERAGE(D4,E4,F4,G4)</f>
        <v>86.75</v>
      </c>
      <c r="J4" s="272" t="str">
        <f>_xlfn.IFS(K4&gt;=97, "A+",K4&gt;= 90, "A",K4&gt;=86, "B+", K4&gt;=80, "B",K4&gt;=76, "C+", K4&gt;= 70, "C",K4&gt;= 60, "D",K4&lt; 60, "F")</f>
        <v>B+</v>
      </c>
      <c r="K4" s="272">
        <f>(D4*0.2)+(E4*0.2)+(F4*0.2)+(G4*0.2)+(H4*0.2)</f>
        <v>86.600000000000009</v>
      </c>
      <c r="L4" s="272">
        <f t="shared" ref="L4:L15" si="1">RANK(K4,$K$4:$K$15)</f>
        <v>4</v>
      </c>
      <c r="M4" s="334"/>
      <c r="N4" s="334"/>
    </row>
    <row r="5" spans="1:14" x14ac:dyDescent="0.3">
      <c r="A5" s="272">
        <v>35471023</v>
      </c>
      <c r="B5" s="272" t="s">
        <v>32</v>
      </c>
      <c r="C5" s="272" t="s">
        <v>153</v>
      </c>
      <c r="D5" s="272">
        <v>86</v>
      </c>
      <c r="E5" s="272">
        <v>95</v>
      </c>
      <c r="F5" s="272">
        <v>94</v>
      </c>
      <c r="G5" s="272">
        <v>80</v>
      </c>
      <c r="H5" s="272">
        <v>92</v>
      </c>
      <c r="I5" s="272">
        <f t="shared" si="0"/>
        <v>88.75</v>
      </c>
      <c r="J5" s="272" t="str">
        <f t="shared" ref="J5:J15" si="2">_xlfn.IFS(K5&gt;=97, "A+",K5&gt;= 90, "A",K5&gt;=86, "B+", K5&gt;=80, "B",K5&gt;= 70, "C",K5&gt;= 60, "D",K5&lt; 60, "F")</f>
        <v>B+</v>
      </c>
      <c r="K5" s="272">
        <f t="shared" ref="K5:K15" si="3">(D5*0.2)+(E5*0.2)+(F5*0.2)+(G5*0.2)+(H5*0.2)</f>
        <v>89.4</v>
      </c>
      <c r="L5" s="272">
        <f t="shared" si="1"/>
        <v>2</v>
      </c>
      <c r="M5" s="184"/>
      <c r="N5" s="184"/>
    </row>
    <row r="6" spans="1:14" x14ac:dyDescent="0.3">
      <c r="A6" s="272">
        <v>50822121</v>
      </c>
      <c r="B6" s="272" t="s">
        <v>154</v>
      </c>
      <c r="C6" s="272" t="s">
        <v>155</v>
      </c>
      <c r="D6" s="272">
        <v>79</v>
      </c>
      <c r="E6" s="272">
        <v>90</v>
      </c>
      <c r="F6" s="272">
        <v>91</v>
      </c>
      <c r="G6" s="272">
        <v>80</v>
      </c>
      <c r="H6" s="272">
        <v>71</v>
      </c>
      <c r="I6" s="272">
        <f t="shared" si="0"/>
        <v>85</v>
      </c>
      <c r="J6" s="272" t="str">
        <f t="shared" si="2"/>
        <v>B</v>
      </c>
      <c r="K6" s="272">
        <f t="shared" si="3"/>
        <v>82.2</v>
      </c>
      <c r="L6" s="272">
        <f t="shared" si="1"/>
        <v>12</v>
      </c>
      <c r="M6" s="184"/>
      <c r="N6" s="184"/>
    </row>
    <row r="7" spans="1:14" x14ac:dyDescent="0.3">
      <c r="A7" s="272">
        <v>45322100</v>
      </c>
      <c r="B7" s="272" t="s">
        <v>156</v>
      </c>
      <c r="C7" s="272" t="s">
        <v>157</v>
      </c>
      <c r="D7" s="272">
        <v>86</v>
      </c>
      <c r="E7" s="272">
        <v>98</v>
      </c>
      <c r="F7" s="272">
        <v>90</v>
      </c>
      <c r="G7" s="272">
        <v>97</v>
      </c>
      <c r="H7" s="272">
        <v>77</v>
      </c>
      <c r="I7" s="272">
        <f t="shared" si="0"/>
        <v>92.75</v>
      </c>
      <c r="J7" s="272" t="str">
        <f t="shared" si="2"/>
        <v>B+</v>
      </c>
      <c r="K7" s="272">
        <f t="shared" si="3"/>
        <v>89.600000000000009</v>
      </c>
      <c r="L7" s="272">
        <f t="shared" si="1"/>
        <v>1</v>
      </c>
      <c r="M7" s="184"/>
      <c r="N7" s="184"/>
    </row>
    <row r="8" spans="1:14" x14ac:dyDescent="0.3">
      <c r="A8" s="272">
        <v>55251417</v>
      </c>
      <c r="B8" s="272" t="s">
        <v>158</v>
      </c>
      <c r="C8" s="272" t="s">
        <v>159</v>
      </c>
      <c r="D8" s="272">
        <v>83</v>
      </c>
      <c r="E8" s="272">
        <v>85</v>
      </c>
      <c r="F8" s="272">
        <v>94</v>
      </c>
      <c r="G8" s="272">
        <v>81</v>
      </c>
      <c r="H8" s="272">
        <v>94</v>
      </c>
      <c r="I8" s="272">
        <f t="shared" si="0"/>
        <v>85.75</v>
      </c>
      <c r="J8" s="272" t="str">
        <f t="shared" si="2"/>
        <v>B+</v>
      </c>
      <c r="K8" s="272">
        <f t="shared" si="3"/>
        <v>87.4</v>
      </c>
      <c r="L8" s="272">
        <f t="shared" si="1"/>
        <v>3</v>
      </c>
      <c r="M8" s="184"/>
      <c r="N8" s="184"/>
    </row>
    <row r="9" spans="1:14" x14ac:dyDescent="0.3">
      <c r="A9" s="272">
        <v>14858103</v>
      </c>
      <c r="B9" s="272" t="s">
        <v>160</v>
      </c>
      <c r="C9" s="272" t="s">
        <v>161</v>
      </c>
      <c r="D9" s="272">
        <v>76</v>
      </c>
      <c r="E9" s="272">
        <v>83</v>
      </c>
      <c r="F9" s="272">
        <v>86</v>
      </c>
      <c r="G9" s="272">
        <v>98</v>
      </c>
      <c r="H9" s="272">
        <v>81</v>
      </c>
      <c r="I9" s="272">
        <f t="shared" si="0"/>
        <v>85.75</v>
      </c>
      <c r="J9" s="272" t="str">
        <f t="shared" si="2"/>
        <v>B</v>
      </c>
      <c r="K9" s="272">
        <f t="shared" si="3"/>
        <v>84.8</v>
      </c>
      <c r="L9" s="272">
        <f t="shared" si="1"/>
        <v>9</v>
      </c>
      <c r="M9" s="184"/>
      <c r="N9" s="184"/>
    </row>
    <row r="10" spans="1:14" x14ac:dyDescent="0.3">
      <c r="A10" s="272">
        <v>46271285</v>
      </c>
      <c r="B10" s="272" t="s">
        <v>162</v>
      </c>
      <c r="C10" s="272" t="s">
        <v>163</v>
      </c>
      <c r="D10" s="272">
        <v>70</v>
      </c>
      <c r="E10" s="272">
        <v>78</v>
      </c>
      <c r="F10" s="272">
        <v>92</v>
      </c>
      <c r="G10" s="272">
        <v>91</v>
      </c>
      <c r="H10" s="272">
        <v>92</v>
      </c>
      <c r="I10" s="272">
        <f t="shared" si="0"/>
        <v>82.75</v>
      </c>
      <c r="J10" s="272" t="str">
        <f t="shared" si="2"/>
        <v>B</v>
      </c>
      <c r="K10" s="272">
        <f t="shared" si="3"/>
        <v>84.600000000000009</v>
      </c>
      <c r="L10" s="272">
        <f t="shared" si="1"/>
        <v>11</v>
      </c>
      <c r="M10" s="184"/>
      <c r="N10" s="184"/>
    </row>
    <row r="11" spans="1:14" x14ac:dyDescent="0.3">
      <c r="A11" s="272">
        <v>42393621</v>
      </c>
      <c r="B11" s="272" t="s">
        <v>164</v>
      </c>
      <c r="C11" s="272" t="s">
        <v>165</v>
      </c>
      <c r="D11" s="272">
        <v>92</v>
      </c>
      <c r="E11" s="272">
        <v>76</v>
      </c>
      <c r="F11" s="272">
        <v>89</v>
      </c>
      <c r="G11" s="272">
        <v>88</v>
      </c>
      <c r="H11" s="272">
        <v>79</v>
      </c>
      <c r="I11" s="272">
        <f t="shared" si="0"/>
        <v>86.25</v>
      </c>
      <c r="J11" s="272" t="str">
        <f t="shared" si="2"/>
        <v>B</v>
      </c>
      <c r="K11" s="272">
        <f t="shared" si="3"/>
        <v>84.8</v>
      </c>
      <c r="L11" s="272">
        <f t="shared" si="1"/>
        <v>9</v>
      </c>
      <c r="M11" s="184"/>
      <c r="N11" s="184"/>
    </row>
    <row r="12" spans="1:14" x14ac:dyDescent="0.3">
      <c r="A12" s="272">
        <v>88900987</v>
      </c>
      <c r="B12" s="272" t="s">
        <v>89</v>
      </c>
      <c r="C12" s="272" t="s">
        <v>166</v>
      </c>
      <c r="D12" s="272">
        <v>83</v>
      </c>
      <c r="E12" s="272">
        <v>94</v>
      </c>
      <c r="F12" s="272">
        <v>92</v>
      </c>
      <c r="G12" s="272">
        <v>94</v>
      </c>
      <c r="H12" s="272">
        <v>69</v>
      </c>
      <c r="I12" s="272">
        <f t="shared" si="0"/>
        <v>90.75</v>
      </c>
      <c r="J12" s="272" t="str">
        <f t="shared" si="2"/>
        <v>B+</v>
      </c>
      <c r="K12" s="272">
        <f t="shared" si="3"/>
        <v>86.4</v>
      </c>
      <c r="L12" s="272">
        <f t="shared" si="1"/>
        <v>5</v>
      </c>
      <c r="M12" s="184"/>
      <c r="N12" s="184"/>
    </row>
    <row r="13" spans="1:14" x14ac:dyDescent="0.3">
      <c r="A13" s="272">
        <v>61539595</v>
      </c>
      <c r="B13" s="272" t="s">
        <v>82</v>
      </c>
      <c r="C13" s="272" t="s">
        <v>167</v>
      </c>
      <c r="D13" s="272">
        <v>97</v>
      </c>
      <c r="E13" s="272">
        <v>90</v>
      </c>
      <c r="F13" s="272">
        <v>87</v>
      </c>
      <c r="G13" s="272">
        <v>83</v>
      </c>
      <c r="H13" s="272">
        <v>71</v>
      </c>
      <c r="I13" s="272">
        <f t="shared" si="0"/>
        <v>89.25</v>
      </c>
      <c r="J13" s="272" t="str">
        <f t="shared" si="2"/>
        <v>B</v>
      </c>
      <c r="K13" s="272">
        <f t="shared" si="3"/>
        <v>85.600000000000009</v>
      </c>
      <c r="L13" s="272">
        <f t="shared" si="1"/>
        <v>6</v>
      </c>
      <c r="M13" s="184"/>
      <c r="N13" s="184"/>
    </row>
    <row r="14" spans="1:14" x14ac:dyDescent="0.3">
      <c r="A14" s="272">
        <v>99978671</v>
      </c>
      <c r="B14" s="272" t="s">
        <v>168</v>
      </c>
      <c r="C14" s="272" t="s">
        <v>169</v>
      </c>
      <c r="D14" s="272">
        <v>74</v>
      </c>
      <c r="E14" s="272">
        <v>90</v>
      </c>
      <c r="F14" s="272">
        <v>86</v>
      </c>
      <c r="G14" s="272">
        <v>81</v>
      </c>
      <c r="H14" s="272">
        <v>95</v>
      </c>
      <c r="I14" s="272">
        <f t="shared" si="0"/>
        <v>82.75</v>
      </c>
      <c r="J14" s="272" t="str">
        <f t="shared" si="2"/>
        <v>B</v>
      </c>
      <c r="K14" s="272">
        <f t="shared" si="3"/>
        <v>85.2</v>
      </c>
      <c r="L14" s="272">
        <f t="shared" si="1"/>
        <v>8</v>
      </c>
      <c r="M14" s="184"/>
      <c r="N14" s="184"/>
    </row>
    <row r="15" spans="1:14" x14ac:dyDescent="0.3">
      <c r="A15" s="272">
        <v>66788007</v>
      </c>
      <c r="B15" s="272" t="s">
        <v>8</v>
      </c>
      <c r="C15" s="272" t="s">
        <v>170</v>
      </c>
      <c r="D15" s="272">
        <v>72</v>
      </c>
      <c r="E15" s="272">
        <v>89</v>
      </c>
      <c r="F15" s="272">
        <v>89</v>
      </c>
      <c r="G15" s="272">
        <v>87</v>
      </c>
      <c r="H15" s="272">
        <v>91</v>
      </c>
      <c r="I15" s="272">
        <f t="shared" si="0"/>
        <v>84.25</v>
      </c>
      <c r="J15" s="272" t="str">
        <f t="shared" si="2"/>
        <v>B</v>
      </c>
      <c r="K15" s="272">
        <f t="shared" si="3"/>
        <v>85.600000000000009</v>
      </c>
      <c r="L15" s="272">
        <f t="shared" si="1"/>
        <v>6</v>
      </c>
      <c r="M15" s="184"/>
      <c r="N15" s="184"/>
    </row>
    <row r="16" spans="1:14" ht="31.8" x14ac:dyDescent="0.5">
      <c r="A16" s="337" t="s">
        <v>202</v>
      </c>
      <c r="B16" s="337"/>
      <c r="C16" s="337"/>
      <c r="D16" s="337"/>
      <c r="E16" s="337"/>
      <c r="F16" s="337"/>
      <c r="G16" s="337"/>
      <c r="H16" s="337"/>
      <c r="I16" s="337"/>
      <c r="J16" s="337"/>
      <c r="K16" s="337"/>
      <c r="L16" s="337"/>
      <c r="M16" s="184"/>
      <c r="N16" s="184"/>
    </row>
    <row r="17" spans="1:25" ht="17.399999999999999" x14ac:dyDescent="0.3">
      <c r="A17" s="12" t="s">
        <v>0</v>
      </c>
      <c r="B17" s="11" t="s">
        <v>193</v>
      </c>
      <c r="C17" s="11" t="s">
        <v>194</v>
      </c>
      <c r="D17" s="11" t="s">
        <v>195</v>
      </c>
      <c r="E17" s="11" t="s">
        <v>196</v>
      </c>
      <c r="F17" s="11" t="s">
        <v>306</v>
      </c>
      <c r="G17" s="11" t="s">
        <v>305</v>
      </c>
      <c r="H17" s="11" t="s">
        <v>304</v>
      </c>
      <c r="I17" s="11" t="s">
        <v>303</v>
      </c>
      <c r="J17" s="11" t="s">
        <v>200</v>
      </c>
      <c r="K17" s="11" t="s">
        <v>2</v>
      </c>
      <c r="L17" s="182" t="s">
        <v>201</v>
      </c>
      <c r="M17" s="184"/>
      <c r="N17" s="184"/>
    </row>
    <row r="18" spans="1:25" x14ac:dyDescent="0.3">
      <c r="A18" s="6">
        <v>16251330</v>
      </c>
      <c r="B18" s="6" t="s">
        <v>151</v>
      </c>
      <c r="C18" s="6" t="s">
        <v>152</v>
      </c>
      <c r="D18" s="6">
        <v>91</v>
      </c>
      <c r="E18" s="6">
        <v>92</v>
      </c>
      <c r="F18" s="9">
        <v>94</v>
      </c>
      <c r="G18" s="6">
        <v>84</v>
      </c>
      <c r="H18" s="6">
        <v>86</v>
      </c>
      <c r="I18" s="6">
        <f t="shared" ref="I18:I29" si="4">AVERAGE(D18:H18)</f>
        <v>89.4</v>
      </c>
      <c r="J18" s="6" t="str">
        <f t="shared" ref="J18:J29" si="5">_xlfn.IFS(K18&gt;=97, "A+",K18&gt;= 90, "A",K18&gt;=86, "B+", K18&gt;=80, "B",K18&gt;=76, "C+", K18&gt;= 70, "C",K18&gt;= 60, "D",K18&lt; 60, "F")</f>
        <v>B+</v>
      </c>
      <c r="K18" s="6">
        <f t="shared" ref="K18:K29" si="6">(D18*0.2)+(E18*0.2)+(F18*0.2)+(G18*0.2)+(H18*0.2)</f>
        <v>89.4</v>
      </c>
      <c r="L18" s="183">
        <f t="shared" ref="L18:L29" si="7">RANK(K18,$K$18:$K$29)</f>
        <v>7</v>
      </c>
      <c r="M18" s="184"/>
      <c r="N18" s="184"/>
    </row>
    <row r="19" spans="1:25" x14ac:dyDescent="0.3">
      <c r="A19" s="6">
        <v>35471023</v>
      </c>
      <c r="B19" s="6" t="s">
        <v>32</v>
      </c>
      <c r="C19" s="6" t="s">
        <v>153</v>
      </c>
      <c r="D19" s="6">
        <v>79</v>
      </c>
      <c r="E19" s="6">
        <v>99</v>
      </c>
      <c r="F19" s="9">
        <v>94</v>
      </c>
      <c r="G19" s="6">
        <v>96</v>
      </c>
      <c r="H19" s="6">
        <v>91</v>
      </c>
      <c r="I19" s="6">
        <f t="shared" si="4"/>
        <v>91.8</v>
      </c>
      <c r="J19" s="6" t="str">
        <f t="shared" si="5"/>
        <v>A</v>
      </c>
      <c r="K19" s="6">
        <f t="shared" si="6"/>
        <v>91.800000000000011</v>
      </c>
      <c r="L19" s="183">
        <f t="shared" si="7"/>
        <v>3</v>
      </c>
      <c r="M19" s="184"/>
      <c r="N19" s="184"/>
    </row>
    <row r="20" spans="1:25" x14ac:dyDescent="0.3">
      <c r="A20" s="6">
        <v>50822121</v>
      </c>
      <c r="B20" s="6" t="s">
        <v>154</v>
      </c>
      <c r="C20" s="6" t="s">
        <v>155</v>
      </c>
      <c r="D20" s="6">
        <v>92</v>
      </c>
      <c r="E20" s="6">
        <v>95</v>
      </c>
      <c r="F20" s="9">
        <v>78</v>
      </c>
      <c r="G20" s="6">
        <v>97</v>
      </c>
      <c r="H20" s="6">
        <v>91</v>
      </c>
      <c r="I20" s="6">
        <f t="shared" si="4"/>
        <v>90.6</v>
      </c>
      <c r="J20" s="6" t="str">
        <f t="shared" si="5"/>
        <v>A</v>
      </c>
      <c r="K20" s="6">
        <f t="shared" si="6"/>
        <v>90.600000000000009</v>
      </c>
      <c r="L20" s="183">
        <f t="shared" si="7"/>
        <v>6</v>
      </c>
      <c r="M20" s="184"/>
      <c r="N20" s="184"/>
    </row>
    <row r="21" spans="1:25" x14ac:dyDescent="0.3">
      <c r="A21" s="6">
        <v>45322100</v>
      </c>
      <c r="B21" s="6" t="s">
        <v>156</v>
      </c>
      <c r="C21" s="6" t="s">
        <v>157</v>
      </c>
      <c r="D21" s="6">
        <v>96</v>
      </c>
      <c r="E21" s="6">
        <v>83</v>
      </c>
      <c r="F21" s="9">
        <v>89</v>
      </c>
      <c r="G21" s="6">
        <v>98</v>
      </c>
      <c r="H21" s="6">
        <v>99</v>
      </c>
      <c r="I21" s="6">
        <f t="shared" si="4"/>
        <v>93</v>
      </c>
      <c r="J21" s="6" t="str">
        <f t="shared" si="5"/>
        <v>A</v>
      </c>
      <c r="K21" s="6">
        <f t="shared" si="6"/>
        <v>93.000000000000014</v>
      </c>
      <c r="L21" s="6">
        <f t="shared" si="7"/>
        <v>1</v>
      </c>
      <c r="M21" s="260"/>
      <c r="N21" s="193"/>
    </row>
    <row r="22" spans="1:25" x14ac:dyDescent="0.3">
      <c r="A22" s="6">
        <v>55251417</v>
      </c>
      <c r="B22" s="6" t="s">
        <v>158</v>
      </c>
      <c r="C22" s="6" t="s">
        <v>159</v>
      </c>
      <c r="D22" s="6">
        <v>89</v>
      </c>
      <c r="E22" s="6">
        <v>97</v>
      </c>
      <c r="F22" s="9">
        <v>84</v>
      </c>
      <c r="G22" s="6">
        <v>86</v>
      </c>
      <c r="H22" s="6">
        <v>89</v>
      </c>
      <c r="I22" s="6">
        <f t="shared" si="4"/>
        <v>89</v>
      </c>
      <c r="J22" s="6" t="str">
        <f t="shared" si="5"/>
        <v>B+</v>
      </c>
      <c r="K22" s="6">
        <f t="shared" si="6"/>
        <v>89</v>
      </c>
      <c r="L22" s="6">
        <f t="shared" si="7"/>
        <v>8</v>
      </c>
      <c r="M22" s="260"/>
      <c r="N22" s="193"/>
    </row>
    <row r="23" spans="1:25" x14ac:dyDescent="0.3">
      <c r="A23" s="6">
        <v>14858103</v>
      </c>
      <c r="B23" s="6" t="s">
        <v>160</v>
      </c>
      <c r="C23" s="6" t="s">
        <v>161</v>
      </c>
      <c r="D23" s="6">
        <v>83</v>
      </c>
      <c r="E23" s="6">
        <v>88</v>
      </c>
      <c r="F23" s="9">
        <v>82</v>
      </c>
      <c r="G23" s="6">
        <v>83</v>
      </c>
      <c r="H23" s="6">
        <v>86</v>
      </c>
      <c r="I23" s="6">
        <f t="shared" si="4"/>
        <v>84.4</v>
      </c>
      <c r="J23" s="6" t="str">
        <f t="shared" si="5"/>
        <v>B</v>
      </c>
      <c r="K23" s="6">
        <f t="shared" si="6"/>
        <v>84.40000000000002</v>
      </c>
      <c r="L23" s="6">
        <f t="shared" si="7"/>
        <v>12</v>
      </c>
      <c r="M23" s="260"/>
      <c r="N23" s="193"/>
    </row>
    <row r="24" spans="1:25" x14ac:dyDescent="0.3">
      <c r="A24" s="6">
        <v>46271285</v>
      </c>
      <c r="B24" s="6" t="s">
        <v>162</v>
      </c>
      <c r="C24" s="6" t="s">
        <v>163</v>
      </c>
      <c r="D24" s="6">
        <v>97</v>
      </c>
      <c r="E24" s="6">
        <v>89</v>
      </c>
      <c r="F24" s="9">
        <v>85</v>
      </c>
      <c r="G24" s="6">
        <v>89</v>
      </c>
      <c r="H24" s="6">
        <v>97</v>
      </c>
      <c r="I24" s="6">
        <f t="shared" si="4"/>
        <v>91.4</v>
      </c>
      <c r="J24" s="6" t="str">
        <f t="shared" si="5"/>
        <v>A</v>
      </c>
      <c r="K24" s="6">
        <f t="shared" si="6"/>
        <v>91.4</v>
      </c>
      <c r="L24" s="6">
        <f t="shared" si="7"/>
        <v>5</v>
      </c>
      <c r="M24" s="260"/>
      <c r="N24" s="193"/>
    </row>
    <row r="25" spans="1:25" x14ac:dyDescent="0.3">
      <c r="A25" s="6">
        <v>42393621</v>
      </c>
      <c r="B25" s="6" t="s">
        <v>164</v>
      </c>
      <c r="C25" s="6" t="s">
        <v>165</v>
      </c>
      <c r="D25" s="6">
        <v>71</v>
      </c>
      <c r="E25" s="6">
        <v>84</v>
      </c>
      <c r="F25" s="9">
        <v>97</v>
      </c>
      <c r="G25" s="6">
        <v>84</v>
      </c>
      <c r="H25" s="6">
        <v>98</v>
      </c>
      <c r="I25" s="6">
        <f t="shared" si="4"/>
        <v>86.8</v>
      </c>
      <c r="J25" s="6" t="str">
        <f t="shared" si="5"/>
        <v>B+</v>
      </c>
      <c r="K25" s="6">
        <f t="shared" si="6"/>
        <v>86.800000000000011</v>
      </c>
      <c r="L25" s="6">
        <f t="shared" si="7"/>
        <v>10</v>
      </c>
      <c r="M25" s="260"/>
      <c r="N25" s="193"/>
      <c r="R25" s="60"/>
      <c r="S25" s="60"/>
      <c r="T25" s="60"/>
      <c r="U25" s="60"/>
      <c r="V25" s="60"/>
      <c r="W25" s="60"/>
      <c r="X25" s="60"/>
      <c r="Y25" s="60"/>
    </row>
    <row r="26" spans="1:25" x14ac:dyDescent="0.3">
      <c r="A26" s="6">
        <v>88900987</v>
      </c>
      <c r="B26" s="6" t="s">
        <v>89</v>
      </c>
      <c r="C26" s="6" t="s">
        <v>166</v>
      </c>
      <c r="D26" s="6">
        <v>81</v>
      </c>
      <c r="E26" s="6">
        <v>99</v>
      </c>
      <c r="F26" s="9">
        <v>85</v>
      </c>
      <c r="G26" s="6">
        <v>80</v>
      </c>
      <c r="H26" s="6">
        <v>87</v>
      </c>
      <c r="I26" s="6">
        <f t="shared" si="4"/>
        <v>86.4</v>
      </c>
      <c r="J26" s="6" t="str">
        <f t="shared" si="5"/>
        <v>B+</v>
      </c>
      <c r="K26" s="6">
        <f t="shared" si="6"/>
        <v>86.4</v>
      </c>
      <c r="L26" s="6">
        <f t="shared" si="7"/>
        <v>11</v>
      </c>
      <c r="M26" s="260"/>
      <c r="N26" s="193"/>
      <c r="R26" s="60"/>
      <c r="S26" s="60"/>
      <c r="T26" s="60"/>
      <c r="U26" s="60"/>
      <c r="V26" s="60"/>
      <c r="W26" s="60"/>
      <c r="X26" s="60"/>
      <c r="Y26" s="60"/>
    </row>
    <row r="27" spans="1:25" x14ac:dyDescent="0.3">
      <c r="A27" s="6">
        <v>61539595</v>
      </c>
      <c r="B27" s="6" t="s">
        <v>82</v>
      </c>
      <c r="C27" s="6" t="s">
        <v>167</v>
      </c>
      <c r="D27" s="6">
        <v>77</v>
      </c>
      <c r="E27" s="6">
        <v>93</v>
      </c>
      <c r="F27" s="9">
        <v>100</v>
      </c>
      <c r="G27" s="6">
        <v>91</v>
      </c>
      <c r="H27" s="6">
        <v>97</v>
      </c>
      <c r="I27" s="6">
        <f t="shared" si="4"/>
        <v>91.6</v>
      </c>
      <c r="J27" s="6" t="str">
        <f t="shared" si="5"/>
        <v>A</v>
      </c>
      <c r="K27" s="6">
        <f t="shared" si="6"/>
        <v>91.600000000000009</v>
      </c>
      <c r="L27" s="6">
        <f t="shared" si="7"/>
        <v>4</v>
      </c>
      <c r="M27" s="260"/>
      <c r="N27" s="193"/>
      <c r="R27" s="60"/>
      <c r="S27" s="60"/>
      <c r="T27" s="60"/>
      <c r="U27" s="60"/>
      <c r="V27" s="60"/>
      <c r="W27" s="60"/>
      <c r="X27" s="60"/>
      <c r="Y27" s="60"/>
    </row>
    <row r="28" spans="1:25" ht="15.6" x14ac:dyDescent="0.3">
      <c r="A28" s="6">
        <v>99978671</v>
      </c>
      <c r="B28" s="6" t="s">
        <v>168</v>
      </c>
      <c r="C28" s="6" t="s">
        <v>169</v>
      </c>
      <c r="D28" s="6">
        <v>84</v>
      </c>
      <c r="E28" s="6">
        <v>93</v>
      </c>
      <c r="F28" s="9">
        <v>77</v>
      </c>
      <c r="G28" s="6">
        <v>89</v>
      </c>
      <c r="H28" s="6">
        <v>98</v>
      </c>
      <c r="I28" s="6">
        <f t="shared" si="4"/>
        <v>88.2</v>
      </c>
      <c r="J28" s="6" t="str">
        <f t="shared" si="5"/>
        <v>B+</v>
      </c>
      <c r="K28" s="6">
        <f t="shared" si="6"/>
        <v>88.200000000000017</v>
      </c>
      <c r="L28" s="6">
        <f t="shared" si="7"/>
        <v>9</v>
      </c>
      <c r="M28" s="260"/>
      <c r="N28" s="193"/>
      <c r="R28" s="23" t="s">
        <v>206</v>
      </c>
      <c r="S28" s="23" t="s">
        <v>207</v>
      </c>
      <c r="T28" s="23" t="s">
        <v>208</v>
      </c>
      <c r="U28" s="23" t="s">
        <v>281</v>
      </c>
      <c r="V28" s="23" t="s">
        <v>282</v>
      </c>
      <c r="W28" s="23" t="s">
        <v>283</v>
      </c>
      <c r="X28" s="23" t="s">
        <v>284</v>
      </c>
      <c r="Y28" s="23" t="s">
        <v>285</v>
      </c>
    </row>
    <row r="29" spans="1:25" ht="15.6" x14ac:dyDescent="0.3">
      <c r="A29" s="6">
        <v>66788007</v>
      </c>
      <c r="B29" s="6" t="s">
        <v>8</v>
      </c>
      <c r="C29" s="6" t="s">
        <v>170</v>
      </c>
      <c r="D29" s="6">
        <v>85</v>
      </c>
      <c r="E29" s="6">
        <v>100</v>
      </c>
      <c r="F29" s="9">
        <v>80</v>
      </c>
      <c r="G29" s="6">
        <v>98</v>
      </c>
      <c r="H29" s="6">
        <v>100</v>
      </c>
      <c r="I29" s="6">
        <f t="shared" si="4"/>
        <v>92.6</v>
      </c>
      <c r="J29" s="6" t="str">
        <f t="shared" si="5"/>
        <v>A</v>
      </c>
      <c r="K29" s="6">
        <f t="shared" si="6"/>
        <v>92.6</v>
      </c>
      <c r="L29" s="6">
        <f t="shared" si="7"/>
        <v>2</v>
      </c>
      <c r="M29" s="260"/>
      <c r="N29" s="193"/>
      <c r="R29" s="23"/>
      <c r="S29" s="23"/>
      <c r="T29" s="23"/>
      <c r="U29" s="23"/>
      <c r="V29" s="23"/>
      <c r="W29" s="23"/>
      <c r="X29" s="23"/>
      <c r="Y29" s="23"/>
    </row>
    <row r="30" spans="1:25" ht="34.799999999999997" x14ac:dyDescent="0.55000000000000004">
      <c r="A30" s="338" t="s">
        <v>203</v>
      </c>
      <c r="B30" s="338"/>
      <c r="C30" s="338"/>
      <c r="D30" s="338"/>
      <c r="E30" s="338"/>
      <c r="F30" s="338"/>
      <c r="G30" s="338"/>
      <c r="H30" s="338"/>
      <c r="I30" s="338"/>
      <c r="J30" s="338"/>
      <c r="K30" s="338"/>
      <c r="L30" s="338"/>
      <c r="M30" s="260"/>
      <c r="N30" s="193"/>
      <c r="R30" s="23">
        <v>368744</v>
      </c>
      <c r="S30" s="23" t="s">
        <v>217</v>
      </c>
      <c r="T30" s="23" t="s">
        <v>218</v>
      </c>
      <c r="U30" s="23"/>
      <c r="V30" s="23" t="str">
        <f t="shared" ref="V30:V35" si="8">IF(U30="Yes","","yes")</f>
        <v>yes</v>
      </c>
      <c r="W30" s="23" t="str">
        <f t="shared" ref="W30:W35" si="9">IF(OR(U30="yes",V30="Yes"),"","YES")</f>
        <v/>
      </c>
      <c r="X30" s="23" t="str">
        <f t="shared" ref="X30:X35" si="10">IF(OR(U30="yes",V30="Yes",W30="Yes"),"","YES")</f>
        <v/>
      </c>
      <c r="Y30" s="23" t="str">
        <f t="shared" ref="Y30:Y35" si="11">IF(OR(U30="yes",V30="Yes",W30="Yes",X30="yes"),"","YES")</f>
        <v/>
      </c>
    </row>
    <row r="31" spans="1:25" ht="28.2" x14ac:dyDescent="0.5">
      <c r="A31" s="12" t="s">
        <v>0</v>
      </c>
      <c r="B31" s="11" t="s">
        <v>193</v>
      </c>
      <c r="C31" s="11" t="s">
        <v>194</v>
      </c>
      <c r="D31" s="11" t="s">
        <v>195</v>
      </c>
      <c r="E31" s="11" t="s">
        <v>196</v>
      </c>
      <c r="F31" s="11" t="s">
        <v>306</v>
      </c>
      <c r="G31" s="11" t="s">
        <v>305</v>
      </c>
      <c r="H31" s="11" t="s">
        <v>304</v>
      </c>
      <c r="I31" s="11" t="s">
        <v>303</v>
      </c>
      <c r="J31" s="11" t="s">
        <v>200</v>
      </c>
      <c r="K31" s="11" t="s">
        <v>2</v>
      </c>
      <c r="L31" s="11" t="s">
        <v>201</v>
      </c>
      <c r="M31" s="13"/>
      <c r="N31" s="193"/>
      <c r="R31" s="23">
        <v>653601</v>
      </c>
      <c r="S31" s="23" t="s">
        <v>224</v>
      </c>
      <c r="T31" s="23" t="s">
        <v>225</v>
      </c>
      <c r="U31" s="23"/>
      <c r="V31" s="23" t="str">
        <f t="shared" si="8"/>
        <v>yes</v>
      </c>
      <c r="W31" s="23" t="str">
        <f t="shared" si="9"/>
        <v/>
      </c>
      <c r="X31" s="23" t="str">
        <f t="shared" si="10"/>
        <v/>
      </c>
      <c r="Y31" s="23" t="str">
        <f t="shared" si="11"/>
        <v/>
      </c>
    </row>
    <row r="32" spans="1:25" ht="15.6" x14ac:dyDescent="0.3">
      <c r="A32" s="6">
        <v>16251330</v>
      </c>
      <c r="B32" s="6" t="s">
        <v>151</v>
      </c>
      <c r="C32" s="6" t="s">
        <v>152</v>
      </c>
      <c r="D32" s="6">
        <v>73</v>
      </c>
      <c r="E32" s="6">
        <v>92</v>
      </c>
      <c r="F32" s="9">
        <v>98</v>
      </c>
      <c r="G32" s="5">
        <v>94</v>
      </c>
      <c r="H32" s="5">
        <v>98</v>
      </c>
      <c r="I32" s="5">
        <f t="shared" ref="I32:I43" si="12">AVERAGE(D32:H32)</f>
        <v>91</v>
      </c>
      <c r="J32" s="5" t="str">
        <f t="shared" ref="J32:J43" si="13">_xlfn.IFS(K32&gt;=97, "A+",K32&gt;=90, "A",K32&gt;86, "B+", K32&gt;=80, "B",K32&gt;=76, "C+", K32&gt;= 70, "C",K32&gt;= 60, "D",K32&lt; 60, "F")</f>
        <v>A</v>
      </c>
      <c r="K32" s="5">
        <f t="shared" ref="K32:K43" si="14">(D32*0.2)+(E32*0.2)+(F32*0.2)+(G32*0.2)+(H32*0.2)</f>
        <v>91</v>
      </c>
      <c r="L32" s="5">
        <f t="shared" ref="L32:L43" si="15">RANK(K32,$K$32:$K$43)</f>
        <v>8</v>
      </c>
      <c r="M32" s="260"/>
      <c r="N32" s="193"/>
      <c r="R32" s="23">
        <v>508339</v>
      </c>
      <c r="S32" s="23" t="s">
        <v>226</v>
      </c>
      <c r="T32" s="23" t="s">
        <v>227</v>
      </c>
      <c r="U32" s="23"/>
      <c r="V32" s="23" t="str">
        <f t="shared" si="8"/>
        <v>yes</v>
      </c>
      <c r="W32" s="23" t="str">
        <f t="shared" si="9"/>
        <v/>
      </c>
      <c r="X32" s="23" t="str">
        <f t="shared" si="10"/>
        <v/>
      </c>
      <c r="Y32" s="23" t="str">
        <f t="shared" si="11"/>
        <v/>
      </c>
    </row>
    <row r="33" spans="1:25" ht="15.6" x14ac:dyDescent="0.3">
      <c r="A33" s="6">
        <v>35471023</v>
      </c>
      <c r="B33" s="6" t="s">
        <v>32</v>
      </c>
      <c r="C33" s="6" t="s">
        <v>153</v>
      </c>
      <c r="D33" s="6">
        <v>68</v>
      </c>
      <c r="E33" s="6">
        <v>93</v>
      </c>
      <c r="F33" s="9">
        <v>96</v>
      </c>
      <c r="G33" s="5">
        <v>97</v>
      </c>
      <c r="H33" s="5">
        <v>82</v>
      </c>
      <c r="I33" s="5">
        <f t="shared" si="12"/>
        <v>87.2</v>
      </c>
      <c r="J33" s="5" t="str">
        <f t="shared" si="13"/>
        <v>B+</v>
      </c>
      <c r="K33" s="5">
        <f t="shared" si="14"/>
        <v>87.200000000000017</v>
      </c>
      <c r="L33" s="5">
        <f t="shared" si="15"/>
        <v>10</v>
      </c>
      <c r="M33" s="260"/>
      <c r="N33" s="193"/>
      <c r="R33" s="23">
        <v>229763</v>
      </c>
      <c r="S33" s="23" t="s">
        <v>239</v>
      </c>
      <c r="T33" s="23" t="s">
        <v>240</v>
      </c>
      <c r="U33" s="23"/>
      <c r="V33" s="23" t="str">
        <f t="shared" si="8"/>
        <v>yes</v>
      </c>
      <c r="W33" s="23" t="str">
        <f t="shared" si="9"/>
        <v/>
      </c>
      <c r="X33" s="23" t="str">
        <f t="shared" si="10"/>
        <v/>
      </c>
      <c r="Y33" s="23" t="str">
        <f t="shared" si="11"/>
        <v/>
      </c>
    </row>
    <row r="34" spans="1:25" ht="15.6" x14ac:dyDescent="0.3">
      <c r="A34" s="6">
        <v>50822121</v>
      </c>
      <c r="B34" s="6" t="s">
        <v>154</v>
      </c>
      <c r="C34" s="6" t="s">
        <v>155</v>
      </c>
      <c r="D34" s="6">
        <v>81</v>
      </c>
      <c r="E34" s="6">
        <v>87</v>
      </c>
      <c r="F34" s="9">
        <v>100</v>
      </c>
      <c r="G34" s="5">
        <v>97</v>
      </c>
      <c r="H34" s="5">
        <v>92</v>
      </c>
      <c r="I34" s="5">
        <f t="shared" si="12"/>
        <v>91.4</v>
      </c>
      <c r="J34" s="5" t="str">
        <f t="shared" si="13"/>
        <v>A</v>
      </c>
      <c r="K34" s="5">
        <f t="shared" si="14"/>
        <v>91.4</v>
      </c>
      <c r="L34" s="5">
        <f t="shared" si="15"/>
        <v>6</v>
      </c>
      <c r="M34" s="260"/>
      <c r="N34" s="193"/>
      <c r="R34" s="23">
        <v>439380</v>
      </c>
      <c r="S34" s="23" t="s">
        <v>248</v>
      </c>
      <c r="T34" s="23" t="s">
        <v>249</v>
      </c>
      <c r="U34" s="23"/>
      <c r="V34" s="23" t="str">
        <f t="shared" si="8"/>
        <v>yes</v>
      </c>
      <c r="W34" s="23" t="str">
        <f t="shared" si="9"/>
        <v/>
      </c>
      <c r="X34" s="23" t="str">
        <f t="shared" si="10"/>
        <v/>
      </c>
      <c r="Y34" s="23" t="str">
        <f t="shared" si="11"/>
        <v/>
      </c>
    </row>
    <row r="35" spans="1:25" ht="15.6" x14ac:dyDescent="0.3">
      <c r="A35" s="6">
        <v>45322100</v>
      </c>
      <c r="B35" s="6" t="s">
        <v>156</v>
      </c>
      <c r="C35" s="6" t="s">
        <v>157</v>
      </c>
      <c r="D35" s="6">
        <v>98</v>
      </c>
      <c r="E35" s="6">
        <v>99</v>
      </c>
      <c r="F35" s="9">
        <v>96</v>
      </c>
      <c r="G35" s="5">
        <v>97</v>
      </c>
      <c r="H35" s="5">
        <v>91</v>
      </c>
      <c r="I35" s="5">
        <f t="shared" si="12"/>
        <v>96.2</v>
      </c>
      <c r="J35" s="5" t="str">
        <f t="shared" si="13"/>
        <v>A</v>
      </c>
      <c r="K35" s="5">
        <f t="shared" si="14"/>
        <v>96.200000000000017</v>
      </c>
      <c r="L35" s="5">
        <f t="shared" si="15"/>
        <v>2</v>
      </c>
      <c r="M35" s="260"/>
      <c r="N35" s="193"/>
      <c r="R35" s="23">
        <v>251960</v>
      </c>
      <c r="S35" s="23" t="s">
        <v>269</v>
      </c>
      <c r="T35" s="23" t="s">
        <v>270</v>
      </c>
      <c r="U35" s="23"/>
      <c r="V35" s="23" t="str">
        <f t="shared" si="8"/>
        <v>yes</v>
      </c>
      <c r="W35" s="23" t="str">
        <f t="shared" si="9"/>
        <v/>
      </c>
      <c r="X35" s="23" t="str">
        <f t="shared" si="10"/>
        <v/>
      </c>
      <c r="Y35" s="23" t="str">
        <f t="shared" si="11"/>
        <v/>
      </c>
    </row>
    <row r="36" spans="1:25" ht="15.6" x14ac:dyDescent="0.3">
      <c r="A36" s="6">
        <v>55251417</v>
      </c>
      <c r="B36" s="6" t="s">
        <v>158</v>
      </c>
      <c r="C36" s="6" t="s">
        <v>159</v>
      </c>
      <c r="D36" s="6">
        <v>90</v>
      </c>
      <c r="E36" s="6">
        <v>95</v>
      </c>
      <c r="F36" s="9">
        <v>98</v>
      </c>
      <c r="G36" s="5">
        <v>94</v>
      </c>
      <c r="H36" s="5">
        <v>93</v>
      </c>
      <c r="I36" s="5">
        <f t="shared" si="12"/>
        <v>94</v>
      </c>
      <c r="J36" s="5" t="str">
        <f t="shared" si="13"/>
        <v>A</v>
      </c>
      <c r="K36" s="5">
        <f t="shared" si="14"/>
        <v>94</v>
      </c>
      <c r="L36" s="5">
        <f t="shared" si="15"/>
        <v>3</v>
      </c>
      <c r="M36" s="260"/>
      <c r="N36" s="193"/>
      <c r="R36" s="23"/>
      <c r="S36" s="23"/>
      <c r="T36" s="23"/>
      <c r="U36" s="23"/>
      <c r="V36" s="23"/>
      <c r="W36" s="23"/>
      <c r="X36" s="23"/>
      <c r="Y36" s="23"/>
    </row>
    <row r="37" spans="1:25" ht="15.6" x14ac:dyDescent="0.3">
      <c r="A37" s="6">
        <v>14858103</v>
      </c>
      <c r="B37" s="6" t="s">
        <v>160</v>
      </c>
      <c r="C37" s="6" t="s">
        <v>161</v>
      </c>
      <c r="D37" s="6">
        <v>98</v>
      </c>
      <c r="E37" s="6">
        <v>93</v>
      </c>
      <c r="F37" s="9">
        <v>97</v>
      </c>
      <c r="G37" s="5">
        <v>100</v>
      </c>
      <c r="H37" s="5">
        <v>78</v>
      </c>
      <c r="I37" s="5">
        <f t="shared" si="12"/>
        <v>93.2</v>
      </c>
      <c r="J37" s="5" t="str">
        <f t="shared" si="13"/>
        <v>A</v>
      </c>
      <c r="K37" s="5">
        <f t="shared" si="14"/>
        <v>93.200000000000017</v>
      </c>
      <c r="L37" s="5">
        <f t="shared" si="15"/>
        <v>4</v>
      </c>
      <c r="M37" s="260"/>
      <c r="N37" s="193"/>
      <c r="R37" s="23"/>
      <c r="S37" s="23"/>
      <c r="T37" s="23"/>
      <c r="U37" s="23"/>
      <c r="V37" s="23"/>
      <c r="W37" s="23"/>
      <c r="X37" s="23"/>
      <c r="Y37" s="23"/>
    </row>
    <row r="38" spans="1:25" ht="15.6" x14ac:dyDescent="0.3">
      <c r="A38" s="6">
        <v>46271285</v>
      </c>
      <c r="B38" s="6" t="s">
        <v>162</v>
      </c>
      <c r="C38" s="6" t="s">
        <v>163</v>
      </c>
      <c r="D38" s="6">
        <v>61</v>
      </c>
      <c r="E38" s="6">
        <v>96</v>
      </c>
      <c r="F38" s="9">
        <v>96</v>
      </c>
      <c r="G38" s="5">
        <v>97</v>
      </c>
      <c r="H38" s="5">
        <v>79</v>
      </c>
      <c r="I38" s="5">
        <f t="shared" si="12"/>
        <v>85.8</v>
      </c>
      <c r="J38" s="5" t="str">
        <f t="shared" si="13"/>
        <v>B</v>
      </c>
      <c r="K38" s="5">
        <f t="shared" si="14"/>
        <v>85.800000000000011</v>
      </c>
      <c r="L38" s="5">
        <f t="shared" si="15"/>
        <v>12</v>
      </c>
      <c r="M38" s="260"/>
      <c r="N38" s="193"/>
      <c r="R38" s="164"/>
      <c r="S38" s="164"/>
      <c r="T38" s="164"/>
      <c r="U38" s="164"/>
      <c r="V38" s="164"/>
      <c r="W38" s="164"/>
      <c r="X38" s="164"/>
      <c r="Y38" s="164"/>
    </row>
    <row r="39" spans="1:25" ht="15.6" x14ac:dyDescent="0.3">
      <c r="A39" s="6">
        <v>42393621</v>
      </c>
      <c r="B39" s="6" t="s">
        <v>164</v>
      </c>
      <c r="C39" s="6" t="s">
        <v>165</v>
      </c>
      <c r="D39" s="6">
        <v>99</v>
      </c>
      <c r="E39" s="6">
        <v>98</v>
      </c>
      <c r="F39" s="9">
        <v>95</v>
      </c>
      <c r="G39" s="5">
        <v>100</v>
      </c>
      <c r="H39" s="5">
        <v>97</v>
      </c>
      <c r="I39" s="5">
        <f t="shared" si="12"/>
        <v>97.8</v>
      </c>
      <c r="J39" s="5" t="str">
        <f t="shared" si="13"/>
        <v>A+</v>
      </c>
      <c r="K39" s="5">
        <f t="shared" si="14"/>
        <v>97.800000000000011</v>
      </c>
      <c r="L39" s="5">
        <f t="shared" si="15"/>
        <v>1</v>
      </c>
      <c r="M39" s="260"/>
      <c r="N39" s="193"/>
      <c r="R39" s="164"/>
      <c r="S39" s="164"/>
      <c r="T39" s="164"/>
      <c r="U39" s="164"/>
      <c r="V39" s="164"/>
      <c r="W39" s="164"/>
      <c r="X39" s="164"/>
      <c r="Y39" s="164"/>
    </row>
    <row r="40" spans="1:25" ht="15.6" x14ac:dyDescent="0.3">
      <c r="A40" s="6">
        <v>88900987</v>
      </c>
      <c r="B40" s="6" t="s">
        <v>89</v>
      </c>
      <c r="C40" s="6" t="s">
        <v>166</v>
      </c>
      <c r="D40" s="6">
        <v>87</v>
      </c>
      <c r="E40" s="6">
        <v>89</v>
      </c>
      <c r="F40" s="9">
        <v>99</v>
      </c>
      <c r="G40" s="5">
        <v>95</v>
      </c>
      <c r="H40" s="5">
        <v>94</v>
      </c>
      <c r="I40" s="5">
        <f t="shared" si="12"/>
        <v>92.8</v>
      </c>
      <c r="J40" s="5" t="str">
        <f t="shared" si="13"/>
        <v>A</v>
      </c>
      <c r="K40" s="5">
        <f t="shared" si="14"/>
        <v>92.8</v>
      </c>
      <c r="L40" s="5">
        <f t="shared" si="15"/>
        <v>5</v>
      </c>
      <c r="M40" s="260"/>
      <c r="N40" s="193"/>
      <c r="R40" s="164"/>
      <c r="S40" s="164"/>
      <c r="T40" s="164"/>
      <c r="U40" s="164"/>
      <c r="V40" s="164"/>
      <c r="W40" s="164"/>
      <c r="X40" s="164"/>
      <c r="Y40" s="164"/>
    </row>
    <row r="41" spans="1:25" ht="15.6" x14ac:dyDescent="0.3">
      <c r="A41" s="6">
        <v>61539595</v>
      </c>
      <c r="B41" s="6" t="s">
        <v>82</v>
      </c>
      <c r="C41" s="6" t="s">
        <v>167</v>
      </c>
      <c r="D41" s="6">
        <v>82</v>
      </c>
      <c r="E41" s="6">
        <v>88</v>
      </c>
      <c r="F41" s="9">
        <v>95</v>
      </c>
      <c r="G41" s="5">
        <v>96</v>
      </c>
      <c r="H41" s="5">
        <v>90</v>
      </c>
      <c r="I41" s="5">
        <f t="shared" si="12"/>
        <v>90.2</v>
      </c>
      <c r="J41" s="5" t="str">
        <f t="shared" si="13"/>
        <v>A</v>
      </c>
      <c r="K41" s="5">
        <f t="shared" si="14"/>
        <v>90.2</v>
      </c>
      <c r="L41" s="5">
        <f t="shared" si="15"/>
        <v>9</v>
      </c>
      <c r="M41" s="260"/>
      <c r="N41" s="193"/>
      <c r="R41" s="164"/>
      <c r="S41" s="164"/>
      <c r="T41" s="164"/>
      <c r="U41" s="164"/>
      <c r="V41" s="164"/>
      <c r="W41" s="164"/>
      <c r="X41" s="164"/>
      <c r="Y41" s="164"/>
    </row>
    <row r="42" spans="1:25" x14ac:dyDescent="0.3">
      <c r="A42" s="6">
        <v>99978671</v>
      </c>
      <c r="B42" s="6" t="s">
        <v>168</v>
      </c>
      <c r="C42" s="6" t="s">
        <v>169</v>
      </c>
      <c r="D42" s="6">
        <v>72</v>
      </c>
      <c r="E42" s="6">
        <v>86</v>
      </c>
      <c r="F42" s="9">
        <v>100</v>
      </c>
      <c r="G42" s="5">
        <v>96</v>
      </c>
      <c r="H42" s="5">
        <v>77</v>
      </c>
      <c r="I42" s="5">
        <f t="shared" si="12"/>
        <v>86.2</v>
      </c>
      <c r="J42" s="5" t="str">
        <f t="shared" si="13"/>
        <v>B+</v>
      </c>
      <c r="K42" s="5">
        <f t="shared" si="14"/>
        <v>86.200000000000017</v>
      </c>
      <c r="L42" s="5">
        <f t="shared" si="15"/>
        <v>11</v>
      </c>
      <c r="M42" s="260"/>
      <c r="N42" s="193"/>
    </row>
    <row r="43" spans="1:25" ht="15.6" x14ac:dyDescent="0.3">
      <c r="A43" s="10">
        <v>66788007</v>
      </c>
      <c r="B43" s="10" t="s">
        <v>8</v>
      </c>
      <c r="C43" s="10" t="s">
        <v>170</v>
      </c>
      <c r="D43" s="10">
        <v>71</v>
      </c>
      <c r="E43" s="6">
        <v>97</v>
      </c>
      <c r="F43" s="9">
        <v>99</v>
      </c>
      <c r="G43" s="5">
        <v>98</v>
      </c>
      <c r="H43" s="5">
        <v>92</v>
      </c>
      <c r="I43" s="8">
        <f t="shared" si="12"/>
        <v>91.4</v>
      </c>
      <c r="J43" s="5" t="str">
        <f t="shared" si="13"/>
        <v>A</v>
      </c>
      <c r="K43" s="5">
        <f t="shared" si="14"/>
        <v>91.4</v>
      </c>
      <c r="L43" s="5">
        <f t="shared" si="15"/>
        <v>6</v>
      </c>
      <c r="M43" s="260"/>
      <c r="N43" s="193"/>
      <c r="R43" s="164"/>
      <c r="S43" s="164"/>
      <c r="T43" s="164"/>
      <c r="U43" s="164"/>
      <c r="V43" s="164"/>
      <c r="W43" s="164"/>
      <c r="X43" s="164"/>
      <c r="Y43" s="164"/>
    </row>
    <row r="44" spans="1:25" ht="35.4" customHeight="1" x14ac:dyDescent="0.55000000000000004">
      <c r="A44" s="331" t="s">
        <v>204</v>
      </c>
      <c r="B44" s="332"/>
      <c r="C44" s="332"/>
      <c r="D44" s="332"/>
      <c r="E44" s="332"/>
      <c r="F44" s="332"/>
      <c r="G44" s="332"/>
      <c r="H44" s="332"/>
      <c r="I44" s="332"/>
      <c r="J44" s="332"/>
      <c r="K44" s="332"/>
      <c r="L44" s="333"/>
      <c r="M44" s="260"/>
      <c r="N44" s="193"/>
      <c r="R44" s="164"/>
      <c r="S44" s="164"/>
      <c r="T44" s="164"/>
      <c r="U44" s="164"/>
      <c r="V44" s="164"/>
      <c r="W44" s="164"/>
      <c r="X44" s="164"/>
      <c r="Y44" s="164"/>
    </row>
    <row r="45" spans="1:25" ht="17.399999999999999" x14ac:dyDescent="0.3">
      <c r="A45" s="7" t="s">
        <v>0</v>
      </c>
      <c r="B45" s="7" t="s">
        <v>193</v>
      </c>
      <c r="C45" s="7" t="s">
        <v>194</v>
      </c>
      <c r="D45" s="7" t="s">
        <v>195</v>
      </c>
      <c r="E45" s="7" t="s">
        <v>196</v>
      </c>
      <c r="F45" s="7" t="s">
        <v>306</v>
      </c>
      <c r="G45" s="7" t="s">
        <v>305</v>
      </c>
      <c r="H45" s="7" t="s">
        <v>304</v>
      </c>
      <c r="I45" s="7" t="s">
        <v>303</v>
      </c>
      <c r="J45" s="7" t="s">
        <v>200</v>
      </c>
      <c r="K45" s="7" t="s">
        <v>2</v>
      </c>
      <c r="L45" s="7" t="s">
        <v>201</v>
      </c>
      <c r="M45" s="193"/>
      <c r="N45" s="193"/>
      <c r="R45" s="164"/>
      <c r="S45" s="164"/>
      <c r="T45" s="164"/>
      <c r="U45" s="164"/>
      <c r="V45" s="164"/>
      <c r="W45" s="164"/>
      <c r="X45" s="164"/>
      <c r="Y45" s="164"/>
    </row>
    <row r="46" spans="1:25" ht="15.6" x14ac:dyDescent="0.3">
      <c r="A46" s="6">
        <v>16251330</v>
      </c>
      <c r="B46" s="6" t="s">
        <v>151</v>
      </c>
      <c r="C46" s="6" t="s">
        <v>152</v>
      </c>
      <c r="D46" s="5">
        <v>79</v>
      </c>
      <c r="E46" s="5">
        <v>100</v>
      </c>
      <c r="F46" s="5">
        <v>98</v>
      </c>
      <c r="G46" s="5">
        <v>99</v>
      </c>
      <c r="H46" s="5">
        <v>92</v>
      </c>
      <c r="I46" s="5">
        <f t="shared" ref="I46:I57" si="16">AVERAGE(D46:H46)</f>
        <v>93.6</v>
      </c>
      <c r="J46" s="5" t="str">
        <f t="shared" ref="J46:J57" si="17">_xlfn.IFS(K46&gt;=97, "A+",K46&gt;=90, "A", K46&gt;=86, "B+", K46&gt;=80, "B",K46&gt;=76, "C+", K46&gt;= 70, "C", K46&gt;= 60, "D",K46&lt; 60, "F")</f>
        <v>A</v>
      </c>
      <c r="K46" s="5">
        <f t="shared" ref="K46:K57" si="18">(D46*0.2)+(E46*0.2)+(F46*0.2)+(G46*0.2)+(H46*0.2)</f>
        <v>93.600000000000009</v>
      </c>
      <c r="L46" s="5">
        <f t="shared" ref="L46:L57" si="19">RANK(K46,$K$46:$K$57)</f>
        <v>2</v>
      </c>
      <c r="M46" s="193"/>
      <c r="N46" s="193"/>
      <c r="R46" s="164"/>
      <c r="S46" s="164"/>
      <c r="T46" s="164"/>
      <c r="U46" s="164"/>
      <c r="V46" s="164"/>
      <c r="W46" s="164"/>
      <c r="X46" s="164"/>
      <c r="Y46" s="164"/>
    </row>
    <row r="47" spans="1:25" x14ac:dyDescent="0.3">
      <c r="A47" s="6">
        <v>35471023</v>
      </c>
      <c r="B47" s="6" t="s">
        <v>32</v>
      </c>
      <c r="C47" s="6" t="s">
        <v>153</v>
      </c>
      <c r="D47" s="5">
        <v>89</v>
      </c>
      <c r="E47" s="5">
        <v>87</v>
      </c>
      <c r="F47" s="5">
        <v>97</v>
      </c>
      <c r="G47" s="5">
        <v>97</v>
      </c>
      <c r="H47" s="5">
        <v>84</v>
      </c>
      <c r="I47" s="5">
        <f t="shared" si="16"/>
        <v>90.8</v>
      </c>
      <c r="J47" s="5" t="str">
        <f t="shared" si="17"/>
        <v>A</v>
      </c>
      <c r="K47" s="5">
        <f t="shared" si="18"/>
        <v>90.800000000000011</v>
      </c>
      <c r="L47" s="5">
        <f t="shared" si="19"/>
        <v>8</v>
      </c>
      <c r="M47" s="193"/>
      <c r="N47" s="193"/>
    </row>
    <row r="48" spans="1:25" ht="15.6" x14ac:dyDescent="0.3">
      <c r="A48" s="6">
        <v>50822121</v>
      </c>
      <c r="B48" s="6" t="s">
        <v>154</v>
      </c>
      <c r="C48" s="6" t="s">
        <v>155</v>
      </c>
      <c r="D48" s="5">
        <v>89</v>
      </c>
      <c r="E48" s="5">
        <v>86</v>
      </c>
      <c r="F48" s="5">
        <v>98</v>
      </c>
      <c r="G48" s="5">
        <v>86</v>
      </c>
      <c r="H48" s="5">
        <v>95</v>
      </c>
      <c r="I48" s="5">
        <f t="shared" si="16"/>
        <v>90.8</v>
      </c>
      <c r="J48" s="5" t="str">
        <f t="shared" si="17"/>
        <v>A</v>
      </c>
      <c r="K48" s="5">
        <f t="shared" si="18"/>
        <v>90.8</v>
      </c>
      <c r="L48" s="5">
        <f t="shared" si="19"/>
        <v>9</v>
      </c>
      <c r="M48" s="193"/>
      <c r="N48" s="193"/>
      <c r="R48" s="164"/>
      <c r="S48" s="164"/>
      <c r="T48" s="164"/>
      <c r="U48" s="164"/>
      <c r="V48" s="164"/>
      <c r="W48" s="164"/>
      <c r="X48" s="164"/>
      <c r="Y48" s="164"/>
    </row>
    <row r="49" spans="1:25" ht="15.6" x14ac:dyDescent="0.3">
      <c r="A49" s="6">
        <v>45322100</v>
      </c>
      <c r="B49" s="6" t="s">
        <v>156</v>
      </c>
      <c r="C49" s="6" t="s">
        <v>157</v>
      </c>
      <c r="D49" s="5">
        <v>82</v>
      </c>
      <c r="E49" s="5">
        <v>99</v>
      </c>
      <c r="F49" s="5">
        <v>99</v>
      </c>
      <c r="G49" s="5">
        <v>83</v>
      </c>
      <c r="H49" s="5">
        <v>94</v>
      </c>
      <c r="I49" s="5">
        <f t="shared" si="16"/>
        <v>91.4</v>
      </c>
      <c r="J49" s="5" t="str">
        <f t="shared" si="17"/>
        <v>A</v>
      </c>
      <c r="K49" s="5">
        <f t="shared" si="18"/>
        <v>91.399999999999991</v>
      </c>
      <c r="L49" s="5">
        <f t="shared" si="19"/>
        <v>7</v>
      </c>
      <c r="M49" s="193"/>
      <c r="N49" s="193"/>
      <c r="R49" s="164"/>
      <c r="S49" s="164"/>
      <c r="T49" s="164"/>
      <c r="U49" s="164"/>
      <c r="V49" s="164"/>
      <c r="W49" s="164"/>
      <c r="X49" s="164"/>
      <c r="Y49" s="164"/>
    </row>
    <row r="50" spans="1:25" ht="15.6" x14ac:dyDescent="0.3">
      <c r="A50" s="6">
        <v>55251417</v>
      </c>
      <c r="B50" s="6" t="s">
        <v>158</v>
      </c>
      <c r="C50" s="6" t="s">
        <v>159</v>
      </c>
      <c r="D50" s="5">
        <v>92</v>
      </c>
      <c r="E50" s="5">
        <v>97</v>
      </c>
      <c r="F50" s="5">
        <v>100</v>
      </c>
      <c r="G50" s="5">
        <v>90</v>
      </c>
      <c r="H50" s="5">
        <v>89</v>
      </c>
      <c r="I50" s="5">
        <f t="shared" si="16"/>
        <v>93.6</v>
      </c>
      <c r="J50" s="5" t="str">
        <f t="shared" si="17"/>
        <v>A</v>
      </c>
      <c r="K50" s="5">
        <f t="shared" si="18"/>
        <v>93.600000000000009</v>
      </c>
      <c r="L50" s="5">
        <f t="shared" si="19"/>
        <v>2</v>
      </c>
      <c r="M50" s="193"/>
      <c r="N50" s="193"/>
      <c r="R50" s="164"/>
      <c r="S50" s="164"/>
      <c r="T50" s="164"/>
      <c r="U50" s="164"/>
      <c r="V50" s="164"/>
      <c r="W50" s="164"/>
      <c r="X50" s="164"/>
      <c r="Y50" s="164"/>
    </row>
    <row r="51" spans="1:25" ht="15.6" x14ac:dyDescent="0.3">
      <c r="A51" s="6">
        <v>14858103</v>
      </c>
      <c r="B51" s="6" t="s">
        <v>160</v>
      </c>
      <c r="C51" s="6" t="s">
        <v>161</v>
      </c>
      <c r="D51" s="5">
        <v>82</v>
      </c>
      <c r="E51" s="5">
        <v>90</v>
      </c>
      <c r="F51" s="5">
        <v>97</v>
      </c>
      <c r="G51" s="5">
        <v>81</v>
      </c>
      <c r="H51" s="5">
        <v>86</v>
      </c>
      <c r="I51" s="5">
        <f t="shared" si="16"/>
        <v>87.2</v>
      </c>
      <c r="J51" s="5" t="str">
        <f t="shared" si="17"/>
        <v>B+</v>
      </c>
      <c r="K51" s="5">
        <f t="shared" si="18"/>
        <v>87.200000000000017</v>
      </c>
      <c r="L51" s="5">
        <f>RANK(K51,$K$46:$K$57)</f>
        <v>11</v>
      </c>
      <c r="M51" s="193"/>
      <c r="N51" s="193"/>
      <c r="R51" s="164"/>
      <c r="S51" s="164"/>
      <c r="T51" s="164"/>
      <c r="U51" s="164"/>
      <c r="V51" s="164"/>
      <c r="W51" s="164"/>
      <c r="X51" s="164"/>
      <c r="Y51" s="164"/>
    </row>
    <row r="52" spans="1:25" ht="15.6" x14ac:dyDescent="0.3">
      <c r="A52" s="6">
        <v>46271285</v>
      </c>
      <c r="B52" s="6" t="s">
        <v>162</v>
      </c>
      <c r="C52" s="6" t="s">
        <v>163</v>
      </c>
      <c r="D52" s="5">
        <v>77</v>
      </c>
      <c r="E52" s="5">
        <v>91</v>
      </c>
      <c r="F52" s="5">
        <v>98</v>
      </c>
      <c r="G52" s="5">
        <v>81</v>
      </c>
      <c r="H52" s="5">
        <v>85</v>
      </c>
      <c r="I52" s="5">
        <f t="shared" si="16"/>
        <v>86.4</v>
      </c>
      <c r="J52" s="5" t="str">
        <f t="shared" si="17"/>
        <v>B+</v>
      </c>
      <c r="K52" s="5">
        <f t="shared" si="18"/>
        <v>86.4</v>
      </c>
      <c r="L52" s="5">
        <f t="shared" si="19"/>
        <v>12</v>
      </c>
      <c r="M52" s="193"/>
      <c r="N52" s="193"/>
      <c r="R52" s="164"/>
      <c r="S52" s="164"/>
      <c r="T52" s="164"/>
      <c r="U52" s="164"/>
      <c r="V52" s="164"/>
      <c r="W52" s="164"/>
      <c r="X52" s="164"/>
      <c r="Y52" s="164"/>
    </row>
    <row r="53" spans="1:25" ht="15.6" x14ac:dyDescent="0.3">
      <c r="A53" s="6">
        <v>42393621</v>
      </c>
      <c r="B53" s="6" t="s">
        <v>164</v>
      </c>
      <c r="C53" s="6" t="s">
        <v>165</v>
      </c>
      <c r="D53" s="5">
        <v>93</v>
      </c>
      <c r="E53" s="5">
        <v>89</v>
      </c>
      <c r="F53" s="5">
        <v>100</v>
      </c>
      <c r="G53" s="5">
        <v>94</v>
      </c>
      <c r="H53" s="5">
        <v>92</v>
      </c>
      <c r="I53" s="5">
        <f t="shared" si="16"/>
        <v>93.6</v>
      </c>
      <c r="J53" s="5" t="str">
        <f t="shared" si="17"/>
        <v>A</v>
      </c>
      <c r="K53" s="5">
        <f t="shared" si="18"/>
        <v>93.600000000000009</v>
      </c>
      <c r="L53" s="5">
        <f t="shared" si="19"/>
        <v>2</v>
      </c>
      <c r="M53" s="193"/>
      <c r="N53" s="193"/>
      <c r="R53" s="164"/>
      <c r="S53" s="164"/>
      <c r="T53" s="164"/>
      <c r="U53" s="164"/>
      <c r="V53" s="164"/>
      <c r="W53" s="164"/>
      <c r="X53" s="164"/>
      <c r="Y53" s="164"/>
    </row>
    <row r="54" spans="1:25" ht="15.6" x14ac:dyDescent="0.3">
      <c r="A54" s="6">
        <v>88900987</v>
      </c>
      <c r="B54" s="6" t="s">
        <v>89</v>
      </c>
      <c r="C54" s="6" t="s">
        <v>166</v>
      </c>
      <c r="D54" s="5">
        <v>86</v>
      </c>
      <c r="E54" s="5">
        <v>90</v>
      </c>
      <c r="F54" s="5">
        <v>98</v>
      </c>
      <c r="G54" s="5">
        <v>94</v>
      </c>
      <c r="H54" s="5">
        <v>90</v>
      </c>
      <c r="I54" s="5">
        <f t="shared" si="16"/>
        <v>91.6</v>
      </c>
      <c r="J54" s="5" t="str">
        <f t="shared" si="17"/>
        <v>A</v>
      </c>
      <c r="K54" s="5">
        <f t="shared" si="18"/>
        <v>91.600000000000009</v>
      </c>
      <c r="L54" s="5">
        <f t="shared" si="19"/>
        <v>6</v>
      </c>
      <c r="M54" s="193"/>
      <c r="N54" s="193"/>
      <c r="R54" s="164"/>
      <c r="S54" s="164"/>
      <c r="T54" s="164"/>
      <c r="U54" s="164"/>
      <c r="V54" s="164"/>
      <c r="W54" s="164"/>
      <c r="X54" s="164"/>
      <c r="Y54" s="164"/>
    </row>
    <row r="55" spans="1:25" ht="15.6" x14ac:dyDescent="0.3">
      <c r="A55" s="6">
        <v>61539595</v>
      </c>
      <c r="B55" s="6" t="s">
        <v>82</v>
      </c>
      <c r="C55" s="6" t="s">
        <v>167</v>
      </c>
      <c r="D55" s="5">
        <v>94</v>
      </c>
      <c r="E55" s="5">
        <v>91</v>
      </c>
      <c r="F55" s="5">
        <v>98</v>
      </c>
      <c r="G55" s="5">
        <v>99</v>
      </c>
      <c r="H55" s="5">
        <v>92</v>
      </c>
      <c r="I55" s="5">
        <f t="shared" si="16"/>
        <v>94.8</v>
      </c>
      <c r="J55" s="5" t="str">
        <f t="shared" si="17"/>
        <v>A</v>
      </c>
      <c r="K55" s="5">
        <f t="shared" si="18"/>
        <v>94.800000000000011</v>
      </c>
      <c r="L55" s="5">
        <f t="shared" si="19"/>
        <v>1</v>
      </c>
      <c r="M55" s="193"/>
      <c r="N55" s="193"/>
      <c r="R55" s="164"/>
      <c r="S55" s="164"/>
      <c r="T55" s="164"/>
      <c r="U55" s="164"/>
      <c r="V55" s="164"/>
      <c r="W55" s="164"/>
      <c r="X55" s="164"/>
      <c r="Y55" s="164"/>
    </row>
    <row r="56" spans="1:25" ht="15.6" x14ac:dyDescent="0.3">
      <c r="A56" s="6">
        <v>99978671</v>
      </c>
      <c r="B56" s="6" t="s">
        <v>168</v>
      </c>
      <c r="C56" s="6" t="s">
        <v>169</v>
      </c>
      <c r="D56" s="5">
        <v>76</v>
      </c>
      <c r="E56" s="5">
        <v>87</v>
      </c>
      <c r="F56" s="5">
        <v>98</v>
      </c>
      <c r="G56" s="5">
        <v>96</v>
      </c>
      <c r="H56" s="5">
        <v>95</v>
      </c>
      <c r="I56" s="5">
        <f t="shared" si="16"/>
        <v>90.4</v>
      </c>
      <c r="J56" s="5" t="str">
        <f t="shared" si="17"/>
        <v>A</v>
      </c>
      <c r="K56" s="5">
        <f t="shared" si="18"/>
        <v>90.4</v>
      </c>
      <c r="L56" s="5">
        <f t="shared" si="19"/>
        <v>10</v>
      </c>
      <c r="M56" s="193"/>
      <c r="N56" s="193"/>
      <c r="R56" s="164"/>
      <c r="S56" s="164"/>
      <c r="T56" s="164"/>
      <c r="U56" s="164"/>
      <c r="V56" s="164"/>
      <c r="W56" s="164"/>
      <c r="X56" s="164"/>
      <c r="Y56" s="164"/>
    </row>
    <row r="57" spans="1:25" ht="15.6" x14ac:dyDescent="0.3">
      <c r="A57" s="6">
        <v>66788007</v>
      </c>
      <c r="B57" s="6" t="s">
        <v>8</v>
      </c>
      <c r="C57" s="6" t="s">
        <v>170</v>
      </c>
      <c r="D57" s="5">
        <v>99</v>
      </c>
      <c r="E57" s="5">
        <v>94</v>
      </c>
      <c r="F57" s="5">
        <v>98</v>
      </c>
      <c r="G57" s="5">
        <v>83</v>
      </c>
      <c r="H57" s="5">
        <v>89</v>
      </c>
      <c r="I57" s="5">
        <f t="shared" si="16"/>
        <v>92.6</v>
      </c>
      <c r="J57" s="5" t="str">
        <f t="shared" si="17"/>
        <v>A</v>
      </c>
      <c r="K57" s="5">
        <f t="shared" si="18"/>
        <v>92.600000000000009</v>
      </c>
      <c r="L57" s="5">
        <f t="shared" si="19"/>
        <v>5</v>
      </c>
      <c r="M57" s="193"/>
      <c r="N57" s="193"/>
      <c r="R57" s="164"/>
      <c r="S57" s="164"/>
      <c r="T57" s="164"/>
      <c r="U57" s="164"/>
      <c r="V57" s="164"/>
      <c r="W57" s="164"/>
      <c r="X57" s="164"/>
      <c r="Y57" s="164"/>
    </row>
    <row r="58" spans="1:25" x14ac:dyDescent="0.3">
      <c r="M58" s="193"/>
      <c r="N58" s="193"/>
    </row>
    <row r="59" spans="1:25" x14ac:dyDescent="0.3">
      <c r="A59" s="193"/>
      <c r="B59" s="193"/>
      <c r="C59" s="193"/>
      <c r="D59" s="193"/>
      <c r="E59" s="193"/>
    </row>
    <row r="60" spans="1:25" x14ac:dyDescent="0.3">
      <c r="A60" s="193"/>
      <c r="B60" s="193"/>
      <c r="C60" s="193"/>
      <c r="D60" s="193"/>
      <c r="E60" s="193"/>
    </row>
    <row r="61" spans="1:25" x14ac:dyDescent="0.3">
      <c r="A61" s="4" t="s">
        <v>193</v>
      </c>
      <c r="B61" s="4" t="s">
        <v>302</v>
      </c>
      <c r="C61" s="3" t="s">
        <v>301</v>
      </c>
      <c r="D61" s="261" t="s">
        <v>322</v>
      </c>
      <c r="E61" s="193"/>
    </row>
    <row r="62" spans="1:25" x14ac:dyDescent="0.3">
      <c r="A62" s="3" t="s">
        <v>82</v>
      </c>
      <c r="B62" s="3" t="s">
        <v>300</v>
      </c>
      <c r="C62" s="3">
        <v>61539595</v>
      </c>
      <c r="D62" s="261">
        <v>81</v>
      </c>
      <c r="E62" s="193"/>
    </row>
    <row r="63" spans="1:25" x14ac:dyDescent="0.3">
      <c r="A63" s="3" t="s">
        <v>299</v>
      </c>
      <c r="B63" s="3"/>
      <c r="C63" s="3">
        <v>61539595</v>
      </c>
      <c r="D63" s="261">
        <v>81</v>
      </c>
      <c r="E63" s="193"/>
    </row>
    <row r="64" spans="1:25" x14ac:dyDescent="0.3">
      <c r="A64" s="3" t="s">
        <v>156</v>
      </c>
      <c r="B64" s="3" t="s">
        <v>157</v>
      </c>
      <c r="C64" s="3">
        <v>45322100</v>
      </c>
      <c r="D64" s="261">
        <v>37</v>
      </c>
      <c r="E64" s="193"/>
    </row>
    <row r="65" spans="1:5" x14ac:dyDescent="0.3">
      <c r="A65" s="3" t="s">
        <v>298</v>
      </c>
      <c r="B65" s="3"/>
      <c r="C65" s="3">
        <v>45322100</v>
      </c>
      <c r="D65" s="261">
        <v>37</v>
      </c>
      <c r="E65" s="193"/>
    </row>
    <row r="66" spans="1:5" x14ac:dyDescent="0.3">
      <c r="A66" s="3" t="s">
        <v>151</v>
      </c>
      <c r="B66" s="3" t="s">
        <v>152</v>
      </c>
      <c r="C66" s="3">
        <v>16251330</v>
      </c>
      <c r="D66" s="261">
        <v>14</v>
      </c>
      <c r="E66" s="193"/>
    </row>
    <row r="67" spans="1:5" x14ac:dyDescent="0.3">
      <c r="A67" s="3" t="s">
        <v>297</v>
      </c>
      <c r="B67" s="3"/>
      <c r="C67" s="3">
        <v>16251330</v>
      </c>
      <c r="D67" s="261">
        <v>14</v>
      </c>
      <c r="E67" s="193"/>
    </row>
    <row r="68" spans="1:5" x14ac:dyDescent="0.3">
      <c r="A68" s="3" t="s">
        <v>158</v>
      </c>
      <c r="B68" s="3" t="s">
        <v>159</v>
      </c>
      <c r="C68" s="3">
        <v>55251417</v>
      </c>
      <c r="D68" s="261">
        <v>77</v>
      </c>
      <c r="E68" s="193"/>
    </row>
    <row r="69" spans="1:5" x14ac:dyDescent="0.3">
      <c r="A69" s="3" t="s">
        <v>296</v>
      </c>
      <c r="B69" s="3"/>
      <c r="C69" s="3">
        <v>55251417</v>
      </c>
      <c r="D69" s="261">
        <v>77</v>
      </c>
      <c r="E69" s="193"/>
    </row>
    <row r="70" spans="1:5" x14ac:dyDescent="0.3">
      <c r="A70" s="3" t="s">
        <v>154</v>
      </c>
      <c r="B70" s="3" t="s">
        <v>155</v>
      </c>
      <c r="C70" s="3">
        <v>50822121</v>
      </c>
      <c r="D70" s="261">
        <v>100</v>
      </c>
      <c r="E70" s="193"/>
    </row>
    <row r="71" spans="1:5" x14ac:dyDescent="0.3">
      <c r="A71" s="3" t="s">
        <v>295</v>
      </c>
      <c r="B71" s="3"/>
      <c r="C71" s="3">
        <v>50822121</v>
      </c>
      <c r="D71" s="261">
        <v>100</v>
      </c>
      <c r="E71" s="193"/>
    </row>
    <row r="72" spans="1:5" x14ac:dyDescent="0.3">
      <c r="A72" s="3" t="s">
        <v>162</v>
      </c>
      <c r="B72" s="3" t="s">
        <v>163</v>
      </c>
      <c r="C72" s="3">
        <v>46271285</v>
      </c>
      <c r="D72" s="261">
        <v>69</v>
      </c>
      <c r="E72" s="193"/>
    </row>
    <row r="73" spans="1:5" x14ac:dyDescent="0.3">
      <c r="A73" s="3" t="s">
        <v>294</v>
      </c>
      <c r="B73" s="3"/>
      <c r="C73" s="3">
        <v>46271285</v>
      </c>
      <c r="D73" s="261">
        <v>69</v>
      </c>
      <c r="E73" s="193"/>
    </row>
    <row r="74" spans="1:5" x14ac:dyDescent="0.3">
      <c r="A74" s="3" t="s">
        <v>168</v>
      </c>
      <c r="B74" s="3" t="s">
        <v>169</v>
      </c>
      <c r="C74" s="3">
        <v>99978671</v>
      </c>
      <c r="D74" s="261">
        <v>97</v>
      </c>
      <c r="E74" s="193"/>
    </row>
    <row r="75" spans="1:5" x14ac:dyDescent="0.3">
      <c r="A75" s="3" t="s">
        <v>293</v>
      </c>
      <c r="B75" s="3"/>
      <c r="C75" s="3">
        <v>99978671</v>
      </c>
      <c r="D75" s="261">
        <v>97</v>
      </c>
      <c r="E75" s="193"/>
    </row>
    <row r="76" spans="1:5" x14ac:dyDescent="0.3">
      <c r="A76" s="3" t="s">
        <v>89</v>
      </c>
      <c r="B76" s="3" t="s">
        <v>166</v>
      </c>
      <c r="C76" s="3">
        <v>88900987</v>
      </c>
      <c r="D76" s="261">
        <v>22</v>
      </c>
      <c r="E76" s="193"/>
    </row>
    <row r="77" spans="1:5" x14ac:dyDescent="0.3">
      <c r="A77" s="3" t="s">
        <v>292</v>
      </c>
      <c r="B77" s="3"/>
      <c r="C77" s="3">
        <v>88900987</v>
      </c>
      <c r="D77" s="261">
        <v>22</v>
      </c>
      <c r="E77" s="193"/>
    </row>
    <row r="78" spans="1:5" x14ac:dyDescent="0.3">
      <c r="A78" s="3" t="s">
        <v>164</v>
      </c>
      <c r="B78" s="3" t="s">
        <v>165</v>
      </c>
      <c r="C78" s="3">
        <v>42393621</v>
      </c>
      <c r="D78" s="261">
        <v>7</v>
      </c>
      <c r="E78" s="193"/>
    </row>
    <row r="79" spans="1:5" x14ac:dyDescent="0.3">
      <c r="A79" s="3" t="s">
        <v>291</v>
      </c>
      <c r="B79" s="3"/>
      <c r="C79" s="3">
        <v>42393621</v>
      </c>
      <c r="D79" s="261">
        <v>7</v>
      </c>
      <c r="E79" s="193"/>
    </row>
    <row r="80" spans="1:5" x14ac:dyDescent="0.3">
      <c r="A80" s="3" t="s">
        <v>32</v>
      </c>
      <c r="B80" s="3" t="s">
        <v>153</v>
      </c>
      <c r="C80" s="3">
        <v>35471023</v>
      </c>
      <c r="D80" s="261">
        <v>73</v>
      </c>
      <c r="E80" s="193"/>
    </row>
    <row r="81" spans="1:5" x14ac:dyDescent="0.3">
      <c r="A81" s="3" t="s">
        <v>290</v>
      </c>
      <c r="B81" s="3"/>
      <c r="C81" s="3">
        <v>35471023</v>
      </c>
      <c r="D81" s="261">
        <v>73</v>
      </c>
      <c r="E81" s="193"/>
    </row>
    <row r="82" spans="1:5" x14ac:dyDescent="0.3">
      <c r="A82" s="3" t="s">
        <v>160</v>
      </c>
      <c r="B82" s="3" t="s">
        <v>161</v>
      </c>
      <c r="C82" s="3">
        <v>14858103</v>
      </c>
      <c r="D82" s="261">
        <v>29</v>
      </c>
      <c r="E82" s="193"/>
    </row>
    <row r="83" spans="1:5" x14ac:dyDescent="0.3">
      <c r="A83" s="3" t="s">
        <v>289</v>
      </c>
      <c r="B83" s="3"/>
      <c r="C83" s="3">
        <v>14858103</v>
      </c>
      <c r="D83" s="261">
        <v>29</v>
      </c>
      <c r="E83" s="193"/>
    </row>
    <row r="84" spans="1:5" x14ac:dyDescent="0.3">
      <c r="A84" s="3" t="s">
        <v>8</v>
      </c>
      <c r="B84" s="3" t="s">
        <v>288</v>
      </c>
      <c r="C84" s="3">
        <v>66788007</v>
      </c>
      <c r="D84" s="261">
        <v>41</v>
      </c>
      <c r="E84" s="193"/>
    </row>
    <row r="85" spans="1:5" x14ac:dyDescent="0.3">
      <c r="A85" s="3" t="s">
        <v>287</v>
      </c>
      <c r="B85" s="3"/>
      <c r="C85" s="3">
        <v>66788007</v>
      </c>
      <c r="D85" s="261">
        <v>41</v>
      </c>
      <c r="E85" s="193"/>
    </row>
    <row r="86" spans="1:5" x14ac:dyDescent="0.3">
      <c r="A86" s="3" t="s">
        <v>286</v>
      </c>
      <c r="B86" s="3"/>
      <c r="C86" s="3">
        <v>623848260</v>
      </c>
      <c r="D86" s="261">
        <v>53.916666666666664</v>
      </c>
      <c r="E86" s="193"/>
    </row>
    <row r="87" spans="1:5" x14ac:dyDescent="0.3">
      <c r="A87" s="193"/>
      <c r="B87" s="193"/>
      <c r="C87" s="193"/>
      <c r="D87" s="193"/>
      <c r="E87" s="193"/>
    </row>
  </sheetData>
  <mergeCells count="7">
    <mergeCell ref="H1:I1"/>
    <mergeCell ref="J1:K1"/>
    <mergeCell ref="A44:L44"/>
    <mergeCell ref="M4:N4"/>
    <mergeCell ref="A2:L2"/>
    <mergeCell ref="A16:L16"/>
    <mergeCell ref="A30:L30"/>
  </mergeCells>
  <conditionalFormatting sqref="A3:L3 A2 A17:L29 A16 A31:L43 A30 A45:L57 A44 A5:L15 A4 C4:L4">
    <cfRule type="colorScale" priority="2">
      <colorScale>
        <cfvo type="min"/>
        <cfvo type="percentile" val="50"/>
        <cfvo type="max"/>
        <color rgb="FF63BE7B"/>
        <color rgb="FFFFEB84"/>
        <color rgb="FFF8696B"/>
      </colorScale>
    </cfRule>
  </conditionalFormatting>
  <conditionalFormatting sqref="A3:L3 A17:L29 A16 A31:L43 A30 A45:L57 A44 A5:L15 A4 C4:L4">
    <cfRule type="colorScale" priority="3">
      <colorScale>
        <cfvo type="min"/>
        <cfvo type="percentile" val="50"/>
        <cfvo type="max"/>
        <color rgb="FFF8696B"/>
        <color rgb="FFFCFCFF"/>
        <color rgb="FF5A8AC6"/>
      </colorScale>
    </cfRule>
    <cfRule type="colorScale" priority="4">
      <colorScale>
        <cfvo type="min"/>
        <cfvo type="percentile" val="50"/>
        <cfvo type="max"/>
        <color rgb="FF5A8AC6"/>
        <color rgb="FFFCFCFF"/>
        <color rgb="FFF8696B"/>
      </colorScale>
    </cfRule>
  </conditionalFormatting>
  <pageMargins left="0.7" right="0.7" top="0.75" bottom="0.75" header="0.3" footer="0.3"/>
  <pageSetup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F2E54-289A-4A94-A117-7484F9D25852}">
  <sheetPr codeName="Sheet9">
    <tabColor theme="5"/>
  </sheetPr>
  <dimension ref="A1:U170"/>
  <sheetViews>
    <sheetView zoomScaleNormal="100" workbookViewId="0">
      <pane ySplit="1" topLeftCell="A3" activePane="bottomLeft" state="frozen"/>
      <selection activeCell="AC33" sqref="AC33"/>
      <selection pane="bottomLeft"/>
    </sheetView>
  </sheetViews>
  <sheetFormatPr defaultColWidth="11.625" defaultRowHeight="13.2" x14ac:dyDescent="0.25"/>
  <cols>
    <col min="1" max="1" width="20.875" style="107" bestFit="1" customWidth="1"/>
    <col min="2" max="8" width="11.625" style="107"/>
    <col min="9" max="9" width="12.75" style="107" customWidth="1"/>
    <col min="10" max="10" width="14.125" style="107" customWidth="1"/>
    <col min="11" max="16384" width="11.625" style="107"/>
  </cols>
  <sheetData>
    <row r="1" spans="1:21" s="1" customFormat="1" ht="29.25" customHeight="1" x14ac:dyDescent="0.45">
      <c r="A1" s="189" t="s">
        <v>283</v>
      </c>
      <c r="G1" s="20"/>
      <c r="H1" s="329" t="s">
        <v>321</v>
      </c>
      <c r="I1" s="329"/>
      <c r="J1" s="22">
        <f>COUNT(ClassC)</f>
        <v>38</v>
      </c>
      <c r="K1"/>
      <c r="R1"/>
      <c r="S1"/>
      <c r="T1"/>
    </row>
    <row r="2" spans="1:21" ht="27.6" x14ac:dyDescent="0.65">
      <c r="A2" s="39" t="s">
        <v>348</v>
      </c>
      <c r="B2" s="38"/>
      <c r="C2" s="109"/>
      <c r="D2" s="109"/>
      <c r="E2" s="109"/>
      <c r="F2" s="340"/>
      <c r="G2" s="340"/>
      <c r="H2" s="340"/>
      <c r="I2" s="109"/>
      <c r="J2" s="109"/>
      <c r="K2" s="109"/>
      <c r="L2" s="109"/>
      <c r="M2" s="109"/>
    </row>
    <row r="3" spans="1:21" ht="14.4" x14ac:dyDescent="0.3">
      <c r="A3" s="37" t="s">
        <v>344</v>
      </c>
      <c r="B3" s="37" t="s">
        <v>343</v>
      </c>
      <c r="C3" s="37" t="s">
        <v>342</v>
      </c>
      <c r="D3" s="36" t="s">
        <v>341</v>
      </c>
      <c r="E3" s="36" t="s">
        <v>340</v>
      </c>
      <c r="F3" s="36" t="s">
        <v>339</v>
      </c>
      <c r="G3" s="36" t="s">
        <v>338</v>
      </c>
      <c r="H3" s="36" t="s">
        <v>337</v>
      </c>
      <c r="I3" s="36" t="s">
        <v>2</v>
      </c>
      <c r="J3" s="36" t="s">
        <v>336</v>
      </c>
      <c r="K3" s="36" t="s">
        <v>383</v>
      </c>
    </row>
    <row r="4" spans="1:21" ht="14.4" x14ac:dyDescent="0.3">
      <c r="A4" s="48">
        <v>28046284</v>
      </c>
      <c r="B4" s="49" t="s">
        <v>80</v>
      </c>
      <c r="C4" s="49" t="s">
        <v>81</v>
      </c>
      <c r="D4" s="32">
        <v>44</v>
      </c>
      <c r="E4" s="32">
        <v>54</v>
      </c>
      <c r="F4" s="34">
        <v>70</v>
      </c>
      <c r="G4" s="34">
        <v>99</v>
      </c>
      <c r="H4" s="34">
        <v>99</v>
      </c>
      <c r="I4" s="34">
        <f>(D4*0.2)+(E4*0.2)+(H4*0.2)+(F4*0.2)+(G4*0.2)</f>
        <v>73.2</v>
      </c>
      <c r="J4" s="34" t="str">
        <f>_xlfn.IFS(I4&gt;=97, "A+",I4&gt;= 90, "A",I4&gt;=86, "B+", I4&gt;=80, "B",I4&gt;=76, "C+", I4&gt;= 70, "C",I4&gt;= 60, "D",I4&lt; 60, "F")</f>
        <v>C</v>
      </c>
      <c r="K4" s="34">
        <f ca="1">RANK(I4,I4:I41)</f>
        <v>28</v>
      </c>
    </row>
    <row r="5" spans="1:21" ht="14.4" x14ac:dyDescent="0.3">
      <c r="A5" s="48">
        <v>49517726</v>
      </c>
      <c r="B5" s="49" t="s">
        <v>82</v>
      </c>
      <c r="C5" s="49" t="s">
        <v>83</v>
      </c>
      <c r="D5" s="32">
        <v>51</v>
      </c>
      <c r="E5" s="32">
        <v>59</v>
      </c>
      <c r="F5" s="34">
        <v>73</v>
      </c>
      <c r="G5" s="34">
        <v>96</v>
      </c>
      <c r="H5" s="34">
        <v>69</v>
      </c>
      <c r="I5" s="34">
        <f t="shared" ref="I5:I41" si="0">(D5*0.2)+(E5*0.2)+(H5*0.2)+(F5*0.2)+(G5*0.2)</f>
        <v>69.599999999999994</v>
      </c>
      <c r="J5" s="34" t="str">
        <f t="shared" ref="J5:J41" si="1">_xlfn.IFS(I5&gt;=97, "A+",I5&gt;= 90, "A",I5&gt;=86, "B+", I5&gt;=80, "B",I5&gt;=76, "C+", I5&gt;= 70, "C",I5&gt;= 60, "D",I5&lt; 60, "F")</f>
        <v>D</v>
      </c>
      <c r="K5" s="34">
        <f t="shared" ref="K5:K41" ca="1" si="2">RANK(I5,I5:I42)</f>
        <v>34</v>
      </c>
    </row>
    <row r="6" spans="1:21" ht="14.4" x14ac:dyDescent="0.3">
      <c r="A6" s="48">
        <v>11266789</v>
      </c>
      <c r="B6" s="49" t="s">
        <v>84</v>
      </c>
      <c r="C6" s="49" t="s">
        <v>85</v>
      </c>
      <c r="D6" s="32">
        <v>44</v>
      </c>
      <c r="E6" s="32">
        <v>60</v>
      </c>
      <c r="F6" s="34">
        <v>68</v>
      </c>
      <c r="G6" s="34">
        <v>98</v>
      </c>
      <c r="H6" s="34">
        <v>85</v>
      </c>
      <c r="I6" s="34">
        <f t="shared" si="0"/>
        <v>71</v>
      </c>
      <c r="J6" s="34" t="str">
        <f t="shared" si="1"/>
        <v>C</v>
      </c>
      <c r="K6" s="34">
        <f t="shared" ca="1" si="2"/>
        <v>33</v>
      </c>
    </row>
    <row r="7" spans="1:21" ht="14.4" x14ac:dyDescent="0.3">
      <c r="A7" s="48">
        <v>31207252</v>
      </c>
      <c r="B7" s="49" t="s">
        <v>86</v>
      </c>
      <c r="C7" s="49" t="s">
        <v>87</v>
      </c>
      <c r="D7" s="34">
        <v>79</v>
      </c>
      <c r="E7" s="32">
        <v>71</v>
      </c>
      <c r="F7" s="34">
        <v>82</v>
      </c>
      <c r="G7" s="34">
        <v>97</v>
      </c>
      <c r="H7" s="34">
        <v>72</v>
      </c>
      <c r="I7" s="34">
        <f t="shared" si="0"/>
        <v>80.2</v>
      </c>
      <c r="J7" s="34" t="str">
        <f t="shared" si="1"/>
        <v>B</v>
      </c>
      <c r="K7" s="34">
        <f t="shared" ca="1" si="2"/>
        <v>18</v>
      </c>
    </row>
    <row r="8" spans="1:21" ht="14.4" x14ac:dyDescent="0.3">
      <c r="A8" s="48">
        <v>40941908</v>
      </c>
      <c r="B8" s="49" t="s">
        <v>88</v>
      </c>
      <c r="C8" s="49" t="s">
        <v>89</v>
      </c>
      <c r="D8" s="34">
        <v>76</v>
      </c>
      <c r="E8" s="32">
        <v>72</v>
      </c>
      <c r="F8" s="34">
        <v>84</v>
      </c>
      <c r="G8" s="34">
        <v>97</v>
      </c>
      <c r="H8" s="34">
        <v>71</v>
      </c>
      <c r="I8" s="34">
        <f t="shared" si="0"/>
        <v>80.000000000000014</v>
      </c>
      <c r="J8" s="34" t="str">
        <f t="shared" si="1"/>
        <v>B</v>
      </c>
      <c r="K8" s="34">
        <f t="shared" ca="1" si="2"/>
        <v>19</v>
      </c>
    </row>
    <row r="9" spans="1:21" ht="14.4" x14ac:dyDescent="0.3">
      <c r="A9" s="48">
        <v>28380069</v>
      </c>
      <c r="B9" s="49" t="s">
        <v>90</v>
      </c>
      <c r="C9" s="49" t="s">
        <v>91</v>
      </c>
      <c r="D9" s="32">
        <v>67</v>
      </c>
      <c r="E9" s="32">
        <v>73</v>
      </c>
      <c r="F9" s="34">
        <v>79</v>
      </c>
      <c r="G9" s="34">
        <v>91</v>
      </c>
      <c r="H9" s="34">
        <v>84</v>
      </c>
      <c r="I9" s="34">
        <f t="shared" si="0"/>
        <v>78.8</v>
      </c>
      <c r="J9" s="34" t="str">
        <f t="shared" si="1"/>
        <v>C+</v>
      </c>
      <c r="K9" s="34">
        <f t="shared" ca="1" si="2"/>
        <v>22</v>
      </c>
    </row>
    <row r="10" spans="1:21" ht="14.4" x14ac:dyDescent="0.3">
      <c r="A10" s="48">
        <v>33455570</v>
      </c>
      <c r="B10" s="49" t="s">
        <v>92</v>
      </c>
      <c r="C10" s="49" t="s">
        <v>93</v>
      </c>
      <c r="D10" s="33">
        <v>80</v>
      </c>
      <c r="E10" s="34">
        <v>82</v>
      </c>
      <c r="F10" s="34">
        <v>91</v>
      </c>
      <c r="G10" s="34">
        <v>94</v>
      </c>
      <c r="H10" s="34">
        <v>67</v>
      </c>
      <c r="I10" s="34">
        <f t="shared" si="0"/>
        <v>82.8</v>
      </c>
      <c r="J10" s="34" t="str">
        <f t="shared" si="1"/>
        <v>B</v>
      </c>
      <c r="K10" s="34">
        <f t="shared" ca="1" si="2"/>
        <v>17</v>
      </c>
      <c r="M10" s="163"/>
      <c r="N10" s="163"/>
      <c r="O10" s="163"/>
      <c r="P10" s="163"/>
      <c r="Q10" s="163"/>
      <c r="R10" s="163"/>
      <c r="S10" s="163"/>
      <c r="T10" s="163"/>
      <c r="U10" s="163"/>
    </row>
    <row r="11" spans="1:21" ht="14.4" x14ac:dyDescent="0.3">
      <c r="A11" s="48">
        <v>52775578</v>
      </c>
      <c r="B11" s="49" t="s">
        <v>94</v>
      </c>
      <c r="C11" s="49" t="s">
        <v>95</v>
      </c>
      <c r="D11" s="34">
        <v>77</v>
      </c>
      <c r="E11" s="32">
        <v>59</v>
      </c>
      <c r="F11" s="34">
        <v>72</v>
      </c>
      <c r="G11" s="34">
        <v>93</v>
      </c>
      <c r="H11" s="34">
        <v>93</v>
      </c>
      <c r="I11" s="34">
        <f t="shared" si="0"/>
        <v>78.800000000000011</v>
      </c>
      <c r="J11" s="34" t="str">
        <f t="shared" si="1"/>
        <v>C+</v>
      </c>
      <c r="K11" s="34">
        <f t="shared" ca="1" si="2"/>
        <v>22</v>
      </c>
      <c r="M11" s="163"/>
      <c r="N11" s="163"/>
      <c r="O11" s="163"/>
      <c r="P11" s="163"/>
      <c r="Q11" s="163"/>
      <c r="R11" s="163"/>
      <c r="S11" s="163"/>
      <c r="T11" s="163"/>
      <c r="U11" s="163"/>
    </row>
    <row r="12" spans="1:21" ht="15.6" x14ac:dyDescent="0.3">
      <c r="A12" s="48">
        <v>69512922</v>
      </c>
      <c r="B12" s="49" t="s">
        <v>96</v>
      </c>
      <c r="C12" s="49" t="s">
        <v>97</v>
      </c>
      <c r="D12" s="34">
        <v>79</v>
      </c>
      <c r="E12" s="33">
        <v>86</v>
      </c>
      <c r="F12" s="34">
        <v>90</v>
      </c>
      <c r="G12" s="34">
        <v>92</v>
      </c>
      <c r="H12" s="34">
        <v>72</v>
      </c>
      <c r="I12" s="34">
        <f t="shared" si="0"/>
        <v>83.800000000000011</v>
      </c>
      <c r="J12" s="34" t="str">
        <f t="shared" si="1"/>
        <v>B</v>
      </c>
      <c r="K12" s="34">
        <f t="shared" ca="1" si="2"/>
        <v>13</v>
      </c>
      <c r="M12" s="163"/>
      <c r="N12" s="23" t="s">
        <v>206</v>
      </c>
      <c r="O12" s="23" t="s">
        <v>207</v>
      </c>
      <c r="P12" s="23" t="s">
        <v>208</v>
      </c>
      <c r="Q12" s="23" t="s">
        <v>281</v>
      </c>
      <c r="R12" s="23" t="s">
        <v>282</v>
      </c>
      <c r="S12" s="23" t="s">
        <v>283</v>
      </c>
      <c r="T12" s="23" t="s">
        <v>284</v>
      </c>
      <c r="U12" s="23" t="s">
        <v>285</v>
      </c>
    </row>
    <row r="13" spans="1:21" ht="15.6" x14ac:dyDescent="0.3">
      <c r="A13" s="48">
        <v>20320994</v>
      </c>
      <c r="B13" s="49" t="s">
        <v>98</v>
      </c>
      <c r="C13" s="49" t="s">
        <v>99</v>
      </c>
      <c r="D13" s="33">
        <v>84</v>
      </c>
      <c r="E13" s="33">
        <v>86</v>
      </c>
      <c r="F13" s="34">
        <v>100</v>
      </c>
      <c r="G13" s="34">
        <v>89</v>
      </c>
      <c r="H13" s="34">
        <v>93</v>
      </c>
      <c r="I13" s="34">
        <f t="shared" si="0"/>
        <v>90.399999999999991</v>
      </c>
      <c r="J13" s="34" t="str">
        <f t="shared" si="1"/>
        <v>A</v>
      </c>
      <c r="K13" s="34">
        <f t="shared" ca="1" si="2"/>
        <v>5</v>
      </c>
      <c r="M13" s="163"/>
      <c r="N13" s="23">
        <v>415890</v>
      </c>
      <c r="O13" s="23" t="s">
        <v>228</v>
      </c>
      <c r="P13" s="23" t="s">
        <v>229</v>
      </c>
      <c r="Q13" s="23"/>
      <c r="R13" s="23"/>
      <c r="S13" s="23" t="str">
        <f>IF(OR(Q13="yes",R13="Yes"),"","YES")</f>
        <v>YES</v>
      </c>
      <c r="T13" s="23"/>
      <c r="U13" s="23"/>
    </row>
    <row r="14" spans="1:21" ht="15.6" x14ac:dyDescent="0.3">
      <c r="A14" s="48">
        <v>51855406</v>
      </c>
      <c r="B14" s="49" t="s">
        <v>100</v>
      </c>
      <c r="C14" s="49" t="s">
        <v>101</v>
      </c>
      <c r="D14" s="33">
        <v>87</v>
      </c>
      <c r="E14" s="33">
        <v>89</v>
      </c>
      <c r="F14" s="34">
        <v>98</v>
      </c>
      <c r="G14" s="34">
        <v>90</v>
      </c>
      <c r="H14" s="34">
        <v>81</v>
      </c>
      <c r="I14" s="34">
        <f t="shared" si="0"/>
        <v>89</v>
      </c>
      <c r="J14" s="34" t="str">
        <f t="shared" si="1"/>
        <v>B+</v>
      </c>
      <c r="K14" s="34">
        <f t="shared" ca="1" si="2"/>
        <v>6</v>
      </c>
      <c r="M14" s="163"/>
      <c r="N14" s="23">
        <v>503413</v>
      </c>
      <c r="O14" s="23" t="s">
        <v>107</v>
      </c>
      <c r="P14" s="23" t="s">
        <v>236</v>
      </c>
      <c r="Q14" s="23"/>
      <c r="R14" s="23"/>
      <c r="S14" s="23" t="str">
        <f>IF(OR(Q14="yes",R14="Yes"),"","YES")</f>
        <v>YES</v>
      </c>
      <c r="T14" s="23"/>
      <c r="U14" s="23"/>
    </row>
    <row r="15" spans="1:21" ht="15.6" x14ac:dyDescent="0.3">
      <c r="A15" s="48">
        <v>22312334</v>
      </c>
      <c r="B15" s="49" t="s">
        <v>102</v>
      </c>
      <c r="C15" s="49" t="s">
        <v>103</v>
      </c>
      <c r="D15" s="34">
        <v>76</v>
      </c>
      <c r="E15" s="32">
        <v>69</v>
      </c>
      <c r="F15" s="34">
        <v>79</v>
      </c>
      <c r="G15" s="34">
        <v>76</v>
      </c>
      <c r="H15" s="34">
        <v>85</v>
      </c>
      <c r="I15" s="34">
        <f t="shared" si="0"/>
        <v>77</v>
      </c>
      <c r="J15" s="34" t="str">
        <f t="shared" si="1"/>
        <v>C+</v>
      </c>
      <c r="K15" s="34">
        <f t="shared" ca="1" si="2"/>
        <v>23</v>
      </c>
      <c r="M15" s="163"/>
      <c r="N15" s="23">
        <v>303803</v>
      </c>
      <c r="O15" s="23" t="s">
        <v>242</v>
      </c>
      <c r="P15" s="23" t="s">
        <v>243</v>
      </c>
      <c r="Q15" s="23"/>
      <c r="R15" s="23"/>
      <c r="S15" s="23" t="str">
        <f>IF(OR(Q15="yes",R15="Yes"),"","YES")</f>
        <v>YES</v>
      </c>
      <c r="T15" s="23"/>
      <c r="U15" s="23"/>
    </row>
    <row r="16" spans="1:21" ht="15.6" x14ac:dyDescent="0.3">
      <c r="A16" s="48">
        <v>66173853</v>
      </c>
      <c r="B16" s="49" t="s">
        <v>104</v>
      </c>
      <c r="C16" s="49" t="s">
        <v>105</v>
      </c>
      <c r="D16" s="33">
        <v>92</v>
      </c>
      <c r="E16" s="33">
        <v>98</v>
      </c>
      <c r="F16" s="34">
        <v>95</v>
      </c>
      <c r="G16" s="34">
        <v>100</v>
      </c>
      <c r="H16" s="34">
        <v>82</v>
      </c>
      <c r="I16" s="34">
        <f t="shared" si="0"/>
        <v>93.4</v>
      </c>
      <c r="J16" s="34" t="str">
        <f t="shared" si="1"/>
        <v>A</v>
      </c>
      <c r="K16" s="34">
        <f t="shared" ca="1" si="2"/>
        <v>2</v>
      </c>
      <c r="M16" s="163"/>
      <c r="N16" s="23">
        <v>610702</v>
      </c>
      <c r="O16" s="23" t="s">
        <v>250</v>
      </c>
      <c r="P16" s="23" t="s">
        <v>251</v>
      </c>
      <c r="Q16" s="23"/>
      <c r="R16" s="23"/>
      <c r="S16" s="23" t="str">
        <f>IF(OR(Q16="yes",R16="Yes"),"","YES")</f>
        <v>YES</v>
      </c>
      <c r="T16" s="23"/>
      <c r="U16" s="23"/>
    </row>
    <row r="17" spans="1:21" ht="15.6" x14ac:dyDescent="0.3">
      <c r="A17" s="48">
        <v>46774911</v>
      </c>
      <c r="B17" s="49" t="s">
        <v>20</v>
      </c>
      <c r="C17" s="49" t="s">
        <v>106</v>
      </c>
      <c r="D17" s="33">
        <v>82</v>
      </c>
      <c r="E17" s="33">
        <v>94</v>
      </c>
      <c r="F17" s="34">
        <v>95</v>
      </c>
      <c r="G17" s="34">
        <v>100</v>
      </c>
      <c r="H17" s="34">
        <v>66</v>
      </c>
      <c r="I17" s="34">
        <f t="shared" si="0"/>
        <v>87.4</v>
      </c>
      <c r="J17" s="34" t="str">
        <f t="shared" si="1"/>
        <v>B+</v>
      </c>
      <c r="K17" s="34">
        <f t="shared" ca="1" si="2"/>
        <v>7</v>
      </c>
      <c r="M17" s="163"/>
      <c r="N17" s="23">
        <v>552430</v>
      </c>
      <c r="O17" s="23" t="s">
        <v>256</v>
      </c>
      <c r="P17" s="23" t="s">
        <v>257</v>
      </c>
      <c r="Q17" s="23"/>
      <c r="R17" s="23"/>
      <c r="S17" s="23" t="str">
        <f>IF(OR(Q17="yes",R17="Yes"),"","YES")</f>
        <v>YES</v>
      </c>
      <c r="T17" s="23"/>
      <c r="U17" s="23"/>
    </row>
    <row r="18" spans="1:21" ht="15.6" x14ac:dyDescent="0.3">
      <c r="A18" s="48">
        <v>88099789</v>
      </c>
      <c r="B18" s="49" t="s">
        <v>107</v>
      </c>
      <c r="C18" s="49" t="s">
        <v>108</v>
      </c>
      <c r="D18" s="33">
        <v>93</v>
      </c>
      <c r="E18" s="33">
        <v>99</v>
      </c>
      <c r="F18" s="34">
        <v>96</v>
      </c>
      <c r="G18" s="34">
        <v>100</v>
      </c>
      <c r="H18" s="34">
        <v>76</v>
      </c>
      <c r="I18" s="34">
        <f t="shared" si="0"/>
        <v>92.800000000000011</v>
      </c>
      <c r="J18" s="34" t="str">
        <f t="shared" si="1"/>
        <v>A</v>
      </c>
      <c r="K18" s="34">
        <f t="shared" ca="1" si="2"/>
        <v>2</v>
      </c>
      <c r="N18" s="164"/>
      <c r="O18" s="164"/>
      <c r="P18" s="164"/>
      <c r="Q18" s="164"/>
      <c r="R18" s="164"/>
      <c r="S18" s="164"/>
      <c r="T18" s="164"/>
      <c r="U18" s="164"/>
    </row>
    <row r="19" spans="1:21" ht="15.6" x14ac:dyDescent="0.3">
      <c r="A19" s="48">
        <v>21171011</v>
      </c>
      <c r="B19" s="49" t="s">
        <v>109</v>
      </c>
      <c r="C19" s="49" t="s">
        <v>110</v>
      </c>
      <c r="D19" s="33">
        <v>94</v>
      </c>
      <c r="E19" s="33">
        <v>87</v>
      </c>
      <c r="F19" s="34">
        <v>92</v>
      </c>
      <c r="G19" s="34">
        <v>91</v>
      </c>
      <c r="H19" s="34">
        <v>70</v>
      </c>
      <c r="I19" s="34">
        <f t="shared" si="0"/>
        <v>86.800000000000011</v>
      </c>
      <c r="J19" s="34" t="str">
        <f t="shared" si="1"/>
        <v>B+</v>
      </c>
      <c r="K19" s="34">
        <f t="shared" ca="1" si="2"/>
        <v>8</v>
      </c>
      <c r="N19" s="164"/>
      <c r="O19" s="164"/>
      <c r="P19" s="164"/>
      <c r="Q19" s="164"/>
      <c r="R19" s="164"/>
      <c r="S19" s="164"/>
      <c r="T19" s="164"/>
      <c r="U19" s="164"/>
    </row>
    <row r="20" spans="1:21" ht="15.6" x14ac:dyDescent="0.3">
      <c r="A20" s="48">
        <v>56229618</v>
      </c>
      <c r="B20" s="49" t="s">
        <v>111</v>
      </c>
      <c r="C20" s="49" t="s">
        <v>112</v>
      </c>
      <c r="D20" s="33">
        <v>84</v>
      </c>
      <c r="E20" s="34">
        <v>78</v>
      </c>
      <c r="F20" s="34">
        <v>89</v>
      </c>
      <c r="G20" s="34">
        <v>89</v>
      </c>
      <c r="H20" s="34">
        <v>77</v>
      </c>
      <c r="I20" s="34">
        <f t="shared" si="0"/>
        <v>83.4</v>
      </c>
      <c r="J20" s="34" t="str">
        <f t="shared" si="1"/>
        <v>B</v>
      </c>
      <c r="K20" s="34">
        <f t="shared" ca="1" si="2"/>
        <v>15</v>
      </c>
      <c r="T20" s="164" t="str">
        <f>IF(OR(Q13="yes",R13="Yes",S13="Yes"),"","YES")</f>
        <v/>
      </c>
      <c r="U20" s="164" t="str">
        <f>IF(OR(Q13="yes",R13="Yes",S13="Yes",T20="yes"),"","YES")</f>
        <v/>
      </c>
    </row>
    <row r="21" spans="1:21" ht="15.6" x14ac:dyDescent="0.3">
      <c r="A21" s="48">
        <v>24895680</v>
      </c>
      <c r="B21" s="49" t="s">
        <v>113</v>
      </c>
      <c r="C21" s="49" t="s">
        <v>114</v>
      </c>
      <c r="D21" s="32">
        <v>72</v>
      </c>
      <c r="E21" s="34">
        <v>76</v>
      </c>
      <c r="F21" s="34">
        <v>71</v>
      </c>
      <c r="G21" s="34">
        <v>85</v>
      </c>
      <c r="H21" s="34">
        <v>55</v>
      </c>
      <c r="I21" s="34">
        <f t="shared" si="0"/>
        <v>71.800000000000011</v>
      </c>
      <c r="J21" s="34" t="str">
        <f t="shared" si="1"/>
        <v>C</v>
      </c>
      <c r="K21" s="34">
        <f t="shared" ca="1" si="2"/>
        <v>30</v>
      </c>
      <c r="T21" s="164"/>
      <c r="U21" s="164"/>
    </row>
    <row r="22" spans="1:21" ht="15.6" x14ac:dyDescent="0.3">
      <c r="A22" s="48">
        <v>24074179</v>
      </c>
      <c r="B22" s="49" t="s">
        <v>115</v>
      </c>
      <c r="C22" s="49" t="s">
        <v>116</v>
      </c>
      <c r="D22" s="32">
        <v>69</v>
      </c>
      <c r="E22" s="32">
        <v>54</v>
      </c>
      <c r="F22" s="34">
        <v>50</v>
      </c>
      <c r="G22" s="34">
        <v>70</v>
      </c>
      <c r="H22" s="34">
        <v>63</v>
      </c>
      <c r="I22" s="34">
        <f t="shared" si="0"/>
        <v>61.2</v>
      </c>
      <c r="J22" s="34" t="str">
        <f t="shared" si="1"/>
        <v>D</v>
      </c>
      <c r="K22" s="34">
        <f t="shared" ca="1" si="2"/>
        <v>35</v>
      </c>
      <c r="N22" s="164"/>
      <c r="O22" s="164"/>
      <c r="P22" s="164"/>
      <c r="Q22" s="164"/>
      <c r="R22" s="164"/>
      <c r="S22" s="164"/>
      <c r="T22" s="164"/>
      <c r="U22" s="164"/>
    </row>
    <row r="23" spans="1:21" ht="15.6" x14ac:dyDescent="0.3">
      <c r="A23" s="48">
        <v>14100297</v>
      </c>
      <c r="B23" s="49" t="s">
        <v>117</v>
      </c>
      <c r="C23" s="49" t="s">
        <v>118</v>
      </c>
      <c r="D23" s="32">
        <v>59</v>
      </c>
      <c r="E23" s="34">
        <v>79</v>
      </c>
      <c r="F23" s="34">
        <v>80</v>
      </c>
      <c r="G23" s="34">
        <v>85</v>
      </c>
      <c r="H23" s="34">
        <v>69</v>
      </c>
      <c r="I23" s="34">
        <f t="shared" si="0"/>
        <v>74.400000000000006</v>
      </c>
      <c r="J23" s="34" t="str">
        <f t="shared" si="1"/>
        <v>C</v>
      </c>
      <c r="K23" s="34">
        <f t="shared" ca="1" si="2"/>
        <v>27</v>
      </c>
      <c r="N23" s="164"/>
      <c r="O23" s="164"/>
      <c r="P23" s="164"/>
      <c r="Q23" s="164"/>
      <c r="R23" s="164"/>
      <c r="S23" s="164"/>
      <c r="T23" s="164"/>
      <c r="U23" s="164"/>
    </row>
    <row r="24" spans="1:21" ht="15.6" x14ac:dyDescent="0.3">
      <c r="A24" s="48">
        <v>47953857</v>
      </c>
      <c r="B24" s="49" t="s">
        <v>82</v>
      </c>
      <c r="C24" s="49" t="s">
        <v>119</v>
      </c>
      <c r="D24" s="33">
        <v>95</v>
      </c>
      <c r="E24" s="33">
        <v>92</v>
      </c>
      <c r="F24" s="34">
        <v>90</v>
      </c>
      <c r="G24" s="34">
        <v>95</v>
      </c>
      <c r="H24" s="34">
        <v>85</v>
      </c>
      <c r="I24" s="34">
        <f t="shared" si="0"/>
        <v>91.4</v>
      </c>
      <c r="J24" s="34" t="str">
        <f t="shared" si="1"/>
        <v>A</v>
      </c>
      <c r="K24" s="34">
        <f t="shared" ca="1" si="2"/>
        <v>4</v>
      </c>
      <c r="T24" s="164" t="str">
        <f>IF(OR(Q14="yes",R14="Yes",S14="Yes"),"","YES")</f>
        <v/>
      </c>
      <c r="U24" s="164" t="str">
        <f>IF(OR(Q14="yes",R14="Yes",S14="Yes",T24="yes"),"","YES")</f>
        <v/>
      </c>
    </row>
    <row r="25" spans="1:21" ht="15.6" x14ac:dyDescent="0.3">
      <c r="A25" s="48">
        <v>61870635</v>
      </c>
      <c r="B25" s="49" t="s">
        <v>120</v>
      </c>
      <c r="C25" s="49" t="s">
        <v>121</v>
      </c>
      <c r="D25" s="32">
        <v>62</v>
      </c>
      <c r="E25" s="33">
        <v>85</v>
      </c>
      <c r="F25" s="34">
        <v>89</v>
      </c>
      <c r="G25" s="34">
        <v>92</v>
      </c>
      <c r="H25" s="34">
        <v>94</v>
      </c>
      <c r="I25" s="34">
        <f t="shared" si="0"/>
        <v>84.4</v>
      </c>
      <c r="J25" s="34" t="str">
        <f t="shared" si="1"/>
        <v>B</v>
      </c>
      <c r="K25" s="34">
        <f t="shared" ca="1" si="2"/>
        <v>12</v>
      </c>
      <c r="N25" s="164"/>
      <c r="O25" s="164"/>
      <c r="P25" s="164"/>
      <c r="Q25" s="164"/>
      <c r="R25" s="164"/>
      <c r="S25" s="164"/>
      <c r="T25" s="164"/>
      <c r="U25" s="164"/>
    </row>
    <row r="26" spans="1:21" ht="15.6" x14ac:dyDescent="0.3">
      <c r="A26" s="48">
        <v>30476018</v>
      </c>
      <c r="B26" s="49" t="s">
        <v>122</v>
      </c>
      <c r="C26" s="49" t="s">
        <v>123</v>
      </c>
      <c r="D26" s="33">
        <v>100</v>
      </c>
      <c r="E26" s="33">
        <v>99</v>
      </c>
      <c r="F26" s="34">
        <v>98</v>
      </c>
      <c r="G26" s="34">
        <v>98</v>
      </c>
      <c r="H26" s="34">
        <v>100</v>
      </c>
      <c r="I26" s="34">
        <f t="shared" si="0"/>
        <v>99</v>
      </c>
      <c r="J26" s="34" t="str">
        <f t="shared" si="1"/>
        <v>A+</v>
      </c>
      <c r="K26" s="34">
        <f t="shared" ca="1" si="2"/>
        <v>1</v>
      </c>
      <c r="N26" s="164"/>
      <c r="O26" s="164"/>
      <c r="P26" s="164"/>
      <c r="Q26" s="164"/>
      <c r="R26" s="164"/>
      <c r="S26" s="164"/>
      <c r="T26" s="164"/>
      <c r="U26" s="164"/>
    </row>
    <row r="27" spans="1:21" ht="15.6" x14ac:dyDescent="0.3">
      <c r="A27" s="48">
        <v>29169845</v>
      </c>
      <c r="B27" s="49" t="s">
        <v>124</v>
      </c>
      <c r="C27" s="49" t="s">
        <v>125</v>
      </c>
      <c r="D27" s="32">
        <v>59</v>
      </c>
      <c r="E27" s="32">
        <v>74</v>
      </c>
      <c r="F27" s="34">
        <v>55</v>
      </c>
      <c r="G27" s="34">
        <v>83</v>
      </c>
      <c r="H27" s="34">
        <v>98</v>
      </c>
      <c r="I27" s="34">
        <f t="shared" si="0"/>
        <v>73.800000000000011</v>
      </c>
      <c r="J27" s="34" t="str">
        <f t="shared" si="1"/>
        <v>C</v>
      </c>
      <c r="K27" s="34">
        <f t="shared" ca="1" si="2"/>
        <v>29</v>
      </c>
      <c r="N27" s="164"/>
      <c r="O27" s="164"/>
      <c r="P27" s="164"/>
      <c r="Q27" s="164"/>
      <c r="R27" s="164"/>
      <c r="S27" s="164"/>
      <c r="T27" s="164"/>
      <c r="U27" s="164"/>
    </row>
    <row r="28" spans="1:21" ht="15.6" x14ac:dyDescent="0.3">
      <c r="A28" s="48">
        <v>31920733</v>
      </c>
      <c r="B28" s="49" t="s">
        <v>126</v>
      </c>
      <c r="C28" s="49" t="s">
        <v>127</v>
      </c>
      <c r="D28" s="32">
        <v>58</v>
      </c>
      <c r="E28" s="34">
        <v>76</v>
      </c>
      <c r="F28" s="34">
        <v>69</v>
      </c>
      <c r="G28" s="34">
        <v>89</v>
      </c>
      <c r="H28" s="34">
        <v>64</v>
      </c>
      <c r="I28" s="34">
        <f t="shared" si="0"/>
        <v>71.2</v>
      </c>
      <c r="J28" s="34" t="str">
        <f t="shared" si="1"/>
        <v>C</v>
      </c>
      <c r="K28" s="34">
        <f t="shared" ca="1" si="2"/>
        <v>32</v>
      </c>
      <c r="T28" s="164" t="str">
        <f>IF(OR(Q15="yes",R15="Yes",S15="Yes"),"","YES")</f>
        <v/>
      </c>
      <c r="U28" s="164" t="str">
        <f>IF(OR(Q15="yes",R15="Yes",S15="Yes",T28="yes"),"","YES")</f>
        <v/>
      </c>
    </row>
    <row r="29" spans="1:21" ht="15.6" x14ac:dyDescent="0.3">
      <c r="A29" s="48">
        <v>59135219</v>
      </c>
      <c r="B29" s="49" t="s">
        <v>128</v>
      </c>
      <c r="C29" s="49" t="s">
        <v>129</v>
      </c>
      <c r="D29" s="32">
        <f ca="1">RANDBETWEEN(50,100)</f>
        <v>52</v>
      </c>
      <c r="E29" s="32">
        <f t="shared" ref="E29:H41" ca="1" si="3">RANDBETWEEN(50,100)</f>
        <v>87</v>
      </c>
      <c r="F29" s="32">
        <f t="shared" ca="1" si="3"/>
        <v>83</v>
      </c>
      <c r="G29" s="32">
        <f t="shared" ca="1" si="3"/>
        <v>100</v>
      </c>
      <c r="H29" s="32">
        <f t="shared" ca="1" si="3"/>
        <v>78</v>
      </c>
      <c r="I29" s="34">
        <f t="shared" ca="1" si="0"/>
        <v>80</v>
      </c>
      <c r="J29" s="34" t="str">
        <f t="shared" ca="1" si="1"/>
        <v>B</v>
      </c>
      <c r="K29" s="34">
        <f t="shared" ca="1" si="2"/>
        <v>27</v>
      </c>
      <c r="N29" s="164"/>
      <c r="O29" s="164"/>
      <c r="P29" s="164"/>
      <c r="Q29" s="164"/>
      <c r="R29" s="164"/>
      <c r="S29" s="164"/>
      <c r="T29" s="164"/>
      <c r="U29" s="164"/>
    </row>
    <row r="30" spans="1:21" ht="15.6" x14ac:dyDescent="0.3">
      <c r="A30" s="48">
        <v>29617570</v>
      </c>
      <c r="B30" s="49" t="s">
        <v>130</v>
      </c>
      <c r="C30" s="49" t="s">
        <v>131</v>
      </c>
      <c r="D30" s="32">
        <f t="shared" ref="D30:D41" ca="1" si="4">RANDBETWEEN(50,100)</f>
        <v>95</v>
      </c>
      <c r="E30" s="32">
        <f t="shared" ca="1" si="3"/>
        <v>89</v>
      </c>
      <c r="F30" s="32">
        <f t="shared" ca="1" si="3"/>
        <v>80</v>
      </c>
      <c r="G30" s="32">
        <f t="shared" ca="1" si="3"/>
        <v>54</v>
      </c>
      <c r="H30" s="32">
        <f t="shared" ca="1" si="3"/>
        <v>56</v>
      </c>
      <c r="I30" s="34">
        <f t="shared" ca="1" si="0"/>
        <v>74.8</v>
      </c>
      <c r="J30" s="34" t="str">
        <f t="shared" ca="1" si="1"/>
        <v>C</v>
      </c>
      <c r="K30" s="34">
        <f t="shared" ca="1" si="2"/>
        <v>29</v>
      </c>
      <c r="N30" s="164"/>
      <c r="O30" s="164"/>
      <c r="P30" s="164"/>
      <c r="Q30" s="164"/>
      <c r="R30" s="164"/>
      <c r="S30" s="164"/>
      <c r="T30" s="164"/>
      <c r="U30" s="164"/>
    </row>
    <row r="31" spans="1:21" ht="15.6" x14ac:dyDescent="0.3">
      <c r="A31" s="48">
        <v>41604417</v>
      </c>
      <c r="B31" s="49" t="s">
        <v>132</v>
      </c>
      <c r="C31" s="49" t="s">
        <v>133</v>
      </c>
      <c r="D31" s="32">
        <f t="shared" ca="1" si="4"/>
        <v>56</v>
      </c>
      <c r="E31" s="32">
        <f t="shared" ca="1" si="3"/>
        <v>87</v>
      </c>
      <c r="F31" s="32">
        <f t="shared" ca="1" si="3"/>
        <v>87</v>
      </c>
      <c r="G31" s="32">
        <f t="shared" ca="1" si="3"/>
        <v>58</v>
      </c>
      <c r="H31" s="32">
        <f t="shared" ca="1" si="3"/>
        <v>53</v>
      </c>
      <c r="I31" s="34">
        <f t="shared" ca="1" si="0"/>
        <v>68.200000000000017</v>
      </c>
      <c r="J31" s="34" t="str">
        <f t="shared" ca="1" si="1"/>
        <v>D</v>
      </c>
      <c r="K31" s="34">
        <f t="shared" ca="1" si="2"/>
        <v>34</v>
      </c>
      <c r="N31" s="164"/>
      <c r="O31" s="164"/>
      <c r="P31" s="164"/>
      <c r="Q31" s="164"/>
      <c r="R31" s="164"/>
      <c r="S31" s="164"/>
      <c r="T31" s="164"/>
      <c r="U31" s="164"/>
    </row>
    <row r="32" spans="1:21" ht="15.6" x14ac:dyDescent="0.3">
      <c r="A32" s="48">
        <v>67642835</v>
      </c>
      <c r="B32" s="49" t="s">
        <v>134</v>
      </c>
      <c r="C32" s="49" t="s">
        <v>135</v>
      </c>
      <c r="D32" s="32">
        <f t="shared" ca="1" si="4"/>
        <v>93</v>
      </c>
      <c r="E32" s="32">
        <f t="shared" ca="1" si="3"/>
        <v>75</v>
      </c>
      <c r="F32" s="32">
        <f t="shared" ca="1" si="3"/>
        <v>96</v>
      </c>
      <c r="G32" s="32">
        <f t="shared" ca="1" si="3"/>
        <v>58</v>
      </c>
      <c r="H32" s="32">
        <f t="shared" ca="1" si="3"/>
        <v>96</v>
      </c>
      <c r="I32" s="34">
        <f t="shared" ca="1" si="0"/>
        <v>83.6</v>
      </c>
      <c r="J32" s="34" t="str">
        <f t="shared" ca="1" si="1"/>
        <v>B</v>
      </c>
      <c r="K32" s="34">
        <f t="shared" ca="1" si="2"/>
        <v>22</v>
      </c>
      <c r="T32" s="164" t="str">
        <f>IF(OR(Q16="yes",R16="Yes",S16="Yes"),"","YES")</f>
        <v/>
      </c>
      <c r="U32" s="164" t="str">
        <f>IF(OR(Q16="yes",R16="Yes",S16="Yes",T32="yes"),"","YES")</f>
        <v/>
      </c>
    </row>
    <row r="33" spans="1:21" ht="15.6" x14ac:dyDescent="0.3">
      <c r="A33" s="48">
        <v>65777672</v>
      </c>
      <c r="B33" s="49" t="s">
        <v>136</v>
      </c>
      <c r="C33" s="49" t="s">
        <v>137</v>
      </c>
      <c r="D33" s="32">
        <f t="shared" ca="1" si="4"/>
        <v>63</v>
      </c>
      <c r="E33" s="32">
        <f t="shared" ca="1" si="3"/>
        <v>79</v>
      </c>
      <c r="F33" s="32">
        <f t="shared" ca="1" si="3"/>
        <v>89</v>
      </c>
      <c r="G33" s="32">
        <f t="shared" ca="1" si="3"/>
        <v>99</v>
      </c>
      <c r="H33" s="32">
        <f t="shared" ca="1" si="3"/>
        <v>89</v>
      </c>
      <c r="I33" s="34">
        <f t="shared" ca="1" si="0"/>
        <v>83.8</v>
      </c>
      <c r="J33" s="34" t="str">
        <f t="shared" ca="1" si="1"/>
        <v>B</v>
      </c>
      <c r="K33" s="34">
        <f t="shared" ca="1" si="2"/>
        <v>18</v>
      </c>
      <c r="N33" s="164"/>
      <c r="O33" s="164"/>
      <c r="P33" s="164"/>
      <c r="Q33" s="164"/>
      <c r="R33" s="164"/>
      <c r="S33" s="164"/>
      <c r="T33" s="164"/>
      <c r="U33" s="164"/>
    </row>
    <row r="34" spans="1:21" ht="15.6" x14ac:dyDescent="0.3">
      <c r="A34" s="48">
        <v>57031215</v>
      </c>
      <c r="B34" s="49" t="s">
        <v>138</v>
      </c>
      <c r="C34" s="49" t="s">
        <v>139</v>
      </c>
      <c r="D34" s="32">
        <f t="shared" ca="1" si="4"/>
        <v>68</v>
      </c>
      <c r="E34" s="32">
        <f t="shared" ca="1" si="3"/>
        <v>74</v>
      </c>
      <c r="F34" s="32">
        <f t="shared" ca="1" si="3"/>
        <v>99</v>
      </c>
      <c r="G34" s="32">
        <f t="shared" ca="1" si="3"/>
        <v>78</v>
      </c>
      <c r="H34" s="32">
        <f t="shared" ca="1" si="3"/>
        <v>92</v>
      </c>
      <c r="I34" s="34">
        <f t="shared" ca="1" si="0"/>
        <v>82.200000000000017</v>
      </c>
      <c r="J34" s="34" t="str">
        <f t="shared" ca="1" si="1"/>
        <v>B</v>
      </c>
      <c r="K34" s="34">
        <f t="shared" ca="1" si="2"/>
        <v>21</v>
      </c>
      <c r="N34" s="164"/>
      <c r="O34" s="164"/>
      <c r="P34" s="164"/>
      <c r="Q34" s="164"/>
      <c r="R34" s="164"/>
      <c r="S34" s="164"/>
      <c r="T34" s="164"/>
      <c r="U34" s="164"/>
    </row>
    <row r="35" spans="1:21" ht="15.6" x14ac:dyDescent="0.3">
      <c r="A35" s="48">
        <v>14679298</v>
      </c>
      <c r="B35" s="49" t="s">
        <v>140</v>
      </c>
      <c r="C35" s="49" t="s">
        <v>141</v>
      </c>
      <c r="D35" s="32">
        <f t="shared" ca="1" si="4"/>
        <v>75</v>
      </c>
      <c r="E35" s="32">
        <f t="shared" ca="1" si="3"/>
        <v>93</v>
      </c>
      <c r="F35" s="32">
        <f t="shared" ca="1" si="3"/>
        <v>77</v>
      </c>
      <c r="G35" s="32">
        <f t="shared" ca="1" si="3"/>
        <v>78</v>
      </c>
      <c r="H35" s="32">
        <f t="shared" ca="1" si="3"/>
        <v>79</v>
      </c>
      <c r="I35" s="34">
        <f t="shared" ca="1" si="0"/>
        <v>80.400000000000006</v>
      </c>
      <c r="J35" s="34" t="str">
        <f t="shared" ca="1" si="1"/>
        <v>B</v>
      </c>
      <c r="K35" s="34">
        <f t="shared" ca="1" si="2"/>
        <v>27</v>
      </c>
      <c r="T35" s="164" t="str">
        <f>IF(OR(Q17="yes",R17="Yes",S17="Yes"),"","YES")</f>
        <v/>
      </c>
      <c r="U35" s="164" t="str">
        <f>IF(OR(Q17="yes",R17="Yes",S17="Yes",T35="yes"),"","YES")</f>
        <v/>
      </c>
    </row>
    <row r="36" spans="1:21" ht="15.6" x14ac:dyDescent="0.3">
      <c r="A36" s="48">
        <v>26610470</v>
      </c>
      <c r="B36" s="49" t="s">
        <v>32</v>
      </c>
      <c r="C36" s="49" t="s">
        <v>142</v>
      </c>
      <c r="D36" s="32">
        <f t="shared" ca="1" si="4"/>
        <v>61</v>
      </c>
      <c r="E36" s="32">
        <f t="shared" ca="1" si="3"/>
        <v>57</v>
      </c>
      <c r="F36" s="32">
        <f t="shared" ca="1" si="3"/>
        <v>84</v>
      </c>
      <c r="G36" s="32">
        <f t="shared" ca="1" si="3"/>
        <v>87</v>
      </c>
      <c r="H36" s="32">
        <f t="shared" ca="1" si="3"/>
        <v>72</v>
      </c>
      <c r="I36" s="34">
        <f t="shared" ca="1" si="0"/>
        <v>72.2</v>
      </c>
      <c r="J36" s="34" t="str">
        <f t="shared" ca="1" si="1"/>
        <v>C</v>
      </c>
      <c r="K36" s="34">
        <f t="shared" ca="1" si="2"/>
        <v>33</v>
      </c>
      <c r="N36" s="164"/>
      <c r="O36" s="164"/>
      <c r="P36" s="164"/>
      <c r="Q36" s="164"/>
      <c r="R36" s="164"/>
      <c r="S36" s="164"/>
      <c r="T36" s="164"/>
      <c r="U36" s="164"/>
    </row>
    <row r="37" spans="1:21" ht="15.6" x14ac:dyDescent="0.3">
      <c r="A37" s="48">
        <v>39378097</v>
      </c>
      <c r="B37" s="49" t="s">
        <v>143</v>
      </c>
      <c r="C37" s="49" t="s">
        <v>144</v>
      </c>
      <c r="D37" s="32">
        <f t="shared" ca="1" si="4"/>
        <v>65</v>
      </c>
      <c r="E37" s="32">
        <f t="shared" ca="1" si="3"/>
        <v>58</v>
      </c>
      <c r="F37" s="32">
        <f t="shared" ca="1" si="3"/>
        <v>70</v>
      </c>
      <c r="G37" s="32">
        <f t="shared" ca="1" si="3"/>
        <v>82</v>
      </c>
      <c r="H37" s="32">
        <f t="shared" ca="1" si="3"/>
        <v>96</v>
      </c>
      <c r="I37" s="34">
        <f t="shared" ca="1" si="0"/>
        <v>74.2</v>
      </c>
      <c r="J37" s="34" t="str">
        <f t="shared" ca="1" si="1"/>
        <v>C</v>
      </c>
      <c r="K37" s="34">
        <f t="shared" ca="1" si="2"/>
        <v>31</v>
      </c>
      <c r="N37" s="164"/>
      <c r="O37" s="164"/>
      <c r="P37" s="164"/>
      <c r="Q37" s="164"/>
      <c r="R37" s="164"/>
      <c r="S37" s="164"/>
      <c r="T37" s="164"/>
      <c r="U37" s="164"/>
    </row>
    <row r="38" spans="1:21" ht="15.6" x14ac:dyDescent="0.3">
      <c r="A38" s="48">
        <v>12255678</v>
      </c>
      <c r="B38" s="49" t="s">
        <v>145</v>
      </c>
      <c r="C38" s="49" t="s">
        <v>146</v>
      </c>
      <c r="D38" s="32">
        <f t="shared" ca="1" si="4"/>
        <v>50</v>
      </c>
      <c r="E38" s="32">
        <f t="shared" ca="1" si="3"/>
        <v>96</v>
      </c>
      <c r="F38" s="32">
        <f t="shared" ca="1" si="3"/>
        <v>88</v>
      </c>
      <c r="G38" s="32">
        <f t="shared" ca="1" si="3"/>
        <v>53</v>
      </c>
      <c r="H38" s="32">
        <f t="shared" ca="1" si="3"/>
        <v>76</v>
      </c>
      <c r="I38" s="34">
        <f t="shared" ca="1" si="0"/>
        <v>72.600000000000009</v>
      </c>
      <c r="J38" s="34" t="str">
        <f t="shared" ca="1" si="1"/>
        <v>C</v>
      </c>
      <c r="K38" s="34">
        <f t="shared" ca="1" si="2"/>
        <v>32</v>
      </c>
      <c r="N38" s="164"/>
      <c r="O38" s="164"/>
      <c r="P38" s="164"/>
      <c r="Q38" s="164"/>
      <c r="R38" s="164"/>
      <c r="S38" s="164"/>
      <c r="T38" s="164"/>
      <c r="U38" s="164"/>
    </row>
    <row r="39" spans="1:21" ht="15.6" x14ac:dyDescent="0.3">
      <c r="A39" s="48">
        <v>23300401</v>
      </c>
      <c r="B39" s="49" t="s">
        <v>147</v>
      </c>
      <c r="C39" s="49" t="s">
        <v>148</v>
      </c>
      <c r="D39" s="32">
        <f t="shared" ca="1" si="4"/>
        <v>96</v>
      </c>
      <c r="E39" s="32">
        <f t="shared" ca="1" si="3"/>
        <v>70</v>
      </c>
      <c r="F39" s="32">
        <f t="shared" ca="1" si="3"/>
        <v>99</v>
      </c>
      <c r="G39" s="32">
        <f t="shared" ca="1" si="3"/>
        <v>88</v>
      </c>
      <c r="H39" s="32">
        <f t="shared" ca="1" si="3"/>
        <v>53</v>
      </c>
      <c r="I39" s="34">
        <f t="shared" ca="1" si="0"/>
        <v>81.200000000000017</v>
      </c>
      <c r="J39" s="34" t="str">
        <f t="shared" ca="1" si="1"/>
        <v>B</v>
      </c>
      <c r="K39" s="34">
        <f t="shared" ca="1" si="2"/>
        <v>25</v>
      </c>
      <c r="N39" s="164"/>
      <c r="O39" s="164"/>
      <c r="P39" s="164"/>
      <c r="Q39" s="164"/>
      <c r="R39" s="164"/>
      <c r="S39" s="164"/>
      <c r="T39" s="164"/>
      <c r="U39" s="164"/>
    </row>
    <row r="40" spans="1:21" ht="15.6" x14ac:dyDescent="0.3">
      <c r="A40" s="48">
        <v>73797335</v>
      </c>
      <c r="B40" s="49" t="s">
        <v>102</v>
      </c>
      <c r="C40" s="49" t="s">
        <v>149</v>
      </c>
      <c r="D40" s="32">
        <f t="shared" ca="1" si="4"/>
        <v>53</v>
      </c>
      <c r="E40" s="32">
        <f t="shared" ca="1" si="3"/>
        <v>98</v>
      </c>
      <c r="F40" s="32">
        <f t="shared" ca="1" si="3"/>
        <v>81</v>
      </c>
      <c r="G40" s="32">
        <f t="shared" ca="1" si="3"/>
        <v>61</v>
      </c>
      <c r="H40" s="32">
        <f t="shared" ca="1" si="3"/>
        <v>63</v>
      </c>
      <c r="I40" s="34">
        <f t="shared" ca="1" si="0"/>
        <v>71.2</v>
      </c>
      <c r="J40" s="34" t="str">
        <f t="shared" ca="1" si="1"/>
        <v>C</v>
      </c>
      <c r="K40" s="34">
        <f t="shared" ca="1" si="2"/>
        <v>33</v>
      </c>
      <c r="N40" s="164"/>
      <c r="O40" s="164"/>
      <c r="P40" s="164"/>
      <c r="Q40" s="164"/>
      <c r="R40" s="164"/>
      <c r="S40" s="164"/>
      <c r="T40" s="164"/>
      <c r="U40" s="164"/>
    </row>
    <row r="41" spans="1:21" ht="15.6" x14ac:dyDescent="0.3">
      <c r="A41" s="48">
        <v>96788908</v>
      </c>
      <c r="B41" s="49" t="s">
        <v>101</v>
      </c>
      <c r="C41" s="49" t="s">
        <v>150</v>
      </c>
      <c r="D41" s="32">
        <f t="shared" ca="1" si="4"/>
        <v>57</v>
      </c>
      <c r="E41" s="32">
        <f t="shared" ca="1" si="3"/>
        <v>88</v>
      </c>
      <c r="F41" s="32">
        <f t="shared" ca="1" si="3"/>
        <v>67</v>
      </c>
      <c r="G41" s="32">
        <f t="shared" ca="1" si="3"/>
        <v>50</v>
      </c>
      <c r="H41" s="32">
        <f t="shared" ca="1" si="3"/>
        <v>64</v>
      </c>
      <c r="I41" s="34">
        <f t="shared" ca="1" si="0"/>
        <v>65.199999999999989</v>
      </c>
      <c r="J41" s="34" t="str">
        <f t="shared" ca="1" si="1"/>
        <v>D</v>
      </c>
      <c r="K41" s="34">
        <f t="shared" ca="1" si="2"/>
        <v>35</v>
      </c>
      <c r="N41" s="164"/>
      <c r="O41" s="164"/>
      <c r="P41" s="164"/>
      <c r="Q41" s="164"/>
      <c r="R41" s="164"/>
      <c r="S41" s="164"/>
      <c r="T41" s="164"/>
      <c r="U41" s="164"/>
    </row>
    <row r="42" spans="1:21" ht="15.6" x14ac:dyDescent="0.3">
      <c r="A42" s="165"/>
      <c r="B42" s="165"/>
      <c r="C42" s="165"/>
      <c r="D42" s="109"/>
      <c r="E42" s="109"/>
      <c r="F42" s="109"/>
      <c r="G42" s="109"/>
      <c r="H42" s="109"/>
      <c r="I42" s="109"/>
      <c r="J42" s="109"/>
      <c r="N42" s="164"/>
      <c r="O42" s="164"/>
      <c r="P42" s="164"/>
      <c r="Q42" s="164"/>
      <c r="R42" s="164"/>
      <c r="S42" s="164"/>
      <c r="T42" s="164"/>
      <c r="U42" s="164"/>
    </row>
    <row r="43" spans="1:21" ht="27.6" x14ac:dyDescent="0.65">
      <c r="A43" s="47" t="s">
        <v>347</v>
      </c>
      <c r="B43" s="46"/>
      <c r="C43" s="109"/>
      <c r="D43" s="109"/>
      <c r="E43" s="109"/>
      <c r="F43" s="340"/>
      <c r="G43" s="340"/>
      <c r="H43" s="340"/>
      <c r="I43" s="109"/>
      <c r="J43" s="109"/>
    </row>
    <row r="44" spans="1:21" ht="14.4" x14ac:dyDescent="0.3">
      <c r="A44" s="45" t="s">
        <v>344</v>
      </c>
      <c r="B44" s="45" t="s">
        <v>343</v>
      </c>
      <c r="C44" s="45" t="s">
        <v>342</v>
      </c>
      <c r="D44" s="45" t="s">
        <v>341</v>
      </c>
      <c r="E44" s="45" t="s">
        <v>340</v>
      </c>
      <c r="F44" s="45" t="s">
        <v>339</v>
      </c>
      <c r="G44" s="45" t="s">
        <v>338</v>
      </c>
      <c r="H44" s="45" t="s">
        <v>337</v>
      </c>
      <c r="I44" s="45" t="s">
        <v>2</v>
      </c>
      <c r="J44" s="45" t="s">
        <v>336</v>
      </c>
      <c r="K44" s="36" t="s">
        <v>383</v>
      </c>
    </row>
    <row r="45" spans="1:21" ht="14.4" x14ac:dyDescent="0.3">
      <c r="A45" s="48">
        <v>28046284</v>
      </c>
      <c r="B45" s="49" t="s">
        <v>80</v>
      </c>
      <c r="C45" s="49" t="s">
        <v>81</v>
      </c>
      <c r="D45" s="44">
        <v>83</v>
      </c>
      <c r="E45" s="33">
        <v>94</v>
      </c>
      <c r="F45" s="44">
        <v>87</v>
      </c>
      <c r="G45" s="44">
        <v>93</v>
      </c>
      <c r="H45" s="44">
        <v>81</v>
      </c>
      <c r="I45" s="44">
        <f>(D45*0.2)+(E45*0.2)+(F45*0.2)+(G45*0.2)+(H45*0.2)</f>
        <v>87.600000000000009</v>
      </c>
      <c r="J45" s="44" t="str">
        <f>_xlfn.IFS(I45&gt;=97, "A+",I45&gt;= 90, "A",I45&gt;=86, "B+", I45&gt;=80, "B",I45&gt;=76, "C+", I45&gt;= 70, "C",I45&gt;= 60, "D",I45&lt; 60, "F")</f>
        <v>B+</v>
      </c>
      <c r="K45" s="34">
        <f>RANK(I45,$I$45:$I$82)</f>
        <v>13</v>
      </c>
    </row>
    <row r="46" spans="1:21" ht="14.4" x14ac:dyDescent="0.3">
      <c r="A46" s="48">
        <v>49517726</v>
      </c>
      <c r="B46" s="49" t="s">
        <v>82</v>
      </c>
      <c r="C46" s="49" t="s">
        <v>83</v>
      </c>
      <c r="D46" s="44">
        <v>87</v>
      </c>
      <c r="E46" s="32">
        <v>83</v>
      </c>
      <c r="F46" s="44">
        <v>86</v>
      </c>
      <c r="G46" s="44">
        <v>94</v>
      </c>
      <c r="H46" s="44">
        <v>71</v>
      </c>
      <c r="I46" s="44">
        <f t="shared" ref="I46:I82" si="5">(D46*0.2)+(E46*0.2)+(F46*0.2)+(G46*0.2)+(H46*0.2)</f>
        <v>84.2</v>
      </c>
      <c r="J46" s="44" t="str">
        <f t="shared" ref="J46:J82" si="6">_xlfn.IFS(I46&gt;=97, "A+",I46&gt;= 90, "A",I46&gt;=86, "B+", I46&gt;=80, "B",I46&gt;=76, "C+", I46&gt;= 70, "C",I46&gt;= 60, "D",I46&lt; 60, "F")</f>
        <v>B</v>
      </c>
      <c r="K46" s="34">
        <f t="shared" ref="K46:K82" si="7">RANK(I46,I46:I83)</f>
        <v>18</v>
      </c>
    </row>
    <row r="47" spans="1:21" ht="14.4" x14ac:dyDescent="0.3">
      <c r="A47" s="48">
        <v>11266789</v>
      </c>
      <c r="B47" s="49" t="s">
        <v>84</v>
      </c>
      <c r="C47" s="49" t="s">
        <v>85</v>
      </c>
      <c r="D47" s="33">
        <v>99</v>
      </c>
      <c r="E47" s="32">
        <v>75</v>
      </c>
      <c r="F47" s="44">
        <v>97</v>
      </c>
      <c r="G47" s="44">
        <v>95</v>
      </c>
      <c r="H47" s="44">
        <v>62</v>
      </c>
      <c r="I47" s="44">
        <f t="shared" si="5"/>
        <v>85.600000000000009</v>
      </c>
      <c r="J47" s="44" t="str">
        <f t="shared" si="6"/>
        <v>B</v>
      </c>
      <c r="K47" s="34">
        <f t="shared" si="7"/>
        <v>17</v>
      </c>
    </row>
    <row r="48" spans="1:21" ht="14.4" x14ac:dyDescent="0.3">
      <c r="A48" s="48">
        <v>31207252</v>
      </c>
      <c r="B48" s="49" t="s">
        <v>86</v>
      </c>
      <c r="C48" s="49" t="s">
        <v>87</v>
      </c>
      <c r="D48" s="32">
        <v>79</v>
      </c>
      <c r="E48" s="44">
        <v>92</v>
      </c>
      <c r="F48" s="44">
        <v>80</v>
      </c>
      <c r="G48" s="44">
        <v>93</v>
      </c>
      <c r="H48" s="44">
        <v>60</v>
      </c>
      <c r="I48" s="44">
        <f t="shared" si="5"/>
        <v>80.800000000000011</v>
      </c>
      <c r="J48" s="44" t="str">
        <f t="shared" si="6"/>
        <v>B</v>
      </c>
      <c r="K48" s="34">
        <f t="shared" si="7"/>
        <v>24</v>
      </c>
    </row>
    <row r="49" spans="1:11" ht="14.4" x14ac:dyDescent="0.3">
      <c r="A49" s="48">
        <v>40941908</v>
      </c>
      <c r="B49" s="49" t="s">
        <v>88</v>
      </c>
      <c r="C49" s="49" t="s">
        <v>89</v>
      </c>
      <c r="D49" s="44">
        <v>84</v>
      </c>
      <c r="E49" s="33">
        <v>98</v>
      </c>
      <c r="F49" s="44">
        <v>84</v>
      </c>
      <c r="G49" s="44">
        <v>91</v>
      </c>
      <c r="H49" s="44">
        <v>61</v>
      </c>
      <c r="I49" s="44">
        <f t="shared" si="5"/>
        <v>83.600000000000009</v>
      </c>
      <c r="J49" s="44" t="str">
        <f t="shared" si="6"/>
        <v>B</v>
      </c>
      <c r="K49" s="34">
        <f t="shared" si="7"/>
        <v>17</v>
      </c>
    </row>
    <row r="50" spans="1:11" ht="14.4" x14ac:dyDescent="0.3">
      <c r="A50" s="48">
        <v>28380069</v>
      </c>
      <c r="B50" s="49" t="s">
        <v>90</v>
      </c>
      <c r="C50" s="49" t="s">
        <v>91</v>
      </c>
      <c r="D50" s="32">
        <v>76</v>
      </c>
      <c r="E50" s="32">
        <v>83</v>
      </c>
      <c r="F50" s="44">
        <v>88</v>
      </c>
      <c r="G50" s="44">
        <v>92</v>
      </c>
      <c r="H50" s="44">
        <v>97</v>
      </c>
      <c r="I50" s="44">
        <f t="shared" si="5"/>
        <v>87.200000000000017</v>
      </c>
      <c r="J50" s="44" t="str">
        <f t="shared" si="6"/>
        <v>B+</v>
      </c>
      <c r="K50" s="34">
        <f t="shared" si="7"/>
        <v>14</v>
      </c>
    </row>
    <row r="51" spans="1:11" ht="14.4" x14ac:dyDescent="0.3">
      <c r="A51" s="48">
        <v>33455570</v>
      </c>
      <c r="B51" s="49" t="s">
        <v>92</v>
      </c>
      <c r="C51" s="49" t="s">
        <v>93</v>
      </c>
      <c r="D51" s="33">
        <v>95</v>
      </c>
      <c r="E51" s="33">
        <v>99</v>
      </c>
      <c r="F51" s="44">
        <v>82</v>
      </c>
      <c r="G51" s="44">
        <v>100</v>
      </c>
      <c r="H51" s="44">
        <v>70</v>
      </c>
      <c r="I51" s="44">
        <f t="shared" si="5"/>
        <v>89.2</v>
      </c>
      <c r="J51" s="44" t="str">
        <f t="shared" si="6"/>
        <v>B+</v>
      </c>
      <c r="K51" s="34">
        <f t="shared" si="7"/>
        <v>8</v>
      </c>
    </row>
    <row r="52" spans="1:11" ht="14.4" x14ac:dyDescent="0.3">
      <c r="A52" s="48">
        <v>52775578</v>
      </c>
      <c r="B52" s="49" t="s">
        <v>94</v>
      </c>
      <c r="C52" s="49" t="s">
        <v>95</v>
      </c>
      <c r="D52" s="33">
        <v>89</v>
      </c>
      <c r="E52" s="32">
        <v>80</v>
      </c>
      <c r="F52" s="44">
        <v>93</v>
      </c>
      <c r="G52" s="44">
        <v>97</v>
      </c>
      <c r="H52" s="44">
        <v>100</v>
      </c>
      <c r="I52" s="44">
        <f t="shared" si="5"/>
        <v>91.8</v>
      </c>
      <c r="J52" s="44" t="str">
        <f t="shared" si="6"/>
        <v>A</v>
      </c>
      <c r="K52" s="34">
        <f t="shared" si="7"/>
        <v>3</v>
      </c>
    </row>
    <row r="53" spans="1:11" ht="14.4" x14ac:dyDescent="0.3">
      <c r="A53" s="48">
        <v>69512922</v>
      </c>
      <c r="B53" s="49" t="s">
        <v>96</v>
      </c>
      <c r="C53" s="49" t="s">
        <v>97</v>
      </c>
      <c r="D53" s="32">
        <v>72</v>
      </c>
      <c r="E53" s="32">
        <v>71</v>
      </c>
      <c r="F53" s="44">
        <v>79</v>
      </c>
      <c r="G53" s="44">
        <v>91</v>
      </c>
      <c r="H53" s="44">
        <v>70</v>
      </c>
      <c r="I53" s="44">
        <f t="shared" si="5"/>
        <v>76.600000000000009</v>
      </c>
      <c r="J53" s="44" t="str">
        <f t="shared" si="6"/>
        <v>C+</v>
      </c>
      <c r="K53" s="34">
        <f t="shared" si="7"/>
        <v>28</v>
      </c>
    </row>
    <row r="54" spans="1:11" ht="14.4" x14ac:dyDescent="0.3">
      <c r="A54" s="48">
        <v>20320994</v>
      </c>
      <c r="B54" s="49" t="s">
        <v>98</v>
      </c>
      <c r="C54" s="49" t="s">
        <v>99</v>
      </c>
      <c r="D54" s="32">
        <v>73</v>
      </c>
      <c r="E54" s="33">
        <v>97</v>
      </c>
      <c r="F54" s="44">
        <v>91</v>
      </c>
      <c r="G54" s="44">
        <v>94</v>
      </c>
      <c r="H54" s="44">
        <v>80</v>
      </c>
      <c r="I54" s="44">
        <f t="shared" si="5"/>
        <v>87</v>
      </c>
      <c r="J54" s="44" t="str">
        <f t="shared" si="6"/>
        <v>B+</v>
      </c>
      <c r="K54" s="34">
        <f t="shared" si="7"/>
        <v>13</v>
      </c>
    </row>
    <row r="55" spans="1:11" ht="14.4" x14ac:dyDescent="0.3">
      <c r="A55" s="48">
        <v>51855406</v>
      </c>
      <c r="B55" s="49" t="s">
        <v>100</v>
      </c>
      <c r="C55" s="49" t="s">
        <v>101</v>
      </c>
      <c r="D55" s="32">
        <v>79</v>
      </c>
      <c r="E55" s="32">
        <v>71</v>
      </c>
      <c r="F55" s="44">
        <v>77</v>
      </c>
      <c r="G55" s="44">
        <v>98</v>
      </c>
      <c r="H55" s="44">
        <v>78</v>
      </c>
      <c r="I55" s="44">
        <f t="shared" si="5"/>
        <v>80.599999999999994</v>
      </c>
      <c r="J55" s="44" t="str">
        <f t="shared" si="6"/>
        <v>B</v>
      </c>
      <c r="K55" s="34">
        <f t="shared" si="7"/>
        <v>22</v>
      </c>
    </row>
    <row r="56" spans="1:11" ht="14.4" x14ac:dyDescent="0.3">
      <c r="A56" s="48">
        <v>22312334</v>
      </c>
      <c r="B56" s="49" t="s">
        <v>102</v>
      </c>
      <c r="C56" s="49" t="s">
        <v>103</v>
      </c>
      <c r="D56" s="32">
        <v>77</v>
      </c>
      <c r="E56" s="32">
        <v>83</v>
      </c>
      <c r="F56" s="44">
        <v>77</v>
      </c>
      <c r="G56" s="44">
        <v>90</v>
      </c>
      <c r="H56" s="44">
        <v>81</v>
      </c>
      <c r="I56" s="44">
        <f t="shared" si="5"/>
        <v>81.600000000000009</v>
      </c>
      <c r="J56" s="44" t="str">
        <f t="shared" si="6"/>
        <v>B</v>
      </c>
      <c r="K56" s="34">
        <f t="shared" si="7"/>
        <v>19</v>
      </c>
    </row>
    <row r="57" spans="1:11" ht="14.4" x14ac:dyDescent="0.3">
      <c r="A57" s="48">
        <v>66173853</v>
      </c>
      <c r="B57" s="49" t="s">
        <v>104</v>
      </c>
      <c r="C57" s="49" t="s">
        <v>105</v>
      </c>
      <c r="D57" s="32">
        <v>77</v>
      </c>
      <c r="E57" s="32">
        <v>76</v>
      </c>
      <c r="F57" s="44">
        <v>82</v>
      </c>
      <c r="G57" s="44">
        <v>97</v>
      </c>
      <c r="H57" s="44">
        <v>86</v>
      </c>
      <c r="I57" s="44">
        <f t="shared" si="5"/>
        <v>83.600000000000009</v>
      </c>
      <c r="J57" s="44" t="str">
        <f t="shared" si="6"/>
        <v>B</v>
      </c>
      <c r="K57" s="34">
        <f t="shared" si="7"/>
        <v>16</v>
      </c>
    </row>
    <row r="58" spans="1:11" ht="14.4" x14ac:dyDescent="0.3">
      <c r="A58" s="48">
        <v>46774911</v>
      </c>
      <c r="B58" s="49" t="s">
        <v>20</v>
      </c>
      <c r="C58" s="49" t="s">
        <v>106</v>
      </c>
      <c r="D58" s="33">
        <v>95</v>
      </c>
      <c r="E58" s="33">
        <v>97</v>
      </c>
      <c r="F58" s="44">
        <v>92</v>
      </c>
      <c r="G58" s="44">
        <v>92</v>
      </c>
      <c r="H58" s="44">
        <v>67</v>
      </c>
      <c r="I58" s="44">
        <f t="shared" si="5"/>
        <v>88.600000000000023</v>
      </c>
      <c r="J58" s="44" t="str">
        <f t="shared" si="6"/>
        <v>B+</v>
      </c>
      <c r="K58" s="34">
        <f t="shared" si="7"/>
        <v>10</v>
      </c>
    </row>
    <row r="59" spans="1:11" ht="14.4" x14ac:dyDescent="0.3">
      <c r="A59" s="48">
        <v>88099789</v>
      </c>
      <c r="B59" s="49" t="s">
        <v>107</v>
      </c>
      <c r="C59" s="49" t="s">
        <v>108</v>
      </c>
      <c r="D59" s="33">
        <v>94</v>
      </c>
      <c r="E59" s="32">
        <v>78</v>
      </c>
      <c r="F59" s="44">
        <v>94</v>
      </c>
      <c r="G59" s="44">
        <v>100</v>
      </c>
      <c r="H59" s="44">
        <v>96</v>
      </c>
      <c r="I59" s="44">
        <f t="shared" si="5"/>
        <v>92.4</v>
      </c>
      <c r="J59" s="44" t="str">
        <f t="shared" si="6"/>
        <v>A</v>
      </c>
      <c r="K59" s="34">
        <f t="shared" si="7"/>
        <v>3</v>
      </c>
    </row>
    <row r="60" spans="1:11" ht="14.4" x14ac:dyDescent="0.3">
      <c r="A60" s="48">
        <v>21171011</v>
      </c>
      <c r="B60" s="49" t="s">
        <v>109</v>
      </c>
      <c r="C60" s="49" t="s">
        <v>110</v>
      </c>
      <c r="D60" s="32">
        <v>71</v>
      </c>
      <c r="E60" s="33">
        <v>99</v>
      </c>
      <c r="F60" s="44">
        <v>87</v>
      </c>
      <c r="G60" s="44">
        <v>96</v>
      </c>
      <c r="H60" s="44">
        <v>88</v>
      </c>
      <c r="I60" s="44">
        <f t="shared" si="5"/>
        <v>88.200000000000017</v>
      </c>
      <c r="J60" s="44" t="str">
        <f t="shared" si="6"/>
        <v>B+</v>
      </c>
      <c r="K60" s="34">
        <f t="shared" si="7"/>
        <v>10</v>
      </c>
    </row>
    <row r="61" spans="1:11" ht="14.4" x14ac:dyDescent="0.3">
      <c r="A61" s="48">
        <v>56229618</v>
      </c>
      <c r="B61" s="49" t="s">
        <v>111</v>
      </c>
      <c r="C61" s="49" t="s">
        <v>112</v>
      </c>
      <c r="D61" s="32">
        <v>82</v>
      </c>
      <c r="E61" s="33">
        <v>100</v>
      </c>
      <c r="F61" s="44">
        <v>95</v>
      </c>
      <c r="G61" s="44">
        <v>100</v>
      </c>
      <c r="H61" s="44">
        <v>64</v>
      </c>
      <c r="I61" s="44">
        <f t="shared" si="5"/>
        <v>88.2</v>
      </c>
      <c r="J61" s="44" t="str">
        <f t="shared" si="6"/>
        <v>B+</v>
      </c>
      <c r="K61" s="34">
        <f t="shared" si="7"/>
        <v>10</v>
      </c>
    </row>
    <row r="62" spans="1:11" ht="14.4" x14ac:dyDescent="0.3">
      <c r="A62" s="48">
        <v>24895680</v>
      </c>
      <c r="B62" s="49" t="s">
        <v>113</v>
      </c>
      <c r="C62" s="49" t="s">
        <v>114</v>
      </c>
      <c r="D62" s="33">
        <v>94</v>
      </c>
      <c r="E62" s="32">
        <v>72</v>
      </c>
      <c r="F62" s="44">
        <v>78</v>
      </c>
      <c r="G62" s="44">
        <v>93</v>
      </c>
      <c r="H62" s="44">
        <v>81</v>
      </c>
      <c r="I62" s="44">
        <f t="shared" si="5"/>
        <v>83.600000000000009</v>
      </c>
      <c r="J62" s="44" t="str">
        <f t="shared" si="6"/>
        <v>B</v>
      </c>
      <c r="K62" s="34">
        <f t="shared" si="7"/>
        <v>17</v>
      </c>
    </row>
    <row r="63" spans="1:11" ht="14.4" x14ac:dyDescent="0.3">
      <c r="A63" s="48">
        <v>24074179</v>
      </c>
      <c r="B63" s="49" t="s">
        <v>115</v>
      </c>
      <c r="C63" s="49" t="s">
        <v>116</v>
      </c>
      <c r="D63" s="33">
        <v>100</v>
      </c>
      <c r="E63" s="33">
        <v>94</v>
      </c>
      <c r="F63" s="44">
        <v>92</v>
      </c>
      <c r="G63" s="44">
        <v>92</v>
      </c>
      <c r="H63" s="44">
        <v>85</v>
      </c>
      <c r="I63" s="44">
        <f t="shared" si="5"/>
        <v>92.600000000000009</v>
      </c>
      <c r="J63" s="44" t="str">
        <f t="shared" si="6"/>
        <v>A</v>
      </c>
      <c r="K63" s="34">
        <f t="shared" si="7"/>
        <v>1</v>
      </c>
    </row>
    <row r="64" spans="1:11" ht="14.4" x14ac:dyDescent="0.3">
      <c r="A64" s="48">
        <v>14100297</v>
      </c>
      <c r="B64" s="49" t="s">
        <v>117</v>
      </c>
      <c r="C64" s="49" t="s">
        <v>118</v>
      </c>
      <c r="D64" s="33">
        <v>89</v>
      </c>
      <c r="E64" s="32">
        <v>83</v>
      </c>
      <c r="F64" s="44">
        <v>84</v>
      </c>
      <c r="G64" s="44">
        <v>90</v>
      </c>
      <c r="H64" s="44">
        <v>63</v>
      </c>
      <c r="I64" s="44">
        <f t="shared" si="5"/>
        <v>81.800000000000011</v>
      </c>
      <c r="J64" s="44" t="str">
        <f t="shared" si="6"/>
        <v>B</v>
      </c>
      <c r="K64" s="34">
        <f t="shared" si="7"/>
        <v>17</v>
      </c>
    </row>
    <row r="65" spans="1:11" ht="14.4" x14ac:dyDescent="0.3">
      <c r="A65" s="48">
        <v>47953857</v>
      </c>
      <c r="B65" s="49" t="s">
        <v>82</v>
      </c>
      <c r="C65" s="49" t="s">
        <v>119</v>
      </c>
      <c r="D65" s="33">
        <v>100</v>
      </c>
      <c r="E65" s="33">
        <v>96</v>
      </c>
      <c r="F65" s="44">
        <v>83</v>
      </c>
      <c r="G65" s="44">
        <v>96</v>
      </c>
      <c r="H65" s="44">
        <v>75</v>
      </c>
      <c r="I65" s="44">
        <f t="shared" si="5"/>
        <v>90</v>
      </c>
      <c r="J65" s="44" t="str">
        <f t="shared" si="6"/>
        <v>A</v>
      </c>
      <c r="K65" s="34">
        <f t="shared" si="7"/>
        <v>5</v>
      </c>
    </row>
    <row r="66" spans="1:11" ht="14.4" x14ac:dyDescent="0.3">
      <c r="A66" s="48">
        <v>61870635</v>
      </c>
      <c r="B66" s="49" t="s">
        <v>120</v>
      </c>
      <c r="C66" s="49" t="s">
        <v>121</v>
      </c>
      <c r="D66" s="33">
        <v>93</v>
      </c>
      <c r="E66" s="32">
        <v>80</v>
      </c>
      <c r="F66" s="44">
        <v>79</v>
      </c>
      <c r="G66" s="44">
        <v>98</v>
      </c>
      <c r="H66" s="44">
        <v>88</v>
      </c>
      <c r="I66" s="44">
        <f t="shared" si="5"/>
        <v>87.6</v>
      </c>
      <c r="J66" s="44" t="str">
        <f t="shared" si="6"/>
        <v>B+</v>
      </c>
      <c r="K66" s="34">
        <f t="shared" si="7"/>
        <v>10</v>
      </c>
    </row>
    <row r="67" spans="1:11" ht="14.4" x14ac:dyDescent="0.3">
      <c r="A67" s="48">
        <v>30476018</v>
      </c>
      <c r="B67" s="49" t="s">
        <v>122</v>
      </c>
      <c r="C67" s="49" t="s">
        <v>123</v>
      </c>
      <c r="D67" s="44">
        <v>86</v>
      </c>
      <c r="E67" s="44">
        <v>87</v>
      </c>
      <c r="F67" s="44">
        <v>97</v>
      </c>
      <c r="G67" s="44">
        <v>92</v>
      </c>
      <c r="H67" s="44">
        <v>83</v>
      </c>
      <c r="I67" s="44">
        <f t="shared" si="5"/>
        <v>89</v>
      </c>
      <c r="J67" s="44" t="str">
        <f t="shared" si="6"/>
        <v>B+</v>
      </c>
      <c r="K67" s="34">
        <f t="shared" si="7"/>
        <v>7</v>
      </c>
    </row>
    <row r="68" spans="1:11" ht="14.4" x14ac:dyDescent="0.3">
      <c r="A68" s="48">
        <v>29169845</v>
      </c>
      <c r="B68" s="49" t="s">
        <v>124</v>
      </c>
      <c r="C68" s="49" t="s">
        <v>125</v>
      </c>
      <c r="D68" s="44">
        <v>83</v>
      </c>
      <c r="E68" s="33">
        <v>100</v>
      </c>
      <c r="F68" s="44">
        <v>97</v>
      </c>
      <c r="G68" s="44">
        <v>100</v>
      </c>
      <c r="H68" s="44">
        <v>71</v>
      </c>
      <c r="I68" s="44">
        <f t="shared" si="5"/>
        <v>90.2</v>
      </c>
      <c r="J68" s="44" t="str">
        <f t="shared" si="6"/>
        <v>A</v>
      </c>
      <c r="K68" s="34">
        <f t="shared" si="7"/>
        <v>4</v>
      </c>
    </row>
    <row r="69" spans="1:11" ht="14.4" x14ac:dyDescent="0.3">
      <c r="A69" s="48">
        <v>31920733</v>
      </c>
      <c r="B69" s="49" t="s">
        <v>126</v>
      </c>
      <c r="C69" s="49" t="s">
        <v>127</v>
      </c>
      <c r="D69" s="32">
        <v>77</v>
      </c>
      <c r="E69" s="32">
        <v>75</v>
      </c>
      <c r="F69" s="44">
        <v>91</v>
      </c>
      <c r="G69" s="44">
        <v>97</v>
      </c>
      <c r="H69" s="44">
        <v>89</v>
      </c>
      <c r="I69" s="44">
        <f t="shared" si="5"/>
        <v>85.8</v>
      </c>
      <c r="J69" s="44" t="str">
        <f t="shared" si="6"/>
        <v>B</v>
      </c>
      <c r="K69" s="34">
        <f t="shared" si="7"/>
        <v>11</v>
      </c>
    </row>
    <row r="70" spans="1:11" ht="14.4" x14ac:dyDescent="0.3">
      <c r="A70" s="48">
        <v>59135219</v>
      </c>
      <c r="B70" s="49" t="s">
        <v>128</v>
      </c>
      <c r="C70" s="49" t="s">
        <v>129</v>
      </c>
      <c r="D70" s="32">
        <v>79</v>
      </c>
      <c r="E70" s="32">
        <v>81</v>
      </c>
      <c r="F70" s="32">
        <v>77</v>
      </c>
      <c r="G70" s="32">
        <v>81</v>
      </c>
      <c r="H70" s="32">
        <v>56</v>
      </c>
      <c r="I70" s="44">
        <f t="shared" si="5"/>
        <v>74.8</v>
      </c>
      <c r="J70" s="44" t="str">
        <f t="shared" si="6"/>
        <v>C</v>
      </c>
      <c r="K70" s="34">
        <f t="shared" si="7"/>
        <v>29</v>
      </c>
    </row>
    <row r="71" spans="1:11" ht="14.4" x14ac:dyDescent="0.3">
      <c r="A71" s="48">
        <v>29617570</v>
      </c>
      <c r="B71" s="49" t="s">
        <v>130</v>
      </c>
      <c r="C71" s="49" t="s">
        <v>131</v>
      </c>
      <c r="D71" s="32">
        <v>61</v>
      </c>
      <c r="E71" s="32">
        <v>86</v>
      </c>
      <c r="F71" s="32">
        <v>62</v>
      </c>
      <c r="G71" s="32">
        <v>81</v>
      </c>
      <c r="H71" s="32">
        <v>83</v>
      </c>
      <c r="I71" s="44">
        <f t="shared" si="5"/>
        <v>74.599999999999994</v>
      </c>
      <c r="J71" s="44" t="str">
        <f t="shared" si="6"/>
        <v>C</v>
      </c>
      <c r="K71" s="34">
        <f t="shared" si="7"/>
        <v>31</v>
      </c>
    </row>
    <row r="72" spans="1:11" ht="14.4" x14ac:dyDescent="0.3">
      <c r="A72" s="48">
        <v>41604417</v>
      </c>
      <c r="B72" s="49" t="s">
        <v>132</v>
      </c>
      <c r="C72" s="49" t="s">
        <v>133</v>
      </c>
      <c r="D72" s="32">
        <v>76</v>
      </c>
      <c r="E72" s="32">
        <v>73</v>
      </c>
      <c r="F72" s="32">
        <v>86</v>
      </c>
      <c r="G72" s="32">
        <v>80</v>
      </c>
      <c r="H72" s="32">
        <v>95</v>
      </c>
      <c r="I72" s="44">
        <f t="shared" si="5"/>
        <v>82</v>
      </c>
      <c r="J72" s="44" t="str">
        <f t="shared" si="6"/>
        <v>B</v>
      </c>
      <c r="K72" s="34">
        <f t="shared" si="7"/>
        <v>16</v>
      </c>
    </row>
    <row r="73" spans="1:11" ht="14.4" x14ac:dyDescent="0.3">
      <c r="A73" s="48">
        <v>67642835</v>
      </c>
      <c r="B73" s="49" t="s">
        <v>134</v>
      </c>
      <c r="C73" s="49" t="s">
        <v>135</v>
      </c>
      <c r="D73" s="32">
        <v>79</v>
      </c>
      <c r="E73" s="32">
        <v>93</v>
      </c>
      <c r="F73" s="32">
        <v>78</v>
      </c>
      <c r="G73" s="32">
        <v>93</v>
      </c>
      <c r="H73" s="32">
        <v>65</v>
      </c>
      <c r="I73" s="44">
        <f t="shared" si="5"/>
        <v>81.600000000000009</v>
      </c>
      <c r="J73" s="44" t="str">
        <f t="shared" si="6"/>
        <v>B</v>
      </c>
      <c r="K73" s="34">
        <f t="shared" si="7"/>
        <v>17</v>
      </c>
    </row>
    <row r="74" spans="1:11" ht="14.4" x14ac:dyDescent="0.3">
      <c r="A74" s="48">
        <v>65777672</v>
      </c>
      <c r="B74" s="49" t="s">
        <v>136</v>
      </c>
      <c r="C74" s="49" t="s">
        <v>137</v>
      </c>
      <c r="D74" s="32">
        <v>69</v>
      </c>
      <c r="E74" s="32">
        <v>74</v>
      </c>
      <c r="F74" s="32">
        <v>67</v>
      </c>
      <c r="G74" s="32">
        <v>74</v>
      </c>
      <c r="H74" s="32">
        <v>70</v>
      </c>
      <c r="I74" s="44">
        <f t="shared" si="5"/>
        <v>70.8</v>
      </c>
      <c r="J74" s="44" t="str">
        <f t="shared" si="6"/>
        <v>C</v>
      </c>
      <c r="K74" s="34">
        <f t="shared" si="7"/>
        <v>33</v>
      </c>
    </row>
    <row r="75" spans="1:11" ht="14.4" x14ac:dyDescent="0.3">
      <c r="A75" s="48">
        <v>57031215</v>
      </c>
      <c r="B75" s="49" t="s">
        <v>138</v>
      </c>
      <c r="C75" s="49" t="s">
        <v>139</v>
      </c>
      <c r="D75" s="32">
        <v>68</v>
      </c>
      <c r="E75" s="32">
        <v>72</v>
      </c>
      <c r="F75" s="32">
        <v>90</v>
      </c>
      <c r="G75" s="32">
        <v>98</v>
      </c>
      <c r="H75" s="32">
        <v>70</v>
      </c>
      <c r="I75" s="44">
        <f t="shared" si="5"/>
        <v>79.599999999999994</v>
      </c>
      <c r="J75" s="44" t="str">
        <f t="shared" si="6"/>
        <v>C+</v>
      </c>
      <c r="K75" s="34">
        <f t="shared" si="7"/>
        <v>21</v>
      </c>
    </row>
    <row r="76" spans="1:11" ht="14.4" x14ac:dyDescent="0.3">
      <c r="A76" s="48">
        <v>14679298</v>
      </c>
      <c r="B76" s="49" t="s">
        <v>140</v>
      </c>
      <c r="C76" s="49" t="s">
        <v>141</v>
      </c>
      <c r="D76" s="32">
        <v>86</v>
      </c>
      <c r="E76" s="32">
        <v>92</v>
      </c>
      <c r="F76" s="32">
        <v>72</v>
      </c>
      <c r="G76" s="32">
        <v>53</v>
      </c>
      <c r="H76" s="32">
        <v>92</v>
      </c>
      <c r="I76" s="44">
        <f t="shared" si="5"/>
        <v>79</v>
      </c>
      <c r="J76" s="44" t="str">
        <f t="shared" si="6"/>
        <v>C+</v>
      </c>
      <c r="K76" s="34">
        <f t="shared" si="7"/>
        <v>24</v>
      </c>
    </row>
    <row r="77" spans="1:11" ht="14.4" x14ac:dyDescent="0.3">
      <c r="A77" s="48">
        <v>26610470</v>
      </c>
      <c r="B77" s="49" t="s">
        <v>32</v>
      </c>
      <c r="C77" s="49" t="s">
        <v>142</v>
      </c>
      <c r="D77" s="32">
        <v>64</v>
      </c>
      <c r="E77" s="32">
        <v>64</v>
      </c>
      <c r="F77" s="32">
        <v>59</v>
      </c>
      <c r="G77" s="32">
        <v>100</v>
      </c>
      <c r="H77" s="32">
        <v>86</v>
      </c>
      <c r="I77" s="44">
        <f t="shared" si="5"/>
        <v>74.600000000000009</v>
      </c>
      <c r="J77" s="44" t="str">
        <f t="shared" si="6"/>
        <v>C</v>
      </c>
      <c r="K77" s="34">
        <f t="shared" si="7"/>
        <v>30</v>
      </c>
    </row>
    <row r="78" spans="1:11" ht="14.4" x14ac:dyDescent="0.3">
      <c r="A78" s="48">
        <v>39378097</v>
      </c>
      <c r="B78" s="49" t="s">
        <v>143</v>
      </c>
      <c r="C78" s="49" t="s">
        <v>144</v>
      </c>
      <c r="D78" s="32">
        <v>96</v>
      </c>
      <c r="E78" s="32">
        <v>85</v>
      </c>
      <c r="F78" s="32">
        <v>63</v>
      </c>
      <c r="G78" s="32">
        <v>77</v>
      </c>
      <c r="H78" s="32">
        <v>62</v>
      </c>
      <c r="I78" s="44">
        <f t="shared" si="5"/>
        <v>76.600000000000009</v>
      </c>
      <c r="J78" s="44" t="str">
        <f t="shared" si="6"/>
        <v>C+</v>
      </c>
      <c r="K78" s="34">
        <f t="shared" si="7"/>
        <v>28</v>
      </c>
    </row>
    <row r="79" spans="1:11" ht="14.4" x14ac:dyDescent="0.3">
      <c r="A79" s="48">
        <v>12255678</v>
      </c>
      <c r="B79" s="49" t="s">
        <v>145</v>
      </c>
      <c r="C79" s="49" t="s">
        <v>146</v>
      </c>
      <c r="D79" s="32">
        <v>100</v>
      </c>
      <c r="E79" s="32">
        <v>91</v>
      </c>
      <c r="F79" s="32">
        <v>73</v>
      </c>
      <c r="G79" s="32">
        <v>85</v>
      </c>
      <c r="H79" s="32">
        <v>94</v>
      </c>
      <c r="I79" s="44">
        <f t="shared" si="5"/>
        <v>88.600000000000009</v>
      </c>
      <c r="J79" s="44" t="str">
        <f t="shared" si="6"/>
        <v>B+</v>
      </c>
      <c r="K79" s="34">
        <f t="shared" si="7"/>
        <v>8</v>
      </c>
    </row>
    <row r="80" spans="1:11" ht="14.4" x14ac:dyDescent="0.3">
      <c r="A80" s="48">
        <v>23300401</v>
      </c>
      <c r="B80" s="49" t="s">
        <v>147</v>
      </c>
      <c r="C80" s="49" t="s">
        <v>148</v>
      </c>
      <c r="D80" s="32">
        <v>81</v>
      </c>
      <c r="E80" s="32">
        <v>100</v>
      </c>
      <c r="F80" s="32">
        <v>70</v>
      </c>
      <c r="G80" s="32">
        <v>50</v>
      </c>
      <c r="H80" s="32">
        <v>99</v>
      </c>
      <c r="I80" s="44">
        <f t="shared" si="5"/>
        <v>80</v>
      </c>
      <c r="J80" s="44" t="str">
        <f t="shared" si="6"/>
        <v>B</v>
      </c>
      <c r="K80" s="34">
        <f t="shared" si="7"/>
        <v>19</v>
      </c>
    </row>
    <row r="81" spans="1:11" ht="14.4" x14ac:dyDescent="0.3">
      <c r="A81" s="48">
        <v>73797335</v>
      </c>
      <c r="B81" s="49" t="s">
        <v>102</v>
      </c>
      <c r="C81" s="49" t="s">
        <v>149</v>
      </c>
      <c r="D81" s="32">
        <v>83</v>
      </c>
      <c r="E81" s="32">
        <v>70</v>
      </c>
      <c r="F81" s="32">
        <v>88</v>
      </c>
      <c r="G81" s="32">
        <v>60</v>
      </c>
      <c r="H81" s="32">
        <v>95</v>
      </c>
      <c r="I81" s="44">
        <f t="shared" si="5"/>
        <v>79.2</v>
      </c>
      <c r="J81" s="44" t="str">
        <f t="shared" si="6"/>
        <v>C+</v>
      </c>
      <c r="K81" s="34">
        <f t="shared" si="7"/>
        <v>22</v>
      </c>
    </row>
    <row r="82" spans="1:11" ht="14.4" x14ac:dyDescent="0.3">
      <c r="A82" s="159">
        <v>96788908</v>
      </c>
      <c r="B82" s="160" t="s">
        <v>101</v>
      </c>
      <c r="C82" s="160" t="s">
        <v>150</v>
      </c>
      <c r="D82" s="161">
        <v>80</v>
      </c>
      <c r="E82" s="161">
        <v>91</v>
      </c>
      <c r="F82" s="161">
        <v>92</v>
      </c>
      <c r="G82" s="161">
        <v>86</v>
      </c>
      <c r="H82" s="161">
        <v>97</v>
      </c>
      <c r="I82" s="166">
        <f t="shared" si="5"/>
        <v>89.200000000000017</v>
      </c>
      <c r="J82" s="166" t="str">
        <f t="shared" si="6"/>
        <v>B+</v>
      </c>
      <c r="K82" s="35">
        <f t="shared" si="7"/>
        <v>6</v>
      </c>
    </row>
    <row r="83" spans="1:11" ht="14.4" x14ac:dyDescent="0.3">
      <c r="A83" s="157"/>
      <c r="B83" s="157"/>
      <c r="C83" s="157"/>
      <c r="D83" s="158"/>
      <c r="E83" s="158"/>
      <c r="F83" s="157"/>
      <c r="G83" s="157"/>
      <c r="H83" s="157"/>
      <c r="I83" s="157"/>
      <c r="J83" s="157"/>
    </row>
    <row r="84" spans="1:11" ht="14.4" x14ac:dyDescent="0.3">
      <c r="A84" s="157"/>
      <c r="B84" s="157"/>
      <c r="C84" s="157"/>
      <c r="D84" s="158"/>
      <c r="E84" s="158"/>
      <c r="F84" s="157"/>
      <c r="G84" s="157"/>
      <c r="H84" s="157"/>
      <c r="I84" s="157"/>
      <c r="J84" s="157"/>
    </row>
    <row r="85" spans="1:11" ht="14.4" x14ac:dyDescent="0.3">
      <c r="A85" s="50"/>
      <c r="B85" s="50"/>
      <c r="C85" s="109"/>
      <c r="D85" s="109"/>
      <c r="E85" s="109"/>
      <c r="F85" s="339"/>
      <c r="G85" s="339"/>
      <c r="H85" s="339"/>
      <c r="I85" s="109"/>
      <c r="J85" s="109"/>
    </row>
    <row r="86" spans="1:11" ht="27.6" x14ac:dyDescent="0.65">
      <c r="A86" s="43" t="s">
        <v>346</v>
      </c>
      <c r="B86" s="42"/>
      <c r="C86" s="109"/>
      <c r="D86" s="109"/>
      <c r="E86" s="109"/>
      <c r="F86" s="340"/>
      <c r="G86" s="340"/>
      <c r="H86" s="340"/>
      <c r="I86" s="109"/>
      <c r="J86" s="109"/>
    </row>
    <row r="87" spans="1:11" ht="14.4" x14ac:dyDescent="0.3">
      <c r="A87" s="41" t="s">
        <v>344</v>
      </c>
      <c r="B87" s="41" t="s">
        <v>343</v>
      </c>
      <c r="C87" s="41" t="s">
        <v>342</v>
      </c>
      <c r="D87" s="41" t="s">
        <v>341</v>
      </c>
      <c r="E87" s="41" t="s">
        <v>340</v>
      </c>
      <c r="F87" s="41" t="s">
        <v>339</v>
      </c>
      <c r="G87" s="41" t="s">
        <v>338</v>
      </c>
      <c r="H87" s="41" t="s">
        <v>337</v>
      </c>
      <c r="I87" s="41" t="s">
        <v>2</v>
      </c>
      <c r="J87" s="41" t="s">
        <v>336</v>
      </c>
      <c r="K87" s="36" t="s">
        <v>383</v>
      </c>
    </row>
    <row r="88" spans="1:11" ht="14.4" x14ac:dyDescent="0.3">
      <c r="A88" s="48">
        <v>28046284</v>
      </c>
      <c r="B88" s="49" t="s">
        <v>80</v>
      </c>
      <c r="C88" s="49" t="s">
        <v>81</v>
      </c>
      <c r="D88" s="40">
        <v>79</v>
      </c>
      <c r="E88" s="33">
        <v>92</v>
      </c>
      <c r="F88" s="40">
        <v>86</v>
      </c>
      <c r="G88" s="40">
        <v>99</v>
      </c>
      <c r="H88" s="40">
        <v>99</v>
      </c>
      <c r="I88" s="40">
        <f>(D88*0.2)+(E88*0.2)+(F88*0.2)+(G88*0.2)+(H88*0.2)</f>
        <v>91</v>
      </c>
      <c r="J88" s="40" t="str">
        <f>_xlfn.IFS(I88&gt;=97, "A+",I88&gt;= 90, "A",I88&gt;=86, "B+", I88&gt;=80, "B",I88&gt;=76, "C+", I88&gt;= 70, "C",I88&gt;= 60, "D",I88&lt; 60, "F")</f>
        <v>A</v>
      </c>
      <c r="K88" s="34">
        <f>RANK(I88,I88:I125)</f>
        <v>3</v>
      </c>
    </row>
    <row r="89" spans="1:11" ht="14.4" x14ac:dyDescent="0.3">
      <c r="A89" s="48">
        <v>49517726</v>
      </c>
      <c r="B89" s="49" t="s">
        <v>82</v>
      </c>
      <c r="C89" s="49" t="s">
        <v>83</v>
      </c>
      <c r="D89" s="32">
        <v>56</v>
      </c>
      <c r="E89" s="40">
        <v>70</v>
      </c>
      <c r="F89" s="40">
        <v>80</v>
      </c>
      <c r="G89" s="40">
        <v>90</v>
      </c>
      <c r="H89" s="40">
        <v>95</v>
      </c>
      <c r="I89" s="40">
        <f t="shared" ref="I89:I125" si="8">(D89*0.2)+(E89*0.2)+(F89*0.2)+(G89*0.2)+(H89*0.2)</f>
        <v>78.2</v>
      </c>
      <c r="J89" s="40" t="str">
        <f t="shared" ref="J89:J125" si="9">_xlfn.IFS(I89&gt;=97, "A+",I89&gt;= 90, "A",I89&gt;=86, "B+", I89&gt;=80, "B",I89&gt;=76, "C+", I89&gt;= 70, "C",I89&gt;= 60, "D",I89&lt; 60, "F")</f>
        <v>C+</v>
      </c>
      <c r="K89" s="34">
        <f t="shared" ref="K89:K125" si="10">RANK(I89,I89:I126)</f>
        <v>22</v>
      </c>
    </row>
    <row r="90" spans="1:11" ht="14.4" x14ac:dyDescent="0.3">
      <c r="A90" s="48">
        <v>11266789</v>
      </c>
      <c r="B90" s="49" t="s">
        <v>84</v>
      </c>
      <c r="C90" s="49" t="s">
        <v>85</v>
      </c>
      <c r="D90" s="40">
        <v>76</v>
      </c>
      <c r="E90" s="40">
        <v>69</v>
      </c>
      <c r="F90" s="40">
        <v>95</v>
      </c>
      <c r="G90" s="40">
        <v>88</v>
      </c>
      <c r="H90" s="40">
        <v>79</v>
      </c>
      <c r="I90" s="40">
        <f t="shared" si="8"/>
        <v>81.399999999999991</v>
      </c>
      <c r="J90" s="40" t="str">
        <f t="shared" si="9"/>
        <v>B</v>
      </c>
      <c r="K90" s="34">
        <f t="shared" si="10"/>
        <v>16</v>
      </c>
    </row>
    <row r="91" spans="1:11" ht="14.4" x14ac:dyDescent="0.3">
      <c r="A91" s="48">
        <v>31207252</v>
      </c>
      <c r="B91" s="49" t="s">
        <v>86</v>
      </c>
      <c r="C91" s="49" t="s">
        <v>87</v>
      </c>
      <c r="D91" s="32">
        <v>50</v>
      </c>
      <c r="E91" s="32">
        <v>50</v>
      </c>
      <c r="F91" s="40">
        <v>100</v>
      </c>
      <c r="G91" s="40">
        <v>96</v>
      </c>
      <c r="H91" s="40">
        <v>97</v>
      </c>
      <c r="I91" s="40">
        <f t="shared" si="8"/>
        <v>78.600000000000009</v>
      </c>
      <c r="J91" s="40" t="str">
        <f t="shared" si="9"/>
        <v>C+</v>
      </c>
      <c r="K91" s="34">
        <f t="shared" si="10"/>
        <v>20</v>
      </c>
    </row>
    <row r="92" spans="1:11" ht="14.4" x14ac:dyDescent="0.3">
      <c r="A92" s="48">
        <v>40941908</v>
      </c>
      <c r="B92" s="49" t="s">
        <v>88</v>
      </c>
      <c r="C92" s="49" t="s">
        <v>89</v>
      </c>
      <c r="D92" s="33">
        <v>96</v>
      </c>
      <c r="E92" s="33">
        <v>96</v>
      </c>
      <c r="F92" s="40">
        <v>88</v>
      </c>
      <c r="G92" s="40">
        <v>88</v>
      </c>
      <c r="H92" s="40">
        <v>89</v>
      </c>
      <c r="I92" s="40">
        <f t="shared" si="8"/>
        <v>91.4</v>
      </c>
      <c r="J92" s="40" t="str">
        <f t="shared" si="9"/>
        <v>A</v>
      </c>
      <c r="K92" s="34">
        <f t="shared" si="10"/>
        <v>2</v>
      </c>
    </row>
    <row r="93" spans="1:11" ht="14.4" x14ac:dyDescent="0.3">
      <c r="A93" s="48">
        <v>28380069</v>
      </c>
      <c r="B93" s="49" t="s">
        <v>90</v>
      </c>
      <c r="C93" s="49" t="s">
        <v>91</v>
      </c>
      <c r="D93" s="32">
        <v>50</v>
      </c>
      <c r="E93" s="32">
        <v>52</v>
      </c>
      <c r="F93" s="40">
        <v>98</v>
      </c>
      <c r="G93" s="40">
        <v>98</v>
      </c>
      <c r="H93" s="40">
        <v>74</v>
      </c>
      <c r="I93" s="40">
        <f t="shared" si="8"/>
        <v>74.400000000000006</v>
      </c>
      <c r="J93" s="40" t="str">
        <f t="shared" si="9"/>
        <v>C</v>
      </c>
      <c r="K93" s="34">
        <f t="shared" si="10"/>
        <v>26</v>
      </c>
    </row>
    <row r="94" spans="1:11" ht="14.4" x14ac:dyDescent="0.3">
      <c r="A94" s="48">
        <v>33455570</v>
      </c>
      <c r="B94" s="49" t="s">
        <v>92</v>
      </c>
      <c r="C94" s="49" t="s">
        <v>93</v>
      </c>
      <c r="D94" s="40">
        <v>82</v>
      </c>
      <c r="E94" s="33">
        <v>95</v>
      </c>
      <c r="F94" s="40">
        <v>97</v>
      </c>
      <c r="G94" s="40">
        <v>90</v>
      </c>
      <c r="H94" s="40">
        <v>99</v>
      </c>
      <c r="I94" s="40">
        <f t="shared" si="8"/>
        <v>92.600000000000009</v>
      </c>
      <c r="J94" s="40" t="str">
        <f t="shared" si="9"/>
        <v>A</v>
      </c>
      <c r="K94" s="34">
        <f t="shared" si="10"/>
        <v>1</v>
      </c>
    </row>
    <row r="95" spans="1:11" ht="14.4" x14ac:dyDescent="0.3">
      <c r="A95" s="48">
        <v>52775578</v>
      </c>
      <c r="B95" s="49" t="s">
        <v>94</v>
      </c>
      <c r="C95" s="49" t="s">
        <v>95</v>
      </c>
      <c r="D95" s="33">
        <v>94</v>
      </c>
      <c r="E95" s="40">
        <v>71</v>
      </c>
      <c r="F95" s="40">
        <v>94</v>
      </c>
      <c r="G95" s="40">
        <v>88</v>
      </c>
      <c r="H95" s="40">
        <v>91</v>
      </c>
      <c r="I95" s="40">
        <f t="shared" si="8"/>
        <v>87.600000000000009</v>
      </c>
      <c r="J95" s="40" t="str">
        <f t="shared" si="9"/>
        <v>B+</v>
      </c>
      <c r="K95" s="34">
        <f t="shared" si="10"/>
        <v>5</v>
      </c>
    </row>
    <row r="96" spans="1:11" ht="14.4" x14ac:dyDescent="0.3">
      <c r="A96" s="48">
        <v>69512922</v>
      </c>
      <c r="B96" s="49" t="s">
        <v>96</v>
      </c>
      <c r="C96" s="49" t="s">
        <v>97</v>
      </c>
      <c r="D96" s="33">
        <v>94</v>
      </c>
      <c r="E96" s="32">
        <v>61</v>
      </c>
      <c r="F96" s="40">
        <v>84</v>
      </c>
      <c r="G96" s="40">
        <v>93</v>
      </c>
      <c r="H96" s="40">
        <v>90</v>
      </c>
      <c r="I96" s="40">
        <f t="shared" si="8"/>
        <v>84.4</v>
      </c>
      <c r="J96" s="40" t="str">
        <f t="shared" si="9"/>
        <v>B</v>
      </c>
      <c r="K96" s="34">
        <f t="shared" si="10"/>
        <v>9</v>
      </c>
    </row>
    <row r="97" spans="1:11" ht="14.4" x14ac:dyDescent="0.3">
      <c r="A97" s="48">
        <v>20320994</v>
      </c>
      <c r="B97" s="49" t="s">
        <v>98</v>
      </c>
      <c r="C97" s="49" t="s">
        <v>99</v>
      </c>
      <c r="D97" s="33">
        <v>92</v>
      </c>
      <c r="E97" s="33">
        <v>82</v>
      </c>
      <c r="F97" s="40">
        <v>88</v>
      </c>
      <c r="G97" s="40">
        <v>87</v>
      </c>
      <c r="H97" s="40">
        <v>91</v>
      </c>
      <c r="I97" s="40">
        <f t="shared" si="8"/>
        <v>88.000000000000014</v>
      </c>
      <c r="J97" s="40" t="str">
        <f t="shared" si="9"/>
        <v>B+</v>
      </c>
      <c r="K97" s="34">
        <f t="shared" si="10"/>
        <v>4</v>
      </c>
    </row>
    <row r="98" spans="1:11" ht="14.4" x14ac:dyDescent="0.3">
      <c r="A98" s="48">
        <v>51855406</v>
      </c>
      <c r="B98" s="49" t="s">
        <v>100</v>
      </c>
      <c r="C98" s="49" t="s">
        <v>101</v>
      </c>
      <c r="D98" s="33">
        <v>96</v>
      </c>
      <c r="E98" s="32">
        <v>57</v>
      </c>
      <c r="F98" s="40">
        <v>99</v>
      </c>
      <c r="G98" s="40">
        <v>95</v>
      </c>
      <c r="H98" s="40">
        <v>87</v>
      </c>
      <c r="I98" s="40">
        <f t="shared" si="8"/>
        <v>86.800000000000011</v>
      </c>
      <c r="J98" s="40" t="str">
        <f t="shared" si="9"/>
        <v>B+</v>
      </c>
      <c r="K98" s="34">
        <f t="shared" si="10"/>
        <v>5</v>
      </c>
    </row>
    <row r="99" spans="1:11" ht="14.4" x14ac:dyDescent="0.3">
      <c r="A99" s="48">
        <v>22312334</v>
      </c>
      <c r="B99" s="49" t="s">
        <v>102</v>
      </c>
      <c r="C99" s="49" t="s">
        <v>103</v>
      </c>
      <c r="D99" s="32">
        <v>67</v>
      </c>
      <c r="E99" s="33">
        <v>88</v>
      </c>
      <c r="F99" s="40">
        <v>85</v>
      </c>
      <c r="G99" s="40">
        <v>92</v>
      </c>
      <c r="H99" s="40">
        <v>89</v>
      </c>
      <c r="I99" s="40">
        <f t="shared" si="8"/>
        <v>84.2</v>
      </c>
      <c r="J99" s="40" t="str">
        <f t="shared" si="9"/>
        <v>B</v>
      </c>
      <c r="K99" s="34">
        <f t="shared" si="10"/>
        <v>8</v>
      </c>
    </row>
    <row r="100" spans="1:11" ht="14.4" x14ac:dyDescent="0.3">
      <c r="A100" s="48">
        <v>66173853</v>
      </c>
      <c r="B100" s="49" t="s">
        <v>104</v>
      </c>
      <c r="C100" s="49" t="s">
        <v>105</v>
      </c>
      <c r="D100" s="33">
        <v>85</v>
      </c>
      <c r="E100" s="32">
        <v>50</v>
      </c>
      <c r="F100" s="40">
        <v>93</v>
      </c>
      <c r="G100" s="40">
        <v>98</v>
      </c>
      <c r="H100" s="40">
        <v>71</v>
      </c>
      <c r="I100" s="40">
        <f t="shared" si="8"/>
        <v>79.400000000000006</v>
      </c>
      <c r="J100" s="40" t="str">
        <f t="shared" si="9"/>
        <v>C+</v>
      </c>
      <c r="K100" s="34">
        <f t="shared" si="10"/>
        <v>15</v>
      </c>
    </row>
    <row r="101" spans="1:11" ht="14.4" x14ac:dyDescent="0.3">
      <c r="A101" s="48">
        <v>46774911</v>
      </c>
      <c r="B101" s="49" t="s">
        <v>20</v>
      </c>
      <c r="C101" s="49" t="s">
        <v>106</v>
      </c>
      <c r="D101" s="32">
        <v>52</v>
      </c>
      <c r="E101" s="32">
        <v>64</v>
      </c>
      <c r="F101" s="40">
        <v>81</v>
      </c>
      <c r="G101" s="40">
        <v>93</v>
      </c>
      <c r="H101" s="40">
        <v>95</v>
      </c>
      <c r="I101" s="40">
        <f t="shared" si="8"/>
        <v>77</v>
      </c>
      <c r="J101" s="40" t="str">
        <f t="shared" si="9"/>
        <v>C+</v>
      </c>
      <c r="K101" s="34">
        <f t="shared" si="10"/>
        <v>21</v>
      </c>
    </row>
    <row r="102" spans="1:11" ht="14.4" x14ac:dyDescent="0.3">
      <c r="A102" s="48">
        <v>88099789</v>
      </c>
      <c r="B102" s="49" t="s">
        <v>107</v>
      </c>
      <c r="C102" s="49" t="s">
        <v>108</v>
      </c>
      <c r="D102" s="32">
        <v>50</v>
      </c>
      <c r="E102" s="32">
        <v>63</v>
      </c>
      <c r="F102" s="40">
        <v>80</v>
      </c>
      <c r="G102" s="40">
        <v>93</v>
      </c>
      <c r="H102" s="40">
        <v>97</v>
      </c>
      <c r="I102" s="40">
        <f t="shared" si="8"/>
        <v>76.600000000000009</v>
      </c>
      <c r="J102" s="40" t="str">
        <f t="shared" si="9"/>
        <v>C+</v>
      </c>
      <c r="K102" s="34">
        <f t="shared" si="10"/>
        <v>22</v>
      </c>
    </row>
    <row r="103" spans="1:11" ht="14.4" x14ac:dyDescent="0.3">
      <c r="A103" s="48">
        <v>21171011</v>
      </c>
      <c r="B103" s="49" t="s">
        <v>109</v>
      </c>
      <c r="C103" s="49" t="s">
        <v>110</v>
      </c>
      <c r="D103" s="33">
        <v>97</v>
      </c>
      <c r="E103" s="32">
        <v>51</v>
      </c>
      <c r="F103" s="40">
        <v>80</v>
      </c>
      <c r="G103" s="40">
        <v>94</v>
      </c>
      <c r="H103" s="40">
        <v>77</v>
      </c>
      <c r="I103" s="40">
        <f t="shared" si="8"/>
        <v>79.800000000000011</v>
      </c>
      <c r="J103" s="40" t="str">
        <f t="shared" si="9"/>
        <v>C+</v>
      </c>
      <c r="K103" s="34">
        <f t="shared" si="10"/>
        <v>15</v>
      </c>
    </row>
    <row r="104" spans="1:11" ht="14.4" x14ac:dyDescent="0.3">
      <c r="A104" s="48">
        <v>56229618</v>
      </c>
      <c r="B104" s="49" t="s">
        <v>111</v>
      </c>
      <c r="C104" s="49" t="s">
        <v>112</v>
      </c>
      <c r="D104" s="33">
        <v>96</v>
      </c>
      <c r="E104" s="40">
        <v>73</v>
      </c>
      <c r="F104" s="40">
        <v>87</v>
      </c>
      <c r="G104" s="40">
        <v>97</v>
      </c>
      <c r="H104" s="40">
        <v>94</v>
      </c>
      <c r="I104" s="40">
        <f t="shared" si="8"/>
        <v>89.4</v>
      </c>
      <c r="J104" s="40" t="str">
        <f t="shared" si="9"/>
        <v>B+</v>
      </c>
      <c r="K104" s="34">
        <f t="shared" si="10"/>
        <v>1</v>
      </c>
    </row>
    <row r="105" spans="1:11" ht="14.4" x14ac:dyDescent="0.3">
      <c r="A105" s="48">
        <v>24895680</v>
      </c>
      <c r="B105" s="49" t="s">
        <v>113</v>
      </c>
      <c r="C105" s="49" t="s">
        <v>114</v>
      </c>
      <c r="D105" s="33">
        <v>100</v>
      </c>
      <c r="E105" s="33">
        <v>83</v>
      </c>
      <c r="F105" s="40">
        <v>98</v>
      </c>
      <c r="G105" s="40">
        <v>90</v>
      </c>
      <c r="H105" s="40">
        <v>76</v>
      </c>
      <c r="I105" s="40">
        <f t="shared" si="8"/>
        <v>89.4</v>
      </c>
      <c r="J105" s="40" t="str">
        <f t="shared" si="9"/>
        <v>B+</v>
      </c>
      <c r="K105" s="34">
        <f t="shared" si="10"/>
        <v>1</v>
      </c>
    </row>
    <row r="106" spans="1:11" ht="14.4" x14ac:dyDescent="0.3">
      <c r="A106" s="48">
        <v>24074179</v>
      </c>
      <c r="B106" s="49" t="s">
        <v>115</v>
      </c>
      <c r="C106" s="49" t="s">
        <v>116</v>
      </c>
      <c r="D106" s="40">
        <v>82</v>
      </c>
      <c r="E106" s="32">
        <v>68</v>
      </c>
      <c r="F106" s="40">
        <v>98</v>
      </c>
      <c r="G106" s="40">
        <v>95</v>
      </c>
      <c r="H106" s="40">
        <v>76</v>
      </c>
      <c r="I106" s="40">
        <f t="shared" si="8"/>
        <v>83.800000000000011</v>
      </c>
      <c r="J106" s="40" t="str">
        <f t="shared" si="9"/>
        <v>B</v>
      </c>
      <c r="K106" s="34">
        <f t="shared" si="10"/>
        <v>9</v>
      </c>
    </row>
    <row r="107" spans="1:11" ht="14.4" x14ac:dyDescent="0.3">
      <c r="A107" s="48">
        <v>14100297</v>
      </c>
      <c r="B107" s="49" t="s">
        <v>117</v>
      </c>
      <c r="C107" s="49" t="s">
        <v>118</v>
      </c>
      <c r="D107" s="33">
        <v>89</v>
      </c>
      <c r="E107" s="33">
        <v>82</v>
      </c>
      <c r="F107" s="40">
        <v>96</v>
      </c>
      <c r="G107" s="40">
        <v>90</v>
      </c>
      <c r="H107" s="40">
        <v>76</v>
      </c>
      <c r="I107" s="40">
        <f t="shared" si="8"/>
        <v>86.600000000000009</v>
      </c>
      <c r="J107" s="40" t="str">
        <f t="shared" si="9"/>
        <v>B+</v>
      </c>
      <c r="K107" s="34">
        <f t="shared" si="10"/>
        <v>6</v>
      </c>
    </row>
    <row r="108" spans="1:11" ht="14.4" x14ac:dyDescent="0.3">
      <c r="A108" s="48">
        <v>47953857</v>
      </c>
      <c r="B108" s="49" t="s">
        <v>82</v>
      </c>
      <c r="C108" s="49" t="s">
        <v>119</v>
      </c>
      <c r="D108" s="32">
        <v>52</v>
      </c>
      <c r="E108" s="40">
        <v>73</v>
      </c>
      <c r="F108" s="40">
        <v>81</v>
      </c>
      <c r="G108" s="40">
        <v>93</v>
      </c>
      <c r="H108" s="40">
        <v>83</v>
      </c>
      <c r="I108" s="40">
        <f t="shared" si="8"/>
        <v>76.400000000000006</v>
      </c>
      <c r="J108" s="40" t="str">
        <f t="shared" si="9"/>
        <v>C+</v>
      </c>
      <c r="K108" s="34">
        <f t="shared" si="10"/>
        <v>23</v>
      </c>
    </row>
    <row r="109" spans="1:11" ht="14.4" x14ac:dyDescent="0.3">
      <c r="A109" s="48">
        <v>61870635</v>
      </c>
      <c r="B109" s="49" t="s">
        <v>120</v>
      </c>
      <c r="C109" s="49" t="s">
        <v>121</v>
      </c>
      <c r="D109" s="40">
        <v>82</v>
      </c>
      <c r="E109" s="33">
        <v>80</v>
      </c>
      <c r="F109" s="40">
        <v>87</v>
      </c>
      <c r="G109" s="40">
        <v>99</v>
      </c>
      <c r="H109" s="40">
        <v>97</v>
      </c>
      <c r="I109" s="40">
        <f t="shared" si="8"/>
        <v>89.000000000000014</v>
      </c>
      <c r="J109" s="40" t="str">
        <f t="shared" si="9"/>
        <v>B+</v>
      </c>
      <c r="K109" s="34">
        <f t="shared" si="10"/>
        <v>2</v>
      </c>
    </row>
    <row r="110" spans="1:11" ht="14.4" x14ac:dyDescent="0.3">
      <c r="A110" s="48">
        <v>30476018</v>
      </c>
      <c r="B110" s="49" t="s">
        <v>122</v>
      </c>
      <c r="C110" s="49" t="s">
        <v>123</v>
      </c>
      <c r="D110" s="32">
        <v>63</v>
      </c>
      <c r="E110" s="33">
        <v>96</v>
      </c>
      <c r="F110" s="40">
        <v>96</v>
      </c>
      <c r="G110" s="40">
        <v>95</v>
      </c>
      <c r="H110" s="40">
        <v>76</v>
      </c>
      <c r="I110" s="40">
        <f t="shared" si="8"/>
        <v>85.2</v>
      </c>
      <c r="J110" s="40" t="str">
        <f t="shared" si="9"/>
        <v>B</v>
      </c>
      <c r="K110" s="34">
        <f t="shared" si="10"/>
        <v>7</v>
      </c>
    </row>
    <row r="111" spans="1:11" ht="14.4" x14ac:dyDescent="0.3">
      <c r="A111" s="48">
        <v>29169845</v>
      </c>
      <c r="B111" s="49" t="s">
        <v>124</v>
      </c>
      <c r="C111" s="49" t="s">
        <v>125</v>
      </c>
      <c r="D111" s="32">
        <v>62</v>
      </c>
      <c r="E111" s="33">
        <v>87</v>
      </c>
      <c r="F111" s="40">
        <v>98</v>
      </c>
      <c r="G111" s="40">
        <v>93</v>
      </c>
      <c r="H111" s="40">
        <v>71</v>
      </c>
      <c r="I111" s="40">
        <f t="shared" si="8"/>
        <v>82.2</v>
      </c>
      <c r="J111" s="40" t="str">
        <f t="shared" si="9"/>
        <v>B</v>
      </c>
      <c r="K111" s="34">
        <f t="shared" si="10"/>
        <v>10</v>
      </c>
    </row>
    <row r="112" spans="1:11" ht="14.4" x14ac:dyDescent="0.3">
      <c r="A112" s="48">
        <v>31920733</v>
      </c>
      <c r="B112" s="49" t="s">
        <v>126</v>
      </c>
      <c r="C112" s="49" t="s">
        <v>127</v>
      </c>
      <c r="D112" s="32">
        <v>50</v>
      </c>
      <c r="E112" s="32">
        <v>65</v>
      </c>
      <c r="F112" s="40">
        <v>99</v>
      </c>
      <c r="G112" s="40">
        <v>90</v>
      </c>
      <c r="H112" s="40">
        <v>94</v>
      </c>
      <c r="I112" s="40">
        <f t="shared" si="8"/>
        <v>79.599999999999994</v>
      </c>
      <c r="J112" s="40" t="str">
        <f t="shared" si="9"/>
        <v>C+</v>
      </c>
      <c r="K112" s="34">
        <f t="shared" si="10"/>
        <v>13</v>
      </c>
    </row>
    <row r="113" spans="1:11" ht="14.4" x14ac:dyDescent="0.3">
      <c r="A113" s="48">
        <v>59135219</v>
      </c>
      <c r="B113" s="49" t="s">
        <v>128</v>
      </c>
      <c r="C113" s="49" t="s">
        <v>129</v>
      </c>
      <c r="D113" s="32">
        <v>59</v>
      </c>
      <c r="E113" s="32">
        <v>72</v>
      </c>
      <c r="F113" s="32">
        <v>75</v>
      </c>
      <c r="G113" s="32">
        <v>73</v>
      </c>
      <c r="H113" s="32">
        <v>93</v>
      </c>
      <c r="I113" s="40">
        <f t="shared" si="8"/>
        <v>74.400000000000006</v>
      </c>
      <c r="J113" s="40" t="str">
        <f t="shared" si="9"/>
        <v>C</v>
      </c>
      <c r="K113" s="34">
        <f t="shared" si="10"/>
        <v>24</v>
      </c>
    </row>
    <row r="114" spans="1:11" ht="14.4" x14ac:dyDescent="0.3">
      <c r="A114" s="48">
        <v>29617570</v>
      </c>
      <c r="B114" s="49" t="s">
        <v>130</v>
      </c>
      <c r="C114" s="49" t="s">
        <v>131</v>
      </c>
      <c r="D114" s="32">
        <v>73</v>
      </c>
      <c r="E114" s="32">
        <v>61</v>
      </c>
      <c r="F114" s="32">
        <v>52</v>
      </c>
      <c r="G114" s="32">
        <v>52</v>
      </c>
      <c r="H114" s="32">
        <v>76</v>
      </c>
      <c r="I114" s="40">
        <f t="shared" si="8"/>
        <v>62.800000000000004</v>
      </c>
      <c r="J114" s="40" t="str">
        <f t="shared" si="9"/>
        <v>D</v>
      </c>
      <c r="K114" s="34">
        <f t="shared" si="10"/>
        <v>32</v>
      </c>
    </row>
    <row r="115" spans="1:11" ht="14.4" x14ac:dyDescent="0.3">
      <c r="A115" s="48">
        <v>41604417</v>
      </c>
      <c r="B115" s="49" t="s">
        <v>132</v>
      </c>
      <c r="C115" s="49" t="s">
        <v>133</v>
      </c>
      <c r="D115" s="32">
        <v>85</v>
      </c>
      <c r="E115" s="32">
        <v>62</v>
      </c>
      <c r="F115" s="32">
        <v>82</v>
      </c>
      <c r="G115" s="32">
        <v>84</v>
      </c>
      <c r="H115" s="32">
        <v>93</v>
      </c>
      <c r="I115" s="40">
        <f t="shared" si="8"/>
        <v>81.199999999999989</v>
      </c>
      <c r="J115" s="40" t="str">
        <f t="shared" si="9"/>
        <v>B</v>
      </c>
      <c r="K115" s="34">
        <f t="shared" si="10"/>
        <v>13</v>
      </c>
    </row>
    <row r="116" spans="1:11" ht="14.4" x14ac:dyDescent="0.3">
      <c r="A116" s="48">
        <v>67642835</v>
      </c>
      <c r="B116" s="49" t="s">
        <v>134</v>
      </c>
      <c r="C116" s="49" t="s">
        <v>135</v>
      </c>
      <c r="D116" s="32">
        <v>57</v>
      </c>
      <c r="E116" s="32">
        <v>94</v>
      </c>
      <c r="F116" s="32">
        <v>81</v>
      </c>
      <c r="G116" s="32">
        <v>90</v>
      </c>
      <c r="H116" s="32">
        <v>65</v>
      </c>
      <c r="I116" s="40">
        <f t="shared" si="8"/>
        <v>77.400000000000006</v>
      </c>
      <c r="J116" s="40" t="str">
        <f t="shared" si="9"/>
        <v>C+</v>
      </c>
      <c r="K116" s="34">
        <f t="shared" si="10"/>
        <v>21</v>
      </c>
    </row>
    <row r="117" spans="1:11" ht="14.4" x14ac:dyDescent="0.3">
      <c r="A117" s="48">
        <v>65777672</v>
      </c>
      <c r="B117" s="49" t="s">
        <v>136</v>
      </c>
      <c r="C117" s="49" t="s">
        <v>137</v>
      </c>
      <c r="D117" s="32">
        <v>59</v>
      </c>
      <c r="E117" s="32">
        <v>81</v>
      </c>
      <c r="F117" s="32">
        <v>72</v>
      </c>
      <c r="G117" s="32">
        <v>63</v>
      </c>
      <c r="H117" s="32">
        <v>55</v>
      </c>
      <c r="I117" s="40">
        <f t="shared" si="8"/>
        <v>66</v>
      </c>
      <c r="J117" s="40" t="str">
        <f t="shared" si="9"/>
        <v>D</v>
      </c>
      <c r="K117" s="34">
        <f t="shared" si="10"/>
        <v>30</v>
      </c>
    </row>
    <row r="118" spans="1:11" ht="14.4" x14ac:dyDescent="0.3">
      <c r="A118" s="48">
        <v>57031215</v>
      </c>
      <c r="B118" s="49" t="s">
        <v>138</v>
      </c>
      <c r="C118" s="49" t="s">
        <v>139</v>
      </c>
      <c r="D118" s="32">
        <v>60</v>
      </c>
      <c r="E118" s="32">
        <v>54</v>
      </c>
      <c r="F118" s="32">
        <v>72</v>
      </c>
      <c r="G118" s="32">
        <v>55</v>
      </c>
      <c r="H118" s="32">
        <v>83</v>
      </c>
      <c r="I118" s="40">
        <f t="shared" si="8"/>
        <v>64.800000000000011</v>
      </c>
      <c r="J118" s="40" t="str">
        <f t="shared" si="9"/>
        <v>D</v>
      </c>
      <c r="K118" s="34">
        <f t="shared" si="10"/>
        <v>32</v>
      </c>
    </row>
    <row r="119" spans="1:11" ht="14.4" x14ac:dyDescent="0.3">
      <c r="A119" s="48">
        <v>14679298</v>
      </c>
      <c r="B119" s="49" t="s">
        <v>140</v>
      </c>
      <c r="C119" s="49" t="s">
        <v>141</v>
      </c>
      <c r="D119" s="32">
        <v>62</v>
      </c>
      <c r="E119" s="32">
        <v>89</v>
      </c>
      <c r="F119" s="32">
        <v>53</v>
      </c>
      <c r="G119" s="32">
        <v>72</v>
      </c>
      <c r="H119" s="32">
        <v>53</v>
      </c>
      <c r="I119" s="40">
        <f t="shared" si="8"/>
        <v>65.800000000000011</v>
      </c>
      <c r="J119" s="40" t="str">
        <f t="shared" si="9"/>
        <v>D</v>
      </c>
      <c r="K119" s="34">
        <f t="shared" si="10"/>
        <v>32</v>
      </c>
    </row>
    <row r="120" spans="1:11" ht="14.4" x14ac:dyDescent="0.3">
      <c r="A120" s="48">
        <v>26610470</v>
      </c>
      <c r="B120" s="49" t="s">
        <v>32</v>
      </c>
      <c r="C120" s="49" t="s">
        <v>142</v>
      </c>
      <c r="D120" s="32">
        <v>51</v>
      </c>
      <c r="E120" s="32">
        <v>98</v>
      </c>
      <c r="F120" s="32">
        <v>83</v>
      </c>
      <c r="G120" s="32">
        <v>53</v>
      </c>
      <c r="H120" s="32">
        <v>77</v>
      </c>
      <c r="I120" s="40">
        <f t="shared" si="8"/>
        <v>72.400000000000006</v>
      </c>
      <c r="J120" s="40" t="str">
        <f t="shared" si="9"/>
        <v>C</v>
      </c>
      <c r="K120" s="34">
        <f t="shared" si="10"/>
        <v>30</v>
      </c>
    </row>
    <row r="121" spans="1:11" ht="14.4" x14ac:dyDescent="0.3">
      <c r="A121" s="48">
        <v>39378097</v>
      </c>
      <c r="B121" s="49" t="s">
        <v>143</v>
      </c>
      <c r="C121" s="49" t="s">
        <v>144</v>
      </c>
      <c r="D121" s="32">
        <v>75</v>
      </c>
      <c r="E121" s="32">
        <v>100</v>
      </c>
      <c r="F121" s="32">
        <v>73</v>
      </c>
      <c r="G121" s="32">
        <v>67</v>
      </c>
      <c r="H121" s="32">
        <v>76</v>
      </c>
      <c r="I121" s="40">
        <f t="shared" si="8"/>
        <v>78.2</v>
      </c>
      <c r="J121" s="40" t="str">
        <f t="shared" si="9"/>
        <v>C+</v>
      </c>
      <c r="K121" s="34">
        <f t="shared" si="10"/>
        <v>25</v>
      </c>
    </row>
    <row r="122" spans="1:11" ht="14.4" x14ac:dyDescent="0.3">
      <c r="A122" s="48">
        <v>12255678</v>
      </c>
      <c r="B122" s="49" t="s">
        <v>145</v>
      </c>
      <c r="C122" s="49" t="s">
        <v>146</v>
      </c>
      <c r="D122" s="32">
        <v>84</v>
      </c>
      <c r="E122" s="32">
        <v>96</v>
      </c>
      <c r="F122" s="32">
        <v>56</v>
      </c>
      <c r="G122" s="32">
        <v>53</v>
      </c>
      <c r="H122" s="32">
        <v>51</v>
      </c>
      <c r="I122" s="40">
        <f t="shared" si="8"/>
        <v>68</v>
      </c>
      <c r="J122" s="40" t="str">
        <f t="shared" si="9"/>
        <v>D</v>
      </c>
      <c r="K122" s="34">
        <f t="shared" si="10"/>
        <v>32</v>
      </c>
    </row>
    <row r="123" spans="1:11" ht="14.4" x14ac:dyDescent="0.3">
      <c r="A123" s="48">
        <v>23300401</v>
      </c>
      <c r="B123" s="49" t="s">
        <v>147</v>
      </c>
      <c r="C123" s="49" t="s">
        <v>148</v>
      </c>
      <c r="D123" s="32">
        <v>65</v>
      </c>
      <c r="E123" s="32">
        <v>97</v>
      </c>
      <c r="F123" s="32">
        <v>95</v>
      </c>
      <c r="G123" s="32">
        <v>82</v>
      </c>
      <c r="H123" s="32">
        <v>97</v>
      </c>
      <c r="I123" s="40">
        <f t="shared" si="8"/>
        <v>87.200000000000017</v>
      </c>
      <c r="J123" s="40" t="str">
        <f t="shared" si="9"/>
        <v>B+</v>
      </c>
      <c r="K123" s="34">
        <f t="shared" si="10"/>
        <v>7</v>
      </c>
    </row>
    <row r="124" spans="1:11" ht="14.4" x14ac:dyDescent="0.3">
      <c r="A124" s="48">
        <v>73797335</v>
      </c>
      <c r="B124" s="49" t="s">
        <v>102</v>
      </c>
      <c r="C124" s="49" t="s">
        <v>149</v>
      </c>
      <c r="D124" s="32">
        <v>69</v>
      </c>
      <c r="E124" s="32">
        <v>75</v>
      </c>
      <c r="F124" s="32">
        <v>83</v>
      </c>
      <c r="G124" s="32">
        <v>59</v>
      </c>
      <c r="H124" s="32">
        <v>94</v>
      </c>
      <c r="I124" s="40">
        <f t="shared" si="8"/>
        <v>76</v>
      </c>
      <c r="J124" s="40" t="str">
        <f t="shared" si="9"/>
        <v>C+</v>
      </c>
      <c r="K124" s="34">
        <f t="shared" si="10"/>
        <v>30</v>
      </c>
    </row>
    <row r="125" spans="1:11" ht="14.4" x14ac:dyDescent="0.3">
      <c r="A125" s="159">
        <v>96788908</v>
      </c>
      <c r="B125" s="160" t="s">
        <v>101</v>
      </c>
      <c r="C125" s="160" t="s">
        <v>150</v>
      </c>
      <c r="D125" s="161">
        <v>63</v>
      </c>
      <c r="E125" s="161">
        <v>76</v>
      </c>
      <c r="F125" s="161">
        <v>90</v>
      </c>
      <c r="G125" s="161">
        <v>95</v>
      </c>
      <c r="H125" s="161">
        <v>60</v>
      </c>
      <c r="I125" s="162">
        <f t="shared" si="8"/>
        <v>76.800000000000011</v>
      </c>
      <c r="J125" s="162" t="str">
        <f t="shared" si="9"/>
        <v>C+</v>
      </c>
      <c r="K125" s="35">
        <f t="shared" si="10"/>
        <v>28</v>
      </c>
    </row>
    <row r="126" spans="1:11" ht="14.4" x14ac:dyDescent="0.3">
      <c r="A126" s="157"/>
      <c r="B126" s="157"/>
      <c r="C126" s="157"/>
      <c r="D126" s="158"/>
      <c r="E126" s="158"/>
      <c r="F126" s="157"/>
      <c r="G126" s="157"/>
      <c r="H126" s="157"/>
      <c r="I126" s="157"/>
      <c r="J126" s="157"/>
    </row>
    <row r="127" spans="1:11" ht="14.4" x14ac:dyDescent="0.3">
      <c r="A127" s="157"/>
      <c r="B127" s="157"/>
      <c r="C127" s="157"/>
      <c r="D127" s="158"/>
      <c r="E127" s="158"/>
      <c r="F127" s="157"/>
      <c r="G127" s="157"/>
      <c r="H127" s="157"/>
      <c r="I127" s="157"/>
      <c r="J127" s="157"/>
    </row>
    <row r="128" spans="1:11" ht="14.4" x14ac:dyDescent="0.3">
      <c r="A128" s="109"/>
      <c r="B128" s="109"/>
      <c r="C128" s="109"/>
      <c r="D128" s="109"/>
      <c r="E128" s="109"/>
      <c r="F128" s="339"/>
      <c r="G128" s="339"/>
      <c r="H128" s="339"/>
      <c r="I128" s="109"/>
      <c r="J128" s="109"/>
    </row>
    <row r="129" spans="1:13" ht="14.4" x14ac:dyDescent="0.3">
      <c r="A129" s="109"/>
      <c r="B129" s="109"/>
      <c r="C129" s="109"/>
      <c r="D129" s="109"/>
      <c r="E129" s="109"/>
      <c r="F129" s="339"/>
      <c r="G129" s="339"/>
      <c r="H129" s="339"/>
      <c r="I129" s="109"/>
      <c r="J129" s="109"/>
      <c r="K129" s="109"/>
      <c r="M129" s="109"/>
    </row>
    <row r="130" spans="1:13" ht="27.6" x14ac:dyDescent="0.65">
      <c r="A130" s="39" t="s">
        <v>345</v>
      </c>
      <c r="B130" s="38"/>
      <c r="C130" s="109"/>
      <c r="D130" s="109"/>
      <c r="E130" s="109"/>
      <c r="F130" s="340"/>
      <c r="G130" s="340"/>
      <c r="H130" s="340"/>
      <c r="I130" s="109"/>
      <c r="J130" s="109"/>
      <c r="K130" s="109"/>
      <c r="M130" s="109"/>
    </row>
    <row r="131" spans="1:13" ht="14.4" x14ac:dyDescent="0.3">
      <c r="A131" s="37" t="s">
        <v>344</v>
      </c>
      <c r="B131" s="37" t="s">
        <v>343</v>
      </c>
      <c r="C131" s="37" t="s">
        <v>342</v>
      </c>
      <c r="D131" s="36" t="s">
        <v>341</v>
      </c>
      <c r="E131" s="36" t="s">
        <v>340</v>
      </c>
      <c r="F131" s="36" t="s">
        <v>339</v>
      </c>
      <c r="G131" s="36" t="s">
        <v>338</v>
      </c>
      <c r="H131" s="36" t="s">
        <v>337</v>
      </c>
      <c r="I131" s="36" t="s">
        <v>349</v>
      </c>
      <c r="J131" s="36" t="s">
        <v>336</v>
      </c>
      <c r="K131" s="36" t="s">
        <v>383</v>
      </c>
    </row>
    <row r="132" spans="1:13" ht="14.4" x14ac:dyDescent="0.3">
      <c r="A132" s="48">
        <v>28046284</v>
      </c>
      <c r="B132" s="49" t="s">
        <v>80</v>
      </c>
      <c r="C132" s="49" t="s">
        <v>81</v>
      </c>
      <c r="D132" s="32">
        <v>65</v>
      </c>
      <c r="E132" s="31">
        <v>74</v>
      </c>
      <c r="F132" s="31">
        <v>73</v>
      </c>
      <c r="G132" s="31">
        <v>94</v>
      </c>
      <c r="H132" s="31">
        <v>87</v>
      </c>
      <c r="I132" s="31">
        <f>(D132*0.2)+(E132*0.2)+(F132*0.2)+(G132*0.2)+(H132*0.2)</f>
        <v>78.600000000000009</v>
      </c>
      <c r="J132" s="31" t="s">
        <v>311</v>
      </c>
      <c r="K132" s="34">
        <f>RANK(I132,I132:I169)</f>
        <v>33</v>
      </c>
    </row>
    <row r="133" spans="1:13" ht="14.4" x14ac:dyDescent="0.3">
      <c r="A133" s="48">
        <v>49517726</v>
      </c>
      <c r="B133" s="49" t="s">
        <v>82</v>
      </c>
      <c r="C133" s="49" t="s">
        <v>83</v>
      </c>
      <c r="D133" s="31">
        <v>76</v>
      </c>
      <c r="E133" s="33">
        <v>93</v>
      </c>
      <c r="F133" s="31">
        <v>61</v>
      </c>
      <c r="G133" s="31">
        <v>95</v>
      </c>
      <c r="H133" s="31">
        <v>69</v>
      </c>
      <c r="I133" s="31">
        <f t="shared" ref="I133:I169" si="11">(D133*0.2)+(E133*0.2)+(F133*0.2)+(G133*0.2)+(H133*0.2)</f>
        <v>78.8</v>
      </c>
      <c r="J133" s="31" t="s">
        <v>310</v>
      </c>
      <c r="K133" s="34">
        <f t="shared" ref="K133:K169" si="12">RANK(I133,I133:I170)</f>
        <v>31</v>
      </c>
    </row>
    <row r="134" spans="1:13" ht="14.4" x14ac:dyDescent="0.3">
      <c r="A134" s="48">
        <v>11266789</v>
      </c>
      <c r="B134" s="49" t="s">
        <v>84</v>
      </c>
      <c r="C134" s="49" t="s">
        <v>85</v>
      </c>
      <c r="D134" s="33">
        <v>89</v>
      </c>
      <c r="E134" s="32">
        <v>68</v>
      </c>
      <c r="F134" s="31">
        <v>86</v>
      </c>
      <c r="G134" s="31">
        <v>95</v>
      </c>
      <c r="H134" s="31">
        <v>95</v>
      </c>
      <c r="I134" s="31">
        <f t="shared" si="11"/>
        <v>86.6</v>
      </c>
      <c r="J134" s="31" t="s">
        <v>311</v>
      </c>
      <c r="K134" s="34">
        <f t="shared" si="12"/>
        <v>9</v>
      </c>
    </row>
    <row r="135" spans="1:13" ht="14.4" x14ac:dyDescent="0.3">
      <c r="A135" s="48">
        <v>31207252</v>
      </c>
      <c r="B135" s="49" t="s">
        <v>86</v>
      </c>
      <c r="C135" s="49" t="s">
        <v>87</v>
      </c>
      <c r="D135" s="33">
        <v>84</v>
      </c>
      <c r="E135" s="32">
        <v>56</v>
      </c>
      <c r="F135" s="31">
        <v>94</v>
      </c>
      <c r="G135" s="31">
        <v>97</v>
      </c>
      <c r="H135" s="31">
        <v>82</v>
      </c>
      <c r="I135" s="31">
        <f t="shared" si="11"/>
        <v>82.600000000000009</v>
      </c>
      <c r="J135" s="31" t="s">
        <v>310</v>
      </c>
      <c r="K135" s="34">
        <f t="shared" si="12"/>
        <v>23</v>
      </c>
    </row>
    <row r="136" spans="1:13" ht="14.4" x14ac:dyDescent="0.3">
      <c r="A136" s="48">
        <v>40941908</v>
      </c>
      <c r="B136" s="49" t="s">
        <v>88</v>
      </c>
      <c r="C136" s="49" t="s">
        <v>89</v>
      </c>
      <c r="D136" s="33">
        <v>94</v>
      </c>
      <c r="E136" s="31">
        <v>74</v>
      </c>
      <c r="F136" s="31">
        <v>68</v>
      </c>
      <c r="G136" s="31">
        <v>98</v>
      </c>
      <c r="H136" s="31">
        <v>61</v>
      </c>
      <c r="I136" s="31">
        <f t="shared" si="11"/>
        <v>79.000000000000014</v>
      </c>
      <c r="J136" s="31" t="s">
        <v>310</v>
      </c>
      <c r="K136" s="34">
        <f t="shared" si="12"/>
        <v>28</v>
      </c>
    </row>
    <row r="137" spans="1:13" ht="14.4" x14ac:dyDescent="0.3">
      <c r="A137" s="48">
        <v>28380069</v>
      </c>
      <c r="B137" s="49" t="s">
        <v>90</v>
      </c>
      <c r="C137" s="49" t="s">
        <v>91</v>
      </c>
      <c r="D137" s="33">
        <v>90</v>
      </c>
      <c r="E137" s="32">
        <v>69</v>
      </c>
      <c r="F137" s="31">
        <v>98</v>
      </c>
      <c r="G137" s="31">
        <v>98</v>
      </c>
      <c r="H137" s="31">
        <v>88</v>
      </c>
      <c r="I137" s="31">
        <f t="shared" si="11"/>
        <v>88.6</v>
      </c>
      <c r="J137" s="31" t="s">
        <v>311</v>
      </c>
      <c r="K137" s="34">
        <f t="shared" si="12"/>
        <v>4</v>
      </c>
    </row>
    <row r="138" spans="1:13" ht="14.4" x14ac:dyDescent="0.3">
      <c r="A138" s="48">
        <v>33455570</v>
      </c>
      <c r="B138" s="49" t="s">
        <v>92</v>
      </c>
      <c r="C138" s="49" t="s">
        <v>93</v>
      </c>
      <c r="D138" s="31">
        <v>82</v>
      </c>
      <c r="E138" s="31">
        <v>72</v>
      </c>
      <c r="F138" s="31">
        <v>98</v>
      </c>
      <c r="G138" s="31">
        <v>98</v>
      </c>
      <c r="H138" s="31">
        <v>66</v>
      </c>
      <c r="I138" s="31">
        <f t="shared" si="11"/>
        <v>83.2</v>
      </c>
      <c r="J138" s="31" t="s">
        <v>310</v>
      </c>
      <c r="K138" s="34">
        <f t="shared" si="12"/>
        <v>21</v>
      </c>
    </row>
    <row r="139" spans="1:13" ht="14.4" x14ac:dyDescent="0.3">
      <c r="A139" s="48">
        <v>52775578</v>
      </c>
      <c r="B139" s="49" t="s">
        <v>94</v>
      </c>
      <c r="C139" s="49" t="s">
        <v>95</v>
      </c>
      <c r="D139" s="32">
        <v>49</v>
      </c>
      <c r="E139" s="32">
        <v>59</v>
      </c>
      <c r="F139" s="31">
        <v>89</v>
      </c>
      <c r="G139" s="31">
        <v>100</v>
      </c>
      <c r="H139" s="31">
        <v>62</v>
      </c>
      <c r="I139" s="31">
        <f t="shared" si="11"/>
        <v>71.800000000000011</v>
      </c>
      <c r="J139" s="31" t="s">
        <v>310</v>
      </c>
      <c r="K139" s="34">
        <f t="shared" si="12"/>
        <v>31</v>
      </c>
    </row>
    <row r="140" spans="1:13" ht="14.4" x14ac:dyDescent="0.3">
      <c r="A140" s="48">
        <v>69512922</v>
      </c>
      <c r="B140" s="49" t="s">
        <v>96</v>
      </c>
      <c r="C140" s="49" t="s">
        <v>97</v>
      </c>
      <c r="D140" s="32">
        <v>63</v>
      </c>
      <c r="E140" s="33">
        <v>91</v>
      </c>
      <c r="F140" s="31">
        <v>84</v>
      </c>
      <c r="G140" s="31">
        <v>98</v>
      </c>
      <c r="H140" s="31">
        <v>92</v>
      </c>
      <c r="I140" s="31">
        <f t="shared" si="11"/>
        <v>85.600000000000009</v>
      </c>
      <c r="J140" s="31" t="s">
        <v>310</v>
      </c>
      <c r="K140" s="34">
        <f t="shared" si="12"/>
        <v>12</v>
      </c>
    </row>
    <row r="141" spans="1:13" ht="14.4" x14ac:dyDescent="0.3">
      <c r="A141" s="48">
        <v>20320994</v>
      </c>
      <c r="B141" s="49" t="s">
        <v>98</v>
      </c>
      <c r="C141" s="49" t="s">
        <v>99</v>
      </c>
      <c r="D141" s="31">
        <v>77</v>
      </c>
      <c r="E141" s="31">
        <v>72</v>
      </c>
      <c r="F141" s="31">
        <v>81</v>
      </c>
      <c r="G141" s="31">
        <v>91</v>
      </c>
      <c r="H141" s="31">
        <v>80</v>
      </c>
      <c r="I141" s="31">
        <f t="shared" si="11"/>
        <v>80.2</v>
      </c>
      <c r="J141" s="31" t="s">
        <v>310</v>
      </c>
      <c r="K141" s="34">
        <f t="shared" si="12"/>
        <v>22</v>
      </c>
    </row>
    <row r="142" spans="1:13" ht="14.4" x14ac:dyDescent="0.3">
      <c r="A142" s="48">
        <v>51855406</v>
      </c>
      <c r="B142" s="49" t="s">
        <v>100</v>
      </c>
      <c r="C142" s="49" t="s">
        <v>101</v>
      </c>
      <c r="D142" s="31">
        <v>78</v>
      </c>
      <c r="E142" s="33">
        <v>79</v>
      </c>
      <c r="F142" s="31">
        <v>64</v>
      </c>
      <c r="G142" s="31">
        <v>99</v>
      </c>
      <c r="H142" s="31">
        <v>64</v>
      </c>
      <c r="I142" s="31">
        <f t="shared" si="11"/>
        <v>76.8</v>
      </c>
      <c r="J142" s="31" t="s">
        <v>310</v>
      </c>
      <c r="K142" s="34">
        <f t="shared" si="12"/>
        <v>26</v>
      </c>
    </row>
    <row r="143" spans="1:13" ht="14.4" x14ac:dyDescent="0.3">
      <c r="A143" s="48">
        <v>22312334</v>
      </c>
      <c r="B143" s="49" t="s">
        <v>102</v>
      </c>
      <c r="C143" s="49" t="s">
        <v>103</v>
      </c>
      <c r="D143" s="33">
        <v>88</v>
      </c>
      <c r="E143" s="33">
        <v>89</v>
      </c>
      <c r="F143" s="31">
        <v>79</v>
      </c>
      <c r="G143" s="31">
        <v>99</v>
      </c>
      <c r="H143" s="31">
        <v>88</v>
      </c>
      <c r="I143" s="31">
        <f t="shared" si="11"/>
        <v>88.6</v>
      </c>
      <c r="J143" s="31" t="s">
        <v>311</v>
      </c>
      <c r="K143" s="34">
        <f t="shared" si="12"/>
        <v>4</v>
      </c>
    </row>
    <row r="144" spans="1:13" ht="14.4" x14ac:dyDescent="0.3">
      <c r="A144" s="48">
        <v>66173853</v>
      </c>
      <c r="B144" s="49" t="s">
        <v>104</v>
      </c>
      <c r="C144" s="49" t="s">
        <v>105</v>
      </c>
      <c r="D144" s="33">
        <v>88</v>
      </c>
      <c r="E144" s="33">
        <v>88</v>
      </c>
      <c r="F144" s="31">
        <v>100</v>
      </c>
      <c r="G144" s="31">
        <v>97</v>
      </c>
      <c r="H144" s="31">
        <v>77</v>
      </c>
      <c r="I144" s="31">
        <f t="shared" si="11"/>
        <v>90.000000000000014</v>
      </c>
      <c r="J144" s="31" t="s">
        <v>311</v>
      </c>
      <c r="K144" s="34">
        <f t="shared" si="12"/>
        <v>1</v>
      </c>
    </row>
    <row r="145" spans="1:11" ht="14.4" x14ac:dyDescent="0.3">
      <c r="A145" s="48">
        <v>46774911</v>
      </c>
      <c r="B145" s="49" t="s">
        <v>20</v>
      </c>
      <c r="C145" s="49" t="s">
        <v>106</v>
      </c>
      <c r="D145" s="33">
        <v>89</v>
      </c>
      <c r="E145" s="32">
        <v>54</v>
      </c>
      <c r="F145" s="31">
        <v>92</v>
      </c>
      <c r="G145" s="31">
        <v>93</v>
      </c>
      <c r="H145" s="31">
        <v>83</v>
      </c>
      <c r="I145" s="31">
        <f t="shared" si="11"/>
        <v>82.199999999999989</v>
      </c>
      <c r="J145" s="31" t="s">
        <v>310</v>
      </c>
      <c r="K145" s="34">
        <f t="shared" si="12"/>
        <v>18</v>
      </c>
    </row>
    <row r="146" spans="1:11" ht="14.4" x14ac:dyDescent="0.3">
      <c r="A146" s="48">
        <v>88099789</v>
      </c>
      <c r="B146" s="49" t="s">
        <v>107</v>
      </c>
      <c r="C146" s="49" t="s">
        <v>108</v>
      </c>
      <c r="D146" s="32">
        <v>65</v>
      </c>
      <c r="E146" s="33">
        <v>86</v>
      </c>
      <c r="F146" s="31">
        <v>87</v>
      </c>
      <c r="G146" s="31">
        <v>92</v>
      </c>
      <c r="H146" s="31">
        <v>88</v>
      </c>
      <c r="I146" s="31">
        <f t="shared" si="11"/>
        <v>83.6</v>
      </c>
      <c r="J146" s="31" t="s">
        <v>310</v>
      </c>
      <c r="K146" s="34">
        <f t="shared" si="12"/>
        <v>16</v>
      </c>
    </row>
    <row r="147" spans="1:11" ht="14.4" x14ac:dyDescent="0.3">
      <c r="A147" s="48">
        <v>21171011</v>
      </c>
      <c r="B147" s="49" t="s">
        <v>109</v>
      </c>
      <c r="C147" s="49" t="s">
        <v>110</v>
      </c>
      <c r="D147" s="32">
        <v>58</v>
      </c>
      <c r="E147" s="32">
        <v>54</v>
      </c>
      <c r="F147" s="31">
        <v>68</v>
      </c>
      <c r="G147" s="31">
        <v>99</v>
      </c>
      <c r="H147" s="31">
        <v>90</v>
      </c>
      <c r="I147" s="31">
        <f t="shared" si="11"/>
        <v>73.8</v>
      </c>
      <c r="J147" s="31" t="s">
        <v>310</v>
      </c>
      <c r="K147" s="34">
        <f t="shared" si="12"/>
        <v>23</v>
      </c>
    </row>
    <row r="148" spans="1:11" ht="14.4" x14ac:dyDescent="0.3">
      <c r="A148" s="48">
        <v>56229618</v>
      </c>
      <c r="B148" s="49" t="s">
        <v>111</v>
      </c>
      <c r="C148" s="49" t="s">
        <v>112</v>
      </c>
      <c r="D148" s="31">
        <v>72</v>
      </c>
      <c r="E148" s="33">
        <v>79</v>
      </c>
      <c r="F148" s="31">
        <v>82</v>
      </c>
      <c r="G148" s="31">
        <v>90</v>
      </c>
      <c r="H148" s="31">
        <v>60</v>
      </c>
      <c r="I148" s="31">
        <f t="shared" si="11"/>
        <v>76.600000000000009</v>
      </c>
      <c r="J148" s="31" t="s">
        <v>310</v>
      </c>
      <c r="K148" s="34">
        <f t="shared" si="12"/>
        <v>22</v>
      </c>
    </row>
    <row r="149" spans="1:11" ht="14.4" x14ac:dyDescent="0.3">
      <c r="A149" s="48">
        <v>24895680</v>
      </c>
      <c r="B149" s="49" t="s">
        <v>113</v>
      </c>
      <c r="C149" s="49" t="s">
        <v>114</v>
      </c>
      <c r="D149" s="32">
        <v>66</v>
      </c>
      <c r="E149" s="32">
        <v>65</v>
      </c>
      <c r="F149" s="31">
        <v>81</v>
      </c>
      <c r="G149" s="31">
        <v>97</v>
      </c>
      <c r="H149" s="31">
        <v>82</v>
      </c>
      <c r="I149" s="31">
        <f t="shared" si="11"/>
        <v>78.200000000000017</v>
      </c>
      <c r="J149" s="31" t="s">
        <v>310</v>
      </c>
      <c r="K149" s="34">
        <f t="shared" si="12"/>
        <v>21</v>
      </c>
    </row>
    <row r="150" spans="1:11" ht="14.4" x14ac:dyDescent="0.3">
      <c r="A150" s="48">
        <v>24074179</v>
      </c>
      <c r="B150" s="49" t="s">
        <v>115</v>
      </c>
      <c r="C150" s="49" t="s">
        <v>116</v>
      </c>
      <c r="D150" s="33">
        <v>98</v>
      </c>
      <c r="E150" s="32">
        <v>59</v>
      </c>
      <c r="F150" s="31">
        <v>80</v>
      </c>
      <c r="G150" s="31">
        <v>97</v>
      </c>
      <c r="H150" s="31">
        <v>92</v>
      </c>
      <c r="I150" s="31">
        <f t="shared" si="11"/>
        <v>85.200000000000017</v>
      </c>
      <c r="J150" s="31" t="s">
        <v>311</v>
      </c>
      <c r="K150" s="34">
        <f t="shared" si="12"/>
        <v>11</v>
      </c>
    </row>
    <row r="151" spans="1:11" ht="14.4" x14ac:dyDescent="0.3">
      <c r="A151" s="48">
        <v>14100297</v>
      </c>
      <c r="B151" s="49" t="s">
        <v>117</v>
      </c>
      <c r="C151" s="49" t="s">
        <v>118</v>
      </c>
      <c r="D151" s="32">
        <v>67</v>
      </c>
      <c r="E151" s="31">
        <v>78</v>
      </c>
      <c r="F151" s="31">
        <v>100</v>
      </c>
      <c r="G151" s="31">
        <v>96</v>
      </c>
      <c r="H151" s="31">
        <v>92</v>
      </c>
      <c r="I151" s="31">
        <f t="shared" si="11"/>
        <v>86.600000000000009</v>
      </c>
      <c r="J151" s="31" t="s">
        <v>311</v>
      </c>
      <c r="K151" s="34">
        <f t="shared" si="12"/>
        <v>5</v>
      </c>
    </row>
    <row r="152" spans="1:11" ht="14.4" x14ac:dyDescent="0.3">
      <c r="A152" s="48">
        <v>47953857</v>
      </c>
      <c r="B152" s="49" t="s">
        <v>82</v>
      </c>
      <c r="C152" s="49" t="s">
        <v>119</v>
      </c>
      <c r="D152" s="32">
        <v>70</v>
      </c>
      <c r="E152" s="32">
        <v>57</v>
      </c>
      <c r="F152" s="31">
        <v>86</v>
      </c>
      <c r="G152" s="31">
        <v>93</v>
      </c>
      <c r="H152" s="31">
        <v>88</v>
      </c>
      <c r="I152" s="31">
        <f t="shared" si="11"/>
        <v>78.8</v>
      </c>
      <c r="J152" s="31" t="s">
        <v>310</v>
      </c>
      <c r="K152" s="34">
        <f t="shared" si="12"/>
        <v>18</v>
      </c>
    </row>
    <row r="153" spans="1:11" ht="14.4" x14ac:dyDescent="0.3">
      <c r="A153" s="48">
        <v>61870635</v>
      </c>
      <c r="B153" s="49" t="s">
        <v>120</v>
      </c>
      <c r="C153" s="49" t="s">
        <v>121</v>
      </c>
      <c r="D153" s="32">
        <v>62</v>
      </c>
      <c r="E153" s="33">
        <v>93</v>
      </c>
      <c r="F153" s="31">
        <v>93</v>
      </c>
      <c r="G153" s="31">
        <v>100</v>
      </c>
      <c r="H153" s="31">
        <v>81</v>
      </c>
      <c r="I153" s="31">
        <f t="shared" si="11"/>
        <v>85.8</v>
      </c>
      <c r="J153" s="31" t="s">
        <v>311</v>
      </c>
      <c r="K153" s="34">
        <f t="shared" si="12"/>
        <v>7</v>
      </c>
    </row>
    <row r="154" spans="1:11" ht="14.4" x14ac:dyDescent="0.3">
      <c r="A154" s="48">
        <v>30476018</v>
      </c>
      <c r="B154" s="49" t="s">
        <v>122</v>
      </c>
      <c r="C154" s="49" t="s">
        <v>123</v>
      </c>
      <c r="D154" s="33">
        <v>95</v>
      </c>
      <c r="E154" s="33">
        <v>82</v>
      </c>
      <c r="F154" s="31">
        <v>66</v>
      </c>
      <c r="G154" s="31">
        <v>100</v>
      </c>
      <c r="H154" s="31">
        <v>76</v>
      </c>
      <c r="I154" s="31">
        <f t="shared" si="11"/>
        <v>83.800000000000011</v>
      </c>
      <c r="J154" s="31" t="s">
        <v>311</v>
      </c>
      <c r="K154" s="34">
        <f t="shared" si="12"/>
        <v>12</v>
      </c>
    </row>
    <row r="155" spans="1:11" ht="14.4" x14ac:dyDescent="0.3">
      <c r="A155" s="48">
        <v>29169845</v>
      </c>
      <c r="B155" s="49" t="s">
        <v>124</v>
      </c>
      <c r="C155" s="49" t="s">
        <v>125</v>
      </c>
      <c r="D155" s="32">
        <v>66</v>
      </c>
      <c r="E155" s="33">
        <v>80</v>
      </c>
      <c r="F155" s="31">
        <v>99</v>
      </c>
      <c r="G155" s="31">
        <v>94</v>
      </c>
      <c r="H155" s="31">
        <v>79</v>
      </c>
      <c r="I155" s="31">
        <f t="shared" si="11"/>
        <v>83.6</v>
      </c>
      <c r="J155" s="31" t="s">
        <v>310</v>
      </c>
      <c r="K155" s="34">
        <f t="shared" si="12"/>
        <v>12</v>
      </c>
    </row>
    <row r="156" spans="1:11" ht="14.4" x14ac:dyDescent="0.3">
      <c r="A156" s="48">
        <v>31920733</v>
      </c>
      <c r="B156" s="49" t="s">
        <v>126</v>
      </c>
      <c r="C156" s="49" t="s">
        <v>127</v>
      </c>
      <c r="D156" s="33">
        <v>99</v>
      </c>
      <c r="E156" s="32">
        <v>71</v>
      </c>
      <c r="F156" s="31">
        <v>86</v>
      </c>
      <c r="G156" s="31">
        <v>92</v>
      </c>
      <c r="H156" s="31">
        <v>90</v>
      </c>
      <c r="I156" s="31">
        <f t="shared" si="11"/>
        <v>87.600000000000009</v>
      </c>
      <c r="J156" s="31" t="s">
        <v>311</v>
      </c>
      <c r="K156" s="34">
        <f t="shared" si="12"/>
        <v>3</v>
      </c>
    </row>
    <row r="157" spans="1:11" ht="14.4" x14ac:dyDescent="0.3">
      <c r="A157" s="48">
        <v>59135219</v>
      </c>
      <c r="B157" s="49" t="s">
        <v>128</v>
      </c>
      <c r="C157" s="49" t="s">
        <v>129</v>
      </c>
      <c r="D157" s="31">
        <v>89</v>
      </c>
      <c r="E157" s="31">
        <v>73</v>
      </c>
      <c r="F157" s="31">
        <v>70</v>
      </c>
      <c r="G157" s="31">
        <v>78</v>
      </c>
      <c r="H157" s="31">
        <v>95</v>
      </c>
      <c r="I157" s="31">
        <f t="shared" si="11"/>
        <v>81</v>
      </c>
      <c r="J157" s="31" t="s">
        <v>311</v>
      </c>
      <c r="K157" s="34">
        <f t="shared" si="12"/>
        <v>11</v>
      </c>
    </row>
    <row r="158" spans="1:11" ht="14.4" x14ac:dyDescent="0.3">
      <c r="A158" s="48">
        <v>29617570</v>
      </c>
      <c r="B158" s="49" t="s">
        <v>130</v>
      </c>
      <c r="C158" s="49" t="s">
        <v>131</v>
      </c>
      <c r="D158" s="31">
        <v>83</v>
      </c>
      <c r="E158" s="31">
        <v>95</v>
      </c>
      <c r="F158" s="31">
        <v>94</v>
      </c>
      <c r="G158" s="31">
        <v>98</v>
      </c>
      <c r="H158" s="31">
        <v>80</v>
      </c>
      <c r="I158" s="31">
        <f t="shared" si="11"/>
        <v>90</v>
      </c>
      <c r="J158" s="31" t="s">
        <v>311</v>
      </c>
      <c r="K158" s="34">
        <f t="shared" si="12"/>
        <v>1</v>
      </c>
    </row>
    <row r="159" spans="1:11" ht="14.4" x14ac:dyDescent="0.3">
      <c r="A159" s="48">
        <v>41604417</v>
      </c>
      <c r="B159" s="49" t="s">
        <v>132</v>
      </c>
      <c r="C159" s="49" t="s">
        <v>133</v>
      </c>
      <c r="D159" s="31">
        <v>71</v>
      </c>
      <c r="E159" s="31">
        <v>91</v>
      </c>
      <c r="F159" s="31">
        <v>75</v>
      </c>
      <c r="G159" s="31">
        <v>73</v>
      </c>
      <c r="H159" s="31">
        <v>88</v>
      </c>
      <c r="I159" s="31">
        <f t="shared" si="11"/>
        <v>79.599999999999994</v>
      </c>
      <c r="J159" s="31" t="s">
        <v>311</v>
      </c>
      <c r="K159" s="34">
        <f t="shared" si="12"/>
        <v>11</v>
      </c>
    </row>
    <row r="160" spans="1:11" ht="14.4" x14ac:dyDescent="0.3">
      <c r="A160" s="48">
        <v>67642835</v>
      </c>
      <c r="B160" s="49" t="s">
        <v>134</v>
      </c>
      <c r="C160" s="49" t="s">
        <v>135</v>
      </c>
      <c r="D160" s="31">
        <v>93</v>
      </c>
      <c r="E160" s="31">
        <v>88</v>
      </c>
      <c r="F160" s="31">
        <v>99</v>
      </c>
      <c r="G160" s="31">
        <v>88</v>
      </c>
      <c r="H160" s="31">
        <v>70</v>
      </c>
      <c r="I160" s="31">
        <f t="shared" si="11"/>
        <v>87.6</v>
      </c>
      <c r="J160" s="31" t="s">
        <v>311</v>
      </c>
      <c r="K160" s="34">
        <f t="shared" si="12"/>
        <v>2</v>
      </c>
    </row>
    <row r="161" spans="1:11" ht="14.4" x14ac:dyDescent="0.3">
      <c r="A161" s="48">
        <v>65777672</v>
      </c>
      <c r="B161" s="49" t="s">
        <v>136</v>
      </c>
      <c r="C161" s="49" t="s">
        <v>137</v>
      </c>
      <c r="D161" s="31">
        <v>88</v>
      </c>
      <c r="E161" s="31">
        <v>91</v>
      </c>
      <c r="F161" s="31">
        <v>93</v>
      </c>
      <c r="G161" s="31">
        <v>75</v>
      </c>
      <c r="H161" s="31">
        <v>73</v>
      </c>
      <c r="I161" s="31">
        <f t="shared" si="11"/>
        <v>84</v>
      </c>
      <c r="J161" s="31" t="s">
        <v>311</v>
      </c>
      <c r="K161" s="34">
        <f t="shared" si="12"/>
        <v>8</v>
      </c>
    </row>
    <row r="162" spans="1:11" ht="14.4" x14ac:dyDescent="0.3">
      <c r="A162" s="48">
        <v>57031215</v>
      </c>
      <c r="B162" s="49" t="s">
        <v>138</v>
      </c>
      <c r="C162" s="49" t="s">
        <v>139</v>
      </c>
      <c r="D162" s="31">
        <v>88</v>
      </c>
      <c r="E162" s="31">
        <v>83</v>
      </c>
      <c r="F162" s="31">
        <v>82</v>
      </c>
      <c r="G162" s="31">
        <v>96</v>
      </c>
      <c r="H162" s="31">
        <v>78</v>
      </c>
      <c r="I162" s="31">
        <f t="shared" si="11"/>
        <v>85.4</v>
      </c>
      <c r="J162" s="31" t="s">
        <v>311</v>
      </c>
      <c r="K162" s="34">
        <f t="shared" si="12"/>
        <v>5</v>
      </c>
    </row>
    <row r="163" spans="1:11" ht="14.4" x14ac:dyDescent="0.3">
      <c r="A163" s="48">
        <v>14679298</v>
      </c>
      <c r="B163" s="49" t="s">
        <v>140</v>
      </c>
      <c r="C163" s="49" t="s">
        <v>141</v>
      </c>
      <c r="D163" s="31">
        <v>71</v>
      </c>
      <c r="E163" s="31">
        <v>79</v>
      </c>
      <c r="F163" s="31">
        <v>80</v>
      </c>
      <c r="G163" s="31">
        <v>79</v>
      </c>
      <c r="H163" s="31">
        <v>92</v>
      </c>
      <c r="I163" s="31">
        <f t="shared" si="11"/>
        <v>80.2</v>
      </c>
      <c r="J163" s="31" t="s">
        <v>311</v>
      </c>
      <c r="K163" s="34">
        <f t="shared" si="12"/>
        <v>7</v>
      </c>
    </row>
    <row r="164" spans="1:11" ht="14.4" x14ac:dyDescent="0.3">
      <c r="A164" s="48">
        <v>26610470</v>
      </c>
      <c r="B164" s="49" t="s">
        <v>32</v>
      </c>
      <c r="C164" s="49" t="s">
        <v>142</v>
      </c>
      <c r="D164" s="31">
        <v>88</v>
      </c>
      <c r="E164" s="31">
        <v>93</v>
      </c>
      <c r="F164" s="31">
        <v>79</v>
      </c>
      <c r="G164" s="31">
        <v>79</v>
      </c>
      <c r="H164" s="31">
        <v>91</v>
      </c>
      <c r="I164" s="31">
        <f t="shared" si="11"/>
        <v>86</v>
      </c>
      <c r="J164" s="31" t="s">
        <v>311</v>
      </c>
      <c r="K164" s="34">
        <f t="shared" si="12"/>
        <v>3</v>
      </c>
    </row>
    <row r="165" spans="1:11" ht="14.4" x14ac:dyDescent="0.3">
      <c r="A165" s="48">
        <v>39378097</v>
      </c>
      <c r="B165" s="49" t="s">
        <v>143</v>
      </c>
      <c r="C165" s="49" t="s">
        <v>144</v>
      </c>
      <c r="D165" s="31">
        <v>77</v>
      </c>
      <c r="E165" s="31">
        <v>79</v>
      </c>
      <c r="F165" s="31">
        <v>90</v>
      </c>
      <c r="G165" s="31">
        <v>90</v>
      </c>
      <c r="H165" s="31">
        <v>87</v>
      </c>
      <c r="I165" s="31">
        <f t="shared" si="11"/>
        <v>84.600000000000009</v>
      </c>
      <c r="J165" s="31" t="s">
        <v>311</v>
      </c>
      <c r="K165" s="34">
        <f t="shared" si="12"/>
        <v>5</v>
      </c>
    </row>
    <row r="166" spans="1:11" ht="14.4" x14ac:dyDescent="0.3">
      <c r="A166" s="48">
        <v>12255678</v>
      </c>
      <c r="B166" s="49" t="s">
        <v>145</v>
      </c>
      <c r="C166" s="49" t="s">
        <v>146</v>
      </c>
      <c r="D166" s="31">
        <v>70</v>
      </c>
      <c r="E166" s="31">
        <v>94</v>
      </c>
      <c r="F166" s="31">
        <v>89</v>
      </c>
      <c r="G166" s="31">
        <v>88</v>
      </c>
      <c r="H166" s="31">
        <v>88</v>
      </c>
      <c r="I166" s="31">
        <f t="shared" si="11"/>
        <v>85.799999999999983</v>
      </c>
      <c r="J166" s="31" t="s">
        <v>311</v>
      </c>
      <c r="K166" s="34">
        <f t="shared" si="12"/>
        <v>3</v>
      </c>
    </row>
    <row r="167" spans="1:11" ht="14.4" x14ac:dyDescent="0.3">
      <c r="A167" s="48">
        <v>23300401</v>
      </c>
      <c r="B167" s="49" t="s">
        <v>147</v>
      </c>
      <c r="C167" s="49" t="s">
        <v>148</v>
      </c>
      <c r="D167" s="31">
        <v>94</v>
      </c>
      <c r="E167" s="31">
        <v>79</v>
      </c>
      <c r="F167" s="31">
        <v>94</v>
      </c>
      <c r="G167" s="31">
        <v>78</v>
      </c>
      <c r="H167" s="31">
        <v>79</v>
      </c>
      <c r="I167" s="31">
        <f t="shared" si="11"/>
        <v>84.8</v>
      </c>
      <c r="J167" s="31" t="s">
        <v>311</v>
      </c>
      <c r="K167" s="34">
        <f t="shared" si="12"/>
        <v>3</v>
      </c>
    </row>
    <row r="168" spans="1:11" ht="14.4" x14ac:dyDescent="0.3">
      <c r="A168" s="48">
        <v>73797335</v>
      </c>
      <c r="B168" s="49" t="s">
        <v>102</v>
      </c>
      <c r="C168" s="49" t="s">
        <v>149</v>
      </c>
      <c r="D168" s="31">
        <v>98</v>
      </c>
      <c r="E168" s="31">
        <v>96</v>
      </c>
      <c r="F168" s="31">
        <v>78</v>
      </c>
      <c r="G168" s="31">
        <v>92</v>
      </c>
      <c r="H168" s="31">
        <v>79</v>
      </c>
      <c r="I168" s="31">
        <f t="shared" si="11"/>
        <v>88.600000000000009</v>
      </c>
      <c r="J168" s="31" t="s">
        <v>311</v>
      </c>
      <c r="K168" s="34">
        <f t="shared" si="12"/>
        <v>1</v>
      </c>
    </row>
    <row r="169" spans="1:11" ht="14.4" x14ac:dyDescent="0.3">
      <c r="A169" s="159">
        <v>96788908</v>
      </c>
      <c r="B169" s="160" t="s">
        <v>101</v>
      </c>
      <c r="C169" s="160" t="s">
        <v>150</v>
      </c>
      <c r="D169" s="167">
        <v>93</v>
      </c>
      <c r="E169" s="167">
        <v>84</v>
      </c>
      <c r="F169" s="167">
        <v>94</v>
      </c>
      <c r="G169" s="167">
        <v>83</v>
      </c>
      <c r="H169" s="167">
        <v>76</v>
      </c>
      <c r="I169" s="167">
        <f t="shared" si="11"/>
        <v>86.000000000000014</v>
      </c>
      <c r="J169" s="167" t="s">
        <v>311</v>
      </c>
      <c r="K169" s="35">
        <f t="shared" si="12"/>
        <v>1</v>
      </c>
    </row>
    <row r="170" spans="1:11" ht="14.4" x14ac:dyDescent="0.3">
      <c r="D170" s="157"/>
      <c r="E170" s="157"/>
      <c r="F170" s="157"/>
      <c r="G170" s="157"/>
      <c r="H170" s="157"/>
    </row>
  </sheetData>
  <mergeCells count="8">
    <mergeCell ref="H1:I1"/>
    <mergeCell ref="F128:H128"/>
    <mergeCell ref="F130:H130"/>
    <mergeCell ref="F2:H2"/>
    <mergeCell ref="F43:H43"/>
    <mergeCell ref="F85:H85"/>
    <mergeCell ref="F86:H86"/>
    <mergeCell ref="F129:H129"/>
  </mergeCells>
  <conditionalFormatting sqref="A132:C169">
    <cfRule type="cellIs" dxfId="183" priority="6" operator="between">
      <formula>20</formula>
      <formula>40</formula>
    </cfRule>
    <cfRule type="cellIs" dxfId="182" priority="7" operator="between">
      <formula>0</formula>
      <formula>20</formula>
    </cfRule>
  </conditionalFormatting>
  <conditionalFormatting sqref="D4:I41">
    <cfRule type="top10" dxfId="181" priority="2" percent="1" rank="10"/>
  </conditionalFormatting>
  <conditionalFormatting sqref="K4:K82 K85:K169">
    <cfRule type="colorScale" priority="1">
      <colorScale>
        <cfvo type="min"/>
        <cfvo type="percentile" val="50"/>
        <cfvo type="max"/>
        <color rgb="FF63BE7B"/>
        <color rgb="FFFFEB84"/>
        <color rgb="FFF8696B"/>
      </colorScale>
    </cfRule>
  </conditionalFormatting>
  <conditionalFormatting sqref="D132:I169">
    <cfRule type="cellIs" dxfId="180" priority="3" operator="between">
      <formula>80</formula>
      <formula>1000</formula>
    </cfRule>
  </conditionalFormatting>
  <dataValidations count="1">
    <dataValidation type="list" allowBlank="1" showInputMessage="1" showErrorMessage="1" sqref="B1" xr:uid="{23944239-50A9-4F14-85C2-23E16BA242AB}">
      <formula1>$M$6:$M$23</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1FEA3-C3EA-46FE-BD77-20D75B3752E7}">
  <sheetPr codeName="Sheet10">
    <tabColor theme="5"/>
  </sheetPr>
  <dimension ref="A1:AA132"/>
  <sheetViews>
    <sheetView zoomScaleNormal="100" zoomScaleSheetLayoutView="100" workbookViewId="0">
      <pane ySplit="1" topLeftCell="A5" activePane="bottomLeft" state="frozen"/>
      <selection activeCell="AC33" sqref="AC33"/>
      <selection pane="bottomLeft"/>
    </sheetView>
  </sheetViews>
  <sheetFormatPr defaultRowHeight="14.4" x14ac:dyDescent="0.3"/>
  <cols>
    <col min="1" max="1" width="22.5" bestFit="1" customWidth="1"/>
    <col min="2" max="2" width="13.75" customWidth="1"/>
    <col min="3" max="4" width="14.125" customWidth="1"/>
    <col min="5" max="5" width="12.25" customWidth="1"/>
    <col min="6" max="6" width="9.75" customWidth="1"/>
    <col min="7" max="7" width="7.625" bestFit="1" customWidth="1"/>
    <col min="8" max="8" width="19.25" customWidth="1"/>
    <col min="9" max="9" width="12.75" customWidth="1"/>
    <col min="10" max="10" width="10.125" customWidth="1"/>
    <col min="11" max="11" width="14.125" customWidth="1"/>
    <col min="12" max="12" width="14" customWidth="1"/>
    <col min="13" max="13" width="11.875" customWidth="1"/>
    <col min="14" max="14" width="12.875" customWidth="1"/>
    <col min="15" max="15" width="10.75" customWidth="1"/>
    <col min="16" max="16" width="14.75" customWidth="1"/>
    <col min="20" max="20" width="13" customWidth="1"/>
    <col min="21" max="21" width="11.875" customWidth="1"/>
    <col min="27" max="27" width="12.25" bestFit="1" customWidth="1"/>
  </cols>
  <sheetData>
    <row r="1" spans="1:17" ht="29.25" customHeight="1" x14ac:dyDescent="0.5">
      <c r="A1" s="190" t="s">
        <v>284</v>
      </c>
      <c r="B1" s="1"/>
      <c r="C1" s="1"/>
      <c r="D1" s="1"/>
      <c r="E1" s="1"/>
      <c r="F1" s="1"/>
      <c r="G1" s="20"/>
      <c r="H1" s="329" t="s">
        <v>321</v>
      </c>
      <c r="I1" s="329"/>
      <c r="J1" s="22">
        <f>COUNT(ClassD)</f>
        <v>27</v>
      </c>
      <c r="L1" s="1"/>
      <c r="M1" s="1"/>
      <c r="N1" s="1"/>
      <c r="O1" s="1"/>
      <c r="P1" s="1"/>
      <c r="Q1" s="1"/>
    </row>
    <row r="2" spans="1:17" x14ac:dyDescent="0.3">
      <c r="A2" s="345" t="s">
        <v>192</v>
      </c>
      <c r="B2" s="346"/>
      <c r="C2" s="346"/>
      <c r="D2" s="346"/>
      <c r="E2" s="346"/>
      <c r="F2" s="346"/>
      <c r="G2" s="346"/>
      <c r="H2" s="346"/>
      <c r="I2" s="346"/>
      <c r="J2" s="346"/>
      <c r="K2" s="346"/>
      <c r="L2" s="346"/>
      <c r="M2" s="347"/>
      <c r="N2" s="172"/>
    </row>
    <row r="3" spans="1:17" x14ac:dyDescent="0.3">
      <c r="A3" s="137" t="s">
        <v>0</v>
      </c>
      <c r="B3" s="137" t="s">
        <v>279</v>
      </c>
      <c r="C3" s="137" t="s">
        <v>280</v>
      </c>
      <c r="D3" s="137" t="s">
        <v>385</v>
      </c>
      <c r="E3" s="137" t="s">
        <v>195</v>
      </c>
      <c r="F3" s="137" t="s">
        <v>196</v>
      </c>
      <c r="G3" s="137" t="s">
        <v>197</v>
      </c>
      <c r="H3" s="137" t="s">
        <v>198</v>
      </c>
      <c r="I3" s="137" t="s">
        <v>304</v>
      </c>
      <c r="J3" s="137" t="s">
        <v>303</v>
      </c>
      <c r="K3" s="137" t="s">
        <v>1</v>
      </c>
      <c r="L3" s="137" t="s">
        <v>200</v>
      </c>
      <c r="M3" s="170" t="s">
        <v>384</v>
      </c>
      <c r="O3" s="2"/>
      <c r="P3" s="341" t="s">
        <v>316</v>
      </c>
      <c r="Q3" s="341"/>
    </row>
    <row r="4" spans="1:17" x14ac:dyDescent="0.3">
      <c r="A4" s="142">
        <v>32695778</v>
      </c>
      <c r="B4" s="141" t="s">
        <v>28</v>
      </c>
      <c r="C4" s="141" t="s">
        <v>29</v>
      </c>
      <c r="D4" s="140">
        <v>37</v>
      </c>
      <c r="E4" s="139">
        <v>32</v>
      </c>
      <c r="F4" s="139">
        <v>32</v>
      </c>
      <c r="G4" s="138">
        <v>32</v>
      </c>
      <c r="H4" s="129">
        <v>34</v>
      </c>
      <c r="I4" s="129">
        <v>30</v>
      </c>
      <c r="J4" s="129">
        <f>AVERAGE(E4:I4)</f>
        <v>32</v>
      </c>
      <c r="K4" s="128" cm="1">
        <f t="array" ref="K4">SUMPRODUCT(D4:I4,TRANSPOSE($Q$4:$Q$9))/SUM($Q$4:$Q$9)</f>
        <v>32.444444444444443</v>
      </c>
      <c r="L4" s="19" t="str" cm="1">
        <f t="array" ref="L4">_xlfn.IFS(K4&gt;36,"A",K4&gt;32,"B",K4&gt;28,"C",K4&gt;24,"D",K4&lt;24,"F")</f>
        <v>B</v>
      </c>
      <c r="M4" s="171">
        <f t="shared" ref="M4:M30" si="0">INDEX($Q$15:$Q$19,MATCH(L4,$P$15:$P$19,0))</f>
        <v>3</v>
      </c>
      <c r="P4" s="149" t="s">
        <v>314</v>
      </c>
      <c r="Q4" s="149">
        <v>0.1</v>
      </c>
    </row>
    <row r="5" spans="1:17" x14ac:dyDescent="0.3">
      <c r="A5" s="144">
        <v>55677878</v>
      </c>
      <c r="B5" s="141" t="s">
        <v>30</v>
      </c>
      <c r="C5" s="141" t="s">
        <v>31</v>
      </c>
      <c r="D5" s="140">
        <v>37</v>
      </c>
      <c r="E5" s="143">
        <v>24</v>
      </c>
      <c r="F5" s="143">
        <v>27</v>
      </c>
      <c r="G5" s="138">
        <v>31</v>
      </c>
      <c r="H5" s="129">
        <v>22</v>
      </c>
      <c r="I5" s="129">
        <v>32</v>
      </c>
      <c r="J5" s="129">
        <f>AVERAGE(E5:I5)</f>
        <v>27.2</v>
      </c>
      <c r="K5" s="128" cm="1">
        <f t="array" ref="K5">SUMPRODUCT(D5:I5,TRANSPOSE($Q$4:$Q$9))/SUM($Q$4:$Q$9)</f>
        <v>28.555555555555554</v>
      </c>
      <c r="L5" s="19" t="str" cm="1">
        <f t="array" ref="L5">_xlfn.IFS(K5&gt;36,"A",K5&gt;32,"B",K5&gt;28,"C",K5&gt;24,"D",K5&lt;24,"F")</f>
        <v>C</v>
      </c>
      <c r="M5" s="171">
        <f t="shared" si="0"/>
        <v>2</v>
      </c>
      <c r="P5" s="141" t="s">
        <v>315</v>
      </c>
      <c r="Q5" s="141">
        <v>0.15</v>
      </c>
    </row>
    <row r="6" spans="1:17" x14ac:dyDescent="0.3">
      <c r="A6" s="142">
        <v>13692938</v>
      </c>
      <c r="B6" s="141" t="s">
        <v>32</v>
      </c>
      <c r="C6" s="141" t="s">
        <v>33</v>
      </c>
      <c r="D6" s="140">
        <v>34</v>
      </c>
      <c r="E6" s="139">
        <v>38</v>
      </c>
      <c r="F6" s="139">
        <v>40</v>
      </c>
      <c r="G6" s="138">
        <v>24</v>
      </c>
      <c r="H6" s="129">
        <v>36</v>
      </c>
      <c r="I6" s="129">
        <v>28</v>
      </c>
      <c r="J6" s="129">
        <f t="shared" ref="J6:J30" si="1">AVERAGE(E6:I6)</f>
        <v>33.200000000000003</v>
      </c>
      <c r="K6" s="128" cm="1">
        <f t="array" ref="K6">SUMPRODUCT(D6:I6,TRANSPOSE($Q$4:$Q$9))/SUM($Q$4:$Q$9)</f>
        <v>33</v>
      </c>
      <c r="L6" s="19" t="str" cm="1">
        <f t="array" ref="L6">_xlfn.IFS(K6&gt;36,"A",K6&gt;32,"B",K6&gt;28,"C",K6&gt;24,"D",K6&lt;24,"F")</f>
        <v>B</v>
      </c>
      <c r="M6" s="171">
        <f t="shared" si="0"/>
        <v>3</v>
      </c>
      <c r="P6" s="141" t="s">
        <v>196</v>
      </c>
      <c r="Q6" s="141">
        <v>0.15</v>
      </c>
    </row>
    <row r="7" spans="1:17" x14ac:dyDescent="0.3">
      <c r="A7" s="144">
        <v>49461380</v>
      </c>
      <c r="B7" s="141" t="s">
        <v>34</v>
      </c>
      <c r="C7" s="141" t="s">
        <v>35</v>
      </c>
      <c r="D7" s="140">
        <v>28</v>
      </c>
      <c r="E7" s="143">
        <v>24</v>
      </c>
      <c r="F7" s="143">
        <v>23</v>
      </c>
      <c r="G7" s="138">
        <v>24</v>
      </c>
      <c r="H7" s="129">
        <v>34</v>
      </c>
      <c r="I7" s="129">
        <v>32</v>
      </c>
      <c r="J7" s="129">
        <f>AVERAGE(E7:I7)</f>
        <v>27.4</v>
      </c>
      <c r="K7" s="128" cm="1">
        <f t="array" ref="K7">SUMPRODUCT(D7:I7,TRANSPOSE($Q$4:$Q$9))/SUM($Q$4:$Q$9)</f>
        <v>27.722222222222214</v>
      </c>
      <c r="L7" s="19" t="str" cm="1">
        <f t="array" ref="L7">_xlfn.IFS(K7&gt;36,"A",K7&gt;32,"B",K7&gt;28,"C",K7&gt;24,"D",K7&lt;24,"F")</f>
        <v>D</v>
      </c>
      <c r="M7" s="171">
        <f t="shared" si="0"/>
        <v>1</v>
      </c>
      <c r="P7" s="141" t="s">
        <v>197</v>
      </c>
      <c r="Q7" s="141">
        <v>0.15</v>
      </c>
    </row>
    <row r="8" spans="1:17" x14ac:dyDescent="0.3">
      <c r="A8" s="142">
        <v>66065006</v>
      </c>
      <c r="B8" s="141" t="s">
        <v>36</v>
      </c>
      <c r="C8" s="141" t="s">
        <v>37</v>
      </c>
      <c r="D8" s="140">
        <v>33</v>
      </c>
      <c r="E8" s="139">
        <v>28</v>
      </c>
      <c r="F8" s="139">
        <v>22</v>
      </c>
      <c r="G8" s="138">
        <v>30</v>
      </c>
      <c r="H8" s="129">
        <v>27</v>
      </c>
      <c r="I8" s="129">
        <v>27</v>
      </c>
      <c r="J8" s="129">
        <f>AVERAGE(E8:I8)</f>
        <v>26.8</v>
      </c>
      <c r="K8" s="128" cm="1">
        <f t="array" ref="K8">SUMPRODUCT(D8:I8,TRANSPOSE($Q$4:$Q$9))/SUM($Q$4:$Q$9)</f>
        <v>27.499999999999996</v>
      </c>
      <c r="L8" s="19" t="str" cm="1">
        <f t="array" ref="L8">_xlfn.IFS(K8&gt;36,"A",K8&gt;32,"B",K8&gt;28,"C",K8&gt;24,"D",K8&lt;24,"F")</f>
        <v>D</v>
      </c>
      <c r="M8" s="171">
        <f t="shared" si="0"/>
        <v>1</v>
      </c>
      <c r="P8" s="141" t="s">
        <v>198</v>
      </c>
      <c r="Q8" s="141">
        <v>0.15</v>
      </c>
    </row>
    <row r="9" spans="1:17" x14ac:dyDescent="0.3">
      <c r="A9" s="144">
        <v>14185496</v>
      </c>
      <c r="B9" s="141" t="s">
        <v>38</v>
      </c>
      <c r="C9" s="141" t="s">
        <v>39</v>
      </c>
      <c r="D9" s="140">
        <v>39</v>
      </c>
      <c r="E9" s="143">
        <v>21</v>
      </c>
      <c r="F9" s="143">
        <v>20</v>
      </c>
      <c r="G9" s="138">
        <v>29</v>
      </c>
      <c r="H9" s="129">
        <v>32</v>
      </c>
      <c r="I9" s="129">
        <v>22</v>
      </c>
      <c r="J9" s="129">
        <f t="shared" si="1"/>
        <v>24.8</v>
      </c>
      <c r="K9" s="128" cm="1">
        <f t="array" ref="K9">SUMPRODUCT(D9:I9,TRANSPOSE($Q$4:$Q$9))/SUM($Q$4:$Q$9)</f>
        <v>26.222222222222221</v>
      </c>
      <c r="L9" s="19" t="str" cm="1">
        <f t="array" ref="L9">_xlfn.IFS(K9&gt;36,"A",K9&gt;32,"B",K9&gt;28,"C",K9&gt;24,"D",K9&lt;24,"F")</f>
        <v>D</v>
      </c>
      <c r="M9" s="171">
        <f t="shared" si="0"/>
        <v>1</v>
      </c>
      <c r="P9" s="141" t="s">
        <v>304</v>
      </c>
      <c r="Q9" s="141">
        <v>0.2</v>
      </c>
    </row>
    <row r="10" spans="1:17" x14ac:dyDescent="0.3">
      <c r="A10" s="142">
        <v>22222762</v>
      </c>
      <c r="B10" s="141" t="s">
        <v>40</v>
      </c>
      <c r="C10" s="141" t="s">
        <v>41</v>
      </c>
      <c r="D10" s="140">
        <v>21</v>
      </c>
      <c r="E10" s="139">
        <v>22</v>
      </c>
      <c r="F10" s="139">
        <v>37</v>
      </c>
      <c r="G10" s="138">
        <v>26</v>
      </c>
      <c r="H10" s="129">
        <v>28</v>
      </c>
      <c r="I10" s="129">
        <v>36</v>
      </c>
      <c r="J10" s="129">
        <f t="shared" si="1"/>
        <v>29.8</v>
      </c>
      <c r="K10" s="128" cm="1">
        <f t="array" ref="K10">SUMPRODUCT(D10:I10,TRANSPOSE($Q$4:$Q$9))/SUM($Q$4:$Q$9)</f>
        <v>29.166666666666661</v>
      </c>
      <c r="L10" s="19" t="str" cm="1">
        <f t="array" ref="L10">_xlfn.IFS(K10&gt;36,"A",K10&gt;32,"B",K10&gt;28,"C",K10&gt;24,"D",K10&lt;24,"F")</f>
        <v>C</v>
      </c>
      <c r="M10" s="171">
        <f t="shared" si="0"/>
        <v>2</v>
      </c>
    </row>
    <row r="11" spans="1:17" x14ac:dyDescent="0.3">
      <c r="A11" s="144">
        <v>33006505</v>
      </c>
      <c r="B11" s="141" t="s">
        <v>42</v>
      </c>
      <c r="C11" s="141" t="s">
        <v>43</v>
      </c>
      <c r="D11" s="140">
        <v>39</v>
      </c>
      <c r="E11" s="143">
        <v>21</v>
      </c>
      <c r="F11" s="143">
        <v>27</v>
      </c>
      <c r="G11" s="138">
        <v>34</v>
      </c>
      <c r="H11" s="129">
        <v>20</v>
      </c>
      <c r="I11" s="129">
        <v>22</v>
      </c>
      <c r="J11" s="129">
        <f t="shared" si="1"/>
        <v>24.8</v>
      </c>
      <c r="K11" s="128" cm="1">
        <f t="array" ref="K11">SUMPRODUCT(D11:I11,TRANSPOSE($Q$4:$Q$9))/SUM($Q$4:$Q$9)</f>
        <v>26.222222222222221</v>
      </c>
      <c r="L11" s="19" t="str" cm="1">
        <f t="array" ref="L11">_xlfn.IFS(K11&gt;36,"A",K11&gt;32,"B",K11&gt;28,"C",K11&gt;24,"D",K11&lt;24,"F")</f>
        <v>D</v>
      </c>
      <c r="M11" s="171">
        <f t="shared" si="0"/>
        <v>1</v>
      </c>
    </row>
    <row r="12" spans="1:17" x14ac:dyDescent="0.3">
      <c r="A12" s="142">
        <v>27658150</v>
      </c>
      <c r="B12" s="141" t="s">
        <v>44</v>
      </c>
      <c r="C12" s="141" t="s">
        <v>45</v>
      </c>
      <c r="D12" s="140">
        <v>24</v>
      </c>
      <c r="E12" s="139">
        <v>30</v>
      </c>
      <c r="F12" s="139">
        <v>38</v>
      </c>
      <c r="G12" s="138">
        <v>38</v>
      </c>
      <c r="H12" s="129">
        <v>32</v>
      </c>
      <c r="I12" s="129">
        <v>30</v>
      </c>
      <c r="J12" s="129">
        <f t="shared" si="1"/>
        <v>33.6</v>
      </c>
      <c r="K12" s="128" cm="1">
        <f t="array" ref="K12">SUMPRODUCT(D12:I12,TRANSPOSE($Q$4:$Q$9))/SUM($Q$4:$Q$9)</f>
        <v>32.333333333333329</v>
      </c>
      <c r="L12" s="19" t="str" cm="1">
        <f t="array" ref="L12">_xlfn.IFS(K12&gt;36,"A",K12&gt;32,"B",K12&gt;28,"C",K12&gt;24,"D",K12&lt;24,"F")</f>
        <v>B</v>
      </c>
      <c r="M12" s="171">
        <f t="shared" si="0"/>
        <v>3</v>
      </c>
    </row>
    <row r="13" spans="1:17" x14ac:dyDescent="0.3">
      <c r="A13" s="144">
        <v>54116555</v>
      </c>
      <c r="B13" s="141" t="s">
        <v>46</v>
      </c>
      <c r="C13" s="141" t="s">
        <v>47</v>
      </c>
      <c r="D13" s="140">
        <v>26</v>
      </c>
      <c r="E13" s="143">
        <v>35</v>
      </c>
      <c r="F13" s="143">
        <v>26</v>
      </c>
      <c r="G13" s="138">
        <v>30</v>
      </c>
      <c r="H13" s="129">
        <v>27</v>
      </c>
      <c r="I13" s="129">
        <v>36</v>
      </c>
      <c r="J13" s="129">
        <f t="shared" si="1"/>
        <v>30.8</v>
      </c>
      <c r="K13" s="128" cm="1">
        <f t="array" ref="K13">SUMPRODUCT(D13:I13,TRANSPOSE($Q$4:$Q$9))/SUM($Q$4:$Q$9)</f>
        <v>30.55555555555555</v>
      </c>
      <c r="L13" s="19" t="str" cm="1">
        <f t="array" ref="L13">_xlfn.IFS(K13&gt;36,"A",K13&gt;32,"B",K13&gt;28,"C",K13&gt;24,"D",K13&lt;24,"F")</f>
        <v>C</v>
      </c>
      <c r="M13" s="171">
        <f t="shared" si="0"/>
        <v>2</v>
      </c>
      <c r="P13" s="341" t="s">
        <v>384</v>
      </c>
      <c r="Q13" s="341"/>
    </row>
    <row r="14" spans="1:17" x14ac:dyDescent="0.3">
      <c r="A14" s="142">
        <v>12255677</v>
      </c>
      <c r="B14" s="141" t="s">
        <v>48</v>
      </c>
      <c r="C14" s="141" t="s">
        <v>49</v>
      </c>
      <c r="D14" s="140">
        <v>39</v>
      </c>
      <c r="E14" s="139">
        <v>25</v>
      </c>
      <c r="F14" s="139">
        <v>22</v>
      </c>
      <c r="G14" s="138">
        <v>29</v>
      </c>
      <c r="H14" s="129">
        <v>33</v>
      </c>
      <c r="I14" s="129">
        <v>28</v>
      </c>
      <c r="J14" s="129">
        <f t="shared" si="1"/>
        <v>27.4</v>
      </c>
      <c r="K14" s="128" cm="1">
        <f t="array" ref="K14">SUMPRODUCT(D14:I14,TRANSPOSE($Q$4:$Q$9))/SUM($Q$4:$Q$9)</f>
        <v>28.722222222222218</v>
      </c>
      <c r="L14" s="19" t="str" cm="1">
        <f t="array" ref="L14">_xlfn.IFS(K14&gt;36,"A",K14&gt;32,"B",K14&gt;28,"C",K14&gt;24,"D",K14&lt;24,"F")</f>
        <v>C</v>
      </c>
      <c r="M14" s="171">
        <f t="shared" si="0"/>
        <v>2</v>
      </c>
      <c r="P14" s="146" t="s">
        <v>313</v>
      </c>
      <c r="Q14" s="146" t="s">
        <v>312</v>
      </c>
    </row>
    <row r="15" spans="1:17" x14ac:dyDescent="0.3">
      <c r="A15" s="144">
        <v>80079978</v>
      </c>
      <c r="B15" s="141" t="s">
        <v>50</v>
      </c>
      <c r="C15" s="141" t="s">
        <v>51</v>
      </c>
      <c r="D15" s="140">
        <v>26</v>
      </c>
      <c r="E15" s="143">
        <v>32</v>
      </c>
      <c r="F15" s="143">
        <v>33</v>
      </c>
      <c r="G15" s="138">
        <v>22</v>
      </c>
      <c r="H15" s="129">
        <v>31</v>
      </c>
      <c r="I15" s="129">
        <v>25</v>
      </c>
      <c r="J15" s="129">
        <f t="shared" si="1"/>
        <v>28.6</v>
      </c>
      <c r="K15" s="128" cm="1">
        <f t="array" ref="K15">SUMPRODUCT(D15:I15,TRANSPOSE($Q$4:$Q$9))/SUM($Q$4:$Q$9)</f>
        <v>28.111111111111107</v>
      </c>
      <c r="L15" s="19" t="str" cm="1">
        <f t="array" ref="L15">_xlfn.IFS(K15&gt;36,"A",K15&gt;32,"B",K15&gt;28,"C",K15&gt;24,"D",K15&lt;24,"F")</f>
        <v>C</v>
      </c>
      <c r="M15" s="171">
        <f t="shared" si="0"/>
        <v>2</v>
      </c>
      <c r="P15" t="s">
        <v>311</v>
      </c>
      <c r="Q15">
        <v>4</v>
      </c>
    </row>
    <row r="16" spans="1:17" x14ac:dyDescent="0.3">
      <c r="A16" s="142">
        <v>62672194</v>
      </c>
      <c r="B16" s="141" t="s">
        <v>20</v>
      </c>
      <c r="C16" s="141" t="s">
        <v>52</v>
      </c>
      <c r="D16" s="140">
        <v>33</v>
      </c>
      <c r="E16" s="139">
        <v>22</v>
      </c>
      <c r="F16" s="139">
        <v>32</v>
      </c>
      <c r="G16" s="138">
        <v>24</v>
      </c>
      <c r="H16" s="129">
        <v>24</v>
      </c>
      <c r="I16" s="129">
        <v>23</v>
      </c>
      <c r="J16" s="129">
        <f t="shared" si="1"/>
        <v>25</v>
      </c>
      <c r="K16" s="128" cm="1">
        <f t="array" ref="K16">SUMPRODUCT(D16:I16,TRANSPOSE($Q$4:$Q$9))/SUM($Q$4:$Q$9)</f>
        <v>25.777777777777771</v>
      </c>
      <c r="L16" s="19" t="str" cm="1">
        <f t="array" ref="L16">_xlfn.IFS(K16&gt;36,"A",K16&gt;32,"B",K16&gt;28,"C",K16&gt;24,"D",K16&lt;24,"F")</f>
        <v>D</v>
      </c>
      <c r="M16" s="171">
        <f t="shared" si="0"/>
        <v>1</v>
      </c>
      <c r="P16" t="s">
        <v>310</v>
      </c>
      <c r="Q16">
        <v>3</v>
      </c>
    </row>
    <row r="17" spans="1:17" x14ac:dyDescent="0.3">
      <c r="A17" s="144">
        <v>22975112</v>
      </c>
      <c r="B17" s="141" t="s">
        <v>53</v>
      </c>
      <c r="C17" s="141" t="s">
        <v>54</v>
      </c>
      <c r="D17" s="140">
        <v>21</v>
      </c>
      <c r="E17" s="143">
        <v>35</v>
      </c>
      <c r="F17" s="143">
        <v>26</v>
      </c>
      <c r="G17" s="138">
        <v>29</v>
      </c>
      <c r="H17" s="129">
        <v>38</v>
      </c>
      <c r="I17" s="129">
        <v>23</v>
      </c>
      <c r="J17" s="129">
        <f t="shared" si="1"/>
        <v>30.2</v>
      </c>
      <c r="K17" s="128" cm="1">
        <f t="array" ref="K17">SUMPRODUCT(D17:I17,TRANSPOSE($Q$4:$Q$9))/SUM($Q$4:$Q$9)</f>
        <v>28.777777777777775</v>
      </c>
      <c r="L17" s="19" t="str" cm="1">
        <f t="array" ref="L17">_xlfn.IFS(K17&gt;36,"A",K17&gt;32,"B",K17&gt;28,"C",K17&gt;24,"D",K17&lt;24,"F")</f>
        <v>C</v>
      </c>
      <c r="M17" s="171">
        <f t="shared" si="0"/>
        <v>2</v>
      </c>
      <c r="P17" t="s">
        <v>309</v>
      </c>
      <c r="Q17">
        <v>2</v>
      </c>
    </row>
    <row r="18" spans="1:17" x14ac:dyDescent="0.3">
      <c r="A18" s="142">
        <v>17117302</v>
      </c>
      <c r="B18" s="141" t="s">
        <v>55</v>
      </c>
      <c r="C18" s="141" t="s">
        <v>56</v>
      </c>
      <c r="D18" s="140">
        <v>28</v>
      </c>
      <c r="E18" s="139">
        <v>23</v>
      </c>
      <c r="F18" s="139">
        <v>21</v>
      </c>
      <c r="G18" s="138">
        <v>30</v>
      </c>
      <c r="H18" s="129">
        <v>24</v>
      </c>
      <c r="I18" s="129">
        <v>39</v>
      </c>
      <c r="J18" s="129">
        <f t="shared" si="1"/>
        <v>27.4</v>
      </c>
      <c r="K18" s="128" cm="1">
        <f t="array" ref="K18">SUMPRODUCT(D18:I18,TRANSPOSE($Q$4:$Q$9))/SUM($Q$4:$Q$9)</f>
        <v>28.111111111111107</v>
      </c>
      <c r="L18" s="19" t="str" cm="1">
        <f t="array" ref="L18">_xlfn.IFS(K18&gt;36,"A",K18&gt;32,"B",K18&gt;28,"C",K18&gt;24,"D",K18&lt;24,"F")</f>
        <v>C</v>
      </c>
      <c r="M18" s="171">
        <f t="shared" si="0"/>
        <v>2</v>
      </c>
      <c r="P18" t="s">
        <v>308</v>
      </c>
      <c r="Q18">
        <v>1</v>
      </c>
    </row>
    <row r="19" spans="1:17" x14ac:dyDescent="0.3">
      <c r="A19" s="144">
        <v>17175244</v>
      </c>
      <c r="B19" s="141" t="s">
        <v>57</v>
      </c>
      <c r="C19" s="141" t="s">
        <v>58</v>
      </c>
      <c r="D19" s="140">
        <v>33</v>
      </c>
      <c r="E19" s="143">
        <v>29</v>
      </c>
      <c r="F19" s="143">
        <v>36</v>
      </c>
      <c r="G19" s="138">
        <v>24</v>
      </c>
      <c r="H19" s="129">
        <v>38</v>
      </c>
      <c r="I19" s="129">
        <v>23</v>
      </c>
      <c r="J19" s="129">
        <f t="shared" si="1"/>
        <v>30</v>
      </c>
      <c r="K19" s="128" cm="1">
        <f t="array" ref="K19">SUMPRODUCT(D19:I19,TRANSPOSE($Q$4:$Q$9))/SUM($Q$4:$Q$9)</f>
        <v>29.944444444444439</v>
      </c>
      <c r="L19" s="19" t="str" cm="1">
        <f t="array" ref="L19">_xlfn.IFS(K19&gt;36,"A",K19&gt;32,"B",K19&gt;28,"C",K19&gt;24,"D",K19&lt;24,"F")</f>
        <v>C</v>
      </c>
      <c r="M19" s="171">
        <f t="shared" si="0"/>
        <v>2</v>
      </c>
      <c r="P19" t="s">
        <v>307</v>
      </c>
      <c r="Q19">
        <v>0</v>
      </c>
    </row>
    <row r="20" spans="1:17" x14ac:dyDescent="0.3">
      <c r="A20" s="142">
        <v>67176280</v>
      </c>
      <c r="B20" s="141" t="s">
        <v>20</v>
      </c>
      <c r="C20" s="141" t="s">
        <v>59</v>
      </c>
      <c r="D20" s="140">
        <v>38</v>
      </c>
      <c r="E20" s="139">
        <v>21</v>
      </c>
      <c r="F20" s="139">
        <v>40</v>
      </c>
      <c r="G20" s="138">
        <v>40</v>
      </c>
      <c r="H20" s="129">
        <v>36</v>
      </c>
      <c r="I20" s="129">
        <v>23</v>
      </c>
      <c r="J20" s="129">
        <f t="shared" si="1"/>
        <v>32</v>
      </c>
      <c r="K20" s="128" cm="1">
        <f t="array" ref="K20">SUMPRODUCT(D20:I20,TRANSPOSE($Q$4:$Q$9))/SUM($Q$4:$Q$9)</f>
        <v>32.166666666666664</v>
      </c>
      <c r="L20" s="19" t="str" cm="1">
        <f t="array" ref="L20">_xlfn.IFS(K20&gt;36,"A",K20&gt;32,"B",K20&gt;28,"C",K20&gt;24,"D",K20&lt;24,"F")</f>
        <v>B</v>
      </c>
      <c r="M20" s="171">
        <f t="shared" si="0"/>
        <v>3</v>
      </c>
    </row>
    <row r="21" spans="1:17" x14ac:dyDescent="0.3">
      <c r="A21" s="144">
        <v>90908811</v>
      </c>
      <c r="B21" s="141" t="s">
        <v>60</v>
      </c>
      <c r="C21" s="141" t="s">
        <v>61</v>
      </c>
      <c r="D21" s="140">
        <v>27</v>
      </c>
      <c r="E21" s="143">
        <v>39</v>
      </c>
      <c r="F21" s="143">
        <v>25</v>
      </c>
      <c r="G21" s="138">
        <v>28</v>
      </c>
      <c r="H21" s="129">
        <v>29</v>
      </c>
      <c r="I21" s="129">
        <v>20</v>
      </c>
      <c r="J21" s="129">
        <f t="shared" si="1"/>
        <v>28.2</v>
      </c>
      <c r="K21" s="128" cm="1">
        <f t="array" ref="K21">SUMPRODUCT(D21:I21,TRANSPOSE($Q$4:$Q$9))/SUM($Q$4:$Q$9)</f>
        <v>27.611111111111107</v>
      </c>
      <c r="L21" s="19" t="str" cm="1">
        <f t="array" ref="L21">_xlfn.IFS(K21&gt;36,"A",K21&gt;32,"B",K21&gt;28,"C",K21&gt;24,"D",K21&lt;24,"F")</f>
        <v>D</v>
      </c>
      <c r="M21" s="171">
        <f t="shared" si="0"/>
        <v>1</v>
      </c>
    </row>
    <row r="22" spans="1:17" x14ac:dyDescent="0.3">
      <c r="A22" s="142">
        <v>37800314</v>
      </c>
      <c r="B22" s="141" t="s">
        <v>62</v>
      </c>
      <c r="C22" s="141" t="s">
        <v>63</v>
      </c>
      <c r="D22" s="140">
        <v>38</v>
      </c>
      <c r="E22" s="139">
        <v>26</v>
      </c>
      <c r="F22" s="139">
        <v>30</v>
      </c>
      <c r="G22" s="138">
        <v>26</v>
      </c>
      <c r="H22" s="129">
        <v>40</v>
      </c>
      <c r="I22" s="129">
        <v>23</v>
      </c>
      <c r="J22" s="129">
        <f t="shared" si="1"/>
        <v>29</v>
      </c>
      <c r="K22" s="128" cm="1">
        <f t="array" ref="K22">SUMPRODUCT(D22:I22,TRANSPOSE($Q$4:$Q$9))/SUM($Q$4:$Q$9)</f>
        <v>29.666666666666661</v>
      </c>
      <c r="L22" s="19" t="str" cm="1">
        <f t="array" ref="L22">_xlfn.IFS(K22&gt;36,"A",K22&gt;32,"B",K22&gt;28,"C",K22&gt;24,"D",K22&lt;24,"F")</f>
        <v>C</v>
      </c>
      <c r="M22" s="171">
        <f t="shared" si="0"/>
        <v>2</v>
      </c>
      <c r="P22" s="148" t="s">
        <v>304</v>
      </c>
      <c r="Q22" s="148" t="s">
        <v>303</v>
      </c>
    </row>
    <row r="23" spans="1:17" x14ac:dyDescent="0.3">
      <c r="A23" s="144">
        <v>59343896</v>
      </c>
      <c r="B23" s="141" t="s">
        <v>64</v>
      </c>
      <c r="C23" s="141" t="s">
        <v>65</v>
      </c>
      <c r="D23" s="140">
        <v>39</v>
      </c>
      <c r="E23" s="143">
        <v>25</v>
      </c>
      <c r="F23" s="143">
        <v>32</v>
      </c>
      <c r="G23" s="138">
        <v>24</v>
      </c>
      <c r="H23" s="129">
        <v>27</v>
      </c>
      <c r="I23" s="129">
        <v>34</v>
      </c>
      <c r="J23" s="129">
        <f t="shared" si="1"/>
        <v>28.4</v>
      </c>
      <c r="K23" s="128" cm="1">
        <f t="array" ref="K23">SUMPRODUCT(D23:I23,TRANSPOSE($Q$4:$Q$9))/SUM($Q$4:$Q$9)</f>
        <v>29.888888888888882</v>
      </c>
      <c r="L23" s="19" t="str" cm="1">
        <f t="array" ref="L23">_xlfn.IFS(K23&gt;36,"A",K23&gt;32,"B",K23&gt;28,"C",K23&gt;24,"D",K23&lt;24,"F")</f>
        <v>C</v>
      </c>
      <c r="M23" s="171">
        <f t="shared" si="0"/>
        <v>2</v>
      </c>
      <c r="P23" s="2" t="s">
        <v>389</v>
      </c>
      <c r="Q23" s="147">
        <f>J4</f>
        <v>32</v>
      </c>
    </row>
    <row r="24" spans="1:17" x14ac:dyDescent="0.3">
      <c r="A24" s="142">
        <v>56278487</v>
      </c>
      <c r="B24" s="141" t="s">
        <v>66</v>
      </c>
      <c r="C24" s="141" t="s">
        <v>67</v>
      </c>
      <c r="D24" s="140">
        <v>32</v>
      </c>
      <c r="E24" s="139">
        <v>33</v>
      </c>
      <c r="F24" s="139">
        <v>38</v>
      </c>
      <c r="G24" s="138">
        <v>39</v>
      </c>
      <c r="H24" s="129">
        <v>28</v>
      </c>
      <c r="I24" s="129">
        <v>33</v>
      </c>
      <c r="J24" s="129">
        <f t="shared" si="1"/>
        <v>34.200000000000003</v>
      </c>
      <c r="K24" s="128" cm="1">
        <f t="array" ref="K24">SUMPRODUCT(D24:I24,TRANSPOSE($Q$4:$Q$9))/SUM($Q$4:$Q$9)</f>
        <v>33.888888888888886</v>
      </c>
      <c r="L24" s="19" t="str" cm="1">
        <f t="array" ref="L24">_xlfn.IFS(K24&gt;36,"A",K24&gt;32,"B",K24&gt;28,"C",K24&gt;24,"D",K24&lt;24,"F")</f>
        <v>B</v>
      </c>
      <c r="M24" s="171">
        <f t="shared" si="0"/>
        <v>3</v>
      </c>
      <c r="P24" s="2">
        <v>0</v>
      </c>
      <c r="Q24" s="2">
        <f t="dataTable" ref="Q24:Q28" dt2D="0" dtr="0" r1="I4"/>
        <v>26</v>
      </c>
    </row>
    <row r="25" spans="1:17" x14ac:dyDescent="0.3">
      <c r="A25" s="144">
        <v>77890678</v>
      </c>
      <c r="B25" s="141" t="s">
        <v>68</v>
      </c>
      <c r="C25" s="141" t="s">
        <v>69</v>
      </c>
      <c r="D25" s="140">
        <v>29</v>
      </c>
      <c r="E25" s="143">
        <v>26</v>
      </c>
      <c r="F25" s="143">
        <v>32</v>
      </c>
      <c r="G25" s="138">
        <v>35</v>
      </c>
      <c r="H25" s="129">
        <v>24</v>
      </c>
      <c r="I25" s="129">
        <v>20</v>
      </c>
      <c r="J25" s="129">
        <f t="shared" si="1"/>
        <v>27.4</v>
      </c>
      <c r="K25" s="128" cm="1">
        <f t="array" ref="K25">SUMPRODUCT(D25:I25,TRANSPOSE($Q$4:$Q$9))/SUM($Q$4:$Q$9)</f>
        <v>27.166666666666664</v>
      </c>
      <c r="L25" s="19" t="str" cm="1">
        <f t="array" ref="L25">_xlfn.IFS(K25&gt;36,"A",K25&gt;32,"B",K25&gt;28,"C",K25&gt;24,"D",K25&lt;24,"F")</f>
        <v>D</v>
      </c>
      <c r="M25" s="171">
        <f t="shared" si="0"/>
        <v>1</v>
      </c>
      <c r="P25" s="2">
        <v>32</v>
      </c>
      <c r="Q25" s="2">
        <v>32.4</v>
      </c>
    </row>
    <row r="26" spans="1:17" x14ac:dyDescent="0.3">
      <c r="A26" s="142">
        <v>33896032</v>
      </c>
      <c r="B26" s="141" t="s">
        <v>70</v>
      </c>
      <c r="C26" s="141" t="s">
        <v>71</v>
      </c>
      <c r="D26" s="140">
        <v>20</v>
      </c>
      <c r="E26" s="139">
        <v>28</v>
      </c>
      <c r="F26" s="139">
        <v>40</v>
      </c>
      <c r="G26" s="138">
        <v>35</v>
      </c>
      <c r="H26" s="129">
        <v>38</v>
      </c>
      <c r="I26" s="129">
        <v>37</v>
      </c>
      <c r="J26" s="129">
        <f t="shared" si="1"/>
        <v>35.6</v>
      </c>
      <c r="K26" s="128" cm="1">
        <f t="array" ref="K26">SUMPRODUCT(D26:I26,TRANSPOSE($Q$4:$Q$9))/SUM($Q$4:$Q$9)</f>
        <v>33.944444444444436</v>
      </c>
      <c r="L26" s="19" t="str" cm="1">
        <f t="array" ref="L26">_xlfn.IFS(K26&gt;36,"A",K26&gt;32,"B",K26&gt;28,"C",K26&gt;24,"D",K26&lt;24,"F")</f>
        <v>B</v>
      </c>
      <c r="M26" s="171">
        <f t="shared" si="0"/>
        <v>3</v>
      </c>
      <c r="P26" s="2">
        <v>36</v>
      </c>
      <c r="Q26" s="2">
        <v>33.200000000000003</v>
      </c>
    </row>
    <row r="27" spans="1:17" x14ac:dyDescent="0.3">
      <c r="A27" s="144">
        <v>40723551</v>
      </c>
      <c r="B27" s="141" t="s">
        <v>72</v>
      </c>
      <c r="C27" s="141" t="s">
        <v>73</v>
      </c>
      <c r="D27" s="140">
        <v>25</v>
      </c>
      <c r="E27" s="143">
        <v>33</v>
      </c>
      <c r="F27" s="143">
        <v>27</v>
      </c>
      <c r="G27" s="138">
        <v>33</v>
      </c>
      <c r="H27" s="129">
        <v>31</v>
      </c>
      <c r="I27" s="129">
        <v>23</v>
      </c>
      <c r="J27" s="129">
        <f t="shared" si="1"/>
        <v>29.4</v>
      </c>
      <c r="K27" s="128" cm="1">
        <f t="array" ref="K27">SUMPRODUCT(D27:I27,TRANSPOSE($Q$4:$Q$9))/SUM($Q$4:$Q$9)</f>
        <v>28.55555555555555</v>
      </c>
      <c r="L27" s="19" t="str" cm="1">
        <f t="array" ref="L27">_xlfn.IFS(K27&gt;36,"A",K27&gt;32,"B",K27&gt;28,"C",K27&gt;24,"D",K27&lt;24,"F")</f>
        <v>C</v>
      </c>
      <c r="M27" s="171">
        <f t="shared" si="0"/>
        <v>2</v>
      </c>
      <c r="P27" s="2">
        <v>0</v>
      </c>
      <c r="Q27" s="2">
        <v>26</v>
      </c>
    </row>
    <row r="28" spans="1:17" x14ac:dyDescent="0.3">
      <c r="A28" s="142">
        <v>23010569</v>
      </c>
      <c r="B28" s="141" t="s">
        <v>74</v>
      </c>
      <c r="C28" s="141" t="s">
        <v>75</v>
      </c>
      <c r="D28" s="140">
        <v>23</v>
      </c>
      <c r="E28" s="139">
        <v>22</v>
      </c>
      <c r="F28" s="139">
        <v>37</v>
      </c>
      <c r="G28" s="138">
        <v>21</v>
      </c>
      <c r="H28" s="129">
        <v>29</v>
      </c>
      <c r="I28" s="129">
        <v>28</v>
      </c>
      <c r="J28" s="129">
        <f t="shared" si="1"/>
        <v>27.4</v>
      </c>
      <c r="K28" s="128" cm="1">
        <f t="array" ref="K28">SUMPRODUCT(D28:I28,TRANSPOSE($Q$4:$Q$9))/SUM($Q$4:$Q$9)</f>
        <v>26.944444444444439</v>
      </c>
      <c r="L28" s="19" t="str" cm="1">
        <f t="array" ref="L28">_xlfn.IFS(K28&gt;36,"A",K28&gt;32,"B",K28&gt;28,"C",K28&gt;24,"D",K28&lt;24,"F")</f>
        <v>D</v>
      </c>
      <c r="M28" s="171">
        <f t="shared" si="0"/>
        <v>1</v>
      </c>
      <c r="P28" s="2">
        <v>25</v>
      </c>
      <c r="Q28" s="2">
        <v>31</v>
      </c>
    </row>
    <row r="29" spans="1:17" x14ac:dyDescent="0.3">
      <c r="A29" s="144">
        <v>44900212</v>
      </c>
      <c r="B29" s="141" t="s">
        <v>76</v>
      </c>
      <c r="C29" s="141" t="s">
        <v>77</v>
      </c>
      <c r="D29" s="140">
        <v>38</v>
      </c>
      <c r="E29" s="143">
        <v>29</v>
      </c>
      <c r="F29" s="143">
        <v>31</v>
      </c>
      <c r="G29" s="138">
        <v>21</v>
      </c>
      <c r="H29" s="129">
        <v>37</v>
      </c>
      <c r="I29" s="129">
        <v>39</v>
      </c>
      <c r="J29" s="129">
        <f t="shared" si="1"/>
        <v>31.4</v>
      </c>
      <c r="K29" s="128" cm="1">
        <f t="array" ref="K29">SUMPRODUCT(D29:I29,TRANSPOSE($Q$4:$Q$9))/SUM($Q$4:$Q$9)</f>
        <v>32.55555555555555</v>
      </c>
      <c r="L29" s="19" t="str" cm="1">
        <f t="array" ref="L29">_xlfn.IFS(K29&gt;36,"A",K29&gt;32,"B",K29&gt;28,"C",K29&gt;24,"D",K29&lt;24,"F")</f>
        <v>B</v>
      </c>
      <c r="M29" s="171">
        <f t="shared" si="0"/>
        <v>3</v>
      </c>
    </row>
    <row r="30" spans="1:17" x14ac:dyDescent="0.3">
      <c r="A30" s="142">
        <v>42395721</v>
      </c>
      <c r="B30" s="141" t="s">
        <v>78</v>
      </c>
      <c r="C30" s="141" t="s">
        <v>79</v>
      </c>
      <c r="D30" s="140">
        <v>28</v>
      </c>
      <c r="E30" s="139">
        <v>31</v>
      </c>
      <c r="F30" s="139">
        <v>31</v>
      </c>
      <c r="G30" s="138">
        <v>35</v>
      </c>
      <c r="H30" s="129">
        <v>26</v>
      </c>
      <c r="I30" s="129">
        <v>35</v>
      </c>
      <c r="J30" s="129">
        <f t="shared" si="1"/>
        <v>31.6</v>
      </c>
      <c r="K30" s="128" cm="1">
        <f t="array" ref="K30">SUMPRODUCT(D30:I30,TRANSPOSE($Q$4:$Q$9))/SUM($Q$4:$Q$9)</f>
        <v>31.388888888888879</v>
      </c>
      <c r="L30" s="19" t="str" cm="1">
        <f t="array" ref="L30">_xlfn.IFS(K30&gt;36,"A",K30&gt;32,"B",K30&gt;28,"C",K30&gt;24,"D",K30&lt;24,"F")</f>
        <v>C</v>
      </c>
      <c r="M30" s="171">
        <f t="shared" si="0"/>
        <v>2</v>
      </c>
    </row>
    <row r="31" spans="1:17" x14ac:dyDescent="0.3">
      <c r="M31" s="28"/>
    </row>
    <row r="32" spans="1:17" x14ac:dyDescent="0.3">
      <c r="P32" s="342" t="s">
        <v>387</v>
      </c>
      <c r="Q32" s="344"/>
    </row>
    <row r="33" spans="1:27" x14ac:dyDescent="0.3">
      <c r="P33" s="145" t="s">
        <v>200</v>
      </c>
    </row>
    <row r="34" spans="1:27" x14ac:dyDescent="0.3">
      <c r="P34" t="s">
        <v>386</v>
      </c>
    </row>
    <row r="35" spans="1:27" x14ac:dyDescent="0.3">
      <c r="P35" t="s">
        <v>308</v>
      </c>
    </row>
    <row r="36" spans="1:27" x14ac:dyDescent="0.3">
      <c r="A36" s="345" t="s">
        <v>202</v>
      </c>
      <c r="B36" s="346"/>
      <c r="C36" s="346"/>
      <c r="D36" s="346"/>
      <c r="E36" s="346"/>
      <c r="F36" s="346"/>
      <c r="G36" s="346"/>
      <c r="H36" s="346"/>
      <c r="I36" s="346"/>
      <c r="J36" s="346"/>
      <c r="K36" s="346"/>
      <c r="L36" s="346"/>
      <c r="M36" s="346"/>
    </row>
    <row r="37" spans="1:27" x14ac:dyDescent="0.3">
      <c r="A37" s="137" t="s">
        <v>0</v>
      </c>
      <c r="B37" s="137" t="s">
        <v>279</v>
      </c>
      <c r="C37" s="137" t="s">
        <v>280</v>
      </c>
      <c r="D37" s="137" t="s">
        <v>385</v>
      </c>
      <c r="E37" s="137" t="s">
        <v>195</v>
      </c>
      <c r="F37" s="137" t="s">
        <v>196</v>
      </c>
      <c r="G37" s="137" t="s">
        <v>197</v>
      </c>
      <c r="H37" s="137" t="s">
        <v>198</v>
      </c>
      <c r="I37" s="137" t="s">
        <v>304</v>
      </c>
      <c r="J37" s="137" t="s">
        <v>303</v>
      </c>
      <c r="K37" s="137" t="s">
        <v>1</v>
      </c>
      <c r="L37" s="137" t="s">
        <v>200</v>
      </c>
      <c r="M37" s="168" t="s">
        <v>384</v>
      </c>
      <c r="N37" s="27"/>
    </row>
    <row r="38" spans="1:27" x14ac:dyDescent="0.3">
      <c r="A38" s="134">
        <v>32695778</v>
      </c>
      <c r="B38" s="133" t="s">
        <v>28</v>
      </c>
      <c r="C38" s="133" t="s">
        <v>29</v>
      </c>
      <c r="D38" s="132">
        <v>40</v>
      </c>
      <c r="E38" s="131">
        <v>9</v>
      </c>
      <c r="F38" s="131">
        <v>32</v>
      </c>
      <c r="G38" s="130">
        <v>82</v>
      </c>
      <c r="H38" s="129">
        <v>79</v>
      </c>
      <c r="I38" s="129">
        <v>19</v>
      </c>
      <c r="J38" s="129">
        <f t="shared" ref="J38:J64" si="2">AVERAGE(E38:I38)</f>
        <v>44.2</v>
      </c>
      <c r="K38" s="128" cm="1">
        <f t="array" ref="K38">SUMPRODUCT(D38:I38,TRANSPOSE($Q$4:$Q$9))/SUM($Q$4:$Q$9)</f>
        <v>42.333333333333321</v>
      </c>
      <c r="L38" s="129" t="str" cm="1">
        <f t="array" ref="L38">_xlfn.IFS(K38&gt;36,"A",K38&gt;32,"B",K38&gt;28,"C",K38&gt;24,"D",K38&lt;24,"F")</f>
        <v>A</v>
      </c>
      <c r="M38" s="169">
        <f t="shared" ref="M38:M64" si="3">INDEX($Q$15:$Q$19,MATCH(L38,$P$15:$P$19,0))</f>
        <v>4</v>
      </c>
      <c r="N38" s="27"/>
      <c r="O38" s="342" t="s">
        <v>388</v>
      </c>
      <c r="P38" s="343"/>
      <c r="Q38" s="343"/>
      <c r="R38" s="343"/>
      <c r="S38" s="343"/>
      <c r="T38" s="343"/>
      <c r="U38" s="343"/>
      <c r="V38" s="343"/>
      <c r="W38" s="343"/>
      <c r="X38" s="343"/>
      <c r="Y38" s="343"/>
      <c r="Z38" s="343"/>
      <c r="AA38" s="344"/>
    </row>
    <row r="39" spans="1:27" x14ac:dyDescent="0.3">
      <c r="A39" s="136">
        <v>55677878</v>
      </c>
      <c r="B39" s="133" t="s">
        <v>30</v>
      </c>
      <c r="C39" s="133" t="s">
        <v>31</v>
      </c>
      <c r="D39" s="132">
        <v>56</v>
      </c>
      <c r="E39" s="135">
        <v>23</v>
      </c>
      <c r="F39" s="135">
        <v>19</v>
      </c>
      <c r="G39" s="130">
        <v>24</v>
      </c>
      <c r="H39" s="129">
        <v>37</v>
      </c>
      <c r="I39" s="129">
        <v>43</v>
      </c>
      <c r="J39" s="129">
        <f t="shared" si="2"/>
        <v>29.2</v>
      </c>
      <c r="K39" s="128" cm="1">
        <f t="array" ref="K39">SUMPRODUCT(D39:I39,TRANSPOSE($Q$4:$Q$9))/SUM($Q$4:$Q$9)</f>
        <v>32.944444444444436</v>
      </c>
      <c r="L39" s="129" t="str" cm="1">
        <f t="array" ref="L39">_xlfn.IFS(K39&gt;36,"A",K39&gt;32,"B",K39&gt;28,"C",K39&gt;24,"D",K39&lt;24,"F")</f>
        <v>B</v>
      </c>
      <c r="M39" s="169">
        <f t="shared" si="3"/>
        <v>3</v>
      </c>
      <c r="N39" s="27"/>
      <c r="O39" s="146" t="s">
        <v>0</v>
      </c>
      <c r="P39" s="146" t="s">
        <v>279</v>
      </c>
      <c r="Q39" s="146" t="s">
        <v>280</v>
      </c>
      <c r="R39" s="146" t="s">
        <v>385</v>
      </c>
      <c r="S39" s="146" t="s">
        <v>195</v>
      </c>
      <c r="T39" s="146" t="s">
        <v>196</v>
      </c>
      <c r="U39" s="146" t="s">
        <v>197</v>
      </c>
      <c r="V39" s="146" t="s">
        <v>198</v>
      </c>
      <c r="W39" s="146" t="s">
        <v>304</v>
      </c>
      <c r="X39" s="146" t="s">
        <v>303</v>
      </c>
      <c r="Y39" s="146" t="s">
        <v>1</v>
      </c>
      <c r="Z39" s="146" t="s">
        <v>200</v>
      </c>
      <c r="AA39" s="146" t="s">
        <v>384</v>
      </c>
    </row>
    <row r="40" spans="1:27" x14ac:dyDescent="0.3">
      <c r="A40" s="134">
        <v>13692938</v>
      </c>
      <c r="B40" s="133" t="s">
        <v>32</v>
      </c>
      <c r="C40" s="133" t="s">
        <v>33</v>
      </c>
      <c r="D40" s="132">
        <v>16</v>
      </c>
      <c r="E40" s="131">
        <v>26</v>
      </c>
      <c r="F40" s="131">
        <v>18</v>
      </c>
      <c r="G40" s="130">
        <v>75</v>
      </c>
      <c r="H40" s="129">
        <v>30</v>
      </c>
      <c r="I40" s="129">
        <v>83</v>
      </c>
      <c r="J40" s="129">
        <f t="shared" si="2"/>
        <v>46.4</v>
      </c>
      <c r="K40" s="128" cm="1">
        <f t="array" ref="K40">SUMPRODUCT(D40:I40,TRANSPOSE($Q$4:$Q$9))/SUM($Q$4:$Q$9)</f>
        <v>45.055555555555543</v>
      </c>
      <c r="L40" s="129" t="str" cm="1">
        <f t="array" ref="L40">_xlfn.IFS(K40&gt;36,"A",K40&gt;32,"B",K40&gt;28,"C",K40&gt;24,"D",K40&lt;24,"F")</f>
        <v>A</v>
      </c>
      <c r="M40" s="169">
        <f t="shared" si="3"/>
        <v>4</v>
      </c>
      <c r="N40" s="27"/>
      <c r="O40" s="144">
        <v>49461380</v>
      </c>
      <c r="P40" s="141" t="s">
        <v>34</v>
      </c>
      <c r="Q40" s="141" t="s">
        <v>35</v>
      </c>
      <c r="R40" s="140">
        <v>28</v>
      </c>
      <c r="S40" s="143">
        <v>24</v>
      </c>
      <c r="T40" s="143">
        <v>23</v>
      </c>
      <c r="U40" s="138">
        <v>24</v>
      </c>
      <c r="V40" s="129">
        <v>34</v>
      </c>
      <c r="W40" s="129">
        <v>32</v>
      </c>
      <c r="X40" s="129">
        <v>27.4</v>
      </c>
      <c r="Y40" s="128">
        <v>27.722222222222214</v>
      </c>
      <c r="Z40" s="19" t="s">
        <v>308</v>
      </c>
      <c r="AA40" s="19">
        <v>1</v>
      </c>
    </row>
    <row r="41" spans="1:27" x14ac:dyDescent="0.3">
      <c r="A41" s="136">
        <v>49461380</v>
      </c>
      <c r="B41" s="133" t="s">
        <v>34</v>
      </c>
      <c r="C41" s="133" t="s">
        <v>35</v>
      </c>
      <c r="D41" s="132">
        <v>65</v>
      </c>
      <c r="E41" s="135">
        <v>25</v>
      </c>
      <c r="F41" s="135">
        <v>21</v>
      </c>
      <c r="G41" s="130">
        <v>70</v>
      </c>
      <c r="H41" s="129">
        <v>7</v>
      </c>
      <c r="I41" s="129">
        <v>30</v>
      </c>
      <c r="J41" s="129">
        <f t="shared" si="2"/>
        <v>30.6</v>
      </c>
      <c r="K41" s="128" cm="1">
        <f t="array" ref="K41">SUMPRODUCT(D41:I41,TRANSPOSE($Q$4:$Q$9))/SUM($Q$4:$Q$9)</f>
        <v>34.388888888888886</v>
      </c>
      <c r="L41" s="129" t="str" cm="1">
        <f t="array" ref="L41">_xlfn.IFS(K41&gt;36,"A",K41&gt;32,"B",K41&gt;28,"C",K41&gt;24,"D",K41&lt;24,"F")</f>
        <v>B</v>
      </c>
      <c r="M41" s="169">
        <f t="shared" si="3"/>
        <v>3</v>
      </c>
      <c r="N41" s="27"/>
      <c r="O41" s="142">
        <v>66065006</v>
      </c>
      <c r="P41" s="141" t="s">
        <v>36</v>
      </c>
      <c r="Q41" s="141" t="s">
        <v>37</v>
      </c>
      <c r="R41" s="140">
        <v>33</v>
      </c>
      <c r="S41" s="139">
        <v>28</v>
      </c>
      <c r="T41" s="139">
        <v>22</v>
      </c>
      <c r="U41" s="138">
        <v>30</v>
      </c>
      <c r="V41" s="129">
        <v>27</v>
      </c>
      <c r="W41" s="129">
        <v>27</v>
      </c>
      <c r="X41" s="129">
        <v>26.8</v>
      </c>
      <c r="Y41" s="128">
        <v>27.499999999999996</v>
      </c>
      <c r="Z41" s="19" t="s">
        <v>308</v>
      </c>
      <c r="AA41" s="19">
        <v>1</v>
      </c>
    </row>
    <row r="42" spans="1:27" x14ac:dyDescent="0.3">
      <c r="A42" s="134">
        <v>66065006</v>
      </c>
      <c r="B42" s="133" t="s">
        <v>36</v>
      </c>
      <c r="C42" s="133" t="s">
        <v>37</v>
      </c>
      <c r="D42" s="132">
        <v>81</v>
      </c>
      <c r="E42" s="131">
        <v>8</v>
      </c>
      <c r="F42" s="131">
        <v>39</v>
      </c>
      <c r="G42" s="130">
        <v>33</v>
      </c>
      <c r="H42" s="129">
        <v>57</v>
      </c>
      <c r="I42" s="129">
        <v>16</v>
      </c>
      <c r="J42" s="129">
        <f t="shared" si="2"/>
        <v>30.6</v>
      </c>
      <c r="K42" s="128" cm="1">
        <f t="array" ref="K42">SUMPRODUCT(D42:I42,TRANSPOSE($Q$4:$Q$9))/SUM($Q$4:$Q$9)</f>
        <v>35.388888888888879</v>
      </c>
      <c r="L42" s="129" t="str" cm="1">
        <f t="array" ref="L42">_xlfn.IFS(K42&gt;36,"A",K42&gt;32,"B",K42&gt;28,"C",K42&gt;24,"D",K42&lt;24,"F")</f>
        <v>B</v>
      </c>
      <c r="M42" s="169">
        <f t="shared" si="3"/>
        <v>3</v>
      </c>
      <c r="N42" s="27"/>
      <c r="O42" s="144">
        <v>14185496</v>
      </c>
      <c r="P42" s="141" t="s">
        <v>38</v>
      </c>
      <c r="Q42" s="141" t="s">
        <v>39</v>
      </c>
      <c r="R42" s="140">
        <v>39</v>
      </c>
      <c r="S42" s="143">
        <v>21</v>
      </c>
      <c r="T42" s="143">
        <v>20</v>
      </c>
      <c r="U42" s="138">
        <v>29</v>
      </c>
      <c r="V42" s="129">
        <v>32</v>
      </c>
      <c r="W42" s="129">
        <v>22</v>
      </c>
      <c r="X42" s="129">
        <v>24.8</v>
      </c>
      <c r="Y42" s="128">
        <v>26.222222222222221</v>
      </c>
      <c r="Z42" s="19" t="s">
        <v>308</v>
      </c>
      <c r="AA42" s="19">
        <v>1</v>
      </c>
    </row>
    <row r="43" spans="1:27" x14ac:dyDescent="0.3">
      <c r="A43" s="136">
        <v>14185496</v>
      </c>
      <c r="B43" s="133" t="s">
        <v>38</v>
      </c>
      <c r="C43" s="133" t="s">
        <v>39</v>
      </c>
      <c r="D43" s="132">
        <v>4</v>
      </c>
      <c r="E43" s="135">
        <v>23</v>
      </c>
      <c r="F43" s="135">
        <v>27</v>
      </c>
      <c r="G43" s="130">
        <v>81</v>
      </c>
      <c r="H43" s="129">
        <v>47</v>
      </c>
      <c r="I43" s="129">
        <v>73</v>
      </c>
      <c r="J43" s="129">
        <f t="shared" si="2"/>
        <v>50.2</v>
      </c>
      <c r="K43" s="128" cm="1">
        <f t="array" ref="K43">SUMPRODUCT(D43:I43,TRANSPOSE($Q$4:$Q$9))/SUM($Q$4:$Q$9)</f>
        <v>46.333333333333329</v>
      </c>
      <c r="L43" s="129" t="str" cm="1">
        <f t="array" ref="L43">_xlfn.IFS(K43&gt;36,"A",K43&gt;32,"B",K43&gt;28,"C",K43&gt;24,"D",K43&lt;24,"F")</f>
        <v>A</v>
      </c>
      <c r="M43" s="169">
        <f t="shared" si="3"/>
        <v>4</v>
      </c>
      <c r="N43" s="27"/>
      <c r="O43" s="144">
        <v>33006505</v>
      </c>
      <c r="P43" s="141" t="s">
        <v>42</v>
      </c>
      <c r="Q43" s="141" t="s">
        <v>43</v>
      </c>
      <c r="R43" s="140">
        <v>39</v>
      </c>
      <c r="S43" s="143">
        <v>21</v>
      </c>
      <c r="T43" s="143">
        <v>27</v>
      </c>
      <c r="U43" s="138">
        <v>34</v>
      </c>
      <c r="V43" s="129">
        <v>20</v>
      </c>
      <c r="W43" s="129">
        <v>22</v>
      </c>
      <c r="X43" s="129">
        <v>24.8</v>
      </c>
      <c r="Y43" s="128">
        <v>26.222222222222221</v>
      </c>
      <c r="Z43" s="19" t="s">
        <v>308</v>
      </c>
      <c r="AA43" s="19">
        <v>1</v>
      </c>
    </row>
    <row r="44" spans="1:27" x14ac:dyDescent="0.3">
      <c r="A44" s="134">
        <v>22222762</v>
      </c>
      <c r="B44" s="133" t="s">
        <v>40</v>
      </c>
      <c r="C44" s="133" t="s">
        <v>41</v>
      </c>
      <c r="D44" s="132">
        <v>23</v>
      </c>
      <c r="E44" s="131">
        <v>42</v>
      </c>
      <c r="F44" s="131">
        <v>9</v>
      </c>
      <c r="G44" s="130">
        <v>67</v>
      </c>
      <c r="H44" s="129">
        <v>34</v>
      </c>
      <c r="I44" s="129">
        <v>60</v>
      </c>
      <c r="J44" s="129">
        <f t="shared" si="2"/>
        <v>42.4</v>
      </c>
      <c r="K44" s="128" cm="1">
        <f t="array" ref="K44">SUMPRODUCT(D44:I44,TRANSPOSE($Q$4:$Q$9))/SUM($Q$4:$Q$9)</f>
        <v>41.222222222222214</v>
      </c>
      <c r="L44" s="129" t="str" cm="1">
        <f t="array" ref="L44">_xlfn.IFS(K44&gt;36,"A",K44&gt;32,"B",K44&gt;28,"C",K44&gt;24,"D",K44&lt;24,"F")</f>
        <v>A</v>
      </c>
      <c r="M44" s="169">
        <f t="shared" si="3"/>
        <v>4</v>
      </c>
      <c r="N44" s="27"/>
      <c r="O44" s="142">
        <v>62672194</v>
      </c>
      <c r="P44" s="141" t="s">
        <v>20</v>
      </c>
      <c r="Q44" s="141" t="s">
        <v>52</v>
      </c>
      <c r="R44" s="140">
        <v>33</v>
      </c>
      <c r="S44" s="139">
        <v>22</v>
      </c>
      <c r="T44" s="139">
        <v>32</v>
      </c>
      <c r="U44" s="138">
        <v>24</v>
      </c>
      <c r="V44" s="129">
        <v>24</v>
      </c>
      <c r="W44" s="129">
        <v>23</v>
      </c>
      <c r="X44" s="129">
        <v>25</v>
      </c>
      <c r="Y44" s="128">
        <v>25.777777777777771</v>
      </c>
      <c r="Z44" s="19" t="s">
        <v>308</v>
      </c>
      <c r="AA44" s="19">
        <v>1</v>
      </c>
    </row>
    <row r="45" spans="1:27" x14ac:dyDescent="0.3">
      <c r="A45" s="136">
        <v>33006505</v>
      </c>
      <c r="B45" s="133" t="s">
        <v>42</v>
      </c>
      <c r="C45" s="133" t="s">
        <v>43</v>
      </c>
      <c r="D45" s="132">
        <v>47</v>
      </c>
      <c r="E45" s="135">
        <v>46</v>
      </c>
      <c r="F45" s="135">
        <v>8</v>
      </c>
      <c r="G45" s="130">
        <v>59</v>
      </c>
      <c r="H45" s="129">
        <v>14</v>
      </c>
      <c r="I45" s="129">
        <v>20</v>
      </c>
      <c r="J45" s="129">
        <f t="shared" si="2"/>
        <v>29.4</v>
      </c>
      <c r="K45" s="128" cm="1">
        <f t="array" ref="K45">SUMPRODUCT(D45:I45,TRANSPOSE($Q$4:$Q$9))/SUM($Q$4:$Q$9)</f>
        <v>30.833333333333329</v>
      </c>
      <c r="L45" s="129" t="str" cm="1">
        <f t="array" ref="L45">_xlfn.IFS(K45&gt;36,"A",K45&gt;32,"B",K45&gt;28,"C",K45&gt;24,"D",K45&lt;24,"F")</f>
        <v>C</v>
      </c>
      <c r="M45" s="169">
        <f t="shared" si="3"/>
        <v>2</v>
      </c>
      <c r="N45" s="27"/>
      <c r="O45" s="144">
        <v>90908811</v>
      </c>
      <c r="P45" s="141" t="s">
        <v>60</v>
      </c>
      <c r="Q45" s="141" t="s">
        <v>61</v>
      </c>
      <c r="R45" s="140">
        <v>27</v>
      </c>
      <c r="S45" s="143">
        <v>39</v>
      </c>
      <c r="T45" s="143">
        <v>25</v>
      </c>
      <c r="U45" s="138">
        <v>28</v>
      </c>
      <c r="V45" s="129">
        <v>29</v>
      </c>
      <c r="W45" s="129">
        <v>20</v>
      </c>
      <c r="X45" s="129">
        <v>28.2</v>
      </c>
      <c r="Y45" s="128">
        <v>27.611111111111107</v>
      </c>
      <c r="Z45" s="19" t="s">
        <v>308</v>
      </c>
      <c r="AA45" s="19">
        <v>1</v>
      </c>
    </row>
    <row r="46" spans="1:27" x14ac:dyDescent="0.3">
      <c r="A46" s="134">
        <v>27658150</v>
      </c>
      <c r="B46" s="133" t="s">
        <v>44</v>
      </c>
      <c r="C46" s="133" t="s">
        <v>45</v>
      </c>
      <c r="D46" s="132">
        <v>21</v>
      </c>
      <c r="E46" s="131">
        <v>22</v>
      </c>
      <c r="F46" s="131">
        <v>33</v>
      </c>
      <c r="G46" s="130">
        <v>97</v>
      </c>
      <c r="H46" s="129">
        <v>86</v>
      </c>
      <c r="I46" s="129">
        <v>67</v>
      </c>
      <c r="J46" s="129">
        <f t="shared" si="2"/>
        <v>61</v>
      </c>
      <c r="K46" s="128" cm="1">
        <f t="array" ref="K46">SUMPRODUCT(D46:I46,TRANSPOSE($Q$4:$Q$9))/SUM($Q$4:$Q$9)</f>
        <v>56.888888888888879</v>
      </c>
      <c r="L46" s="129" t="str" cm="1">
        <f t="array" ref="L46">_xlfn.IFS(K46&gt;36,"A",K46&gt;32,"B",K46&gt;28,"C",K46&gt;24,"D",K46&lt;24,"F")</f>
        <v>A</v>
      </c>
      <c r="M46" s="169">
        <f t="shared" si="3"/>
        <v>4</v>
      </c>
      <c r="N46" s="27"/>
      <c r="O46" s="144">
        <v>77890678</v>
      </c>
      <c r="P46" s="141" t="s">
        <v>68</v>
      </c>
      <c r="Q46" s="141" t="s">
        <v>69</v>
      </c>
      <c r="R46" s="140">
        <v>29</v>
      </c>
      <c r="S46" s="143">
        <v>26</v>
      </c>
      <c r="T46" s="143">
        <v>32</v>
      </c>
      <c r="U46" s="138">
        <v>35</v>
      </c>
      <c r="V46" s="129">
        <v>24</v>
      </c>
      <c r="W46" s="129">
        <v>20</v>
      </c>
      <c r="X46" s="129">
        <v>27.4</v>
      </c>
      <c r="Y46" s="128">
        <v>27.166666666666664</v>
      </c>
      <c r="Z46" s="19" t="s">
        <v>308</v>
      </c>
      <c r="AA46" s="19">
        <v>1</v>
      </c>
    </row>
    <row r="47" spans="1:27" x14ac:dyDescent="0.3">
      <c r="A47" s="136">
        <v>54116555</v>
      </c>
      <c r="B47" s="133" t="s">
        <v>46</v>
      </c>
      <c r="C47" s="133" t="s">
        <v>47</v>
      </c>
      <c r="D47" s="132">
        <v>49</v>
      </c>
      <c r="E47" s="135">
        <v>36</v>
      </c>
      <c r="F47" s="135">
        <v>20</v>
      </c>
      <c r="G47" s="130">
        <v>84</v>
      </c>
      <c r="H47" s="129">
        <v>66</v>
      </c>
      <c r="I47" s="129">
        <v>93</v>
      </c>
      <c r="J47" s="129">
        <f t="shared" si="2"/>
        <v>59.8</v>
      </c>
      <c r="K47" s="128" cm="1">
        <f t="array" ref="K47">SUMPRODUCT(D47:I47,TRANSPOSE($Q$4:$Q$9))/SUM($Q$4:$Q$9)</f>
        <v>60.444444444444436</v>
      </c>
      <c r="L47" s="129" t="str" cm="1">
        <f t="array" ref="L47">_xlfn.IFS(K47&gt;36,"A",K47&gt;32,"B",K47&gt;28,"C",K47&gt;24,"D",K47&lt;24,"F")</f>
        <v>A</v>
      </c>
      <c r="M47" s="169">
        <f t="shared" si="3"/>
        <v>4</v>
      </c>
      <c r="N47" s="27"/>
      <c r="O47" s="142">
        <v>23010569</v>
      </c>
      <c r="P47" s="141" t="s">
        <v>74</v>
      </c>
      <c r="Q47" s="141" t="s">
        <v>75</v>
      </c>
      <c r="R47" s="140">
        <v>23</v>
      </c>
      <c r="S47" s="139">
        <v>22</v>
      </c>
      <c r="T47" s="139">
        <v>37</v>
      </c>
      <c r="U47" s="138">
        <v>21</v>
      </c>
      <c r="V47" s="129">
        <v>29</v>
      </c>
      <c r="W47" s="129">
        <v>28</v>
      </c>
      <c r="X47" s="129">
        <v>27.4</v>
      </c>
      <c r="Y47" s="128">
        <v>26.944444444444439</v>
      </c>
      <c r="Z47" s="19" t="s">
        <v>308</v>
      </c>
      <c r="AA47" s="19">
        <v>1</v>
      </c>
    </row>
    <row r="48" spans="1:27" x14ac:dyDescent="0.3">
      <c r="A48" s="134">
        <v>12255677</v>
      </c>
      <c r="B48" s="133" t="s">
        <v>48</v>
      </c>
      <c r="C48" s="133" t="s">
        <v>49</v>
      </c>
      <c r="D48" s="132">
        <v>81</v>
      </c>
      <c r="E48" s="131">
        <v>3</v>
      </c>
      <c r="F48" s="131">
        <v>55</v>
      </c>
      <c r="G48" s="130">
        <v>94</v>
      </c>
      <c r="H48" s="129">
        <v>28</v>
      </c>
      <c r="I48" s="129">
        <v>42</v>
      </c>
      <c r="J48" s="129">
        <f t="shared" si="2"/>
        <v>44.4</v>
      </c>
      <c r="K48" s="128" cm="1">
        <f t="array" ref="K48">SUMPRODUCT(D48:I48,TRANSPOSE($Q$4:$Q$9))/SUM($Q$4:$Q$9)</f>
        <v>48.333333333333329</v>
      </c>
      <c r="L48" s="129" t="str" cm="1">
        <f t="array" ref="L48">_xlfn.IFS(K48&gt;36,"A",K48&gt;32,"B",K48&gt;28,"C",K48&gt;24,"D",K48&lt;24,"F")</f>
        <v>A</v>
      </c>
      <c r="M48" s="169">
        <f t="shared" si="3"/>
        <v>4</v>
      </c>
      <c r="N48" s="27"/>
    </row>
    <row r="49" spans="1:14" x14ac:dyDescent="0.3">
      <c r="A49" s="136">
        <v>80079978</v>
      </c>
      <c r="B49" s="133" t="s">
        <v>50</v>
      </c>
      <c r="C49" s="133" t="s">
        <v>51</v>
      </c>
      <c r="D49" s="132">
        <v>17</v>
      </c>
      <c r="E49" s="135">
        <v>21</v>
      </c>
      <c r="F49" s="135">
        <v>37</v>
      </c>
      <c r="G49" s="130">
        <v>16</v>
      </c>
      <c r="H49" s="129">
        <v>80</v>
      </c>
      <c r="I49" s="129">
        <v>60</v>
      </c>
      <c r="J49" s="129">
        <f t="shared" si="2"/>
        <v>42.8</v>
      </c>
      <c r="K49" s="128" cm="1">
        <f t="array" ref="K49">SUMPRODUCT(D49:I49,TRANSPOSE($Q$4:$Q$9))/SUM($Q$4:$Q$9)</f>
        <v>40.888888888888879</v>
      </c>
      <c r="L49" s="129" t="str" cm="1">
        <f t="array" ref="L49">_xlfn.IFS(K49&gt;36,"A",K49&gt;32,"B",K49&gt;28,"C",K49&gt;24,"D",K49&lt;24,"F")</f>
        <v>A</v>
      </c>
      <c r="M49" s="169">
        <f t="shared" si="3"/>
        <v>4</v>
      </c>
      <c r="N49" s="27"/>
    </row>
    <row r="50" spans="1:14" x14ac:dyDescent="0.3">
      <c r="A50" s="134">
        <v>62672194</v>
      </c>
      <c r="B50" s="133" t="s">
        <v>20</v>
      </c>
      <c r="C50" s="133" t="s">
        <v>52</v>
      </c>
      <c r="D50" s="132">
        <v>85</v>
      </c>
      <c r="E50" s="131">
        <v>37</v>
      </c>
      <c r="F50" s="131">
        <v>21</v>
      </c>
      <c r="G50" s="130">
        <v>51</v>
      </c>
      <c r="H50" s="129">
        <v>62</v>
      </c>
      <c r="I50" s="129">
        <v>22</v>
      </c>
      <c r="J50" s="129">
        <f t="shared" si="2"/>
        <v>38.6</v>
      </c>
      <c r="K50" s="128" cm="1">
        <f t="array" ref="K50">SUMPRODUCT(D50:I50,TRANSPOSE($Q$4:$Q$9))/SUM($Q$4:$Q$9)</f>
        <v>42.833333333333321</v>
      </c>
      <c r="L50" s="129" t="str" cm="1">
        <f t="array" ref="L50">_xlfn.IFS(K50&gt;36,"A",K50&gt;32,"B",K50&gt;28,"C",K50&gt;24,"D",K50&lt;24,"F")</f>
        <v>A</v>
      </c>
      <c r="M50" s="169">
        <f t="shared" si="3"/>
        <v>4</v>
      </c>
      <c r="N50" s="27"/>
    </row>
    <row r="51" spans="1:14" x14ac:dyDescent="0.3">
      <c r="A51" s="136">
        <v>22975112</v>
      </c>
      <c r="B51" s="133" t="s">
        <v>53</v>
      </c>
      <c r="C51" s="133" t="s">
        <v>54</v>
      </c>
      <c r="D51" s="132">
        <v>65</v>
      </c>
      <c r="E51" s="135">
        <v>60</v>
      </c>
      <c r="F51" s="135">
        <v>0</v>
      </c>
      <c r="G51" s="130">
        <v>20</v>
      </c>
      <c r="H51" s="129">
        <v>40</v>
      </c>
      <c r="I51" s="129">
        <v>55</v>
      </c>
      <c r="J51" s="129">
        <f t="shared" si="2"/>
        <v>35</v>
      </c>
      <c r="K51" s="128" cm="1">
        <f t="array" ref="K51">SUMPRODUCT(D51:I51,TRANSPOSE($Q$4:$Q$9))/SUM($Q$4:$Q$9)</f>
        <v>39.444444444444436</v>
      </c>
      <c r="L51" s="129" t="str" cm="1">
        <f t="array" ref="L51">_xlfn.IFS(K51&gt;36,"A",K51&gt;32,"B",K51&gt;28,"C",K51&gt;24,"D",K51&lt;24,"F")</f>
        <v>A</v>
      </c>
      <c r="M51" s="169">
        <f t="shared" si="3"/>
        <v>4</v>
      </c>
      <c r="N51" s="27"/>
    </row>
    <row r="52" spans="1:14" x14ac:dyDescent="0.3">
      <c r="A52" s="134">
        <v>17117302</v>
      </c>
      <c r="B52" s="133" t="s">
        <v>55</v>
      </c>
      <c r="C52" s="133" t="s">
        <v>56</v>
      </c>
      <c r="D52" s="132">
        <v>79</v>
      </c>
      <c r="E52" s="131">
        <v>23</v>
      </c>
      <c r="F52" s="131">
        <v>38</v>
      </c>
      <c r="G52" s="130">
        <v>21</v>
      </c>
      <c r="H52" s="129">
        <v>29</v>
      </c>
      <c r="I52" s="129">
        <v>57</v>
      </c>
      <c r="J52" s="129">
        <f t="shared" si="2"/>
        <v>33.6</v>
      </c>
      <c r="K52" s="128" cm="1">
        <f t="array" ref="K52">SUMPRODUCT(D52:I52,TRANSPOSE($Q$4:$Q$9))/SUM($Q$4:$Q$9)</f>
        <v>39.944444444444436</v>
      </c>
      <c r="L52" s="129" t="str" cm="1">
        <f t="array" ref="L52">_xlfn.IFS(K52&gt;36,"A",K52&gt;32,"B",K52&gt;28,"C",K52&gt;24,"D",K52&lt;24,"F")</f>
        <v>A</v>
      </c>
      <c r="M52" s="169">
        <f t="shared" si="3"/>
        <v>4</v>
      </c>
      <c r="N52" s="27"/>
    </row>
    <row r="53" spans="1:14" x14ac:dyDescent="0.3">
      <c r="A53" s="136">
        <v>17175244</v>
      </c>
      <c r="B53" s="133" t="s">
        <v>57</v>
      </c>
      <c r="C53" s="133" t="s">
        <v>58</v>
      </c>
      <c r="D53" s="132">
        <v>16</v>
      </c>
      <c r="E53" s="135">
        <v>44</v>
      </c>
      <c r="F53" s="135">
        <v>17</v>
      </c>
      <c r="G53" s="130">
        <v>12</v>
      </c>
      <c r="H53" s="129">
        <v>100</v>
      </c>
      <c r="I53" s="129">
        <v>1</v>
      </c>
      <c r="J53" s="129">
        <f t="shared" si="2"/>
        <v>34.799999999999997</v>
      </c>
      <c r="K53" s="128" cm="1">
        <f t="array" ref="K53">SUMPRODUCT(D53:I53,TRANSPOSE($Q$4:$Q$9))/SUM($Q$4:$Q$9)</f>
        <v>30.833333333333329</v>
      </c>
      <c r="L53" s="129" t="str" cm="1">
        <f t="array" ref="L53">_xlfn.IFS(K53&gt;36,"A",K53&gt;32,"B",K53&gt;28,"C",K53&gt;24,"D",K53&lt;24,"F")</f>
        <v>C</v>
      </c>
      <c r="M53" s="169">
        <f t="shared" si="3"/>
        <v>2</v>
      </c>
      <c r="N53" s="27"/>
    </row>
    <row r="54" spans="1:14" x14ac:dyDescent="0.3">
      <c r="A54" s="134">
        <v>67176280</v>
      </c>
      <c r="B54" s="133" t="s">
        <v>20</v>
      </c>
      <c r="C54" s="133" t="s">
        <v>59</v>
      </c>
      <c r="D54" s="132">
        <v>9</v>
      </c>
      <c r="E54" s="131">
        <v>29</v>
      </c>
      <c r="F54" s="131">
        <v>33</v>
      </c>
      <c r="G54" s="130">
        <v>48</v>
      </c>
      <c r="H54" s="129">
        <v>18</v>
      </c>
      <c r="I54" s="129">
        <v>49</v>
      </c>
      <c r="J54" s="129">
        <f t="shared" si="2"/>
        <v>35.4</v>
      </c>
      <c r="K54" s="128" cm="1">
        <f t="array" ref="K54">SUMPRODUCT(D54:I54,TRANSPOSE($Q$4:$Q$9))/SUM($Q$4:$Q$9)</f>
        <v>33.222222222222214</v>
      </c>
      <c r="L54" s="129" t="str" cm="1">
        <f t="array" ref="L54">_xlfn.IFS(K54&gt;36,"A",K54&gt;32,"B",K54&gt;28,"C",K54&gt;24,"D",K54&lt;24,"F")</f>
        <v>B</v>
      </c>
      <c r="M54" s="169">
        <f t="shared" si="3"/>
        <v>3</v>
      </c>
      <c r="N54" s="27"/>
    </row>
    <row r="55" spans="1:14" x14ac:dyDescent="0.3">
      <c r="A55" s="136">
        <v>90908811</v>
      </c>
      <c r="B55" s="133" t="s">
        <v>60</v>
      </c>
      <c r="C55" s="133" t="s">
        <v>61</v>
      </c>
      <c r="D55" s="132">
        <v>96</v>
      </c>
      <c r="E55" s="135">
        <v>34</v>
      </c>
      <c r="F55" s="135">
        <v>28</v>
      </c>
      <c r="G55" s="130">
        <v>83</v>
      </c>
      <c r="H55" s="129">
        <v>51</v>
      </c>
      <c r="I55" s="129">
        <v>40</v>
      </c>
      <c r="J55" s="129">
        <f t="shared" si="2"/>
        <v>47.2</v>
      </c>
      <c r="K55" s="128" cm="1">
        <f t="array" ref="K55">SUMPRODUCT(D55:I55,TRANSPOSE($Q$4:$Q$9))/SUM($Q$4:$Q$9)</f>
        <v>52.222222222222214</v>
      </c>
      <c r="L55" s="129" t="str" cm="1">
        <f t="array" ref="L55">_xlfn.IFS(K55&gt;36,"A",K55&gt;32,"B",K55&gt;28,"C",K55&gt;24,"D",K55&lt;24,"F")</f>
        <v>A</v>
      </c>
      <c r="M55" s="169">
        <f t="shared" si="3"/>
        <v>4</v>
      </c>
      <c r="N55" s="27"/>
    </row>
    <row r="56" spans="1:14" x14ac:dyDescent="0.3">
      <c r="A56" s="134">
        <v>37800314</v>
      </c>
      <c r="B56" s="133" t="s">
        <v>62</v>
      </c>
      <c r="C56" s="133" t="s">
        <v>63</v>
      </c>
      <c r="D56" s="132">
        <v>75</v>
      </c>
      <c r="E56" s="131">
        <v>15</v>
      </c>
      <c r="F56" s="131">
        <v>48</v>
      </c>
      <c r="G56" s="130">
        <v>88</v>
      </c>
      <c r="H56" s="129">
        <v>54</v>
      </c>
      <c r="I56" s="129">
        <v>65</v>
      </c>
      <c r="J56" s="129">
        <f t="shared" si="2"/>
        <v>54</v>
      </c>
      <c r="K56" s="128" cm="1">
        <f t="array" ref="K56">SUMPRODUCT(D56:I56,TRANSPOSE($Q$4:$Q$9))/SUM($Q$4:$Q$9)</f>
        <v>56.944444444444436</v>
      </c>
      <c r="L56" s="129" t="str" cm="1">
        <f t="array" ref="L56">_xlfn.IFS(K56&gt;36,"A",K56&gt;32,"B",K56&gt;28,"C",K56&gt;24,"D",K56&lt;24,"F")</f>
        <v>A</v>
      </c>
      <c r="M56" s="169">
        <f t="shared" si="3"/>
        <v>4</v>
      </c>
      <c r="N56" s="27"/>
    </row>
    <row r="57" spans="1:14" x14ac:dyDescent="0.3">
      <c r="A57" s="136">
        <v>59343896</v>
      </c>
      <c r="B57" s="133" t="s">
        <v>64</v>
      </c>
      <c r="C57" s="133" t="s">
        <v>65</v>
      </c>
      <c r="D57" s="132">
        <v>7</v>
      </c>
      <c r="E57" s="135">
        <v>33</v>
      </c>
      <c r="F57" s="135">
        <v>31</v>
      </c>
      <c r="G57" s="130">
        <v>31</v>
      </c>
      <c r="H57" s="129">
        <v>29</v>
      </c>
      <c r="I57" s="129">
        <v>78</v>
      </c>
      <c r="J57" s="129">
        <f t="shared" si="2"/>
        <v>40.4</v>
      </c>
      <c r="K57" s="128" cm="1">
        <f t="array" ref="K57">SUMPRODUCT(D57:I57,TRANSPOSE($Q$4:$Q$9))/SUM($Q$4:$Q$9)</f>
        <v>38.777777777777771</v>
      </c>
      <c r="L57" s="129" t="str" cm="1">
        <f t="array" ref="L57">_xlfn.IFS(K57&gt;36,"A",K57&gt;32,"B",K57&gt;28,"C",K57&gt;24,"D",K57&lt;24,"F")</f>
        <v>A</v>
      </c>
      <c r="M57" s="169">
        <f t="shared" si="3"/>
        <v>4</v>
      </c>
      <c r="N57" s="27"/>
    </row>
    <row r="58" spans="1:14" x14ac:dyDescent="0.3">
      <c r="A58" s="134">
        <v>56278487</v>
      </c>
      <c r="B58" s="133" t="s">
        <v>66</v>
      </c>
      <c r="C58" s="133" t="s">
        <v>67</v>
      </c>
      <c r="D58" s="132">
        <v>71</v>
      </c>
      <c r="E58" s="131">
        <v>29</v>
      </c>
      <c r="F58" s="131">
        <v>36</v>
      </c>
      <c r="G58" s="130">
        <v>6</v>
      </c>
      <c r="H58" s="129">
        <v>93</v>
      </c>
      <c r="I58" s="129">
        <v>86</v>
      </c>
      <c r="J58" s="129">
        <f t="shared" si="2"/>
        <v>50</v>
      </c>
      <c r="K58" s="128" cm="1">
        <f t="array" ref="K58">SUMPRODUCT(D58:I58,TRANSPOSE($Q$4:$Q$9))/SUM($Q$4:$Q$9)</f>
        <v>54.333333333333314</v>
      </c>
      <c r="L58" s="129" t="str" cm="1">
        <f t="array" ref="L58">_xlfn.IFS(K58&gt;36,"A",K58&gt;32,"B",K58&gt;28,"C",K58&gt;24,"D",K58&lt;24,"F")</f>
        <v>A</v>
      </c>
      <c r="M58" s="169">
        <f t="shared" si="3"/>
        <v>4</v>
      </c>
      <c r="N58" s="27"/>
    </row>
    <row r="59" spans="1:14" x14ac:dyDescent="0.3">
      <c r="A59" s="136">
        <v>77890678</v>
      </c>
      <c r="B59" s="133" t="s">
        <v>68</v>
      </c>
      <c r="C59" s="133" t="s">
        <v>69</v>
      </c>
      <c r="D59" s="132">
        <v>65</v>
      </c>
      <c r="E59" s="135">
        <v>46</v>
      </c>
      <c r="F59" s="135">
        <v>22</v>
      </c>
      <c r="G59" s="130">
        <v>56</v>
      </c>
      <c r="H59" s="129">
        <v>6</v>
      </c>
      <c r="I59" s="129">
        <v>88</v>
      </c>
      <c r="J59" s="129">
        <f t="shared" si="2"/>
        <v>43.6</v>
      </c>
      <c r="K59" s="128" cm="1">
        <f t="array" ref="K59">SUMPRODUCT(D59:I59,TRANSPOSE($Q$4:$Q$9))/SUM($Q$4:$Q$9)</f>
        <v>48.444444444444436</v>
      </c>
      <c r="L59" s="129" t="str" cm="1">
        <f t="array" ref="L59">_xlfn.IFS(K59&gt;36,"A",K59&gt;32,"B",K59&gt;28,"C",K59&gt;24,"D",K59&lt;24,"F")</f>
        <v>A</v>
      </c>
      <c r="M59" s="169">
        <f t="shared" si="3"/>
        <v>4</v>
      </c>
      <c r="N59" s="27"/>
    </row>
    <row r="60" spans="1:14" x14ac:dyDescent="0.3">
      <c r="A60" s="134">
        <v>33896032</v>
      </c>
      <c r="B60" s="133" t="s">
        <v>70</v>
      </c>
      <c r="C60" s="133" t="s">
        <v>71</v>
      </c>
      <c r="D60" s="132">
        <v>98</v>
      </c>
      <c r="E60" s="131">
        <v>9</v>
      </c>
      <c r="F60" s="131">
        <v>63</v>
      </c>
      <c r="G60" s="130">
        <v>52</v>
      </c>
      <c r="H60" s="129">
        <v>50</v>
      </c>
      <c r="I60" s="129">
        <v>97</v>
      </c>
      <c r="J60" s="129">
        <f t="shared" si="2"/>
        <v>54.2</v>
      </c>
      <c r="K60" s="128" cm="1">
        <f t="array" ref="K60">SUMPRODUCT(D60:I60,TRANSPOSE($Q$4:$Q$9))/SUM($Q$4:$Q$9)</f>
        <v>61.44444444444445</v>
      </c>
      <c r="L60" s="129" t="str" cm="1">
        <f t="array" ref="L60">_xlfn.IFS(K60&gt;36,"A",K60&gt;32,"B",K60&gt;28,"C",K60&gt;24,"D",K60&lt;24,"F")</f>
        <v>A</v>
      </c>
      <c r="M60" s="169">
        <f t="shared" si="3"/>
        <v>4</v>
      </c>
      <c r="N60" s="27"/>
    </row>
    <row r="61" spans="1:14" x14ac:dyDescent="0.3">
      <c r="A61" s="136">
        <v>40723551</v>
      </c>
      <c r="B61" s="133" t="s">
        <v>72</v>
      </c>
      <c r="C61" s="133" t="s">
        <v>73</v>
      </c>
      <c r="D61" s="132">
        <v>50</v>
      </c>
      <c r="E61" s="135">
        <v>39</v>
      </c>
      <c r="F61" s="135">
        <v>36</v>
      </c>
      <c r="G61" s="130">
        <v>96</v>
      </c>
      <c r="H61" s="129">
        <v>44</v>
      </c>
      <c r="I61" s="129">
        <v>58</v>
      </c>
      <c r="J61" s="129">
        <f t="shared" si="2"/>
        <v>54.6</v>
      </c>
      <c r="K61" s="128" cm="1">
        <f t="array" ref="K61">SUMPRODUCT(D61:I61,TRANSPOSE($Q$4:$Q$9))/SUM($Q$4:$Q$9)</f>
        <v>54.277777777777771</v>
      </c>
      <c r="L61" s="129" t="str" cm="1">
        <f t="array" ref="L61">_xlfn.IFS(K61&gt;36,"A",K61&gt;32,"B",K61&gt;28,"C",K61&gt;24,"D",K61&lt;24,"F")</f>
        <v>A</v>
      </c>
      <c r="M61" s="169">
        <f t="shared" si="3"/>
        <v>4</v>
      </c>
      <c r="N61" s="27"/>
    </row>
    <row r="62" spans="1:14" x14ac:dyDescent="0.3">
      <c r="A62" s="134">
        <v>23010569</v>
      </c>
      <c r="B62" s="133" t="s">
        <v>74</v>
      </c>
      <c r="C62" s="133" t="s">
        <v>75</v>
      </c>
      <c r="D62" s="132">
        <v>43</v>
      </c>
      <c r="E62" s="131">
        <v>40</v>
      </c>
      <c r="F62" s="131">
        <v>36</v>
      </c>
      <c r="G62" s="130">
        <v>69</v>
      </c>
      <c r="H62" s="129">
        <v>31</v>
      </c>
      <c r="I62" s="129">
        <v>97</v>
      </c>
      <c r="J62" s="129">
        <f t="shared" si="2"/>
        <v>54.6</v>
      </c>
      <c r="K62" s="128" cm="1">
        <f t="array" ref="K62">SUMPRODUCT(D62:I62,TRANSPOSE($Q$4:$Q$9))/SUM($Q$4:$Q$9)</f>
        <v>55.66666666666665</v>
      </c>
      <c r="L62" s="129" t="str" cm="1">
        <f t="array" ref="L62">_xlfn.IFS(K62&gt;36,"A",K62&gt;32,"B",K62&gt;28,"C",K62&gt;24,"D",K62&lt;24,"F")</f>
        <v>A</v>
      </c>
      <c r="M62" s="169">
        <f t="shared" si="3"/>
        <v>4</v>
      </c>
      <c r="N62" s="27"/>
    </row>
    <row r="63" spans="1:14" x14ac:dyDescent="0.3">
      <c r="A63" s="136">
        <v>44900212</v>
      </c>
      <c r="B63" s="133" t="s">
        <v>76</v>
      </c>
      <c r="C63" s="133" t="s">
        <v>77</v>
      </c>
      <c r="D63" s="132">
        <v>68</v>
      </c>
      <c r="E63" s="135">
        <v>10</v>
      </c>
      <c r="F63" s="135">
        <v>69</v>
      </c>
      <c r="G63" s="130">
        <v>15</v>
      </c>
      <c r="H63" s="129">
        <v>97</v>
      </c>
      <c r="I63" s="129">
        <v>32</v>
      </c>
      <c r="J63" s="129">
        <f t="shared" si="2"/>
        <v>44.6</v>
      </c>
      <c r="K63" s="128" cm="1">
        <f t="array" ref="K63">SUMPRODUCT(D63:I63,TRANSPOSE($Q$4:$Q$9))/SUM($Q$4:$Q$9)</f>
        <v>46.499999999999986</v>
      </c>
      <c r="L63" s="129" t="str" cm="1">
        <f t="array" ref="L63">_xlfn.IFS(K63&gt;36,"A",K63&gt;32,"B",K63&gt;28,"C",K63&gt;24,"D",K63&lt;24,"F")</f>
        <v>A</v>
      </c>
      <c r="M63" s="169">
        <f t="shared" si="3"/>
        <v>4</v>
      </c>
      <c r="N63" s="27"/>
    </row>
    <row r="64" spans="1:14" x14ac:dyDescent="0.3">
      <c r="A64" s="134">
        <v>42395721</v>
      </c>
      <c r="B64" s="133" t="s">
        <v>78</v>
      </c>
      <c r="C64" s="133" t="s">
        <v>79</v>
      </c>
      <c r="D64" s="132">
        <v>40</v>
      </c>
      <c r="E64" s="131">
        <v>38</v>
      </c>
      <c r="F64" s="131">
        <v>41</v>
      </c>
      <c r="G64" s="130">
        <v>19</v>
      </c>
      <c r="H64" s="129">
        <v>69</v>
      </c>
      <c r="I64" s="129">
        <v>28</v>
      </c>
      <c r="J64" s="129">
        <f t="shared" si="2"/>
        <v>39</v>
      </c>
      <c r="K64" s="128" cm="1">
        <f t="array" ref="K64">SUMPRODUCT(D64:I64,TRANSPOSE($Q$4:$Q$9))/SUM($Q$4:$Q$9)</f>
        <v>38.499999999999993</v>
      </c>
      <c r="L64" s="129" t="str" cm="1">
        <f t="array" ref="L64">_xlfn.IFS(K64&gt;36,"A",K64&gt;32,"B",K64&gt;28,"C",K64&gt;24,"D",K64&lt;24,"F")</f>
        <v>A</v>
      </c>
      <c r="M64" s="169">
        <f t="shared" si="3"/>
        <v>4</v>
      </c>
      <c r="N64" s="27"/>
    </row>
    <row r="70" spans="1:13" x14ac:dyDescent="0.3">
      <c r="A70" s="341" t="s">
        <v>203</v>
      </c>
      <c r="B70" s="341"/>
      <c r="C70" s="341"/>
      <c r="D70" s="341"/>
      <c r="E70" s="341"/>
      <c r="F70" s="341"/>
      <c r="G70" s="341"/>
      <c r="H70" s="341"/>
      <c r="I70" s="341"/>
      <c r="J70" s="341"/>
      <c r="K70" s="341"/>
      <c r="L70" s="341"/>
      <c r="M70" s="341"/>
    </row>
    <row r="71" spans="1:13" x14ac:dyDescent="0.3">
      <c r="A71" s="148" t="s">
        <v>0</v>
      </c>
      <c r="B71" s="148" t="s">
        <v>279</v>
      </c>
      <c r="C71" s="148" t="s">
        <v>280</v>
      </c>
      <c r="D71" s="148" t="s">
        <v>385</v>
      </c>
      <c r="E71" s="148" t="s">
        <v>195</v>
      </c>
      <c r="F71" s="148" t="s">
        <v>196</v>
      </c>
      <c r="G71" s="148" t="s">
        <v>197</v>
      </c>
      <c r="H71" s="148" t="s">
        <v>198</v>
      </c>
      <c r="I71" s="148" t="s">
        <v>304</v>
      </c>
      <c r="J71" s="148" t="s">
        <v>303</v>
      </c>
      <c r="K71" s="148" t="s">
        <v>1</v>
      </c>
      <c r="L71" s="148" t="s">
        <v>200</v>
      </c>
      <c r="M71" s="148" t="s">
        <v>384</v>
      </c>
    </row>
    <row r="72" spans="1:13" x14ac:dyDescent="0.3">
      <c r="A72" s="173">
        <v>32695778</v>
      </c>
      <c r="B72" s="174" t="s">
        <v>28</v>
      </c>
      <c r="C72" s="174" t="s">
        <v>29</v>
      </c>
      <c r="D72" s="175">
        <v>25</v>
      </c>
      <c r="E72" s="176">
        <v>30</v>
      </c>
      <c r="F72" s="176">
        <v>31</v>
      </c>
      <c r="G72" s="177">
        <v>37</v>
      </c>
      <c r="H72" s="178">
        <v>39</v>
      </c>
      <c r="I72" s="178">
        <v>40</v>
      </c>
      <c r="J72" s="178">
        <f t="shared" ref="J72:J98" si="4">AVERAGE(E72:I72)</f>
        <v>35.4</v>
      </c>
      <c r="K72" s="147" cm="1">
        <f t="array" ref="K72">SUMPRODUCT(D72:I72,TRANSPOSE($Q$4:$Q$9))/SUM($Q$4:$Q$9)</f>
        <v>34.499999999999993</v>
      </c>
      <c r="L72" s="2" t="str" cm="1">
        <f t="array" ref="L72">_xlfn.IFS(K72&gt;36,"A",K72&gt;32,"B",K72&gt;28,"C",K72&gt;24,"D",K72&lt;24,"F")</f>
        <v>B</v>
      </c>
      <c r="M72" s="2">
        <f t="shared" ref="M72:M98" si="5">INDEX($Q$15:$Q$19,MATCH(L72,$P$15:$P$19,0))</f>
        <v>3</v>
      </c>
    </row>
    <row r="73" spans="1:13" x14ac:dyDescent="0.3">
      <c r="A73" s="179">
        <v>55677878</v>
      </c>
      <c r="B73" s="174" t="s">
        <v>30</v>
      </c>
      <c r="C73" s="174" t="s">
        <v>31</v>
      </c>
      <c r="D73" s="175">
        <v>33</v>
      </c>
      <c r="E73" s="180">
        <v>36</v>
      </c>
      <c r="F73" s="180">
        <v>25</v>
      </c>
      <c r="G73" s="177">
        <v>27</v>
      </c>
      <c r="H73" s="178">
        <v>33</v>
      </c>
      <c r="I73" s="178">
        <v>29</v>
      </c>
      <c r="J73" s="178">
        <f t="shared" si="4"/>
        <v>30</v>
      </c>
      <c r="K73" s="147" cm="1">
        <f t="array" ref="K73">SUMPRODUCT(D73:I73,TRANSPOSE($Q$4:$Q$9))/SUM($Q$4:$Q$9)</f>
        <v>30.277777777777775</v>
      </c>
      <c r="L73" s="2" t="str" cm="1">
        <f t="array" ref="L73">_xlfn.IFS(K73&gt;36,"A",K73&gt;32,"B",K73&gt;28,"C",K73&gt;24,"D",K73&lt;24,"F")</f>
        <v>C</v>
      </c>
      <c r="M73" s="2">
        <f t="shared" si="5"/>
        <v>2</v>
      </c>
    </row>
    <row r="74" spans="1:13" x14ac:dyDescent="0.3">
      <c r="A74" s="173">
        <v>13692938</v>
      </c>
      <c r="B74" s="174" t="s">
        <v>32</v>
      </c>
      <c r="C74" s="174" t="s">
        <v>33</v>
      </c>
      <c r="D74" s="175">
        <v>34</v>
      </c>
      <c r="E74" s="176">
        <v>25</v>
      </c>
      <c r="F74" s="176">
        <v>28</v>
      </c>
      <c r="G74" s="177">
        <v>36</v>
      </c>
      <c r="H74" s="178">
        <v>37</v>
      </c>
      <c r="I74" s="178">
        <v>31</v>
      </c>
      <c r="J74" s="178">
        <f t="shared" si="4"/>
        <v>31.4</v>
      </c>
      <c r="K74" s="147" cm="1">
        <f t="array" ref="K74">SUMPRODUCT(D74:I74,TRANSPOSE($Q$4:$Q$9))/SUM($Q$4:$Q$9)</f>
        <v>31.666666666666661</v>
      </c>
      <c r="L74" s="2" t="str" cm="1">
        <f t="array" ref="L74">_xlfn.IFS(K74&gt;36,"A",K74&gt;32,"B",K74&gt;28,"C",K74&gt;24,"D",K74&lt;24,"F")</f>
        <v>C</v>
      </c>
      <c r="M74" s="2">
        <f t="shared" si="5"/>
        <v>2</v>
      </c>
    </row>
    <row r="75" spans="1:13" x14ac:dyDescent="0.3">
      <c r="A75" s="179">
        <v>49461380</v>
      </c>
      <c r="B75" s="174" t="s">
        <v>34</v>
      </c>
      <c r="C75" s="174" t="s">
        <v>35</v>
      </c>
      <c r="D75" s="175">
        <v>31</v>
      </c>
      <c r="E75" s="180">
        <v>26</v>
      </c>
      <c r="F75" s="180">
        <v>37</v>
      </c>
      <c r="G75" s="177">
        <v>25</v>
      </c>
      <c r="H75" s="178">
        <v>32</v>
      </c>
      <c r="I75" s="178">
        <v>27</v>
      </c>
      <c r="J75" s="178">
        <f t="shared" si="4"/>
        <v>29.4</v>
      </c>
      <c r="K75" s="147" cm="1">
        <f t="array" ref="K75">SUMPRODUCT(D75:I75,TRANSPOSE($Q$4:$Q$9))/SUM($Q$4:$Q$9)</f>
        <v>29.444444444444439</v>
      </c>
      <c r="L75" s="2" t="str" cm="1">
        <f t="array" ref="L75">_xlfn.IFS(K75&gt;36,"A",K75&gt;32,"B",K75&gt;28,"C",K75&gt;24,"D",K75&lt;24,"F")</f>
        <v>C</v>
      </c>
      <c r="M75" s="2">
        <f t="shared" si="5"/>
        <v>2</v>
      </c>
    </row>
    <row r="76" spans="1:13" x14ac:dyDescent="0.3">
      <c r="A76" s="173">
        <v>66065006</v>
      </c>
      <c r="B76" s="174" t="s">
        <v>36</v>
      </c>
      <c r="C76" s="174" t="s">
        <v>37</v>
      </c>
      <c r="D76" s="175">
        <v>30</v>
      </c>
      <c r="E76" s="176">
        <v>32</v>
      </c>
      <c r="F76" s="176">
        <v>23</v>
      </c>
      <c r="G76" s="177">
        <v>21</v>
      </c>
      <c r="H76" s="178">
        <v>31</v>
      </c>
      <c r="I76" s="178">
        <v>29</v>
      </c>
      <c r="J76" s="178">
        <f t="shared" si="4"/>
        <v>27.2</v>
      </c>
      <c r="K76" s="147" cm="1">
        <f t="array" ref="K76">SUMPRODUCT(D76:I76,TRANSPOSE($Q$4:$Q$9))/SUM($Q$4:$Q$9)</f>
        <v>27.611111111111107</v>
      </c>
      <c r="L76" s="2" t="str" cm="1">
        <f t="array" ref="L76">_xlfn.IFS(K76&gt;36,"A",K76&gt;32,"B",K76&gt;28,"C",K76&gt;24,"D",K76&lt;24,"F")</f>
        <v>D</v>
      </c>
      <c r="M76" s="2">
        <f t="shared" si="5"/>
        <v>1</v>
      </c>
    </row>
    <row r="77" spans="1:13" x14ac:dyDescent="0.3">
      <c r="A77" s="179">
        <v>14185496</v>
      </c>
      <c r="B77" s="174" t="s">
        <v>38</v>
      </c>
      <c r="C77" s="174" t="s">
        <v>39</v>
      </c>
      <c r="D77" s="175">
        <v>23</v>
      </c>
      <c r="E77" s="180">
        <v>37</v>
      </c>
      <c r="F77" s="180">
        <v>30</v>
      </c>
      <c r="G77" s="177">
        <v>21</v>
      </c>
      <c r="H77" s="178">
        <v>20</v>
      </c>
      <c r="I77" s="178">
        <v>30</v>
      </c>
      <c r="J77" s="178">
        <f t="shared" si="4"/>
        <v>27.6</v>
      </c>
      <c r="K77" s="147" cm="1">
        <f t="array" ref="K77">SUMPRODUCT(D77:I77,TRANSPOSE($Q$4:$Q$9))/SUM($Q$4:$Q$9)</f>
        <v>27.222222222222218</v>
      </c>
      <c r="L77" s="2" t="str" cm="1">
        <f t="array" ref="L77">_xlfn.IFS(K77&gt;36,"A",K77&gt;32,"B",K77&gt;28,"C",K77&gt;24,"D",K77&lt;24,"F")</f>
        <v>D</v>
      </c>
      <c r="M77" s="2">
        <f t="shared" si="5"/>
        <v>1</v>
      </c>
    </row>
    <row r="78" spans="1:13" x14ac:dyDescent="0.3">
      <c r="A78" s="173">
        <v>22222762</v>
      </c>
      <c r="B78" s="174" t="s">
        <v>40</v>
      </c>
      <c r="C78" s="174" t="s">
        <v>41</v>
      </c>
      <c r="D78" s="175">
        <v>40</v>
      </c>
      <c r="E78" s="176">
        <v>21</v>
      </c>
      <c r="F78" s="176">
        <v>38</v>
      </c>
      <c r="G78" s="177">
        <v>23</v>
      </c>
      <c r="H78" s="178">
        <v>25</v>
      </c>
      <c r="I78" s="178">
        <v>40</v>
      </c>
      <c r="J78" s="178">
        <f t="shared" si="4"/>
        <v>29.4</v>
      </c>
      <c r="K78" s="147" cm="1">
        <f t="array" ref="K78">SUMPRODUCT(D78:I78,TRANSPOSE($Q$4:$Q$9))/SUM($Q$4:$Q$9)</f>
        <v>31.166666666666664</v>
      </c>
      <c r="L78" s="2" t="str" cm="1">
        <f t="array" ref="L78">_xlfn.IFS(K78&gt;36,"A",K78&gt;32,"B",K78&gt;28,"C",K78&gt;24,"D",K78&lt;24,"F")</f>
        <v>C</v>
      </c>
      <c r="M78" s="2">
        <f t="shared" si="5"/>
        <v>2</v>
      </c>
    </row>
    <row r="79" spans="1:13" x14ac:dyDescent="0.3">
      <c r="A79" s="179">
        <v>33006505</v>
      </c>
      <c r="B79" s="174" t="s">
        <v>42</v>
      </c>
      <c r="C79" s="174" t="s">
        <v>43</v>
      </c>
      <c r="D79" s="175">
        <v>38</v>
      </c>
      <c r="E79" s="180">
        <v>25</v>
      </c>
      <c r="F79" s="180">
        <v>21</v>
      </c>
      <c r="G79" s="177">
        <v>31</v>
      </c>
      <c r="H79" s="178">
        <v>27</v>
      </c>
      <c r="I79" s="178">
        <v>25</v>
      </c>
      <c r="J79" s="178">
        <f t="shared" si="4"/>
        <v>25.8</v>
      </c>
      <c r="K79" s="147" cm="1">
        <f t="array" ref="K79">SUMPRODUCT(D79:I79,TRANSPOSE($Q$4:$Q$9))/SUM($Q$4:$Q$9)</f>
        <v>27.111111111111111</v>
      </c>
      <c r="L79" s="2" t="str" cm="1">
        <f t="array" ref="L79">_xlfn.IFS(K79&gt;36,"A",K79&gt;32,"B",K79&gt;28,"C",K79&gt;24,"D",K79&lt;24,"F")</f>
        <v>D</v>
      </c>
      <c r="M79" s="2">
        <f t="shared" si="5"/>
        <v>1</v>
      </c>
    </row>
    <row r="80" spans="1:13" x14ac:dyDescent="0.3">
      <c r="A80" s="173">
        <v>27658150</v>
      </c>
      <c r="B80" s="174" t="s">
        <v>44</v>
      </c>
      <c r="C80" s="174" t="s">
        <v>45</v>
      </c>
      <c r="D80" s="175">
        <v>22</v>
      </c>
      <c r="E80" s="176">
        <v>35</v>
      </c>
      <c r="F80" s="176">
        <v>34</v>
      </c>
      <c r="G80" s="177">
        <v>25</v>
      </c>
      <c r="H80" s="178">
        <v>26</v>
      </c>
      <c r="I80" s="178">
        <v>34</v>
      </c>
      <c r="J80" s="178">
        <f t="shared" si="4"/>
        <v>30.8</v>
      </c>
      <c r="K80" s="147" cm="1">
        <f t="array" ref="K80">SUMPRODUCT(D80:I80,TRANSPOSE($Q$4:$Q$9))/SUM($Q$4:$Q$9)</f>
        <v>29.999999999999996</v>
      </c>
      <c r="L80" s="2" t="str" cm="1">
        <f t="array" ref="L80">_xlfn.IFS(K80&gt;36,"A",K80&gt;32,"B",K80&gt;28,"C",K80&gt;24,"D",K80&lt;24,"F")</f>
        <v>C</v>
      </c>
      <c r="M80" s="2">
        <f t="shared" si="5"/>
        <v>2</v>
      </c>
    </row>
    <row r="81" spans="1:13" x14ac:dyDescent="0.3">
      <c r="A81" s="179">
        <v>54116555</v>
      </c>
      <c r="B81" s="174" t="s">
        <v>46</v>
      </c>
      <c r="C81" s="174" t="s">
        <v>47</v>
      </c>
      <c r="D81" s="175">
        <v>23</v>
      </c>
      <c r="E81" s="180">
        <v>24</v>
      </c>
      <c r="F81" s="180">
        <v>22</v>
      </c>
      <c r="G81" s="177">
        <v>37</v>
      </c>
      <c r="H81" s="178">
        <v>25</v>
      </c>
      <c r="I81" s="178">
        <v>26</v>
      </c>
      <c r="J81" s="178">
        <f t="shared" si="4"/>
        <v>26.8</v>
      </c>
      <c r="K81" s="147" cm="1">
        <f t="array" ref="K81">SUMPRODUCT(D81:I81,TRANSPOSE($Q$4:$Q$9))/SUM($Q$4:$Q$9)</f>
        <v>26.333333333333329</v>
      </c>
      <c r="L81" s="2" t="str" cm="1">
        <f t="array" ref="L81">_xlfn.IFS(K81&gt;36,"A",K81&gt;32,"B",K81&gt;28,"C",K81&gt;24,"D",K81&lt;24,"F")</f>
        <v>D</v>
      </c>
      <c r="M81" s="2">
        <f t="shared" si="5"/>
        <v>1</v>
      </c>
    </row>
    <row r="82" spans="1:13" x14ac:dyDescent="0.3">
      <c r="A82" s="173">
        <v>12255677</v>
      </c>
      <c r="B82" s="174" t="s">
        <v>48</v>
      </c>
      <c r="C82" s="174" t="s">
        <v>49</v>
      </c>
      <c r="D82" s="175">
        <v>30</v>
      </c>
      <c r="E82" s="176">
        <v>36</v>
      </c>
      <c r="F82" s="176">
        <v>29</v>
      </c>
      <c r="G82" s="177">
        <v>24</v>
      </c>
      <c r="H82" s="178">
        <v>31</v>
      </c>
      <c r="I82" s="178">
        <v>28</v>
      </c>
      <c r="J82" s="178">
        <f t="shared" si="4"/>
        <v>29.6</v>
      </c>
      <c r="K82" s="147" cm="1">
        <f t="array" ref="K82">SUMPRODUCT(D82:I82,TRANSPOSE($Q$4:$Q$9))/SUM($Q$4:$Q$9)</f>
        <v>29.55555555555555</v>
      </c>
      <c r="L82" s="2" t="str" cm="1">
        <f t="array" ref="L82">_xlfn.IFS(K82&gt;36,"A",K82&gt;32,"B",K82&gt;28,"C",K82&gt;24,"D",K82&lt;24,"F")</f>
        <v>C</v>
      </c>
      <c r="M82" s="2">
        <f t="shared" si="5"/>
        <v>2</v>
      </c>
    </row>
    <row r="83" spans="1:13" x14ac:dyDescent="0.3">
      <c r="A83" s="179">
        <v>80079978</v>
      </c>
      <c r="B83" s="174" t="s">
        <v>50</v>
      </c>
      <c r="C83" s="174" t="s">
        <v>51</v>
      </c>
      <c r="D83" s="175">
        <v>29</v>
      </c>
      <c r="E83" s="180">
        <v>35</v>
      </c>
      <c r="F83" s="180">
        <v>32</v>
      </c>
      <c r="G83" s="177">
        <v>26</v>
      </c>
      <c r="H83" s="178">
        <v>25</v>
      </c>
      <c r="I83" s="178">
        <v>37</v>
      </c>
      <c r="J83" s="178">
        <f t="shared" si="4"/>
        <v>31</v>
      </c>
      <c r="K83" s="147" cm="1">
        <f t="array" ref="K83">SUMPRODUCT(D83:I83,TRANSPOSE($Q$4:$Q$9))/SUM($Q$4:$Q$9)</f>
        <v>31.111111111111107</v>
      </c>
      <c r="L83" s="2" t="str" cm="1">
        <f t="array" ref="L83">_xlfn.IFS(K83&gt;36,"A",K83&gt;32,"B",K83&gt;28,"C",K83&gt;24,"D",K83&lt;24,"F")</f>
        <v>C</v>
      </c>
      <c r="M83" s="2">
        <f t="shared" si="5"/>
        <v>2</v>
      </c>
    </row>
    <row r="84" spans="1:13" x14ac:dyDescent="0.3">
      <c r="A84" s="173">
        <v>62672194</v>
      </c>
      <c r="B84" s="174" t="s">
        <v>20</v>
      </c>
      <c r="C84" s="174" t="s">
        <v>52</v>
      </c>
      <c r="D84" s="175">
        <v>32</v>
      </c>
      <c r="E84" s="176">
        <v>24</v>
      </c>
      <c r="F84" s="176">
        <v>32</v>
      </c>
      <c r="G84" s="177">
        <v>28</v>
      </c>
      <c r="H84" s="178">
        <v>33</v>
      </c>
      <c r="I84" s="178">
        <v>35</v>
      </c>
      <c r="J84" s="178">
        <f t="shared" si="4"/>
        <v>30.4</v>
      </c>
      <c r="K84" s="147" cm="1">
        <f t="array" ref="K84">SUMPRODUCT(D84:I84,TRANSPOSE($Q$4:$Q$9))/SUM($Q$4:$Q$9)</f>
        <v>30.833333333333329</v>
      </c>
      <c r="L84" s="2" t="str" cm="1">
        <f t="array" ref="L84">_xlfn.IFS(K84&gt;36,"A",K84&gt;32,"B",K84&gt;28,"C",K84&gt;24,"D",K84&lt;24,"F")</f>
        <v>C</v>
      </c>
      <c r="M84" s="2">
        <f t="shared" si="5"/>
        <v>2</v>
      </c>
    </row>
    <row r="85" spans="1:13" x14ac:dyDescent="0.3">
      <c r="A85" s="179">
        <v>22975112</v>
      </c>
      <c r="B85" s="174" t="s">
        <v>53</v>
      </c>
      <c r="C85" s="174" t="s">
        <v>54</v>
      </c>
      <c r="D85" s="175">
        <v>29</v>
      </c>
      <c r="E85" s="180">
        <v>29</v>
      </c>
      <c r="F85" s="180">
        <v>25</v>
      </c>
      <c r="G85" s="177">
        <v>32</v>
      </c>
      <c r="H85" s="178">
        <v>35</v>
      </c>
      <c r="I85" s="178">
        <v>33</v>
      </c>
      <c r="J85" s="178">
        <f t="shared" si="4"/>
        <v>30.8</v>
      </c>
      <c r="K85" s="147" cm="1">
        <f t="array" ref="K85">SUMPRODUCT(D85:I85,TRANSPOSE($Q$4:$Q$9))/SUM($Q$4:$Q$9)</f>
        <v>30.722222222222221</v>
      </c>
      <c r="L85" s="2" t="str" cm="1">
        <f t="array" ref="L85">_xlfn.IFS(K85&gt;36,"A",K85&gt;32,"B",K85&gt;28,"C",K85&gt;24,"D",K85&lt;24,"F")</f>
        <v>C</v>
      </c>
      <c r="M85" s="2">
        <f t="shared" si="5"/>
        <v>2</v>
      </c>
    </row>
    <row r="86" spans="1:13" x14ac:dyDescent="0.3">
      <c r="A86" s="173">
        <v>17117302</v>
      </c>
      <c r="B86" s="174" t="s">
        <v>55</v>
      </c>
      <c r="C86" s="174" t="s">
        <v>56</v>
      </c>
      <c r="D86" s="175">
        <v>21</v>
      </c>
      <c r="E86" s="176">
        <v>24</v>
      </c>
      <c r="F86" s="176">
        <v>24</v>
      </c>
      <c r="G86" s="177">
        <v>21</v>
      </c>
      <c r="H86" s="178">
        <v>40</v>
      </c>
      <c r="I86" s="178">
        <v>21</v>
      </c>
      <c r="J86" s="178">
        <f t="shared" si="4"/>
        <v>26</v>
      </c>
      <c r="K86" s="147" cm="1">
        <f t="array" ref="K86">SUMPRODUCT(D86:I86,TRANSPOSE($Q$4:$Q$9))/SUM($Q$4:$Q$9)</f>
        <v>25.166666666666661</v>
      </c>
      <c r="L86" s="2" t="str" cm="1">
        <f t="array" ref="L86">_xlfn.IFS(K86&gt;36,"A",K86&gt;32,"B",K86&gt;28,"C",K86&gt;24,"D",K86&lt;24,"F")</f>
        <v>D</v>
      </c>
      <c r="M86" s="2">
        <f t="shared" si="5"/>
        <v>1</v>
      </c>
    </row>
    <row r="87" spans="1:13" x14ac:dyDescent="0.3">
      <c r="A87" s="179">
        <v>17175244</v>
      </c>
      <c r="B87" s="174" t="s">
        <v>57</v>
      </c>
      <c r="C87" s="174" t="s">
        <v>58</v>
      </c>
      <c r="D87" s="175">
        <v>32</v>
      </c>
      <c r="E87" s="180">
        <v>20</v>
      </c>
      <c r="F87" s="180">
        <v>39</v>
      </c>
      <c r="G87" s="177">
        <v>22</v>
      </c>
      <c r="H87" s="178">
        <v>32</v>
      </c>
      <c r="I87" s="178">
        <v>21</v>
      </c>
      <c r="J87" s="178">
        <f t="shared" si="4"/>
        <v>26.8</v>
      </c>
      <c r="K87" s="147" cm="1">
        <f t="array" ref="K87">SUMPRODUCT(D87:I87,TRANSPOSE($Q$4:$Q$9))/SUM($Q$4:$Q$9)</f>
        <v>27.055555555555554</v>
      </c>
      <c r="L87" s="2" t="str" cm="1">
        <f t="array" ref="L87">_xlfn.IFS(K87&gt;36,"A",K87&gt;32,"B",K87&gt;28,"C",K87&gt;24,"D",K87&lt;24,"F")</f>
        <v>D</v>
      </c>
      <c r="M87" s="2">
        <f t="shared" si="5"/>
        <v>1</v>
      </c>
    </row>
    <row r="88" spans="1:13" x14ac:dyDescent="0.3">
      <c r="A88" s="173">
        <v>67176280</v>
      </c>
      <c r="B88" s="174" t="s">
        <v>20</v>
      </c>
      <c r="C88" s="174" t="s">
        <v>59</v>
      </c>
      <c r="D88" s="175">
        <v>21</v>
      </c>
      <c r="E88" s="176">
        <v>23</v>
      </c>
      <c r="F88" s="176">
        <v>21</v>
      </c>
      <c r="G88" s="177">
        <v>36</v>
      </c>
      <c r="H88" s="178">
        <v>26</v>
      </c>
      <c r="I88" s="178">
        <v>34</v>
      </c>
      <c r="J88" s="178">
        <f t="shared" si="4"/>
        <v>28</v>
      </c>
      <c r="K88" s="147" cm="1">
        <f t="array" ref="K88">SUMPRODUCT(D88:I88,TRANSPOSE($Q$4:$Q$9))/SUM($Q$4:$Q$9)</f>
        <v>27.55555555555555</v>
      </c>
      <c r="L88" s="2" t="str" cm="1">
        <f t="array" ref="L88">_xlfn.IFS(K88&gt;36,"A",K88&gt;32,"B",K88&gt;28,"C",K88&gt;24,"D",K88&lt;24,"F")</f>
        <v>D</v>
      </c>
      <c r="M88" s="2">
        <f t="shared" si="5"/>
        <v>1</v>
      </c>
    </row>
    <row r="89" spans="1:13" x14ac:dyDescent="0.3">
      <c r="A89" s="179">
        <v>90908811</v>
      </c>
      <c r="B89" s="174" t="s">
        <v>60</v>
      </c>
      <c r="C89" s="174" t="s">
        <v>61</v>
      </c>
      <c r="D89" s="175">
        <v>34</v>
      </c>
      <c r="E89" s="180">
        <v>37</v>
      </c>
      <c r="F89" s="180">
        <v>33</v>
      </c>
      <c r="G89" s="177">
        <v>34</v>
      </c>
      <c r="H89" s="178">
        <v>37</v>
      </c>
      <c r="I89" s="178">
        <v>37</v>
      </c>
      <c r="J89" s="178">
        <f t="shared" si="4"/>
        <v>35.6</v>
      </c>
      <c r="K89" s="147" cm="1">
        <f t="array" ref="K89">SUMPRODUCT(D89:I89,TRANSPOSE($Q$4:$Q$9))/SUM($Q$4:$Q$9)</f>
        <v>35.5</v>
      </c>
      <c r="L89" s="2" t="str" cm="1">
        <f t="array" ref="L89">_xlfn.IFS(K89&gt;36,"A",K89&gt;32,"B",K89&gt;28,"C",K89&gt;24,"D",K89&lt;24,"F")</f>
        <v>B</v>
      </c>
      <c r="M89" s="2">
        <f t="shared" si="5"/>
        <v>3</v>
      </c>
    </row>
    <row r="90" spans="1:13" x14ac:dyDescent="0.3">
      <c r="A90" s="173">
        <v>37800314</v>
      </c>
      <c r="B90" s="174" t="s">
        <v>62</v>
      </c>
      <c r="C90" s="174" t="s">
        <v>63</v>
      </c>
      <c r="D90" s="175">
        <v>22</v>
      </c>
      <c r="E90" s="176">
        <v>25</v>
      </c>
      <c r="F90" s="176">
        <v>33</v>
      </c>
      <c r="G90" s="177">
        <v>36</v>
      </c>
      <c r="H90" s="178">
        <v>32</v>
      </c>
      <c r="I90" s="178">
        <v>31</v>
      </c>
      <c r="J90" s="178">
        <f t="shared" si="4"/>
        <v>31.4</v>
      </c>
      <c r="K90" s="147" cm="1">
        <f t="array" ref="K90">SUMPRODUCT(D90:I90,TRANSPOSE($Q$4:$Q$9))/SUM($Q$4:$Q$9)</f>
        <v>30.333333333333329</v>
      </c>
      <c r="L90" s="2" t="str" cm="1">
        <f t="array" ref="L90">_xlfn.IFS(K90&gt;36,"A",K90&gt;32,"B",K90&gt;28,"C",K90&gt;24,"D",K90&lt;24,"F")</f>
        <v>C</v>
      </c>
      <c r="M90" s="2">
        <f t="shared" si="5"/>
        <v>2</v>
      </c>
    </row>
    <row r="91" spans="1:13" x14ac:dyDescent="0.3">
      <c r="A91" s="179">
        <v>59343896</v>
      </c>
      <c r="B91" s="174" t="s">
        <v>64</v>
      </c>
      <c r="C91" s="174" t="s">
        <v>65</v>
      </c>
      <c r="D91" s="175">
        <v>33</v>
      </c>
      <c r="E91" s="180">
        <v>38</v>
      </c>
      <c r="F91" s="180">
        <v>39</v>
      </c>
      <c r="G91" s="177">
        <v>25</v>
      </c>
      <c r="H91" s="178">
        <v>37</v>
      </c>
      <c r="I91" s="178">
        <v>26</v>
      </c>
      <c r="J91" s="178">
        <f t="shared" si="4"/>
        <v>33</v>
      </c>
      <c r="K91" s="147" cm="1">
        <f t="array" ref="K91">SUMPRODUCT(D91:I91,TRANSPOSE($Q$4:$Q$9))/SUM($Q$4:$Q$9)</f>
        <v>32.611111111111107</v>
      </c>
      <c r="L91" s="2" t="str" cm="1">
        <f t="array" ref="L91">_xlfn.IFS(K91&gt;36,"A",K91&gt;32,"B",K91&gt;28,"C",K91&gt;24,"D",K91&lt;24,"F")</f>
        <v>B</v>
      </c>
      <c r="M91" s="2">
        <f t="shared" si="5"/>
        <v>3</v>
      </c>
    </row>
    <row r="92" spans="1:13" x14ac:dyDescent="0.3">
      <c r="A92" s="173">
        <v>56278487</v>
      </c>
      <c r="B92" s="174" t="s">
        <v>66</v>
      </c>
      <c r="C92" s="174" t="s">
        <v>67</v>
      </c>
      <c r="D92" s="175">
        <v>29</v>
      </c>
      <c r="E92" s="176">
        <v>39</v>
      </c>
      <c r="F92" s="176">
        <v>24</v>
      </c>
      <c r="G92" s="177">
        <v>34</v>
      </c>
      <c r="H92" s="178">
        <v>32</v>
      </c>
      <c r="I92" s="178">
        <v>22</v>
      </c>
      <c r="J92" s="178">
        <f t="shared" si="4"/>
        <v>30.2</v>
      </c>
      <c r="K92" s="147" cm="1">
        <f t="array" ref="K92">SUMPRODUCT(D92:I92,TRANSPOSE($Q$4:$Q$9))/SUM($Q$4:$Q$9)</f>
        <v>29.611111111111104</v>
      </c>
      <c r="L92" s="2" t="str" cm="1">
        <f t="array" ref="L92">_xlfn.IFS(K92&gt;36,"A",K92&gt;32,"B",K92&gt;28,"C",K92&gt;24,"D",K92&lt;24,"F")</f>
        <v>C</v>
      </c>
      <c r="M92" s="2">
        <f t="shared" si="5"/>
        <v>2</v>
      </c>
    </row>
    <row r="93" spans="1:13" x14ac:dyDescent="0.3">
      <c r="A93" s="179">
        <v>77890678</v>
      </c>
      <c r="B93" s="174" t="s">
        <v>68</v>
      </c>
      <c r="C93" s="174" t="s">
        <v>69</v>
      </c>
      <c r="D93" s="175">
        <v>26</v>
      </c>
      <c r="E93" s="180">
        <v>30</v>
      </c>
      <c r="F93" s="180">
        <v>38</v>
      </c>
      <c r="G93" s="177">
        <v>24</v>
      </c>
      <c r="H93" s="178">
        <v>20</v>
      </c>
      <c r="I93" s="178">
        <v>40</v>
      </c>
      <c r="J93" s="178">
        <f t="shared" si="4"/>
        <v>30.4</v>
      </c>
      <c r="K93" s="147" cm="1">
        <f t="array" ref="K93">SUMPRODUCT(D93:I93,TRANSPOSE($Q$4:$Q$9))/SUM($Q$4:$Q$9)</f>
        <v>30.444444444444439</v>
      </c>
      <c r="L93" s="2" t="str" cm="1">
        <f t="array" ref="L93">_xlfn.IFS(K93&gt;36,"A",K93&gt;32,"B",K93&gt;28,"C",K93&gt;24,"D",K93&lt;24,"F")</f>
        <v>C</v>
      </c>
      <c r="M93" s="2">
        <f t="shared" si="5"/>
        <v>2</v>
      </c>
    </row>
    <row r="94" spans="1:13" x14ac:dyDescent="0.3">
      <c r="A94" s="173">
        <v>33896032</v>
      </c>
      <c r="B94" s="174" t="s">
        <v>70</v>
      </c>
      <c r="C94" s="174" t="s">
        <v>71</v>
      </c>
      <c r="D94" s="175">
        <v>39</v>
      </c>
      <c r="E94" s="176">
        <v>27</v>
      </c>
      <c r="F94" s="176">
        <v>32</v>
      </c>
      <c r="G94" s="177">
        <v>24</v>
      </c>
      <c r="H94" s="178">
        <v>37</v>
      </c>
      <c r="I94" s="178">
        <v>40</v>
      </c>
      <c r="J94" s="178">
        <f t="shared" si="4"/>
        <v>32</v>
      </c>
      <c r="K94" s="147" cm="1">
        <f t="array" ref="K94">SUMPRODUCT(D94:I94,TRANSPOSE($Q$4:$Q$9))/SUM($Q$4:$Q$9)</f>
        <v>33.222222222222221</v>
      </c>
      <c r="L94" s="2" t="str" cm="1">
        <f t="array" ref="L94">_xlfn.IFS(K94&gt;36,"A",K94&gt;32,"B",K94&gt;28,"C",K94&gt;24,"D",K94&lt;24,"F")</f>
        <v>B</v>
      </c>
      <c r="M94" s="2">
        <f t="shared" si="5"/>
        <v>3</v>
      </c>
    </row>
    <row r="95" spans="1:13" x14ac:dyDescent="0.3">
      <c r="A95" s="179">
        <v>40723551</v>
      </c>
      <c r="B95" s="174" t="s">
        <v>72</v>
      </c>
      <c r="C95" s="174" t="s">
        <v>73</v>
      </c>
      <c r="D95" s="175">
        <v>38</v>
      </c>
      <c r="E95" s="180">
        <v>23</v>
      </c>
      <c r="F95" s="180">
        <v>21</v>
      </c>
      <c r="G95" s="177">
        <v>28</v>
      </c>
      <c r="H95" s="178">
        <v>31</v>
      </c>
      <c r="I95" s="178">
        <v>36</v>
      </c>
      <c r="J95" s="178">
        <f t="shared" si="4"/>
        <v>27.8</v>
      </c>
      <c r="K95" s="147" cm="1">
        <f t="array" ref="K95">SUMPRODUCT(D95:I95,TRANSPOSE($Q$4:$Q$9))/SUM($Q$4:$Q$9)</f>
        <v>29.388888888888882</v>
      </c>
      <c r="L95" s="2" t="str" cm="1">
        <f t="array" ref="L95">_xlfn.IFS(K95&gt;36,"A",K95&gt;32,"B",K95&gt;28,"C",K95&gt;24,"D",K95&lt;24,"F")</f>
        <v>C</v>
      </c>
      <c r="M95" s="2">
        <f t="shared" si="5"/>
        <v>2</v>
      </c>
    </row>
    <row r="96" spans="1:13" x14ac:dyDescent="0.3">
      <c r="A96" s="173">
        <v>23010569</v>
      </c>
      <c r="B96" s="174" t="s">
        <v>74</v>
      </c>
      <c r="C96" s="174" t="s">
        <v>75</v>
      </c>
      <c r="D96" s="175">
        <v>29</v>
      </c>
      <c r="E96" s="176">
        <v>39</v>
      </c>
      <c r="F96" s="176">
        <v>29</v>
      </c>
      <c r="G96" s="177">
        <v>28</v>
      </c>
      <c r="H96" s="178">
        <v>30</v>
      </c>
      <c r="I96" s="178">
        <v>20</v>
      </c>
      <c r="J96" s="178">
        <f t="shared" si="4"/>
        <v>29.2</v>
      </c>
      <c r="K96" s="147" cm="1">
        <f t="array" ref="K96">SUMPRODUCT(D96:I96,TRANSPOSE($Q$4:$Q$9))/SUM($Q$4:$Q$9)</f>
        <v>28.666666666666664</v>
      </c>
      <c r="L96" s="2" t="str" cm="1">
        <f t="array" ref="L96">_xlfn.IFS(K96&gt;36,"A",K96&gt;32,"B",K96&gt;28,"C",K96&gt;24,"D",K96&lt;24,"F")</f>
        <v>C</v>
      </c>
      <c r="M96" s="2">
        <f t="shared" si="5"/>
        <v>2</v>
      </c>
    </row>
    <row r="97" spans="1:16" x14ac:dyDescent="0.3">
      <c r="A97" s="179">
        <v>44900212</v>
      </c>
      <c r="B97" s="174" t="s">
        <v>76</v>
      </c>
      <c r="C97" s="174" t="s">
        <v>77</v>
      </c>
      <c r="D97" s="175">
        <v>30</v>
      </c>
      <c r="E97" s="180">
        <v>33</v>
      </c>
      <c r="F97" s="180">
        <v>20</v>
      </c>
      <c r="G97" s="177">
        <v>27</v>
      </c>
      <c r="H97" s="178">
        <v>26</v>
      </c>
      <c r="I97" s="178">
        <v>36</v>
      </c>
      <c r="J97" s="178">
        <f t="shared" si="4"/>
        <v>28.4</v>
      </c>
      <c r="K97" s="147" cm="1">
        <f t="array" ref="K97">SUMPRODUCT(D97:I97,TRANSPOSE($Q$4:$Q$9))/SUM($Q$4:$Q$9)</f>
        <v>28.999999999999993</v>
      </c>
      <c r="L97" s="2" t="str" cm="1">
        <f t="array" ref="L97">_xlfn.IFS(K97&gt;36,"A",K97&gt;32,"B",K97&gt;28,"C",K97&gt;24,"D",K97&lt;24,"F")</f>
        <v>C</v>
      </c>
      <c r="M97" s="2">
        <f t="shared" si="5"/>
        <v>2</v>
      </c>
    </row>
    <row r="98" spans="1:16" x14ac:dyDescent="0.3">
      <c r="A98" s="173">
        <v>42395721</v>
      </c>
      <c r="B98" s="174" t="s">
        <v>78</v>
      </c>
      <c r="C98" s="174" t="s">
        <v>79</v>
      </c>
      <c r="D98" s="175">
        <v>31</v>
      </c>
      <c r="E98" s="176">
        <v>38</v>
      </c>
      <c r="F98" s="176">
        <v>20</v>
      </c>
      <c r="G98" s="177">
        <v>29</v>
      </c>
      <c r="H98" s="178">
        <v>28</v>
      </c>
      <c r="I98" s="178">
        <v>30</v>
      </c>
      <c r="J98" s="178">
        <f t="shared" si="4"/>
        <v>29</v>
      </c>
      <c r="K98" s="147" cm="1">
        <f t="array" ref="K98">SUMPRODUCT(D98:I98,TRANSPOSE($Q$4:$Q$9))/SUM($Q$4:$Q$9)</f>
        <v>29.277777777777771</v>
      </c>
      <c r="L98" s="2" t="str" cm="1">
        <f t="array" ref="L98">_xlfn.IFS(K98&gt;36,"A",K98&gt;32,"B",K98&gt;28,"C",K98&gt;24,"D",K98&lt;24,"F")</f>
        <v>C</v>
      </c>
      <c r="M98" s="2">
        <f t="shared" si="5"/>
        <v>2</v>
      </c>
    </row>
    <row r="104" spans="1:16" x14ac:dyDescent="0.3">
      <c r="A104" s="341" t="s">
        <v>204</v>
      </c>
      <c r="B104" s="341"/>
      <c r="C104" s="341"/>
      <c r="D104" s="341"/>
      <c r="E104" s="341"/>
      <c r="F104" s="341"/>
      <c r="G104" s="341"/>
      <c r="H104" s="341"/>
      <c r="I104" s="341"/>
      <c r="J104" s="341"/>
      <c r="K104" s="341"/>
      <c r="L104" s="341"/>
      <c r="M104" s="341"/>
      <c r="N104" s="341"/>
      <c r="O104" s="341"/>
      <c r="P104" s="148"/>
    </row>
    <row r="105" spans="1:16" x14ac:dyDescent="0.3">
      <c r="A105" s="148" t="s">
        <v>0</v>
      </c>
      <c r="B105" s="148" t="s">
        <v>279</v>
      </c>
      <c r="C105" s="148" t="s">
        <v>280</v>
      </c>
      <c r="D105" s="148" t="s">
        <v>385</v>
      </c>
      <c r="E105" s="148" t="s">
        <v>195</v>
      </c>
      <c r="F105" s="148" t="s">
        <v>196</v>
      </c>
      <c r="G105" s="148" t="s">
        <v>197</v>
      </c>
      <c r="H105" s="148" t="s">
        <v>198</v>
      </c>
      <c r="I105" s="148" t="s">
        <v>304</v>
      </c>
      <c r="J105" s="148" t="s">
        <v>303</v>
      </c>
      <c r="K105" s="148" t="s">
        <v>1</v>
      </c>
      <c r="L105" s="148" t="s">
        <v>200</v>
      </c>
      <c r="M105" s="148" t="s">
        <v>384</v>
      </c>
      <c r="N105" s="148" t="s">
        <v>201</v>
      </c>
      <c r="O105" s="148" t="s">
        <v>205</v>
      </c>
      <c r="P105" s="148" t="s">
        <v>427</v>
      </c>
    </row>
    <row r="106" spans="1:16" x14ac:dyDescent="0.3">
      <c r="A106" s="173">
        <v>32695778</v>
      </c>
      <c r="B106" s="174" t="s">
        <v>28</v>
      </c>
      <c r="C106" s="174" t="s">
        <v>29</v>
      </c>
      <c r="D106" s="175">
        <v>28</v>
      </c>
      <c r="E106" s="176">
        <v>39</v>
      </c>
      <c r="F106" s="176">
        <v>29</v>
      </c>
      <c r="G106" s="177">
        <v>40</v>
      </c>
      <c r="H106" s="178">
        <v>30</v>
      </c>
      <c r="I106" s="178">
        <v>31</v>
      </c>
      <c r="J106" s="178">
        <f>AVERAGE(D106:I106)</f>
        <v>32.833333333333336</v>
      </c>
      <c r="K106" s="147" cm="1">
        <f t="array" ref="K106">SUMPRODUCT(D106:I106,TRANSPOSE($Q$4:$Q$9))/SUM($Q$4:$Q$9)</f>
        <v>32.999999999999993</v>
      </c>
      <c r="L106" s="2" t="str" cm="1">
        <f t="array" ref="L106">_xlfn.IFS(K106&gt;36,"A",K106&gt;32,"B",K106&gt;28,"C",K106&gt;24,"D",K106&lt;24,"F")</f>
        <v>B</v>
      </c>
      <c r="M106" s="2">
        <f t="shared" ref="M106:M132" si="6">INDEX($Q$15:$Q$19,MATCH(L106,$P$15:$P$19,0))</f>
        <v>3</v>
      </c>
      <c r="N106" s="2">
        <f>RANK(K106,$K$106:$K$132)</f>
        <v>4</v>
      </c>
      <c r="O106" s="147">
        <f t="shared" ref="O106:O132" si="7">AVERAGE(M4,M38,M72,M106)</f>
        <v>3.25</v>
      </c>
      <c r="P106" s="178">
        <f>D106*0.2+E106*0.15+F106*0.15+G106*0.15+H106*0.15+I106*0.2</f>
        <v>32.5</v>
      </c>
    </row>
    <row r="107" spans="1:16" x14ac:dyDescent="0.3">
      <c r="A107" s="179">
        <v>55677878</v>
      </c>
      <c r="B107" s="174" t="s">
        <v>30</v>
      </c>
      <c r="C107" s="174" t="s">
        <v>31</v>
      </c>
      <c r="D107" s="175">
        <v>22</v>
      </c>
      <c r="E107" s="180">
        <v>39</v>
      </c>
      <c r="F107" s="180">
        <v>25</v>
      </c>
      <c r="G107" s="177">
        <v>30</v>
      </c>
      <c r="H107" s="178">
        <v>35</v>
      </c>
      <c r="I107" s="178">
        <v>32</v>
      </c>
      <c r="J107" s="178">
        <f t="shared" ref="J107:J132" si="8">AVERAGE(E107:I107)</f>
        <v>32.200000000000003</v>
      </c>
      <c r="K107" s="147" cm="1">
        <f t="array" ref="K107">SUMPRODUCT(D107:I107,TRANSPOSE($Q$4:$Q$9))/SUM($Q$4:$Q$9)</f>
        <v>31.055555555555554</v>
      </c>
      <c r="L107" s="2" t="str" cm="1">
        <f t="array" ref="L107">_xlfn.IFS(K107&gt;36,"A",K107&gt;32,"B",K107&gt;28,"C",K107&gt;24,"D",K107&lt;24,"F")</f>
        <v>C</v>
      </c>
      <c r="M107" s="2">
        <f t="shared" si="6"/>
        <v>2</v>
      </c>
      <c r="N107" s="2">
        <f t="shared" ref="N107:N132" si="9">RANK(K107,$K$106:$K$132)</f>
        <v>11</v>
      </c>
      <c r="O107" s="147">
        <f t="shared" si="7"/>
        <v>2.25</v>
      </c>
      <c r="P107" s="178">
        <f t="shared" ref="P107:P132" si="10">D107*0.2+E107*0.15+F107*0.15+G107*0.15+H107*0.15+I107*0.2</f>
        <v>30.15</v>
      </c>
    </row>
    <row r="108" spans="1:16" x14ac:dyDescent="0.3">
      <c r="A108" s="173">
        <v>13692938</v>
      </c>
      <c r="B108" s="174" t="s">
        <v>32</v>
      </c>
      <c r="C108" s="174" t="s">
        <v>33</v>
      </c>
      <c r="D108" s="175">
        <v>40</v>
      </c>
      <c r="E108" s="176">
        <v>35</v>
      </c>
      <c r="F108" s="176">
        <v>23</v>
      </c>
      <c r="G108" s="177">
        <v>24</v>
      </c>
      <c r="H108" s="178">
        <v>32</v>
      </c>
      <c r="I108" s="178">
        <v>27</v>
      </c>
      <c r="J108" s="178">
        <f t="shared" si="8"/>
        <v>28.2</v>
      </c>
      <c r="K108" s="147" cm="1">
        <f t="array" ref="K108">SUMPRODUCT(D108:I108,TRANSPOSE($Q$4:$Q$9))/SUM($Q$4:$Q$9)</f>
        <v>29.444444444444439</v>
      </c>
      <c r="L108" s="2" t="str" cm="1">
        <f t="array" ref="L108">_xlfn.IFS(K108&gt;36,"A",K108&gt;32,"B",K108&gt;28,"C",K108&gt;24,"D",K108&lt;24,"F")</f>
        <v>C</v>
      </c>
      <c r="M108" s="2">
        <f t="shared" si="6"/>
        <v>2</v>
      </c>
      <c r="N108" s="2">
        <f t="shared" si="9"/>
        <v>20</v>
      </c>
      <c r="O108" s="147">
        <f t="shared" si="7"/>
        <v>2.75</v>
      </c>
      <c r="P108" s="178">
        <f t="shared" si="10"/>
        <v>30.5</v>
      </c>
    </row>
    <row r="109" spans="1:16" x14ac:dyDescent="0.3">
      <c r="A109" s="179">
        <v>49461380</v>
      </c>
      <c r="B109" s="174" t="s">
        <v>34</v>
      </c>
      <c r="C109" s="174" t="s">
        <v>35</v>
      </c>
      <c r="D109" s="175">
        <v>38</v>
      </c>
      <c r="E109" s="180">
        <v>31</v>
      </c>
      <c r="F109" s="180">
        <v>20</v>
      </c>
      <c r="G109" s="177">
        <v>36</v>
      </c>
      <c r="H109" s="178">
        <v>27</v>
      </c>
      <c r="I109" s="178">
        <v>34</v>
      </c>
      <c r="J109" s="178">
        <f t="shared" si="8"/>
        <v>29.6</v>
      </c>
      <c r="K109" s="147" cm="1">
        <f t="array" ref="K109">SUMPRODUCT(D109:I109,TRANSPOSE($Q$4:$Q$9))/SUM($Q$4:$Q$9)</f>
        <v>30.777777777777771</v>
      </c>
      <c r="L109" s="2" t="str" cm="1">
        <f t="array" ref="L109">_xlfn.IFS(K109&gt;36,"A",K109&gt;32,"B",K109&gt;28,"C",K109&gt;24,"D",K109&lt;24,"F")</f>
        <v>C</v>
      </c>
      <c r="M109" s="2">
        <f t="shared" si="6"/>
        <v>2</v>
      </c>
      <c r="N109" s="2">
        <f t="shared" si="9"/>
        <v>13</v>
      </c>
      <c r="O109" s="147">
        <f t="shared" si="7"/>
        <v>2</v>
      </c>
      <c r="P109" s="178">
        <f t="shared" si="10"/>
        <v>31.5</v>
      </c>
    </row>
    <row r="110" spans="1:16" x14ac:dyDescent="0.3">
      <c r="A110" s="173">
        <v>66065006</v>
      </c>
      <c r="B110" s="174" t="s">
        <v>36</v>
      </c>
      <c r="C110" s="174" t="s">
        <v>37</v>
      </c>
      <c r="D110" s="175">
        <v>40</v>
      </c>
      <c r="E110" s="176">
        <v>34</v>
      </c>
      <c r="F110" s="176">
        <v>28</v>
      </c>
      <c r="G110" s="177">
        <v>25</v>
      </c>
      <c r="H110" s="178">
        <v>25</v>
      </c>
      <c r="I110" s="178">
        <v>35</v>
      </c>
      <c r="J110" s="178">
        <f t="shared" si="8"/>
        <v>29.4</v>
      </c>
      <c r="K110" s="147" cm="1">
        <f t="array" ref="K110">SUMPRODUCT(D110:I110,TRANSPOSE($Q$4:$Q$9))/SUM($Q$4:$Q$9)</f>
        <v>30.888888888888886</v>
      </c>
      <c r="L110" s="2" t="str" cm="1">
        <f t="array" ref="L110">_xlfn.IFS(K110&gt;36,"A",K110&gt;32,"B",K110&gt;28,"C",K110&gt;24,"D",K110&lt;24,"F")</f>
        <v>C</v>
      </c>
      <c r="M110" s="2">
        <f t="shared" si="6"/>
        <v>2</v>
      </c>
      <c r="N110" s="2">
        <f t="shared" si="9"/>
        <v>12</v>
      </c>
      <c r="O110" s="147">
        <f t="shared" si="7"/>
        <v>1.75</v>
      </c>
      <c r="P110" s="178">
        <f t="shared" si="10"/>
        <v>31.8</v>
      </c>
    </row>
    <row r="111" spans="1:16" x14ac:dyDescent="0.3">
      <c r="A111" s="179">
        <v>14185496</v>
      </c>
      <c r="B111" s="174" t="s">
        <v>38</v>
      </c>
      <c r="C111" s="174" t="s">
        <v>39</v>
      </c>
      <c r="D111" s="175">
        <v>26</v>
      </c>
      <c r="E111" s="180">
        <v>29</v>
      </c>
      <c r="F111" s="180">
        <v>38</v>
      </c>
      <c r="G111" s="177">
        <v>37</v>
      </c>
      <c r="H111" s="178">
        <v>25</v>
      </c>
      <c r="I111" s="178">
        <v>33</v>
      </c>
      <c r="J111" s="178">
        <f t="shared" si="8"/>
        <v>32.4</v>
      </c>
      <c r="K111" s="147" cm="1">
        <f t="array" ref="K111">SUMPRODUCT(D111:I111,TRANSPOSE($Q$4:$Q$9))/SUM($Q$4:$Q$9)</f>
        <v>31.722222222222218</v>
      </c>
      <c r="L111" s="2" t="str" cm="1">
        <f t="array" ref="L111">_xlfn.IFS(K111&gt;36,"A",K111&gt;32,"B",K111&gt;28,"C",K111&gt;24,"D",K111&lt;24,"F")</f>
        <v>C</v>
      </c>
      <c r="M111" s="2">
        <f t="shared" si="6"/>
        <v>2</v>
      </c>
      <c r="N111" s="2">
        <f t="shared" si="9"/>
        <v>9</v>
      </c>
      <c r="O111" s="147">
        <f t="shared" si="7"/>
        <v>2</v>
      </c>
      <c r="P111" s="178">
        <f t="shared" si="10"/>
        <v>31.150000000000002</v>
      </c>
    </row>
    <row r="112" spans="1:16" x14ac:dyDescent="0.3">
      <c r="A112" s="173">
        <v>22222762</v>
      </c>
      <c r="B112" s="174" t="s">
        <v>40</v>
      </c>
      <c r="C112" s="174" t="s">
        <v>41</v>
      </c>
      <c r="D112" s="175">
        <v>23</v>
      </c>
      <c r="E112" s="176">
        <v>24</v>
      </c>
      <c r="F112" s="176">
        <v>39</v>
      </c>
      <c r="G112" s="177">
        <v>36</v>
      </c>
      <c r="H112" s="178">
        <v>36</v>
      </c>
      <c r="I112" s="178">
        <v>24</v>
      </c>
      <c r="J112" s="178">
        <f t="shared" si="8"/>
        <v>31.8</v>
      </c>
      <c r="K112" s="147" cm="1">
        <f t="array" ref="K112">SUMPRODUCT(D112:I112,TRANSPOSE($Q$4:$Q$9))/SUM($Q$4:$Q$9)</f>
        <v>30.388888888888882</v>
      </c>
      <c r="L112" s="2" t="str" cm="1">
        <f t="array" ref="L112">_xlfn.IFS(K112&gt;36,"A",K112&gt;32,"B",K112&gt;28,"C",K112&gt;24,"D",K112&lt;24,"F")</f>
        <v>C</v>
      </c>
      <c r="M112" s="2">
        <f t="shared" si="6"/>
        <v>2</v>
      </c>
      <c r="N112" s="2">
        <f t="shared" si="9"/>
        <v>15</v>
      </c>
      <c r="O112" s="147">
        <f t="shared" si="7"/>
        <v>2.5</v>
      </c>
      <c r="P112" s="178">
        <f t="shared" si="10"/>
        <v>29.65</v>
      </c>
    </row>
    <row r="113" spans="1:16" x14ac:dyDescent="0.3">
      <c r="A113" s="179">
        <v>33006505</v>
      </c>
      <c r="B113" s="174" t="s">
        <v>42</v>
      </c>
      <c r="C113" s="174" t="s">
        <v>43</v>
      </c>
      <c r="D113" s="175">
        <v>30</v>
      </c>
      <c r="E113" s="180">
        <v>28</v>
      </c>
      <c r="F113" s="180">
        <v>29</v>
      </c>
      <c r="G113" s="177">
        <v>26</v>
      </c>
      <c r="H113" s="178">
        <v>38</v>
      </c>
      <c r="I113" s="178">
        <v>27</v>
      </c>
      <c r="J113" s="178">
        <f t="shared" si="8"/>
        <v>29.6</v>
      </c>
      <c r="K113" s="147" cm="1">
        <f t="array" ref="K113">SUMPRODUCT(D113:I113,TRANSPOSE($Q$4:$Q$9))/SUM($Q$4:$Q$9)</f>
        <v>29.5</v>
      </c>
      <c r="L113" s="2" t="str" cm="1">
        <f t="array" ref="L113">_xlfn.IFS(K113&gt;36,"A",K113&gt;32,"B",K113&gt;28,"C",K113&gt;24,"D",K113&lt;24,"F")</f>
        <v>C</v>
      </c>
      <c r="M113" s="2">
        <f t="shared" si="6"/>
        <v>2</v>
      </c>
      <c r="N113" s="2">
        <f t="shared" si="9"/>
        <v>18</v>
      </c>
      <c r="O113" s="147">
        <f t="shared" si="7"/>
        <v>1.5</v>
      </c>
      <c r="P113" s="178">
        <f t="shared" si="10"/>
        <v>29.549999999999997</v>
      </c>
    </row>
    <row r="114" spans="1:16" x14ac:dyDescent="0.3">
      <c r="A114" s="173">
        <v>27658150</v>
      </c>
      <c r="B114" s="174" t="s">
        <v>44</v>
      </c>
      <c r="C114" s="174" t="s">
        <v>45</v>
      </c>
      <c r="D114" s="175">
        <v>40</v>
      </c>
      <c r="E114" s="176">
        <v>35</v>
      </c>
      <c r="F114" s="176">
        <v>40</v>
      </c>
      <c r="G114" s="177">
        <v>30</v>
      </c>
      <c r="H114" s="178">
        <v>30</v>
      </c>
      <c r="I114" s="178">
        <v>30</v>
      </c>
      <c r="J114" s="178">
        <f t="shared" si="8"/>
        <v>33</v>
      </c>
      <c r="K114" s="147" cm="1">
        <f t="array" ref="K114">SUMPRODUCT(D114:I114,TRANSPOSE($Q$4:$Q$9))/SUM($Q$4:$Q$9)</f>
        <v>33.611111111111107</v>
      </c>
      <c r="L114" s="2" t="str" cm="1">
        <f t="array" ref="L114">_xlfn.IFS(K114&gt;36,"A",K114&gt;32,"B",K114&gt;28,"C",K114&gt;24,"D",K114&lt;24,"F")</f>
        <v>B</v>
      </c>
      <c r="M114" s="2">
        <f t="shared" si="6"/>
        <v>3</v>
      </c>
      <c r="N114" s="2">
        <f t="shared" si="9"/>
        <v>3</v>
      </c>
      <c r="O114" s="147">
        <f t="shared" si="7"/>
        <v>3</v>
      </c>
      <c r="P114" s="178">
        <f t="shared" si="10"/>
        <v>34.25</v>
      </c>
    </row>
    <row r="115" spans="1:16" x14ac:dyDescent="0.3">
      <c r="A115" s="179">
        <v>54116555</v>
      </c>
      <c r="B115" s="174" t="s">
        <v>46</v>
      </c>
      <c r="C115" s="174" t="s">
        <v>47</v>
      </c>
      <c r="D115" s="175">
        <v>27</v>
      </c>
      <c r="E115" s="180">
        <v>26</v>
      </c>
      <c r="F115" s="180">
        <v>25</v>
      </c>
      <c r="G115" s="177">
        <v>33</v>
      </c>
      <c r="H115" s="178">
        <v>35</v>
      </c>
      <c r="I115" s="178">
        <v>35</v>
      </c>
      <c r="J115" s="178">
        <f t="shared" si="8"/>
        <v>30.8</v>
      </c>
      <c r="K115" s="147" cm="1">
        <f t="array" ref="K115">SUMPRODUCT(D115:I115,TRANSPOSE($Q$4:$Q$9))/SUM($Q$4:$Q$9)</f>
        <v>30.611111111111107</v>
      </c>
      <c r="L115" s="2" t="str" cm="1">
        <f t="array" ref="L115">_xlfn.IFS(K115&gt;36,"A",K115&gt;32,"B",K115&gt;28,"C",K115&gt;24,"D",K115&lt;24,"F")</f>
        <v>C</v>
      </c>
      <c r="M115" s="2">
        <f t="shared" si="6"/>
        <v>2</v>
      </c>
      <c r="N115" s="2">
        <f t="shared" si="9"/>
        <v>14</v>
      </c>
      <c r="O115" s="147">
        <f t="shared" si="7"/>
        <v>2.25</v>
      </c>
      <c r="P115" s="178">
        <f t="shared" si="10"/>
        <v>30.25</v>
      </c>
    </row>
    <row r="116" spans="1:16" x14ac:dyDescent="0.3">
      <c r="A116" s="173">
        <v>12255677</v>
      </c>
      <c r="B116" s="174" t="s">
        <v>48</v>
      </c>
      <c r="C116" s="174" t="s">
        <v>49</v>
      </c>
      <c r="D116" s="175">
        <v>34</v>
      </c>
      <c r="E116" s="176">
        <v>31</v>
      </c>
      <c r="F116" s="176">
        <v>33</v>
      </c>
      <c r="G116" s="177">
        <v>35</v>
      </c>
      <c r="H116" s="178">
        <v>23</v>
      </c>
      <c r="I116" s="178">
        <v>33</v>
      </c>
      <c r="J116" s="178">
        <f t="shared" si="8"/>
        <v>31</v>
      </c>
      <c r="K116" s="147" cm="1">
        <f t="array" ref="K116">SUMPRODUCT(D116:I116,TRANSPOSE($Q$4:$Q$9))/SUM($Q$4:$Q$9)</f>
        <v>31.444444444444439</v>
      </c>
      <c r="L116" s="2" t="str" cm="1">
        <f t="array" ref="L116">_xlfn.IFS(K116&gt;36,"A",K116&gt;32,"B",K116&gt;28,"C",K116&gt;24,"D",K116&lt;24,"F")</f>
        <v>C</v>
      </c>
      <c r="M116" s="2">
        <f t="shared" si="6"/>
        <v>2</v>
      </c>
      <c r="N116" s="2">
        <f t="shared" si="9"/>
        <v>10</v>
      </c>
      <c r="O116" s="147">
        <f t="shared" si="7"/>
        <v>2.5</v>
      </c>
      <c r="P116" s="178">
        <f t="shared" si="10"/>
        <v>31.7</v>
      </c>
    </row>
    <row r="117" spans="1:16" x14ac:dyDescent="0.3">
      <c r="A117" s="179">
        <v>80079978</v>
      </c>
      <c r="B117" s="174" t="s">
        <v>50</v>
      </c>
      <c r="C117" s="174" t="s">
        <v>51</v>
      </c>
      <c r="D117" s="175">
        <v>33</v>
      </c>
      <c r="E117" s="180">
        <v>34</v>
      </c>
      <c r="F117" s="180">
        <v>36</v>
      </c>
      <c r="G117" s="177">
        <v>29</v>
      </c>
      <c r="H117" s="178">
        <v>24</v>
      </c>
      <c r="I117" s="178">
        <v>37</v>
      </c>
      <c r="J117" s="178">
        <f t="shared" si="8"/>
        <v>32</v>
      </c>
      <c r="K117" s="147" cm="1">
        <f t="array" ref="K117">SUMPRODUCT(D117:I117,TRANSPOSE($Q$4:$Q$9))/SUM($Q$4:$Q$9)</f>
        <v>32.388888888888886</v>
      </c>
      <c r="L117" s="2" t="str" cm="1">
        <f t="array" ref="L117">_xlfn.IFS(K117&gt;36,"A",K117&gt;32,"B",K117&gt;28,"C",K117&gt;24,"D",K117&lt;24,"F")</f>
        <v>B</v>
      </c>
      <c r="M117" s="2">
        <f t="shared" si="6"/>
        <v>3</v>
      </c>
      <c r="N117" s="2">
        <f t="shared" si="9"/>
        <v>7</v>
      </c>
      <c r="O117" s="147">
        <f t="shared" si="7"/>
        <v>2.75</v>
      </c>
      <c r="P117" s="178">
        <f t="shared" si="10"/>
        <v>32.449999999999996</v>
      </c>
    </row>
    <row r="118" spans="1:16" x14ac:dyDescent="0.3">
      <c r="A118" s="173">
        <v>62672194</v>
      </c>
      <c r="B118" s="174" t="s">
        <v>20</v>
      </c>
      <c r="C118" s="174" t="s">
        <v>52</v>
      </c>
      <c r="D118" s="175">
        <v>25</v>
      </c>
      <c r="E118" s="176">
        <v>29</v>
      </c>
      <c r="F118" s="176">
        <v>39</v>
      </c>
      <c r="G118" s="177">
        <v>26</v>
      </c>
      <c r="H118" s="178">
        <v>21</v>
      </c>
      <c r="I118" s="178">
        <v>27</v>
      </c>
      <c r="J118" s="178">
        <f t="shared" si="8"/>
        <v>28.4</v>
      </c>
      <c r="K118" s="147" cm="1">
        <f t="array" ref="K118">SUMPRODUCT(D118:I118,TRANSPOSE($Q$4:$Q$9))/SUM($Q$4:$Q$9)</f>
        <v>27.944444444444439</v>
      </c>
      <c r="L118" s="2" t="str" cm="1">
        <f t="array" ref="L118">_xlfn.IFS(K118&gt;36,"A",K118&gt;32,"B",K118&gt;28,"C",K118&gt;24,"D",K118&lt;24,"F")</f>
        <v>D</v>
      </c>
      <c r="M118" s="2">
        <f t="shared" si="6"/>
        <v>1</v>
      </c>
      <c r="N118" s="2">
        <f t="shared" si="9"/>
        <v>26</v>
      </c>
      <c r="O118" s="147">
        <f t="shared" si="7"/>
        <v>2</v>
      </c>
      <c r="P118" s="178">
        <f t="shared" si="10"/>
        <v>27.65</v>
      </c>
    </row>
    <row r="119" spans="1:16" x14ac:dyDescent="0.3">
      <c r="A119" s="179">
        <v>22975112</v>
      </c>
      <c r="B119" s="174" t="s">
        <v>53</v>
      </c>
      <c r="C119" s="174" t="s">
        <v>54</v>
      </c>
      <c r="D119" s="175">
        <v>38</v>
      </c>
      <c r="E119" s="180">
        <v>38</v>
      </c>
      <c r="F119" s="180">
        <v>35</v>
      </c>
      <c r="G119" s="177">
        <v>29</v>
      </c>
      <c r="H119" s="178">
        <v>38</v>
      </c>
      <c r="I119" s="178">
        <v>35</v>
      </c>
      <c r="J119" s="178">
        <f t="shared" si="8"/>
        <v>35</v>
      </c>
      <c r="K119" s="147" cm="1">
        <f t="array" ref="K119">SUMPRODUCT(D119:I119,TRANSPOSE($Q$4:$Q$9))/SUM($Q$4:$Q$9)</f>
        <v>35.333333333333329</v>
      </c>
      <c r="L119" s="2" t="str" cm="1">
        <f t="array" ref="L119">_xlfn.IFS(K119&gt;36,"A",K119&gt;32,"B",K119&gt;28,"C",K119&gt;24,"D",K119&lt;24,"F")</f>
        <v>B</v>
      </c>
      <c r="M119" s="2">
        <f t="shared" si="6"/>
        <v>3</v>
      </c>
      <c r="N119" s="2">
        <f t="shared" si="9"/>
        <v>2</v>
      </c>
      <c r="O119" s="147">
        <f t="shared" si="7"/>
        <v>2.75</v>
      </c>
      <c r="P119" s="178">
        <f t="shared" si="10"/>
        <v>35.599999999999994</v>
      </c>
    </row>
    <row r="120" spans="1:16" x14ac:dyDescent="0.3">
      <c r="A120" s="173">
        <v>17117302</v>
      </c>
      <c r="B120" s="174" t="s">
        <v>55</v>
      </c>
      <c r="C120" s="174" t="s">
        <v>56</v>
      </c>
      <c r="D120" s="175">
        <v>38</v>
      </c>
      <c r="E120" s="176">
        <v>35</v>
      </c>
      <c r="F120" s="176">
        <v>37</v>
      </c>
      <c r="G120" s="177">
        <v>24</v>
      </c>
      <c r="H120" s="178">
        <v>40</v>
      </c>
      <c r="I120" s="178">
        <v>38</v>
      </c>
      <c r="J120" s="178">
        <f t="shared" si="8"/>
        <v>34.799999999999997</v>
      </c>
      <c r="K120" s="147" cm="1">
        <f t="array" ref="K120">SUMPRODUCT(D120:I120,TRANSPOSE($Q$4:$Q$9))/SUM($Q$4:$Q$9)</f>
        <v>35.333333333333336</v>
      </c>
      <c r="L120" s="2" t="str" cm="1">
        <f t="array" ref="L120">_xlfn.IFS(K120&gt;36,"A",K120&gt;32,"B",K120&gt;28,"C",K120&gt;24,"D",K120&lt;24,"F")</f>
        <v>B</v>
      </c>
      <c r="M120" s="2">
        <f t="shared" si="6"/>
        <v>3</v>
      </c>
      <c r="N120" s="2">
        <f t="shared" si="9"/>
        <v>1</v>
      </c>
      <c r="O120" s="147">
        <f t="shared" si="7"/>
        <v>2.5</v>
      </c>
      <c r="P120" s="178">
        <f t="shared" si="10"/>
        <v>35.6</v>
      </c>
    </row>
    <row r="121" spans="1:16" x14ac:dyDescent="0.3">
      <c r="A121" s="179">
        <v>17175244</v>
      </c>
      <c r="B121" s="174" t="s">
        <v>57</v>
      </c>
      <c r="C121" s="174" t="s">
        <v>58</v>
      </c>
      <c r="D121" s="175">
        <v>26</v>
      </c>
      <c r="E121" s="180">
        <v>30</v>
      </c>
      <c r="F121" s="180">
        <v>22</v>
      </c>
      <c r="G121" s="177">
        <v>36</v>
      </c>
      <c r="H121" s="178">
        <v>33</v>
      </c>
      <c r="I121" s="178">
        <v>33</v>
      </c>
      <c r="J121" s="178">
        <f t="shared" si="8"/>
        <v>30.8</v>
      </c>
      <c r="K121" s="147" cm="1">
        <f t="array" ref="K121">SUMPRODUCT(D121:I121,TRANSPOSE($Q$4:$Q$9))/SUM($Q$4:$Q$9)</f>
        <v>30.388888888888882</v>
      </c>
      <c r="L121" s="2" t="str" cm="1">
        <f t="array" ref="L121">_xlfn.IFS(K121&gt;36,"A",K121&gt;32,"B",K121&gt;28,"C",K121&gt;24,"D",K121&lt;24,"F")</f>
        <v>C</v>
      </c>
      <c r="M121" s="2">
        <f t="shared" si="6"/>
        <v>2</v>
      </c>
      <c r="N121" s="2">
        <f t="shared" si="9"/>
        <v>15</v>
      </c>
      <c r="O121" s="147">
        <f t="shared" si="7"/>
        <v>1.75</v>
      </c>
      <c r="P121" s="178">
        <f t="shared" si="10"/>
        <v>29.95</v>
      </c>
    </row>
    <row r="122" spans="1:16" x14ac:dyDescent="0.3">
      <c r="A122" s="173">
        <v>67176280</v>
      </c>
      <c r="B122" s="174" t="s">
        <v>20</v>
      </c>
      <c r="C122" s="174" t="s">
        <v>59</v>
      </c>
      <c r="D122" s="175">
        <v>32</v>
      </c>
      <c r="E122" s="176">
        <v>36</v>
      </c>
      <c r="F122" s="176">
        <v>24</v>
      </c>
      <c r="G122" s="177">
        <v>28</v>
      </c>
      <c r="H122" s="178">
        <v>33</v>
      </c>
      <c r="I122" s="178">
        <v>22</v>
      </c>
      <c r="J122" s="178">
        <f t="shared" si="8"/>
        <v>28.6</v>
      </c>
      <c r="K122" s="147" cm="1">
        <f t="array" ref="K122">SUMPRODUCT(D122:I122,TRANSPOSE($Q$4:$Q$9))/SUM($Q$4:$Q$9)</f>
        <v>28.611111111111107</v>
      </c>
      <c r="L122" s="2" t="str" cm="1">
        <f t="array" ref="L122">_xlfn.IFS(K122&gt;36,"A",K122&gt;32,"B",K122&gt;28,"C",K122&gt;24,"D",K122&lt;24,"F")</f>
        <v>C</v>
      </c>
      <c r="M122" s="2">
        <f t="shared" si="6"/>
        <v>2</v>
      </c>
      <c r="N122" s="2">
        <f t="shared" si="9"/>
        <v>23</v>
      </c>
      <c r="O122" s="147">
        <f t="shared" si="7"/>
        <v>2.25</v>
      </c>
      <c r="P122" s="178">
        <f t="shared" si="10"/>
        <v>28.950000000000003</v>
      </c>
    </row>
    <row r="123" spans="1:16" x14ac:dyDescent="0.3">
      <c r="A123" s="179">
        <v>90908811</v>
      </c>
      <c r="B123" s="174" t="s">
        <v>60</v>
      </c>
      <c r="C123" s="174" t="s">
        <v>61</v>
      </c>
      <c r="D123" s="175">
        <v>35</v>
      </c>
      <c r="E123" s="180">
        <v>32</v>
      </c>
      <c r="F123" s="180">
        <v>30</v>
      </c>
      <c r="G123" s="177">
        <v>25</v>
      </c>
      <c r="H123" s="178">
        <v>32</v>
      </c>
      <c r="I123" s="178">
        <v>26</v>
      </c>
      <c r="J123" s="178">
        <f t="shared" si="8"/>
        <v>29</v>
      </c>
      <c r="K123" s="147" cm="1">
        <f t="array" ref="K123">SUMPRODUCT(D123:I123,TRANSPOSE($Q$4:$Q$9))/SUM($Q$4:$Q$9)</f>
        <v>29.499999999999996</v>
      </c>
      <c r="L123" s="2" t="str" cm="1">
        <f t="array" ref="L123">_xlfn.IFS(K123&gt;36,"A",K123&gt;32,"B",K123&gt;28,"C",K123&gt;24,"D",K123&lt;24,"F")</f>
        <v>C</v>
      </c>
      <c r="M123" s="2">
        <f t="shared" si="6"/>
        <v>2</v>
      </c>
      <c r="N123" s="2">
        <f t="shared" si="9"/>
        <v>19</v>
      </c>
      <c r="O123" s="147">
        <f t="shared" si="7"/>
        <v>2.5</v>
      </c>
      <c r="P123" s="178">
        <f t="shared" si="10"/>
        <v>30.05</v>
      </c>
    </row>
    <row r="124" spans="1:16" x14ac:dyDescent="0.3">
      <c r="A124" s="173">
        <v>37800314</v>
      </c>
      <c r="B124" s="174" t="s">
        <v>62</v>
      </c>
      <c r="C124" s="174" t="s">
        <v>63</v>
      </c>
      <c r="D124" s="175">
        <v>31</v>
      </c>
      <c r="E124" s="176">
        <v>26</v>
      </c>
      <c r="F124" s="176">
        <v>20</v>
      </c>
      <c r="G124" s="177">
        <v>33</v>
      </c>
      <c r="H124" s="178">
        <v>23</v>
      </c>
      <c r="I124" s="178">
        <v>39</v>
      </c>
      <c r="J124" s="178">
        <f t="shared" si="8"/>
        <v>28.2</v>
      </c>
      <c r="K124" s="147" cm="1">
        <f t="array" ref="K124">SUMPRODUCT(D124:I124,TRANSPOSE($Q$4:$Q$9))/SUM($Q$4:$Q$9)</f>
        <v>29.111111111111107</v>
      </c>
      <c r="L124" s="2" t="str" cm="1">
        <f t="array" ref="L124">_xlfn.IFS(K124&gt;36,"A",K124&gt;32,"B",K124&gt;28,"C",K124&gt;24,"D",K124&lt;24,"F")</f>
        <v>C</v>
      </c>
      <c r="M124" s="2">
        <f t="shared" si="6"/>
        <v>2</v>
      </c>
      <c r="N124" s="2">
        <f t="shared" si="9"/>
        <v>22</v>
      </c>
      <c r="O124" s="147">
        <f t="shared" si="7"/>
        <v>2.5</v>
      </c>
      <c r="P124" s="178">
        <f t="shared" si="10"/>
        <v>29.3</v>
      </c>
    </row>
    <row r="125" spans="1:16" x14ac:dyDescent="0.3">
      <c r="A125" s="179">
        <v>59343896</v>
      </c>
      <c r="B125" s="174" t="s">
        <v>64</v>
      </c>
      <c r="C125" s="174" t="s">
        <v>65</v>
      </c>
      <c r="D125" s="175">
        <v>30</v>
      </c>
      <c r="E125" s="180">
        <v>34</v>
      </c>
      <c r="F125" s="180">
        <v>39</v>
      </c>
      <c r="G125" s="177">
        <v>32</v>
      </c>
      <c r="H125" s="178">
        <v>32</v>
      </c>
      <c r="I125" s="178">
        <v>30</v>
      </c>
      <c r="J125" s="178">
        <f t="shared" si="8"/>
        <v>33.4</v>
      </c>
      <c r="K125" s="147" cm="1">
        <f t="array" ref="K125">SUMPRODUCT(D125:I125,TRANSPOSE($Q$4:$Q$9))/SUM($Q$4:$Q$9)</f>
        <v>32.833333333333329</v>
      </c>
      <c r="L125" s="2" t="str" cm="1">
        <f t="array" ref="L125">_xlfn.IFS(K125&gt;36,"A",K125&gt;32,"B",K125&gt;28,"C",K125&gt;24,"D",K125&lt;24,"F")</f>
        <v>B</v>
      </c>
      <c r="M125" s="2">
        <f t="shared" si="6"/>
        <v>3</v>
      </c>
      <c r="N125" s="2">
        <f t="shared" si="9"/>
        <v>5</v>
      </c>
      <c r="O125" s="147">
        <f t="shared" si="7"/>
        <v>3</v>
      </c>
      <c r="P125" s="178">
        <f t="shared" si="10"/>
        <v>32.549999999999997</v>
      </c>
    </row>
    <row r="126" spans="1:16" x14ac:dyDescent="0.3">
      <c r="A126" s="173">
        <v>56278487</v>
      </c>
      <c r="B126" s="174" t="s">
        <v>66</v>
      </c>
      <c r="C126" s="174" t="s">
        <v>67</v>
      </c>
      <c r="D126" s="175">
        <v>30</v>
      </c>
      <c r="E126" s="176">
        <v>20</v>
      </c>
      <c r="F126" s="176">
        <v>32</v>
      </c>
      <c r="G126" s="177">
        <v>34</v>
      </c>
      <c r="H126" s="178">
        <v>34</v>
      </c>
      <c r="I126" s="178">
        <v>39</v>
      </c>
      <c r="J126" s="178">
        <f t="shared" si="8"/>
        <v>31.8</v>
      </c>
      <c r="K126" s="147" cm="1">
        <f t="array" ref="K126">SUMPRODUCT(D126:I126,TRANSPOSE($Q$4:$Q$9))/SUM($Q$4:$Q$9)</f>
        <v>31.999999999999996</v>
      </c>
      <c r="L126" s="2" t="str" cm="1">
        <f t="array" ref="L126">_xlfn.IFS(K126&gt;36,"A",K126&gt;32,"B",K126&gt;28,"C",K126&gt;24,"D",K126&lt;24,"F")</f>
        <v>C</v>
      </c>
      <c r="M126" s="2">
        <f t="shared" si="6"/>
        <v>2</v>
      </c>
      <c r="N126" s="2">
        <f t="shared" si="9"/>
        <v>8</v>
      </c>
      <c r="O126" s="147">
        <f t="shared" si="7"/>
        <v>2.75</v>
      </c>
      <c r="P126" s="178">
        <f t="shared" si="10"/>
        <v>31.8</v>
      </c>
    </row>
    <row r="127" spans="1:16" x14ac:dyDescent="0.3">
      <c r="A127" s="179">
        <v>77890678</v>
      </c>
      <c r="B127" s="174" t="s">
        <v>68</v>
      </c>
      <c r="C127" s="174" t="s">
        <v>69</v>
      </c>
      <c r="D127" s="175">
        <v>27</v>
      </c>
      <c r="E127" s="180">
        <v>40</v>
      </c>
      <c r="F127" s="180">
        <v>33</v>
      </c>
      <c r="G127" s="177">
        <v>34</v>
      </c>
      <c r="H127" s="178">
        <v>24</v>
      </c>
      <c r="I127" s="178">
        <v>23</v>
      </c>
      <c r="J127" s="178">
        <f t="shared" si="8"/>
        <v>30.8</v>
      </c>
      <c r="K127" s="147" cm="1">
        <f t="array" ref="K127">SUMPRODUCT(D127:I127,TRANSPOSE($Q$4:$Q$9))/SUM($Q$4:$Q$9)</f>
        <v>29.944444444444443</v>
      </c>
      <c r="L127" s="2" t="str" cm="1">
        <f t="array" ref="L127">_xlfn.IFS(K127&gt;36,"A",K127&gt;32,"B",K127&gt;28,"C",K127&gt;24,"D",K127&lt;24,"F")</f>
        <v>C</v>
      </c>
      <c r="M127" s="2">
        <f t="shared" si="6"/>
        <v>2</v>
      </c>
      <c r="N127" s="2">
        <f t="shared" si="9"/>
        <v>17</v>
      </c>
      <c r="O127" s="147">
        <f t="shared" si="7"/>
        <v>2.25</v>
      </c>
      <c r="P127" s="178">
        <f t="shared" si="10"/>
        <v>29.650000000000006</v>
      </c>
    </row>
    <row r="128" spans="1:16" x14ac:dyDescent="0.3">
      <c r="A128" s="173">
        <v>33896032</v>
      </c>
      <c r="B128" s="174" t="s">
        <v>70</v>
      </c>
      <c r="C128" s="174" t="s">
        <v>71</v>
      </c>
      <c r="D128" s="175">
        <v>39</v>
      </c>
      <c r="E128" s="176">
        <v>29</v>
      </c>
      <c r="F128" s="176">
        <v>37</v>
      </c>
      <c r="G128" s="177">
        <v>24</v>
      </c>
      <c r="H128" s="178">
        <v>27</v>
      </c>
      <c r="I128" s="178">
        <v>20</v>
      </c>
      <c r="J128" s="178">
        <f t="shared" si="8"/>
        <v>27.4</v>
      </c>
      <c r="K128" s="147" cm="1">
        <f t="array" ref="K128">SUMPRODUCT(D128:I128,TRANSPOSE($Q$4:$Q$9))/SUM($Q$4:$Q$9)</f>
        <v>28.277777777777771</v>
      </c>
      <c r="L128" s="2" t="str" cm="1">
        <f t="array" ref="L128">_xlfn.IFS(K128&gt;36,"A",K128&gt;32,"B",K128&gt;28,"C",K128&gt;24,"D",K128&lt;24,"F")</f>
        <v>C</v>
      </c>
      <c r="M128" s="2">
        <f t="shared" si="6"/>
        <v>2</v>
      </c>
      <c r="N128" s="2">
        <f t="shared" si="9"/>
        <v>25</v>
      </c>
      <c r="O128" s="147">
        <f t="shared" si="7"/>
        <v>3</v>
      </c>
      <c r="P128" s="178">
        <f t="shared" si="10"/>
        <v>29.349999999999998</v>
      </c>
    </row>
    <row r="129" spans="1:16" x14ac:dyDescent="0.3">
      <c r="A129" s="179">
        <v>40723551</v>
      </c>
      <c r="B129" s="174" t="s">
        <v>72</v>
      </c>
      <c r="C129" s="174" t="s">
        <v>73</v>
      </c>
      <c r="D129" s="175">
        <v>32</v>
      </c>
      <c r="E129" s="180">
        <v>24</v>
      </c>
      <c r="F129" s="180">
        <v>37</v>
      </c>
      <c r="G129" s="177">
        <v>35</v>
      </c>
      <c r="H129" s="178">
        <v>28</v>
      </c>
      <c r="I129" s="178">
        <v>37</v>
      </c>
      <c r="J129" s="178">
        <f t="shared" si="8"/>
        <v>32.200000000000003</v>
      </c>
      <c r="K129" s="147" cm="1">
        <f t="array" ref="K129">SUMPRODUCT(D129:I129,TRANSPOSE($Q$4:$Q$9))/SUM($Q$4:$Q$9)</f>
        <v>32.444444444444443</v>
      </c>
      <c r="L129" s="2" t="str" cm="1">
        <f t="array" ref="L129">_xlfn.IFS(K129&gt;36,"A",K129&gt;32,"B",K129&gt;28,"C",K129&gt;24,"D",K129&lt;24,"F")</f>
        <v>B</v>
      </c>
      <c r="M129" s="2">
        <f t="shared" si="6"/>
        <v>3</v>
      </c>
      <c r="N129" s="2">
        <f t="shared" si="9"/>
        <v>6</v>
      </c>
      <c r="O129" s="147">
        <f t="shared" si="7"/>
        <v>2.75</v>
      </c>
      <c r="P129" s="178">
        <f t="shared" si="10"/>
        <v>32.4</v>
      </c>
    </row>
    <row r="130" spans="1:16" x14ac:dyDescent="0.3">
      <c r="A130" s="173">
        <v>23010569</v>
      </c>
      <c r="B130" s="174" t="s">
        <v>74</v>
      </c>
      <c r="C130" s="174" t="s">
        <v>75</v>
      </c>
      <c r="D130" s="175">
        <v>33</v>
      </c>
      <c r="E130" s="176">
        <v>30</v>
      </c>
      <c r="F130" s="176">
        <v>31</v>
      </c>
      <c r="G130" s="177">
        <v>37</v>
      </c>
      <c r="H130" s="178">
        <v>24</v>
      </c>
      <c r="I130" s="178">
        <v>24</v>
      </c>
      <c r="J130" s="178">
        <f t="shared" si="8"/>
        <v>29.2</v>
      </c>
      <c r="K130" s="147" cm="1">
        <f t="array" ref="K130">SUMPRODUCT(D130:I130,TRANSPOSE($Q$4:$Q$9))/SUM($Q$4:$Q$9)</f>
        <v>29.333333333333332</v>
      </c>
      <c r="L130" s="2" t="str" cm="1">
        <f t="array" ref="L130">_xlfn.IFS(K130&gt;36,"A",K130&gt;32,"B",K130&gt;28,"C",K130&gt;24,"D",K130&lt;24,"F")</f>
        <v>C</v>
      </c>
      <c r="M130" s="2">
        <f t="shared" si="6"/>
        <v>2</v>
      </c>
      <c r="N130" s="2">
        <f t="shared" si="9"/>
        <v>21</v>
      </c>
      <c r="O130" s="147">
        <f t="shared" si="7"/>
        <v>2.25</v>
      </c>
      <c r="P130" s="178">
        <f t="shared" si="10"/>
        <v>29.7</v>
      </c>
    </row>
    <row r="131" spans="1:16" x14ac:dyDescent="0.3">
      <c r="A131" s="179">
        <v>44900212</v>
      </c>
      <c r="B131" s="174" t="s">
        <v>76</v>
      </c>
      <c r="C131" s="174" t="s">
        <v>77</v>
      </c>
      <c r="D131" s="175">
        <v>24</v>
      </c>
      <c r="E131" s="180">
        <v>21</v>
      </c>
      <c r="F131" s="180">
        <v>20</v>
      </c>
      <c r="G131" s="177">
        <v>28</v>
      </c>
      <c r="H131" s="178">
        <v>40</v>
      </c>
      <c r="I131" s="178">
        <v>24</v>
      </c>
      <c r="J131" s="178">
        <f t="shared" si="8"/>
        <v>26.6</v>
      </c>
      <c r="K131" s="147" cm="1">
        <f t="array" ref="K131">SUMPRODUCT(D131:I131,TRANSPOSE($Q$4:$Q$9))/SUM($Q$4:$Q$9)</f>
        <v>26.166666666666664</v>
      </c>
      <c r="L131" s="2" t="str" cm="1">
        <f t="array" ref="L131">_xlfn.IFS(K131&gt;36,"A",K131&gt;32,"B",K131&gt;28,"C",K131&gt;24,"D",K131&lt;24,"F")</f>
        <v>D</v>
      </c>
      <c r="M131" s="2">
        <f t="shared" si="6"/>
        <v>1</v>
      </c>
      <c r="N131" s="2">
        <f t="shared" si="9"/>
        <v>27</v>
      </c>
      <c r="O131" s="147">
        <f t="shared" si="7"/>
        <v>2.5</v>
      </c>
      <c r="P131" s="178">
        <f t="shared" si="10"/>
        <v>25.950000000000003</v>
      </c>
    </row>
    <row r="132" spans="1:16" x14ac:dyDescent="0.3">
      <c r="A132" s="173">
        <v>42395721</v>
      </c>
      <c r="B132" s="174" t="s">
        <v>78</v>
      </c>
      <c r="C132" s="174" t="s">
        <v>79</v>
      </c>
      <c r="D132" s="175">
        <v>22</v>
      </c>
      <c r="E132" s="176">
        <v>39</v>
      </c>
      <c r="F132" s="176">
        <v>26</v>
      </c>
      <c r="G132" s="177">
        <v>23</v>
      </c>
      <c r="H132" s="178">
        <v>37</v>
      </c>
      <c r="I132" s="178">
        <v>23</v>
      </c>
      <c r="J132" s="178">
        <f t="shared" si="8"/>
        <v>29.6</v>
      </c>
      <c r="K132" s="147" cm="1">
        <f t="array" ref="K132">SUMPRODUCT(D132:I132,TRANSPOSE($Q$4:$Q$9))/SUM($Q$4:$Q$9)</f>
        <v>28.388888888888886</v>
      </c>
      <c r="L132" s="2" t="str" cm="1">
        <f t="array" ref="L132">_xlfn.IFS(K132&gt;36,"A",K132&gt;32,"B",K132&gt;28,"C",K132&gt;24,"D",K132&lt;24,"F")</f>
        <v>C</v>
      </c>
      <c r="M132" s="2">
        <f t="shared" si="6"/>
        <v>2</v>
      </c>
      <c r="N132" s="2">
        <f t="shared" si="9"/>
        <v>24</v>
      </c>
      <c r="O132" s="147">
        <f t="shared" si="7"/>
        <v>2.5</v>
      </c>
      <c r="P132" s="178">
        <f t="shared" si="10"/>
        <v>27.750000000000004</v>
      </c>
    </row>
  </sheetData>
  <mergeCells count="9">
    <mergeCell ref="H1:I1"/>
    <mergeCell ref="A70:M70"/>
    <mergeCell ref="O38:AA38"/>
    <mergeCell ref="A104:O104"/>
    <mergeCell ref="P3:Q3"/>
    <mergeCell ref="P13:Q13"/>
    <mergeCell ref="P32:Q32"/>
    <mergeCell ref="A2:M2"/>
    <mergeCell ref="A36:M36"/>
  </mergeCells>
  <conditionalFormatting sqref="A2">
    <cfRule type="colorScale" priority="37">
      <colorScale>
        <cfvo type="min"/>
        <cfvo type="max"/>
        <color rgb="FF63BE7B"/>
        <color rgb="FFFFEF9C"/>
      </colorScale>
    </cfRule>
  </conditionalFormatting>
  <conditionalFormatting sqref="A36">
    <cfRule type="colorScale" priority="34">
      <colorScale>
        <cfvo type="min"/>
        <cfvo type="max"/>
        <color rgb="FF63BE7B"/>
        <color rgb="FFFFEF9C"/>
      </colorScale>
    </cfRule>
  </conditionalFormatting>
  <conditionalFormatting sqref="A70">
    <cfRule type="colorScale" priority="31">
      <colorScale>
        <cfvo type="min"/>
        <cfvo type="max"/>
        <color rgb="FF63BE7B"/>
        <color rgb="FFFFEF9C"/>
      </colorScale>
    </cfRule>
  </conditionalFormatting>
  <conditionalFormatting sqref="A104">
    <cfRule type="colorScale" priority="28">
      <colorScale>
        <cfvo type="min"/>
        <cfvo type="max"/>
        <color rgb="FF63BE7B"/>
        <color rgb="FFFFEF9C"/>
      </colorScale>
    </cfRule>
  </conditionalFormatting>
  <conditionalFormatting sqref="A3:N30">
    <cfRule type="colorScale" priority="38">
      <colorScale>
        <cfvo type="min"/>
        <cfvo type="max"/>
        <color rgb="FF63BE7B"/>
        <color rgb="FFFFEF9C"/>
      </colorScale>
    </cfRule>
  </conditionalFormatting>
  <conditionalFormatting sqref="A37:N64">
    <cfRule type="colorScale" priority="35">
      <colorScale>
        <cfvo type="min"/>
        <cfvo type="max"/>
        <color rgb="FF63BE7B"/>
        <color rgb="FFFFEF9C"/>
      </colorScale>
    </cfRule>
  </conditionalFormatting>
  <conditionalFormatting sqref="A71:N98">
    <cfRule type="colorScale" priority="32">
      <colorScale>
        <cfvo type="min"/>
        <cfvo type="max"/>
        <color rgb="FF63BE7B"/>
        <color rgb="FFFFEF9C"/>
      </colorScale>
    </cfRule>
  </conditionalFormatting>
  <conditionalFormatting sqref="A105:N132">
    <cfRule type="colorScale" priority="29">
      <colorScale>
        <cfvo type="min"/>
        <cfvo type="max"/>
        <color rgb="FF63BE7B"/>
        <color rgb="FFFFEF9C"/>
      </colorScale>
    </cfRule>
  </conditionalFormatting>
  <conditionalFormatting sqref="K4:K30">
    <cfRule type="dataBar" priority="36">
      <dataBar>
        <cfvo type="min"/>
        <cfvo type="max"/>
        <color rgb="FF63C384"/>
      </dataBar>
      <extLst>
        <ext xmlns:x14="http://schemas.microsoft.com/office/spreadsheetml/2009/9/main" uri="{B025F937-C7B1-47D3-B67F-A62EFF666E3E}">
          <x14:id>{87A17770-4E92-4335-9648-610EF6EC4FB6}</x14:id>
        </ext>
      </extLst>
    </cfRule>
  </conditionalFormatting>
  <conditionalFormatting sqref="K38:K64">
    <cfRule type="dataBar" priority="33">
      <dataBar>
        <cfvo type="min"/>
        <cfvo type="max"/>
        <color rgb="FF63C384"/>
      </dataBar>
      <extLst>
        <ext xmlns:x14="http://schemas.microsoft.com/office/spreadsheetml/2009/9/main" uri="{B025F937-C7B1-47D3-B67F-A62EFF666E3E}">
          <x14:id>{28639338-C094-4446-B5E2-D03E9E17C1C3}</x14:id>
        </ext>
      </extLst>
    </cfRule>
  </conditionalFormatting>
  <conditionalFormatting sqref="K72:K98">
    <cfRule type="dataBar" priority="30">
      <dataBar>
        <cfvo type="min"/>
        <cfvo type="max"/>
        <color rgb="FF63C384"/>
      </dataBar>
      <extLst>
        <ext xmlns:x14="http://schemas.microsoft.com/office/spreadsheetml/2009/9/main" uri="{B025F937-C7B1-47D3-B67F-A62EFF666E3E}">
          <x14:id>{27E7B6FD-F14E-4BC5-A0D4-EAE47C4AD037}</x14:id>
        </ext>
      </extLst>
    </cfRule>
  </conditionalFormatting>
  <conditionalFormatting sqref="K106:K132">
    <cfRule type="dataBar" priority="27">
      <dataBar>
        <cfvo type="min"/>
        <cfvo type="max"/>
        <color rgb="FF63C384"/>
      </dataBar>
      <extLst>
        <ext xmlns:x14="http://schemas.microsoft.com/office/spreadsheetml/2009/9/main" uri="{B025F937-C7B1-47D3-B67F-A62EFF666E3E}">
          <x14:id>{96C54FE8-68ED-47B5-B1EC-602E0E933D5D}</x14:id>
        </ext>
      </extLst>
    </cfRule>
  </conditionalFormatting>
  <conditionalFormatting sqref="O105">
    <cfRule type="colorScale" priority="26">
      <colorScale>
        <cfvo type="min"/>
        <cfvo type="max"/>
        <color rgb="FF63BE7B"/>
        <color rgb="FFFFEF9C"/>
      </colorScale>
    </cfRule>
  </conditionalFormatting>
  <conditionalFormatting sqref="P3">
    <cfRule type="colorScale" priority="25">
      <colorScale>
        <cfvo type="min"/>
        <cfvo type="max"/>
        <color rgb="FF63BE7B"/>
        <color rgb="FFFFEF9C"/>
      </colorScale>
    </cfRule>
  </conditionalFormatting>
  <conditionalFormatting sqref="P13">
    <cfRule type="colorScale" priority="18">
      <colorScale>
        <cfvo type="min"/>
        <cfvo type="max"/>
        <color rgb="FF63BE7B"/>
        <color rgb="FFFFEF9C"/>
      </colorScale>
    </cfRule>
  </conditionalFormatting>
  <conditionalFormatting sqref="P32">
    <cfRule type="colorScale" priority="16">
      <colorScale>
        <cfvo type="min"/>
        <cfvo type="max"/>
        <color rgb="FF63BE7B"/>
        <color rgb="FFFFEF9C"/>
      </colorScale>
    </cfRule>
  </conditionalFormatting>
  <conditionalFormatting sqref="P33">
    <cfRule type="colorScale" priority="15">
      <colorScale>
        <cfvo type="min"/>
        <cfvo type="max"/>
        <color rgb="FF63BE7B"/>
        <color rgb="FFFFEF9C"/>
      </colorScale>
    </cfRule>
  </conditionalFormatting>
  <conditionalFormatting sqref="P4:Q9">
    <cfRule type="colorScale" priority="24">
      <colorScale>
        <cfvo type="min"/>
        <cfvo type="max"/>
        <color rgb="FFFCFCFF"/>
        <color rgb="FF63BE7B"/>
      </colorScale>
    </cfRule>
  </conditionalFormatting>
  <conditionalFormatting sqref="P14:Q14">
    <cfRule type="colorScale" priority="23">
      <colorScale>
        <cfvo type="min"/>
        <cfvo type="max"/>
        <color rgb="FF63BE7B"/>
        <color rgb="FFFFEF9C"/>
      </colorScale>
    </cfRule>
  </conditionalFormatting>
  <conditionalFormatting sqref="P15:Q19 P23:P28">
    <cfRule type="colorScale" priority="39">
      <colorScale>
        <cfvo type="min"/>
        <cfvo type="max"/>
        <color rgb="FFF8696B"/>
        <color rgb="FF63BE7B"/>
      </colorScale>
    </cfRule>
  </conditionalFormatting>
  <conditionalFormatting sqref="P22:Q22">
    <cfRule type="colorScale" priority="17">
      <colorScale>
        <cfvo type="min"/>
        <cfvo type="max"/>
        <color rgb="FF63BE7B"/>
        <color rgb="FFFFEF9C"/>
      </colorScale>
    </cfRule>
  </conditionalFormatting>
  <conditionalFormatting sqref="Q15:Q19">
    <cfRule type="colorScale" priority="13">
      <colorScale>
        <cfvo type="min"/>
        <cfvo type="percentile" val="50"/>
        <cfvo type="max"/>
        <color rgb="FFF8696B"/>
        <color rgb="FFFFEB84"/>
        <color rgb="FF63BE7B"/>
      </colorScale>
    </cfRule>
  </conditionalFormatting>
  <conditionalFormatting sqref="O39:AA39">
    <cfRule type="colorScale" priority="14">
      <colorScale>
        <cfvo type="min"/>
        <cfvo type="max"/>
        <color rgb="FF63BE7B"/>
        <color rgb="FFFFEF9C"/>
      </colorScale>
    </cfRule>
  </conditionalFormatting>
  <conditionalFormatting sqref="L38:L64">
    <cfRule type="colorScale" priority="12">
      <colorScale>
        <cfvo type="min"/>
        <cfvo type="percentile" val="50"/>
        <cfvo type="max"/>
        <color rgb="FFF8696B"/>
        <color rgb="FFFCFCFF"/>
        <color rgb="FF63BE7B"/>
      </colorScale>
    </cfRule>
  </conditionalFormatting>
  <conditionalFormatting sqref="N106:N132">
    <cfRule type="colorScale" priority="11">
      <colorScale>
        <cfvo type="min"/>
        <cfvo type="percentile" val="50"/>
        <cfvo type="max"/>
        <color rgb="FF63BE7B"/>
        <color rgb="FFFFEB84"/>
        <color rgb="FFF8696B"/>
      </colorScale>
    </cfRule>
  </conditionalFormatting>
  <conditionalFormatting sqref="O106:O132">
    <cfRule type="dataBar" priority="10">
      <dataBar>
        <cfvo type="min"/>
        <cfvo type="max"/>
        <color rgb="FF63C384"/>
      </dataBar>
      <extLst>
        <ext xmlns:x14="http://schemas.microsoft.com/office/spreadsheetml/2009/9/main" uri="{B025F937-C7B1-47D3-B67F-A62EFF666E3E}">
          <x14:id>{14F1FB26-0631-4453-B60E-7F71B1A00D10}</x14:id>
        </ext>
      </extLst>
    </cfRule>
  </conditionalFormatting>
  <conditionalFormatting sqref="L106:L132">
    <cfRule type="colorScale" priority="9">
      <colorScale>
        <cfvo type="min"/>
        <cfvo type="percentile" val="50"/>
        <cfvo type="max"/>
        <color rgb="FFF8696B"/>
        <color rgb="FFFCFCFF"/>
        <color rgb="FF5A8AC6"/>
      </colorScale>
    </cfRule>
  </conditionalFormatting>
  <conditionalFormatting sqref="P104:P105">
    <cfRule type="colorScale" priority="2">
      <colorScale>
        <cfvo type="min"/>
        <cfvo type="max"/>
        <color rgb="FF63BE7B"/>
        <color rgb="FFFFEF9C"/>
      </colorScale>
    </cfRule>
  </conditionalFormatting>
  <conditionalFormatting sqref="P106:P132">
    <cfRule type="colorScale" priority="1">
      <colorScale>
        <cfvo type="min"/>
        <cfvo type="max"/>
        <color rgb="FF63BE7B"/>
        <color rgb="FFFFEF9C"/>
      </colorScale>
    </cfRule>
  </conditionalFormatting>
  <dataValidations count="2">
    <dataValidation type="list" allowBlank="1" showInputMessage="1" showErrorMessage="1" sqref="Y2" xr:uid="{69C4C8EE-8CC2-4196-95CD-D8315F70A4EE}">
      <formula1>#REF!</formula1>
    </dataValidation>
    <dataValidation type="list" allowBlank="1" showInputMessage="1" showErrorMessage="1" sqref="B1" xr:uid="{19D108F5-B668-49B9-813E-45EB39B4A4C8}">
      <formula1>$M$6:$M$23</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87A17770-4E92-4335-9648-610EF6EC4FB6}">
            <x14:dataBar minLength="0" maxLength="100" border="1" negativeBarBorderColorSameAsPositive="0">
              <x14:cfvo type="autoMin"/>
              <x14:cfvo type="autoMax"/>
              <x14:borderColor rgb="FF63C384"/>
              <x14:negativeFillColor rgb="FFFF0000"/>
              <x14:negativeBorderColor rgb="FFFF0000"/>
              <x14:axisColor rgb="FF000000"/>
            </x14:dataBar>
          </x14:cfRule>
          <xm:sqref>K4:K30</xm:sqref>
        </x14:conditionalFormatting>
        <x14:conditionalFormatting xmlns:xm="http://schemas.microsoft.com/office/excel/2006/main">
          <x14:cfRule type="dataBar" id="{28639338-C094-4446-B5E2-D03E9E17C1C3}">
            <x14:dataBar minLength="0" maxLength="100" border="1" negativeBarBorderColorSameAsPositive="0">
              <x14:cfvo type="autoMin"/>
              <x14:cfvo type="autoMax"/>
              <x14:borderColor rgb="FF63C384"/>
              <x14:negativeFillColor rgb="FFFF0000"/>
              <x14:negativeBorderColor rgb="FFFF0000"/>
              <x14:axisColor rgb="FF000000"/>
            </x14:dataBar>
          </x14:cfRule>
          <xm:sqref>K38:K64</xm:sqref>
        </x14:conditionalFormatting>
        <x14:conditionalFormatting xmlns:xm="http://schemas.microsoft.com/office/excel/2006/main">
          <x14:cfRule type="dataBar" id="{27E7B6FD-F14E-4BC5-A0D4-EAE47C4AD037}">
            <x14:dataBar minLength="0" maxLength="100" border="1" negativeBarBorderColorSameAsPositive="0">
              <x14:cfvo type="autoMin"/>
              <x14:cfvo type="autoMax"/>
              <x14:borderColor rgb="FF63C384"/>
              <x14:negativeFillColor rgb="FFFF0000"/>
              <x14:negativeBorderColor rgb="FFFF0000"/>
              <x14:axisColor rgb="FF000000"/>
            </x14:dataBar>
          </x14:cfRule>
          <xm:sqref>K72:K98</xm:sqref>
        </x14:conditionalFormatting>
        <x14:conditionalFormatting xmlns:xm="http://schemas.microsoft.com/office/excel/2006/main">
          <x14:cfRule type="dataBar" id="{96C54FE8-68ED-47B5-B1EC-602E0E933D5D}">
            <x14:dataBar minLength="0" maxLength="100" border="1" negativeBarBorderColorSameAsPositive="0">
              <x14:cfvo type="autoMin"/>
              <x14:cfvo type="autoMax"/>
              <x14:borderColor rgb="FF63C384"/>
              <x14:negativeFillColor rgb="FFFF0000"/>
              <x14:negativeBorderColor rgb="FFFF0000"/>
              <x14:axisColor rgb="FF000000"/>
            </x14:dataBar>
          </x14:cfRule>
          <xm:sqref>K106:K132</xm:sqref>
        </x14:conditionalFormatting>
        <x14:conditionalFormatting xmlns:xm="http://schemas.microsoft.com/office/excel/2006/main">
          <x14:cfRule type="dataBar" id="{14F1FB26-0631-4453-B60E-7F71B1A00D10}">
            <x14:dataBar minLength="0" maxLength="100" border="1" negativeBarBorderColorSameAsPositive="0">
              <x14:cfvo type="autoMin"/>
              <x14:cfvo type="autoMax"/>
              <x14:borderColor rgb="FF63C384"/>
              <x14:negativeFillColor rgb="FFFF0000"/>
              <x14:negativeBorderColor rgb="FFFF0000"/>
              <x14:axisColor rgb="FF000000"/>
            </x14:dataBar>
          </x14:cfRule>
          <xm:sqref>O106:O132</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D8FF5A-C351-41F2-965F-6141D1207638}">
  <sheetPr codeName="Sheet12">
    <tabColor theme="5"/>
  </sheetPr>
  <dimension ref="A1:W53"/>
  <sheetViews>
    <sheetView zoomScaleNormal="100" workbookViewId="0">
      <pane ySplit="1" topLeftCell="A2" activePane="bottomLeft" state="frozen"/>
      <selection pane="bottomLeft" activeCell="N6" sqref="N6"/>
    </sheetView>
  </sheetViews>
  <sheetFormatPr defaultColWidth="9.125" defaultRowHeight="14.4" x14ac:dyDescent="0.3"/>
  <cols>
    <col min="1" max="1" width="18.375" customWidth="1"/>
    <col min="2" max="2" width="18.875" customWidth="1"/>
    <col min="3" max="3" width="14.375" customWidth="1"/>
    <col min="4" max="4" width="15" customWidth="1"/>
    <col min="5" max="5" width="14.125" customWidth="1"/>
    <col min="6" max="6" width="16.125" customWidth="1"/>
    <col min="7" max="7" width="15.375" customWidth="1"/>
    <col min="8" max="8" width="13" customWidth="1"/>
    <col min="9" max="9" width="13.625" customWidth="1"/>
    <col min="10" max="10" width="14.375" customWidth="1"/>
    <col min="11" max="11" width="16" customWidth="1"/>
    <col min="12" max="16384" width="9.125" style="1"/>
  </cols>
  <sheetData>
    <row r="1" spans="1:23" ht="30" customHeight="1" x14ac:dyDescent="0.4">
      <c r="A1" s="187" t="s">
        <v>285</v>
      </c>
      <c r="B1" s="1"/>
      <c r="C1" s="1"/>
      <c r="D1" s="1"/>
      <c r="F1" s="329" t="s">
        <v>321</v>
      </c>
      <c r="G1" s="329"/>
      <c r="H1" s="22">
        <f>COUNT(ClassF)</f>
        <v>10</v>
      </c>
    </row>
    <row r="2" spans="1:23" ht="30" x14ac:dyDescent="0.5">
      <c r="A2" s="348" t="s">
        <v>192</v>
      </c>
      <c r="B2" s="348"/>
      <c r="C2" s="348"/>
      <c r="D2" s="348"/>
      <c r="E2" s="348"/>
      <c r="F2" s="348"/>
      <c r="G2" s="348"/>
      <c r="H2" s="348"/>
      <c r="I2" s="348"/>
      <c r="J2" s="348"/>
      <c r="K2" s="348"/>
      <c r="M2" s="60"/>
      <c r="N2" s="60"/>
      <c r="O2" s="60"/>
      <c r="P2" s="60"/>
      <c r="Q2" s="60"/>
      <c r="R2" s="60"/>
      <c r="S2" s="60"/>
      <c r="T2" s="60"/>
      <c r="U2" s="60"/>
      <c r="V2" s="60"/>
      <c r="W2" s="60"/>
    </row>
    <row r="3" spans="1:23" ht="15.6" x14ac:dyDescent="0.3">
      <c r="A3" s="52" t="s">
        <v>0</v>
      </c>
      <c r="B3" s="52" t="s">
        <v>193</v>
      </c>
      <c r="C3" s="53" t="s">
        <v>194</v>
      </c>
      <c r="D3" s="52" t="s">
        <v>330</v>
      </c>
      <c r="E3" s="52" t="s">
        <v>329</v>
      </c>
      <c r="F3" s="52" t="s">
        <v>314</v>
      </c>
      <c r="G3" s="52" t="s">
        <v>305</v>
      </c>
      <c r="H3" s="53" t="s">
        <v>304</v>
      </c>
      <c r="I3" s="53" t="s">
        <v>1</v>
      </c>
      <c r="J3" s="53" t="s">
        <v>200</v>
      </c>
      <c r="K3" s="53" t="s">
        <v>2</v>
      </c>
      <c r="M3" s="60"/>
      <c r="N3" s="23" t="s">
        <v>206</v>
      </c>
      <c r="O3" s="23" t="s">
        <v>207</v>
      </c>
      <c r="P3" s="23" t="s">
        <v>208</v>
      </c>
      <c r="Q3" s="23" t="s">
        <v>281</v>
      </c>
      <c r="R3" s="23" t="s">
        <v>282</v>
      </c>
      <c r="S3" s="23" t="s">
        <v>283</v>
      </c>
      <c r="T3" s="23" t="s">
        <v>284</v>
      </c>
      <c r="U3" s="23" t="s">
        <v>285</v>
      </c>
      <c r="V3" s="60"/>
      <c r="W3" s="60"/>
    </row>
    <row r="4" spans="1:23" ht="15.6" x14ac:dyDescent="0.3">
      <c r="A4" s="54">
        <v>52069506</v>
      </c>
      <c r="B4" s="54" t="s">
        <v>8</v>
      </c>
      <c r="C4" s="54" t="s">
        <v>9</v>
      </c>
      <c r="D4" s="53">
        <v>40</v>
      </c>
      <c r="E4" s="53">
        <v>0</v>
      </c>
      <c r="F4" s="53">
        <v>88</v>
      </c>
      <c r="G4" s="53">
        <v>100</v>
      </c>
      <c r="H4" s="53">
        <v>44</v>
      </c>
      <c r="I4" s="55">
        <f>AVERAGE(Table8[[#This Row],[Test 1]:[Final Exam]])</f>
        <v>54.4</v>
      </c>
      <c r="J4" s="56" t="s">
        <v>307</v>
      </c>
      <c r="K4" s="57">
        <f>(D4*0.2)+(E4*0.2)+(F4*0.2)+(G4*0.2)+(H4*0.2)</f>
        <v>54.400000000000006</v>
      </c>
      <c r="M4" s="60"/>
      <c r="N4" s="23">
        <v>698749</v>
      </c>
      <c r="O4" s="23" t="s">
        <v>220</v>
      </c>
      <c r="P4" s="23" t="s">
        <v>221</v>
      </c>
      <c r="Q4" s="23"/>
      <c r="R4" s="23"/>
      <c r="S4" s="23"/>
      <c r="T4" s="23"/>
      <c r="U4" s="23" t="str">
        <f>IF(OR(Q4="yes",R4="Yes",S4="Yes",T4="yes"),"","YES")</f>
        <v>YES</v>
      </c>
      <c r="V4" s="60"/>
      <c r="W4" s="60"/>
    </row>
    <row r="5" spans="1:23" ht="15.6" x14ac:dyDescent="0.3">
      <c r="A5" s="54">
        <v>14550989</v>
      </c>
      <c r="B5" s="54" t="s">
        <v>10</v>
      </c>
      <c r="C5" s="54" t="s">
        <v>11</v>
      </c>
      <c r="D5" s="58">
        <v>13</v>
      </c>
      <c r="E5" s="58">
        <v>5</v>
      </c>
      <c r="F5" s="53">
        <v>77</v>
      </c>
      <c r="G5" s="53">
        <v>99</v>
      </c>
      <c r="H5" s="53">
        <v>55</v>
      </c>
      <c r="I5" s="59">
        <f>AVERAGE(Table8[[#This Row],[Test 1]:[Final Exam]])</f>
        <v>49.8</v>
      </c>
      <c r="J5" s="56" t="s">
        <v>307</v>
      </c>
      <c r="K5" s="57">
        <f t="shared" ref="K5:K13" si="0">(D5*0.2)+(E5*0.2)+(F5*0.2)+(G5*0.2)+(H5*0.2)</f>
        <v>49.8</v>
      </c>
      <c r="M5" s="60"/>
      <c r="N5" s="23">
        <v>190632</v>
      </c>
      <c r="O5" s="23" t="s">
        <v>244</v>
      </c>
      <c r="P5" s="23" t="s">
        <v>245</v>
      </c>
      <c r="Q5" s="23"/>
      <c r="R5" s="23"/>
      <c r="S5" s="23"/>
      <c r="T5" s="23"/>
      <c r="U5" s="23" t="str">
        <f>IF(OR(Q5="yes",R5="Yes",S5="Yes",T5="yes"),"","YES")</f>
        <v>YES</v>
      </c>
      <c r="V5" s="60"/>
      <c r="W5" s="60"/>
    </row>
    <row r="6" spans="1:23" ht="15.6" x14ac:dyDescent="0.3">
      <c r="A6" s="54">
        <v>48862811</v>
      </c>
      <c r="B6" s="54" t="s">
        <v>12</v>
      </c>
      <c r="C6" s="54" t="s">
        <v>13</v>
      </c>
      <c r="D6" s="58">
        <v>19</v>
      </c>
      <c r="E6" s="58">
        <v>6</v>
      </c>
      <c r="F6" s="53">
        <v>90</v>
      </c>
      <c r="G6" s="53">
        <v>98</v>
      </c>
      <c r="H6" s="53">
        <v>100</v>
      </c>
      <c r="I6" s="59">
        <f>AVERAGE(Table8[[#This Row],[Test 1]:[Final Exam]])</f>
        <v>62.6</v>
      </c>
      <c r="J6" s="56" t="s">
        <v>308</v>
      </c>
      <c r="K6" s="57">
        <f t="shared" si="0"/>
        <v>62.6</v>
      </c>
      <c r="M6" s="60"/>
      <c r="N6" s="23">
        <v>502168</v>
      </c>
      <c r="O6" s="23" t="s">
        <v>260</v>
      </c>
      <c r="P6" s="23" t="s">
        <v>261</v>
      </c>
      <c r="Q6" s="23"/>
      <c r="R6" s="23"/>
      <c r="S6" s="23"/>
      <c r="T6" s="23"/>
      <c r="U6" s="23" t="str">
        <f>IF(OR(Q6="yes",R6="Yes",S6="Yes",T6="yes"),"","YES")</f>
        <v>YES</v>
      </c>
      <c r="V6" s="60"/>
      <c r="W6" s="60"/>
    </row>
    <row r="7" spans="1:23" ht="15.6" x14ac:dyDescent="0.3">
      <c r="A7" s="54">
        <v>10287797</v>
      </c>
      <c r="B7" s="54" t="s">
        <v>14</v>
      </c>
      <c r="C7" s="54" t="s">
        <v>15</v>
      </c>
      <c r="D7" s="58">
        <v>12</v>
      </c>
      <c r="E7" s="58">
        <v>16</v>
      </c>
      <c r="F7" s="53">
        <v>88</v>
      </c>
      <c r="G7" s="53">
        <v>100</v>
      </c>
      <c r="H7" s="53">
        <v>100</v>
      </c>
      <c r="I7" s="59">
        <f>AVERAGE(Table8[[#This Row],[Test 1]:[Final Exam]])</f>
        <v>63.2</v>
      </c>
      <c r="J7" s="56" t="s">
        <v>308</v>
      </c>
      <c r="K7" s="57">
        <f t="shared" si="0"/>
        <v>63.2</v>
      </c>
      <c r="M7" s="60"/>
      <c r="N7" s="23">
        <v>532207</v>
      </c>
      <c r="O7" s="23" t="s">
        <v>262</v>
      </c>
      <c r="P7" s="23" t="s">
        <v>263</v>
      </c>
      <c r="Q7" s="23"/>
      <c r="R7" s="23"/>
      <c r="S7" s="23"/>
      <c r="T7" s="23"/>
      <c r="U7" s="23" t="str">
        <f>IF(OR(Q7="yes",R7="Yes",S7="Yes",T7="yes"),"","YES")</f>
        <v>YES</v>
      </c>
      <c r="V7" s="60"/>
      <c r="W7" s="60"/>
    </row>
    <row r="8" spans="1:23" ht="15.6" x14ac:dyDescent="0.3">
      <c r="A8" s="54">
        <v>22355690</v>
      </c>
      <c r="B8" s="54" t="s">
        <v>16</v>
      </c>
      <c r="C8" s="54" t="s">
        <v>17</v>
      </c>
      <c r="D8" s="58">
        <v>23</v>
      </c>
      <c r="E8" s="58">
        <v>6</v>
      </c>
      <c r="F8" s="53">
        <v>89</v>
      </c>
      <c r="G8" s="53">
        <v>96</v>
      </c>
      <c r="H8" s="53">
        <v>88</v>
      </c>
      <c r="I8" s="59">
        <f>AVERAGE(Table8[[#This Row],[Test 1]:[Final Exam]])</f>
        <v>60.4</v>
      </c>
      <c r="J8" s="56" t="s">
        <v>308</v>
      </c>
      <c r="K8" s="57">
        <f t="shared" si="0"/>
        <v>60.400000000000006</v>
      </c>
      <c r="M8" s="60"/>
      <c r="N8" s="23"/>
      <c r="O8" s="23"/>
      <c r="P8" s="23"/>
      <c r="Q8" s="23"/>
      <c r="R8" s="23"/>
      <c r="S8" s="23"/>
      <c r="T8" s="23"/>
      <c r="U8" s="23"/>
      <c r="V8" s="60"/>
      <c r="W8" s="60"/>
    </row>
    <row r="9" spans="1:23" x14ac:dyDescent="0.3">
      <c r="A9" s="54">
        <v>59305766</v>
      </c>
      <c r="B9" s="54" t="s">
        <v>18</v>
      </c>
      <c r="C9" s="54" t="s">
        <v>19</v>
      </c>
      <c r="D9" s="58">
        <v>9</v>
      </c>
      <c r="E9" s="58">
        <v>21</v>
      </c>
      <c r="F9" s="53">
        <v>90.3</v>
      </c>
      <c r="G9" s="53">
        <v>95</v>
      </c>
      <c r="H9" s="53">
        <v>99</v>
      </c>
      <c r="I9" s="59">
        <f>AVERAGE(Table8[[#This Row],[Test 1]:[Final Exam]])</f>
        <v>62.86</v>
      </c>
      <c r="J9" s="56" t="s">
        <v>308</v>
      </c>
      <c r="K9" s="57">
        <f t="shared" si="0"/>
        <v>62.86</v>
      </c>
    </row>
    <row r="10" spans="1:23" x14ac:dyDescent="0.3">
      <c r="A10" s="54">
        <v>28475996</v>
      </c>
      <c r="B10" s="54" t="s">
        <v>20</v>
      </c>
      <c r="C10" s="54" t="s">
        <v>21</v>
      </c>
      <c r="D10" s="58">
        <v>7</v>
      </c>
      <c r="E10" s="58">
        <v>24</v>
      </c>
      <c r="F10" s="53">
        <v>91.6</v>
      </c>
      <c r="G10" s="53">
        <v>94</v>
      </c>
      <c r="H10" s="53">
        <v>88</v>
      </c>
      <c r="I10" s="55">
        <f>AVERAGE(Table8[[#This Row],[Test 1]:[Final Exam]])</f>
        <v>60.92</v>
      </c>
      <c r="J10" s="56" t="s">
        <v>308</v>
      </c>
      <c r="K10" s="57">
        <f t="shared" si="0"/>
        <v>60.920000000000009</v>
      </c>
    </row>
    <row r="11" spans="1:23" x14ac:dyDescent="0.3">
      <c r="A11" s="54">
        <v>64198194</v>
      </c>
      <c r="B11" s="54" t="s">
        <v>22</v>
      </c>
      <c r="C11" s="54" t="s">
        <v>23</v>
      </c>
      <c r="D11" s="58">
        <v>14</v>
      </c>
      <c r="E11" s="58">
        <v>18</v>
      </c>
      <c r="F11" s="53">
        <v>92.9</v>
      </c>
      <c r="G11" s="53">
        <v>93</v>
      </c>
      <c r="H11" s="53">
        <v>77</v>
      </c>
      <c r="I11" s="55">
        <f>AVERAGE(Table8[[#This Row],[Test 1]:[Final Exam]])</f>
        <v>58.98</v>
      </c>
      <c r="J11" s="53" t="s">
        <v>307</v>
      </c>
      <c r="K11" s="57">
        <f t="shared" si="0"/>
        <v>58.980000000000004</v>
      </c>
    </row>
    <row r="12" spans="1:23" ht="15.6" x14ac:dyDescent="0.3">
      <c r="A12" s="54">
        <v>29655035</v>
      </c>
      <c r="B12" s="54" t="s">
        <v>24</v>
      </c>
      <c r="C12" s="54" t="s">
        <v>25</v>
      </c>
      <c r="D12" s="58">
        <v>19</v>
      </c>
      <c r="E12" s="58">
        <v>15</v>
      </c>
      <c r="F12" s="53">
        <v>94.2</v>
      </c>
      <c r="G12" s="53">
        <v>92</v>
      </c>
      <c r="H12" s="53">
        <v>88</v>
      </c>
      <c r="I12" s="55">
        <f>AVERAGE(Table8[[#This Row],[Test 1]:[Final Exam]])</f>
        <v>61.64</v>
      </c>
      <c r="J12" s="53" t="s">
        <v>308</v>
      </c>
      <c r="K12" s="57">
        <f t="shared" si="0"/>
        <v>61.640000000000008</v>
      </c>
      <c r="N12" s="164"/>
      <c r="O12" s="164"/>
      <c r="P12" s="164"/>
      <c r="Q12" s="164"/>
      <c r="R12" s="164"/>
      <c r="S12" s="164"/>
      <c r="T12" s="164"/>
      <c r="U12" s="164"/>
    </row>
    <row r="13" spans="1:23" x14ac:dyDescent="0.3">
      <c r="A13" s="54">
        <v>68339915</v>
      </c>
      <c r="B13" s="54" t="s">
        <v>26</v>
      </c>
      <c r="C13" s="54" t="s">
        <v>27</v>
      </c>
      <c r="D13" s="58">
        <v>10</v>
      </c>
      <c r="E13" s="58">
        <v>28</v>
      </c>
      <c r="F13" s="53">
        <v>95.5</v>
      </c>
      <c r="G13" s="53">
        <v>91</v>
      </c>
      <c r="H13" s="53">
        <v>99</v>
      </c>
      <c r="I13" s="55">
        <f>AVERAGE(Table8[[#This Row],[Test 1]:[Final Exam]])</f>
        <v>64.7</v>
      </c>
      <c r="J13" s="53" t="s">
        <v>308</v>
      </c>
      <c r="K13" s="57">
        <f t="shared" si="0"/>
        <v>64.7</v>
      </c>
    </row>
    <row r="14" spans="1:23" x14ac:dyDescent="0.3">
      <c r="A14" s="1"/>
      <c r="B14" s="1"/>
      <c r="C14" s="60"/>
      <c r="D14" s="60"/>
      <c r="E14" s="60"/>
      <c r="F14" s="60"/>
      <c r="G14" s="1"/>
      <c r="H14" s="1"/>
      <c r="I14" s="1"/>
      <c r="J14" s="1"/>
    </row>
    <row r="15" spans="1:23" x14ac:dyDescent="0.3">
      <c r="A15" s="1"/>
      <c r="B15" s="1"/>
      <c r="C15" s="60"/>
      <c r="D15" s="60"/>
      <c r="E15" s="60"/>
      <c r="F15" s="60"/>
      <c r="G15" s="1"/>
      <c r="H15" s="1"/>
      <c r="I15" s="1"/>
      <c r="J15" s="1"/>
    </row>
    <row r="16" spans="1:23" ht="30" x14ac:dyDescent="0.5">
      <c r="A16" s="348" t="s">
        <v>202</v>
      </c>
      <c r="B16" s="348"/>
      <c r="C16" s="348"/>
      <c r="D16" s="348"/>
      <c r="E16" s="348"/>
      <c r="F16" s="348"/>
      <c r="G16" s="348"/>
      <c r="H16" s="348"/>
      <c r="I16" s="348"/>
      <c r="J16" s="348"/>
      <c r="K16" s="348"/>
      <c r="N16" s="164"/>
      <c r="O16" s="164"/>
      <c r="P16" s="164"/>
      <c r="Q16" s="164"/>
      <c r="R16" s="164"/>
      <c r="S16" s="164"/>
      <c r="T16" s="164"/>
      <c r="U16" s="164"/>
    </row>
    <row r="17" spans="1:21" ht="15.6" x14ac:dyDescent="0.3">
      <c r="A17" s="61" t="s">
        <v>0</v>
      </c>
      <c r="B17" s="61" t="s">
        <v>193</v>
      </c>
      <c r="C17" s="62" t="s">
        <v>194</v>
      </c>
      <c r="D17" s="61" t="s">
        <v>330</v>
      </c>
      <c r="E17" s="61" t="s">
        <v>329</v>
      </c>
      <c r="F17" s="61" t="s">
        <v>314</v>
      </c>
      <c r="G17" s="61" t="s">
        <v>305</v>
      </c>
      <c r="H17" s="62" t="s">
        <v>304</v>
      </c>
      <c r="I17" s="62" t="s">
        <v>1</v>
      </c>
      <c r="J17" s="62" t="s">
        <v>200</v>
      </c>
      <c r="K17" s="62" t="s">
        <v>2</v>
      </c>
      <c r="N17" s="164"/>
      <c r="O17" s="164"/>
      <c r="P17" s="164"/>
      <c r="Q17" s="164"/>
      <c r="R17" s="164"/>
      <c r="S17" s="164"/>
      <c r="T17" s="164"/>
      <c r="U17" s="164"/>
    </row>
    <row r="18" spans="1:21" ht="15.6" x14ac:dyDescent="0.3">
      <c r="A18" s="63">
        <v>52069506</v>
      </c>
      <c r="B18" s="63" t="s">
        <v>8</v>
      </c>
      <c r="C18" s="63" t="s">
        <v>9</v>
      </c>
      <c r="D18" s="64">
        <v>77</v>
      </c>
      <c r="E18" s="64">
        <v>99</v>
      </c>
      <c r="F18" s="64">
        <v>100</v>
      </c>
      <c r="G18" s="64">
        <v>88</v>
      </c>
      <c r="H18" s="64">
        <v>69</v>
      </c>
      <c r="I18" s="65">
        <f t="shared" ref="I18:I27" si="1">AVERAGE(D18:H18)</f>
        <v>86.6</v>
      </c>
      <c r="J18" s="64" t="s">
        <v>326</v>
      </c>
      <c r="K18" s="66">
        <f>(D18*0.2)+(E18*0.2)+(F18*0.2)+(G18*0.2)+(H18*0.2)</f>
        <v>86.600000000000009</v>
      </c>
      <c r="L18" s="197"/>
      <c r="N18" s="164"/>
      <c r="O18" s="164"/>
      <c r="P18" s="164"/>
      <c r="Q18" s="164"/>
      <c r="R18" s="164"/>
      <c r="S18" s="164"/>
      <c r="T18" s="164"/>
      <c r="U18" s="164"/>
    </row>
    <row r="19" spans="1:21" ht="15.6" x14ac:dyDescent="0.3">
      <c r="A19" s="63">
        <v>14550989</v>
      </c>
      <c r="B19" s="63" t="s">
        <v>10</v>
      </c>
      <c r="C19" s="63" t="s">
        <v>11</v>
      </c>
      <c r="D19" s="64">
        <v>99</v>
      </c>
      <c r="E19" s="64">
        <v>69</v>
      </c>
      <c r="F19" s="64">
        <v>99</v>
      </c>
      <c r="G19" s="64">
        <v>100</v>
      </c>
      <c r="H19" s="64">
        <v>84</v>
      </c>
      <c r="I19" s="65">
        <f t="shared" si="1"/>
        <v>90.2</v>
      </c>
      <c r="J19" s="64" t="s">
        <v>332</v>
      </c>
      <c r="K19" s="66">
        <f t="shared" ref="K19:K27" si="2">(D19*0.2)+(E19*0.2)+(F19*0.2)+(G19*0.2)+(H19*0.2)</f>
        <v>90.2</v>
      </c>
      <c r="N19" s="164"/>
      <c r="O19" s="164"/>
      <c r="P19" s="164"/>
      <c r="Q19" s="164"/>
      <c r="R19" s="164"/>
      <c r="S19" s="164"/>
      <c r="T19" s="164"/>
      <c r="U19" s="164"/>
    </row>
    <row r="20" spans="1:21" x14ac:dyDescent="0.3">
      <c r="A20" s="63">
        <v>48862811</v>
      </c>
      <c r="B20" s="63" t="s">
        <v>12</v>
      </c>
      <c r="C20" s="63" t="s">
        <v>13</v>
      </c>
      <c r="D20" s="64">
        <v>74</v>
      </c>
      <c r="E20" s="64">
        <v>68</v>
      </c>
      <c r="F20" s="64">
        <v>99</v>
      </c>
      <c r="G20" s="64">
        <v>89</v>
      </c>
      <c r="H20" s="64">
        <v>59</v>
      </c>
      <c r="I20" s="65">
        <f t="shared" si="1"/>
        <v>77.8</v>
      </c>
      <c r="J20" s="64" t="s">
        <v>334</v>
      </c>
      <c r="K20" s="66">
        <f t="shared" si="2"/>
        <v>77.8</v>
      </c>
    </row>
    <row r="21" spans="1:21" x14ac:dyDescent="0.3">
      <c r="A21" s="63">
        <v>10287797</v>
      </c>
      <c r="B21" s="63" t="s">
        <v>14</v>
      </c>
      <c r="C21" s="63" t="s">
        <v>15</v>
      </c>
      <c r="D21" s="64">
        <v>84</v>
      </c>
      <c r="E21" s="64">
        <v>60</v>
      </c>
      <c r="F21" s="64">
        <v>97</v>
      </c>
      <c r="G21" s="64">
        <v>100</v>
      </c>
      <c r="H21" s="64">
        <v>82</v>
      </c>
      <c r="I21" s="65">
        <f t="shared" si="1"/>
        <v>84.6</v>
      </c>
      <c r="J21" s="64" t="s">
        <v>310</v>
      </c>
      <c r="K21" s="66">
        <f t="shared" si="2"/>
        <v>84.600000000000009</v>
      </c>
    </row>
    <row r="22" spans="1:21" x14ac:dyDescent="0.3">
      <c r="A22" s="63">
        <v>22355690</v>
      </c>
      <c r="B22" s="63" t="s">
        <v>16</v>
      </c>
      <c r="C22" s="63" t="s">
        <v>17</v>
      </c>
      <c r="D22" s="64">
        <v>76</v>
      </c>
      <c r="E22" s="64">
        <v>67</v>
      </c>
      <c r="F22" s="64">
        <v>100</v>
      </c>
      <c r="G22" s="64">
        <v>99</v>
      </c>
      <c r="H22" s="64">
        <v>77</v>
      </c>
      <c r="I22" s="65">
        <f t="shared" si="1"/>
        <v>83.8</v>
      </c>
      <c r="J22" s="64" t="s">
        <v>310</v>
      </c>
      <c r="K22" s="66">
        <f t="shared" si="2"/>
        <v>83.800000000000011</v>
      </c>
    </row>
    <row r="23" spans="1:21" ht="15.6" x14ac:dyDescent="0.3">
      <c r="A23" s="63">
        <v>59305766</v>
      </c>
      <c r="B23" s="63" t="s">
        <v>18</v>
      </c>
      <c r="C23" s="63" t="s">
        <v>19</v>
      </c>
      <c r="D23" s="64">
        <v>57</v>
      </c>
      <c r="E23" s="64">
        <v>67</v>
      </c>
      <c r="F23" s="64">
        <v>89</v>
      </c>
      <c r="G23" s="64">
        <v>98</v>
      </c>
      <c r="H23" s="64">
        <v>66</v>
      </c>
      <c r="I23" s="65">
        <f t="shared" si="1"/>
        <v>75.400000000000006</v>
      </c>
      <c r="J23" s="64" t="s">
        <v>309</v>
      </c>
      <c r="K23" s="66">
        <f t="shared" si="2"/>
        <v>75.400000000000006</v>
      </c>
      <c r="N23" s="164"/>
      <c r="O23" s="164"/>
      <c r="P23" s="164"/>
      <c r="Q23" s="164"/>
      <c r="R23" s="164"/>
      <c r="S23" s="164"/>
      <c r="T23" s="164"/>
      <c r="U23" s="164"/>
    </row>
    <row r="24" spans="1:21" ht="15.6" x14ac:dyDescent="0.3">
      <c r="A24" s="63">
        <v>28475996</v>
      </c>
      <c r="B24" s="63" t="s">
        <v>20</v>
      </c>
      <c r="C24" s="63" t="s">
        <v>21</v>
      </c>
      <c r="D24" s="64">
        <v>55</v>
      </c>
      <c r="E24" s="64">
        <v>66</v>
      </c>
      <c r="F24" s="64">
        <v>99</v>
      </c>
      <c r="G24" s="64">
        <v>84</v>
      </c>
      <c r="H24" s="64">
        <v>33</v>
      </c>
      <c r="I24" s="65">
        <f t="shared" si="1"/>
        <v>67.400000000000006</v>
      </c>
      <c r="J24" s="64" t="s">
        <v>333</v>
      </c>
      <c r="K24" s="66">
        <f t="shared" si="2"/>
        <v>67.399999999999991</v>
      </c>
      <c r="N24" s="164"/>
      <c r="O24" s="164"/>
      <c r="P24" s="164"/>
      <c r="Q24" s="164"/>
      <c r="R24" s="164"/>
      <c r="S24" s="164"/>
      <c r="T24" s="164"/>
      <c r="U24" s="164"/>
    </row>
    <row r="25" spans="1:21" ht="15.6" x14ac:dyDescent="0.3">
      <c r="A25" s="63">
        <v>64198194</v>
      </c>
      <c r="B25" s="63" t="s">
        <v>22</v>
      </c>
      <c r="C25" s="63" t="s">
        <v>23</v>
      </c>
      <c r="D25" s="64">
        <v>100</v>
      </c>
      <c r="E25" s="64">
        <v>88</v>
      </c>
      <c r="F25" s="64">
        <v>99</v>
      </c>
      <c r="G25" s="64">
        <v>99</v>
      </c>
      <c r="H25" s="64">
        <v>55</v>
      </c>
      <c r="I25" s="65">
        <f t="shared" si="1"/>
        <v>88.2</v>
      </c>
      <c r="J25" s="64" t="s">
        <v>326</v>
      </c>
      <c r="K25" s="66">
        <f t="shared" si="2"/>
        <v>88.2</v>
      </c>
      <c r="N25" s="164"/>
      <c r="O25" s="164"/>
      <c r="P25" s="164"/>
      <c r="Q25" s="164"/>
      <c r="R25" s="164"/>
      <c r="S25" s="164"/>
      <c r="T25" s="164"/>
      <c r="U25" s="164"/>
    </row>
    <row r="26" spans="1:21" ht="15.6" x14ac:dyDescent="0.3">
      <c r="A26" s="63">
        <v>29655035</v>
      </c>
      <c r="B26" s="63" t="s">
        <v>24</v>
      </c>
      <c r="C26" s="63" t="s">
        <v>25</v>
      </c>
      <c r="D26" s="64">
        <v>65</v>
      </c>
      <c r="E26" s="64">
        <v>85</v>
      </c>
      <c r="F26" s="64">
        <v>99</v>
      </c>
      <c r="G26" s="64">
        <v>100</v>
      </c>
      <c r="H26" s="64">
        <v>57</v>
      </c>
      <c r="I26" s="65">
        <f t="shared" si="1"/>
        <v>81.2</v>
      </c>
      <c r="J26" s="64" t="s">
        <v>328</v>
      </c>
      <c r="K26" s="66">
        <f t="shared" si="2"/>
        <v>81.2</v>
      </c>
      <c r="N26" s="164"/>
      <c r="O26" s="164"/>
      <c r="P26" s="164"/>
      <c r="Q26" s="164"/>
      <c r="R26" s="164"/>
      <c r="S26" s="164"/>
      <c r="T26" s="164"/>
      <c r="U26" s="164"/>
    </row>
    <row r="27" spans="1:21" ht="15.6" x14ac:dyDescent="0.3">
      <c r="A27" s="63">
        <v>68339915</v>
      </c>
      <c r="B27" s="63" t="s">
        <v>26</v>
      </c>
      <c r="C27" s="63" t="s">
        <v>27</v>
      </c>
      <c r="D27" s="64">
        <v>88</v>
      </c>
      <c r="E27" s="64">
        <v>55</v>
      </c>
      <c r="F27" s="64">
        <v>99</v>
      </c>
      <c r="G27" s="64">
        <v>100</v>
      </c>
      <c r="H27" s="64">
        <v>77</v>
      </c>
      <c r="I27" s="65">
        <f t="shared" si="1"/>
        <v>83.8</v>
      </c>
      <c r="J27" s="64" t="s">
        <v>310</v>
      </c>
      <c r="K27" s="66">
        <f t="shared" si="2"/>
        <v>83.800000000000011</v>
      </c>
      <c r="N27" s="164"/>
      <c r="O27" s="164"/>
      <c r="P27" s="164"/>
      <c r="Q27" s="164"/>
      <c r="R27" s="164"/>
      <c r="S27" s="164"/>
      <c r="T27" s="164"/>
      <c r="U27" s="164"/>
    </row>
    <row r="29" spans="1:21" ht="30" x14ac:dyDescent="0.5">
      <c r="A29" s="348" t="s">
        <v>203</v>
      </c>
      <c r="B29" s="348"/>
      <c r="C29" s="348"/>
      <c r="D29" s="348"/>
      <c r="E29" s="348"/>
      <c r="F29" s="348"/>
      <c r="G29" s="348"/>
      <c r="H29" s="348"/>
      <c r="I29" s="348"/>
      <c r="J29" s="348"/>
      <c r="K29" s="348"/>
    </row>
    <row r="30" spans="1:21" ht="15.6" x14ac:dyDescent="0.3">
      <c r="A30" s="67" t="s">
        <v>0</v>
      </c>
      <c r="B30" s="67" t="s">
        <v>193</v>
      </c>
      <c r="C30" s="68" t="s">
        <v>194</v>
      </c>
      <c r="D30" s="67" t="s">
        <v>330</v>
      </c>
      <c r="E30" s="67" t="s">
        <v>329</v>
      </c>
      <c r="F30" s="67" t="s">
        <v>314</v>
      </c>
      <c r="G30" s="67" t="s">
        <v>305</v>
      </c>
      <c r="H30" s="68" t="s">
        <v>304</v>
      </c>
      <c r="I30" s="68" t="s">
        <v>1</v>
      </c>
      <c r="J30" s="68" t="s">
        <v>200</v>
      </c>
      <c r="K30" s="68" t="s">
        <v>2</v>
      </c>
      <c r="N30" s="164"/>
      <c r="O30" s="164"/>
      <c r="P30" s="164"/>
      <c r="Q30" s="164"/>
      <c r="R30" s="164"/>
      <c r="S30" s="164"/>
      <c r="T30" s="164"/>
      <c r="U30" s="164"/>
    </row>
    <row r="31" spans="1:21" ht="15.6" x14ac:dyDescent="0.3">
      <c r="A31" s="69">
        <v>52069506</v>
      </c>
      <c r="B31" s="69" t="s">
        <v>8</v>
      </c>
      <c r="C31" s="69" t="s">
        <v>9</v>
      </c>
      <c r="D31" s="70">
        <v>99</v>
      </c>
      <c r="E31" s="70">
        <v>66</v>
      </c>
      <c r="F31" s="70">
        <v>99</v>
      </c>
      <c r="G31" s="70">
        <v>98</v>
      </c>
      <c r="H31" s="70">
        <v>55</v>
      </c>
      <c r="I31" s="71">
        <f>AVERAGE(Table13[[#This Row],[Test 1]:[Final Exam]])</f>
        <v>83.4</v>
      </c>
      <c r="J31" s="70" t="s">
        <v>310</v>
      </c>
      <c r="K31" s="72">
        <f>(D31*0.2)+(E31*0.2)+(F31*0.2)+(G31*0.2)+(H31*0.2)</f>
        <v>83.4</v>
      </c>
      <c r="N31" s="164"/>
      <c r="O31" s="164"/>
      <c r="P31" s="164"/>
      <c r="Q31" s="164"/>
      <c r="R31" s="164"/>
      <c r="S31" s="164"/>
      <c r="T31" s="164"/>
      <c r="U31" s="164"/>
    </row>
    <row r="32" spans="1:21" ht="15.6" x14ac:dyDescent="0.3">
      <c r="A32" s="69">
        <v>14550989</v>
      </c>
      <c r="B32" s="69" t="s">
        <v>10</v>
      </c>
      <c r="C32" s="69" t="s">
        <v>11</v>
      </c>
      <c r="D32" s="70">
        <v>88</v>
      </c>
      <c r="E32" s="70">
        <v>77</v>
      </c>
      <c r="F32" s="70">
        <v>90</v>
      </c>
      <c r="G32" s="70">
        <v>99</v>
      </c>
      <c r="H32" s="70">
        <v>44</v>
      </c>
      <c r="I32" s="71">
        <f>AVERAGE(Table13[[#This Row],[Test 1]:[Final Exam]])</f>
        <v>79.599999999999994</v>
      </c>
      <c r="J32" s="70" t="s">
        <v>328</v>
      </c>
      <c r="K32" s="72">
        <f t="shared" ref="K32:K40" si="3">(D32*0.2)+(E32*0.2)+(F32*0.2)+(G32*0.2)+(H32*0.2)</f>
        <v>79.599999999999994</v>
      </c>
      <c r="N32" s="164"/>
      <c r="O32" s="164"/>
      <c r="P32" s="164"/>
      <c r="Q32" s="164"/>
      <c r="R32" s="164"/>
      <c r="S32" s="164"/>
      <c r="T32" s="164"/>
      <c r="U32" s="164"/>
    </row>
    <row r="33" spans="1:21" ht="15.6" x14ac:dyDescent="0.3">
      <c r="A33" s="69">
        <v>48862811</v>
      </c>
      <c r="B33" s="69" t="s">
        <v>12</v>
      </c>
      <c r="C33" s="69" t="s">
        <v>13</v>
      </c>
      <c r="D33" s="70">
        <v>77</v>
      </c>
      <c r="E33" s="70">
        <v>88</v>
      </c>
      <c r="F33" s="70">
        <v>99</v>
      </c>
      <c r="G33" s="70">
        <v>88</v>
      </c>
      <c r="H33" s="70">
        <v>99</v>
      </c>
      <c r="I33" s="71">
        <f>AVERAGE(Table13[[#This Row],[Test 1]:[Final Exam]])</f>
        <v>90.2</v>
      </c>
      <c r="J33" s="70" t="s">
        <v>332</v>
      </c>
      <c r="K33" s="72">
        <f t="shared" si="3"/>
        <v>90.2</v>
      </c>
      <c r="N33" s="164"/>
      <c r="O33" s="164"/>
      <c r="P33" s="164"/>
      <c r="Q33" s="164"/>
      <c r="R33" s="164"/>
      <c r="S33" s="164"/>
      <c r="T33" s="164"/>
      <c r="U33" s="164"/>
    </row>
    <row r="34" spans="1:21" x14ac:dyDescent="0.3">
      <c r="A34" s="69">
        <v>10287797</v>
      </c>
      <c r="B34" s="69" t="s">
        <v>14</v>
      </c>
      <c r="C34" s="69" t="s">
        <v>15</v>
      </c>
      <c r="D34" s="70">
        <v>70</v>
      </c>
      <c r="E34" s="70">
        <v>84</v>
      </c>
      <c r="F34" s="70">
        <v>100</v>
      </c>
      <c r="G34" s="70">
        <v>99</v>
      </c>
      <c r="H34" s="71">
        <v>77</v>
      </c>
      <c r="I34" s="70">
        <f>AVERAGE(Table13[[#This Row],[Test 1]:[Final Exam]])</f>
        <v>86</v>
      </c>
      <c r="J34" s="70" t="s">
        <v>310</v>
      </c>
      <c r="K34" s="72">
        <f t="shared" si="3"/>
        <v>86</v>
      </c>
    </row>
    <row r="35" spans="1:21" x14ac:dyDescent="0.3">
      <c r="A35" s="69">
        <v>22355690</v>
      </c>
      <c r="B35" s="69" t="s">
        <v>16</v>
      </c>
      <c r="C35" s="69" t="s">
        <v>17</v>
      </c>
      <c r="D35" s="70">
        <v>88</v>
      </c>
      <c r="E35" s="70">
        <v>76</v>
      </c>
      <c r="F35" s="70">
        <v>89</v>
      </c>
      <c r="G35" s="70">
        <v>99</v>
      </c>
      <c r="H35" s="70">
        <v>66</v>
      </c>
      <c r="I35" s="71">
        <f>AVERAGE(Table13[[#This Row],[Test 1]:[Final Exam]])</f>
        <v>83.6</v>
      </c>
      <c r="J35" s="70" t="s">
        <v>310</v>
      </c>
      <c r="K35" s="72">
        <f t="shared" si="3"/>
        <v>83.600000000000009</v>
      </c>
    </row>
    <row r="36" spans="1:21" x14ac:dyDescent="0.3">
      <c r="A36" s="69">
        <v>59305766</v>
      </c>
      <c r="B36" s="69" t="s">
        <v>18</v>
      </c>
      <c r="C36" s="69" t="s">
        <v>19</v>
      </c>
      <c r="D36" s="70">
        <v>100</v>
      </c>
      <c r="E36" s="70">
        <v>44</v>
      </c>
      <c r="F36" s="70">
        <v>88</v>
      </c>
      <c r="G36" s="70">
        <v>90</v>
      </c>
      <c r="H36" s="70">
        <v>76</v>
      </c>
      <c r="I36" s="71">
        <f>AVERAGE(Table13[[#This Row],[Test 1]:[Final Exam]])</f>
        <v>79.599999999999994</v>
      </c>
      <c r="J36" s="70" t="s">
        <v>328</v>
      </c>
      <c r="K36" s="72">
        <f t="shared" si="3"/>
        <v>79.600000000000009</v>
      </c>
    </row>
    <row r="37" spans="1:21" x14ac:dyDescent="0.3">
      <c r="A37" s="69">
        <v>28475996</v>
      </c>
      <c r="B37" s="69" t="s">
        <v>20</v>
      </c>
      <c r="C37" s="69" t="s">
        <v>21</v>
      </c>
      <c r="D37" s="70">
        <v>46</v>
      </c>
      <c r="E37" s="70">
        <v>86</v>
      </c>
      <c r="F37" s="70">
        <v>96</v>
      </c>
      <c r="G37" s="70">
        <v>96</v>
      </c>
      <c r="H37" s="70">
        <v>76</v>
      </c>
      <c r="I37" s="70">
        <f>AVERAGE(Table13[[#This Row],[Test 1]:[Final Exam]])</f>
        <v>80</v>
      </c>
      <c r="J37" s="70" t="s">
        <v>328</v>
      </c>
      <c r="K37" s="72">
        <f t="shared" si="3"/>
        <v>80.000000000000014</v>
      </c>
    </row>
    <row r="38" spans="1:21" x14ac:dyDescent="0.3">
      <c r="A38" s="69">
        <v>64198194</v>
      </c>
      <c r="B38" s="69" t="s">
        <v>22</v>
      </c>
      <c r="C38" s="69" t="s">
        <v>23</v>
      </c>
      <c r="D38" s="70">
        <v>58</v>
      </c>
      <c r="E38" s="70">
        <v>68</v>
      </c>
      <c r="F38" s="70">
        <v>98</v>
      </c>
      <c r="G38" s="70">
        <v>98</v>
      </c>
      <c r="H38" s="70">
        <v>88</v>
      </c>
      <c r="I38" s="70">
        <f>AVERAGE(Table13[[#This Row],[Test 1]:[Final Exam]])</f>
        <v>82</v>
      </c>
      <c r="J38" s="70" t="s">
        <v>328</v>
      </c>
      <c r="K38" s="72">
        <f t="shared" si="3"/>
        <v>82</v>
      </c>
    </row>
    <row r="39" spans="1:21" x14ac:dyDescent="0.3">
      <c r="A39" s="69">
        <v>29655035</v>
      </c>
      <c r="B39" s="69" t="s">
        <v>24</v>
      </c>
      <c r="C39" s="69" t="s">
        <v>25</v>
      </c>
      <c r="D39" s="70">
        <v>70</v>
      </c>
      <c r="E39" s="70">
        <v>56</v>
      </c>
      <c r="F39" s="70">
        <v>99</v>
      </c>
      <c r="G39" s="70">
        <v>95</v>
      </c>
      <c r="H39" s="70">
        <v>88</v>
      </c>
      <c r="I39" s="71">
        <f>AVERAGE(Table13[[#This Row],[Test 1]:[Final Exam]])</f>
        <v>81.599999999999994</v>
      </c>
      <c r="J39" s="70" t="s">
        <v>328</v>
      </c>
      <c r="K39" s="72">
        <f t="shared" si="3"/>
        <v>81.599999999999994</v>
      </c>
    </row>
    <row r="40" spans="1:21" x14ac:dyDescent="0.3">
      <c r="A40" s="69">
        <v>68339915</v>
      </c>
      <c r="B40" s="69" t="s">
        <v>26</v>
      </c>
      <c r="C40" s="69" t="s">
        <v>27</v>
      </c>
      <c r="D40" s="70">
        <v>88</v>
      </c>
      <c r="E40" s="70">
        <v>98</v>
      </c>
      <c r="F40" s="70">
        <v>88</v>
      </c>
      <c r="G40" s="70">
        <v>99</v>
      </c>
      <c r="H40" s="70">
        <v>53</v>
      </c>
      <c r="I40" s="71">
        <f>AVERAGE(Table13[[#This Row],[Test 1]:[Final Exam]])</f>
        <v>85.2</v>
      </c>
      <c r="J40" s="70" t="s">
        <v>310</v>
      </c>
      <c r="K40" s="72">
        <f t="shared" si="3"/>
        <v>85.200000000000017</v>
      </c>
    </row>
    <row r="41" spans="1:21" x14ac:dyDescent="0.3">
      <c r="A41" s="1"/>
      <c r="B41" s="1"/>
      <c r="C41" s="1"/>
      <c r="D41" s="1"/>
      <c r="E41" s="1"/>
      <c r="F41" s="1"/>
      <c r="G41" s="1"/>
      <c r="H41" s="1"/>
      <c r="I41" s="1"/>
      <c r="J41" s="1"/>
      <c r="K41" s="1"/>
    </row>
    <row r="42" spans="1:21" ht="30" x14ac:dyDescent="0.5">
      <c r="A42" s="348" t="s">
        <v>331</v>
      </c>
      <c r="B42" s="348"/>
      <c r="C42" s="348"/>
      <c r="D42" s="348"/>
      <c r="E42" s="348"/>
      <c r="F42" s="348"/>
      <c r="G42" s="348"/>
      <c r="H42" s="348"/>
      <c r="I42" s="348"/>
      <c r="J42" s="348"/>
      <c r="K42" s="348"/>
    </row>
    <row r="43" spans="1:21" x14ac:dyDescent="0.3">
      <c r="A43" s="73" t="s">
        <v>0</v>
      </c>
      <c r="B43" s="73" t="s">
        <v>193</v>
      </c>
      <c r="C43" s="74" t="s">
        <v>194</v>
      </c>
      <c r="D43" s="73" t="s">
        <v>330</v>
      </c>
      <c r="E43" s="73" t="s">
        <v>329</v>
      </c>
      <c r="F43" s="73" t="s">
        <v>314</v>
      </c>
      <c r="G43" s="73" t="s">
        <v>305</v>
      </c>
      <c r="H43" s="74" t="s">
        <v>304</v>
      </c>
      <c r="I43" s="74" t="s">
        <v>1</v>
      </c>
      <c r="J43" s="74" t="s">
        <v>200</v>
      </c>
      <c r="K43" s="74" t="s">
        <v>2</v>
      </c>
      <c r="L43" s="262" t="s">
        <v>319</v>
      </c>
    </row>
    <row r="44" spans="1:21" x14ac:dyDescent="0.3">
      <c r="A44" s="75">
        <v>52069506</v>
      </c>
      <c r="B44" s="75" t="s">
        <v>8</v>
      </c>
      <c r="C44" s="75" t="s">
        <v>9</v>
      </c>
      <c r="D44" s="76">
        <v>76</v>
      </c>
      <c r="E44" s="76">
        <v>88</v>
      </c>
      <c r="F44" s="76">
        <v>90</v>
      </c>
      <c r="G44" s="76">
        <v>99</v>
      </c>
      <c r="H44" s="76">
        <v>66</v>
      </c>
      <c r="I44" s="77">
        <f>AVERAGE(Table7[[#This Row],[Test 1]:[Final Exam]])</f>
        <v>83.8</v>
      </c>
      <c r="J44" s="76" t="s">
        <v>310</v>
      </c>
      <c r="K44" s="78">
        <f>(D44*0.2)+(E44*0.2)+(F44*0.2)+(G44*0.2)+(H44*0.2)</f>
        <v>83.800000000000011</v>
      </c>
      <c r="L44" s="29">
        <f>RANK(Table7[[#This Row],[GPA]],Table7[GPA])</f>
        <v>5</v>
      </c>
    </row>
    <row r="45" spans="1:21" x14ac:dyDescent="0.3">
      <c r="A45" s="75">
        <v>14550989</v>
      </c>
      <c r="B45" s="75" t="s">
        <v>10</v>
      </c>
      <c r="C45" s="75" t="s">
        <v>11</v>
      </c>
      <c r="D45" s="76">
        <v>90</v>
      </c>
      <c r="E45" s="76">
        <v>46</v>
      </c>
      <c r="F45" s="76">
        <v>90</v>
      </c>
      <c r="G45" s="76">
        <v>99</v>
      </c>
      <c r="H45" s="76">
        <v>99</v>
      </c>
      <c r="I45" s="77">
        <f>AVERAGE(Table7[[#This Row],[Test 1]:[Final Exam]])</f>
        <v>84.8</v>
      </c>
      <c r="J45" s="76" t="s">
        <v>310</v>
      </c>
      <c r="K45" s="78">
        <f t="shared" ref="K45:K53" si="4">(D45*0.2)+(E45*0.2)+(F45*0.2)+(G45*0.2)+(H45*0.2)</f>
        <v>84.8</v>
      </c>
      <c r="L45" s="29">
        <f>RANK(Table7[[#This Row],[GPA]],Table7[GPA])</f>
        <v>3</v>
      </c>
    </row>
    <row r="46" spans="1:21" x14ac:dyDescent="0.3">
      <c r="A46" s="75">
        <v>48862811</v>
      </c>
      <c r="B46" s="75" t="s">
        <v>12</v>
      </c>
      <c r="C46" s="75" t="s">
        <v>13</v>
      </c>
      <c r="D46" s="76">
        <v>100</v>
      </c>
      <c r="E46" s="76">
        <v>56</v>
      </c>
      <c r="F46" s="76">
        <v>89</v>
      </c>
      <c r="G46" s="76">
        <v>87</v>
      </c>
      <c r="H46" s="76">
        <v>67</v>
      </c>
      <c r="I46" s="77">
        <f>AVERAGE(Table7[[#This Row],[Test 1]:[Final Exam]])</f>
        <v>79.8</v>
      </c>
      <c r="J46" s="76" t="s">
        <v>328</v>
      </c>
      <c r="K46" s="78">
        <f t="shared" si="4"/>
        <v>79.800000000000011</v>
      </c>
      <c r="L46" s="29">
        <f>RANK(Table7[[#This Row],[GPA]],Table7[GPA])</f>
        <v>10</v>
      </c>
    </row>
    <row r="47" spans="1:21" x14ac:dyDescent="0.3">
      <c r="A47" s="79">
        <v>10287797</v>
      </c>
      <c r="B47" s="75" t="s">
        <v>14</v>
      </c>
      <c r="C47" s="75" t="s">
        <v>15</v>
      </c>
      <c r="D47" s="76">
        <v>88</v>
      </c>
      <c r="E47" s="76">
        <v>90</v>
      </c>
      <c r="F47" s="76">
        <v>88</v>
      </c>
      <c r="G47" s="76">
        <v>99</v>
      </c>
      <c r="H47" s="76">
        <v>39</v>
      </c>
      <c r="I47" s="77">
        <f>AVERAGE(Table7[[#This Row],[Test 1]:[Final Exam]])</f>
        <v>80.8</v>
      </c>
      <c r="J47" s="76" t="s">
        <v>328</v>
      </c>
      <c r="K47" s="78">
        <f t="shared" si="4"/>
        <v>80.8</v>
      </c>
      <c r="L47" s="29">
        <f>RANK(Table7[[#This Row],[GPA]],Table7[GPA])</f>
        <v>9</v>
      </c>
    </row>
    <row r="48" spans="1:21" x14ac:dyDescent="0.3">
      <c r="A48" s="79">
        <v>22355690</v>
      </c>
      <c r="B48" s="75" t="s">
        <v>16</v>
      </c>
      <c r="C48" s="75" t="s">
        <v>17</v>
      </c>
      <c r="D48" s="76">
        <v>99</v>
      </c>
      <c r="E48" s="76">
        <v>66</v>
      </c>
      <c r="F48" s="76">
        <v>89</v>
      </c>
      <c r="G48" s="76">
        <v>99</v>
      </c>
      <c r="H48" s="76">
        <v>88</v>
      </c>
      <c r="I48" s="77">
        <f>AVERAGE(Table7[[#This Row],[Test 1]:[Final Exam]])</f>
        <v>88.2</v>
      </c>
      <c r="J48" s="76" t="s">
        <v>310</v>
      </c>
      <c r="K48" s="78">
        <f t="shared" si="4"/>
        <v>88.199999999999989</v>
      </c>
      <c r="L48" s="29">
        <f>RANK(Table7[[#This Row],[GPA]],Table7[GPA])</f>
        <v>1</v>
      </c>
    </row>
    <row r="49" spans="1:12" x14ac:dyDescent="0.3">
      <c r="A49" s="79">
        <v>59305766</v>
      </c>
      <c r="B49" s="75" t="s">
        <v>18</v>
      </c>
      <c r="C49" s="75" t="s">
        <v>19</v>
      </c>
      <c r="D49" s="76">
        <v>88</v>
      </c>
      <c r="E49" s="76">
        <v>42</v>
      </c>
      <c r="F49" s="76">
        <v>99</v>
      </c>
      <c r="G49" s="76">
        <v>99</v>
      </c>
      <c r="H49" s="76">
        <v>86</v>
      </c>
      <c r="I49" s="77">
        <f>AVERAGE(Table7[[#This Row],[Test 1]:[Final Exam]])</f>
        <v>82.8</v>
      </c>
      <c r="J49" s="76" t="s">
        <v>310</v>
      </c>
      <c r="K49" s="78">
        <f t="shared" si="4"/>
        <v>82.8</v>
      </c>
      <c r="L49" s="29">
        <f>RANK(Table7[[#This Row],[GPA]],Table7[GPA])</f>
        <v>8</v>
      </c>
    </row>
    <row r="50" spans="1:12" x14ac:dyDescent="0.3">
      <c r="A50" s="79">
        <v>28475996</v>
      </c>
      <c r="B50" s="75" t="s">
        <v>20</v>
      </c>
      <c r="C50" s="75" t="s">
        <v>21</v>
      </c>
      <c r="D50" s="76">
        <v>81</v>
      </c>
      <c r="E50" s="76">
        <v>76</v>
      </c>
      <c r="F50" s="76">
        <v>88</v>
      </c>
      <c r="G50" s="76">
        <v>99</v>
      </c>
      <c r="H50" s="77">
        <v>78.066666666666706</v>
      </c>
      <c r="I50" s="77">
        <f>AVERAGE(Table7[[#This Row],[Test 1]:[Final Exam]])</f>
        <v>84.413333333333341</v>
      </c>
      <c r="J50" s="76" t="s">
        <v>310</v>
      </c>
      <c r="K50" s="78">
        <f t="shared" si="4"/>
        <v>84.413333333333341</v>
      </c>
      <c r="L50" s="29">
        <f>RANK(Table7[[#This Row],[GPA]],Table7[GPA])</f>
        <v>4</v>
      </c>
    </row>
    <row r="51" spans="1:12" x14ac:dyDescent="0.3">
      <c r="A51" s="79">
        <v>64198194</v>
      </c>
      <c r="B51" s="75" t="s">
        <v>22</v>
      </c>
      <c r="C51" s="75" t="s">
        <v>23</v>
      </c>
      <c r="D51" s="76">
        <v>74</v>
      </c>
      <c r="E51" s="76">
        <v>67</v>
      </c>
      <c r="F51" s="76">
        <v>96</v>
      </c>
      <c r="G51" s="76">
        <v>99</v>
      </c>
      <c r="H51" s="77">
        <v>79.180952380952405</v>
      </c>
      <c r="I51" s="77">
        <f>AVERAGE(Table7[[#This Row],[Test 1]:[Final Exam]])</f>
        <v>83.036190476190484</v>
      </c>
      <c r="J51" s="76" t="s">
        <v>310</v>
      </c>
      <c r="K51" s="78">
        <f t="shared" si="4"/>
        <v>83.036190476190484</v>
      </c>
      <c r="L51" s="29">
        <f>RANK(Table7[[#This Row],[GPA]],Table7[GPA])</f>
        <v>7</v>
      </c>
    </row>
    <row r="52" spans="1:12" x14ac:dyDescent="0.3">
      <c r="A52" s="79">
        <v>29655035</v>
      </c>
      <c r="B52" s="75" t="s">
        <v>24</v>
      </c>
      <c r="C52" s="75" t="s">
        <v>25</v>
      </c>
      <c r="D52" s="76">
        <v>67</v>
      </c>
      <c r="E52" s="76">
        <v>88</v>
      </c>
      <c r="F52" s="76">
        <v>90</v>
      </c>
      <c r="G52" s="76">
        <v>99</v>
      </c>
      <c r="H52" s="77">
        <v>80.295238095238105</v>
      </c>
      <c r="I52" s="77">
        <f>AVERAGE(Table7[[#This Row],[Test 1]:[Final Exam]])</f>
        <v>84.859047619047629</v>
      </c>
      <c r="J52" s="76" t="s">
        <v>310</v>
      </c>
      <c r="K52" s="78">
        <f t="shared" si="4"/>
        <v>84.859047619047615</v>
      </c>
      <c r="L52" s="29">
        <f>RANK(Table7[[#This Row],[GPA]],Table7[GPA])</f>
        <v>2</v>
      </c>
    </row>
    <row r="53" spans="1:12" x14ac:dyDescent="0.3">
      <c r="A53" s="79">
        <v>68339915</v>
      </c>
      <c r="B53" s="75" t="s">
        <v>26</v>
      </c>
      <c r="C53" s="75" t="s">
        <v>27</v>
      </c>
      <c r="D53" s="76">
        <v>60</v>
      </c>
      <c r="E53" s="76">
        <v>88</v>
      </c>
      <c r="F53" s="76">
        <v>88</v>
      </c>
      <c r="G53" s="76">
        <v>99</v>
      </c>
      <c r="H53" s="77">
        <v>81.409523809523805</v>
      </c>
      <c r="I53" s="77">
        <f>AVERAGE(Table7[[#This Row],[Test 1]:[Final Exam]])</f>
        <v>83.281904761904769</v>
      </c>
      <c r="J53" s="76" t="s">
        <v>310</v>
      </c>
      <c r="K53" s="78">
        <f t="shared" si="4"/>
        <v>83.281904761904769</v>
      </c>
      <c r="L53" s="29">
        <f>RANK(Table7[[#This Row],[GPA]],Table7[GPA])</f>
        <v>6</v>
      </c>
    </row>
  </sheetData>
  <mergeCells count="5">
    <mergeCell ref="F1:G1"/>
    <mergeCell ref="A16:K16"/>
    <mergeCell ref="A29:K29"/>
    <mergeCell ref="A42:K42"/>
    <mergeCell ref="A2:K2"/>
  </mergeCells>
  <conditionalFormatting sqref="A45">
    <cfRule type="cellIs" dxfId="179" priority="13" operator="between">
      <formula>$M$41</formula>
      <formula>14550989</formula>
    </cfRule>
  </conditionalFormatting>
  <conditionalFormatting sqref="A47">
    <cfRule type="cellIs" dxfId="178" priority="12" operator="greaterThan">
      <formula>10287797</formula>
    </cfRule>
  </conditionalFormatting>
  <conditionalFormatting sqref="A2:K13">
    <cfRule type="cellIs" dxfId="177" priority="22" operator="lessThan">
      <formula>34169957.5</formula>
    </cfRule>
  </conditionalFormatting>
  <conditionalFormatting sqref="A2:K53">
    <cfRule type="dataBar" priority="23">
      <dataBar>
        <cfvo type="min"/>
        <cfvo type="max"/>
        <color rgb="FF638EC6"/>
      </dataBar>
      <extLst>
        <ext xmlns:x14="http://schemas.microsoft.com/office/spreadsheetml/2009/9/main" uri="{B025F937-C7B1-47D3-B67F-A62EFF666E3E}">
          <x14:id>{80D940B4-597D-4718-A3C4-39E26FDD9D7F}</x14:id>
        </ext>
      </extLst>
    </cfRule>
  </conditionalFormatting>
  <conditionalFormatting sqref="A17:K27">
    <cfRule type="dataBar" priority="20">
      <dataBar>
        <cfvo type="min"/>
        <cfvo type="max"/>
        <color rgb="FFFFB628"/>
      </dataBar>
      <extLst>
        <ext xmlns:x14="http://schemas.microsoft.com/office/spreadsheetml/2009/9/main" uri="{B025F937-C7B1-47D3-B67F-A62EFF666E3E}">
          <x14:id>{DB6C5A80-254C-4116-8106-351EDD49E958}</x14:id>
        </ext>
      </extLst>
    </cfRule>
  </conditionalFormatting>
  <conditionalFormatting sqref="A30:K40">
    <cfRule type="cellIs" dxfId="176" priority="11" operator="lessThan">
      <formula>34169958.85</formula>
    </cfRule>
  </conditionalFormatting>
  <conditionalFormatting sqref="A42:K53">
    <cfRule type="cellIs" dxfId="175" priority="18" operator="greaterThan">
      <formula>34169958.85</formula>
    </cfRule>
    <cfRule type="dataBar" priority="19">
      <dataBar>
        <cfvo type="min"/>
        <cfvo type="max"/>
        <color rgb="FFFF555A"/>
      </dataBar>
      <extLst>
        <ext xmlns:x14="http://schemas.microsoft.com/office/spreadsheetml/2009/9/main" uri="{B025F937-C7B1-47D3-B67F-A62EFF666E3E}">
          <x14:id>{A8B1BF71-D7B9-4B06-AA3E-31735ECDF9FB}</x14:id>
        </ext>
      </extLst>
    </cfRule>
  </conditionalFormatting>
  <conditionalFormatting sqref="A43:K53">
    <cfRule type="colorScale" priority="16">
      <colorScale>
        <cfvo type="min"/>
        <cfvo type="percentile" val="50"/>
        <cfvo type="max"/>
        <color rgb="FF63BE7B"/>
        <color rgb="FFFCFCFF"/>
        <color rgb="FFF8696B"/>
      </colorScale>
    </cfRule>
  </conditionalFormatting>
  <conditionalFormatting sqref="D44:J53">
    <cfRule type="aboveAverage" dxfId="174" priority="14"/>
    <cfRule type="aboveAverage" dxfId="173" priority="15"/>
  </conditionalFormatting>
  <conditionalFormatting sqref="D44:K53">
    <cfRule type="cellIs" dxfId="172" priority="17" operator="greaterThan">
      <formula>51.35</formula>
    </cfRule>
  </conditionalFormatting>
  <conditionalFormatting sqref="K4:K13">
    <cfRule type="cellIs" dxfId="171" priority="21" operator="lessThan">
      <formula>0.5</formula>
    </cfRule>
  </conditionalFormatting>
  <conditionalFormatting sqref="A16:K16">
    <cfRule type="cellIs" dxfId="170" priority="10" operator="lessThan">
      <formula>34169957.5</formula>
    </cfRule>
  </conditionalFormatting>
  <conditionalFormatting sqref="A29:K29">
    <cfRule type="cellIs" dxfId="169" priority="9" operator="lessThan">
      <formula>34169957.5</formula>
    </cfRule>
  </conditionalFormatting>
  <conditionalFormatting sqref="A42:K42">
    <cfRule type="cellIs" dxfId="168" priority="8" operator="lessThan">
      <formula>34169957.5</formula>
    </cfRule>
  </conditionalFormatting>
  <conditionalFormatting sqref="L43:L53">
    <cfRule type="dataBar" priority="7">
      <dataBar>
        <cfvo type="min"/>
        <cfvo type="max"/>
        <color rgb="FF638EC6"/>
      </dataBar>
      <extLst>
        <ext xmlns:x14="http://schemas.microsoft.com/office/spreadsheetml/2009/9/main" uri="{B025F937-C7B1-47D3-B67F-A62EFF666E3E}">
          <x14:id>{6AA8A14C-FDAF-4BBE-82FE-49200112734E}</x14:id>
        </ext>
      </extLst>
    </cfRule>
  </conditionalFormatting>
  <conditionalFormatting sqref="L43:L53">
    <cfRule type="cellIs" dxfId="167" priority="5" operator="greaterThan">
      <formula>34169958.85</formula>
    </cfRule>
    <cfRule type="dataBar" priority="6">
      <dataBar>
        <cfvo type="min"/>
        <cfvo type="max"/>
        <color rgb="FFFF555A"/>
      </dataBar>
      <extLst>
        <ext xmlns:x14="http://schemas.microsoft.com/office/spreadsheetml/2009/9/main" uri="{B025F937-C7B1-47D3-B67F-A62EFF666E3E}">
          <x14:id>{EB4D4127-9C7E-4E89-9C39-BDF5BD29F605}</x14:id>
        </ext>
      </extLst>
    </cfRule>
  </conditionalFormatting>
  <conditionalFormatting sqref="L43:L53">
    <cfRule type="colorScale" priority="3">
      <colorScale>
        <cfvo type="min"/>
        <cfvo type="percentile" val="50"/>
        <cfvo type="max"/>
        <color rgb="FF63BE7B"/>
        <color rgb="FFFCFCFF"/>
        <color rgb="FFF8696B"/>
      </colorScale>
    </cfRule>
  </conditionalFormatting>
  <conditionalFormatting sqref="L43:L53">
    <cfRule type="aboveAverage" dxfId="166" priority="1"/>
    <cfRule type="aboveAverage" dxfId="165" priority="2"/>
  </conditionalFormatting>
  <conditionalFormatting sqref="L43:L53">
    <cfRule type="cellIs" dxfId="164" priority="4" operator="greaterThan">
      <formula>51.35</formula>
    </cfRule>
  </conditionalFormatting>
  <dataValidations count="1">
    <dataValidation type="list" allowBlank="1" showInputMessage="1" showErrorMessage="1" sqref="B1" xr:uid="{85F16099-AAFC-4CE2-872E-62CD368ED4A1}">
      <formula1>$M$6:$M$23</formula1>
    </dataValidation>
  </dataValidations>
  <pageMargins left="0.7" right="0.7" top="0.75" bottom="0.75" header="0.3" footer="0.3"/>
  <drawing r:id="rId1"/>
  <tableParts count="4">
    <tablePart r:id="rId2"/>
    <tablePart r:id="rId3"/>
    <tablePart r:id="rId4"/>
    <tablePart r:id="rId5"/>
  </tableParts>
  <extLst>
    <ext xmlns:x14="http://schemas.microsoft.com/office/spreadsheetml/2009/9/main" uri="{78C0D931-6437-407d-A8EE-F0AAD7539E65}">
      <x14:conditionalFormattings>
        <x14:conditionalFormatting xmlns:xm="http://schemas.microsoft.com/office/excel/2006/main">
          <x14:cfRule type="dataBar" id="{80D940B4-597D-4718-A3C4-39E26FDD9D7F}">
            <x14:dataBar minLength="0" maxLength="100" border="1" negativeBarBorderColorSameAsPositive="0">
              <x14:cfvo type="autoMin"/>
              <x14:cfvo type="autoMax"/>
              <x14:borderColor rgb="FF638EC6"/>
              <x14:negativeFillColor rgb="FFFF0000"/>
              <x14:negativeBorderColor rgb="FFFF0000"/>
              <x14:axisColor rgb="FF000000"/>
            </x14:dataBar>
          </x14:cfRule>
          <xm:sqref>A2:K53</xm:sqref>
        </x14:conditionalFormatting>
        <x14:conditionalFormatting xmlns:xm="http://schemas.microsoft.com/office/excel/2006/main">
          <x14:cfRule type="dataBar" id="{DB6C5A80-254C-4116-8106-351EDD49E958}">
            <x14:dataBar minLength="0" maxLength="100" border="1" negativeBarBorderColorSameAsPositive="0">
              <x14:cfvo type="autoMin"/>
              <x14:cfvo type="autoMax"/>
              <x14:borderColor rgb="FFFFB628"/>
              <x14:negativeFillColor rgb="FFFF0000"/>
              <x14:negativeBorderColor rgb="FFFF0000"/>
              <x14:axisColor rgb="FF000000"/>
            </x14:dataBar>
          </x14:cfRule>
          <xm:sqref>A17:K27</xm:sqref>
        </x14:conditionalFormatting>
        <x14:conditionalFormatting xmlns:xm="http://schemas.microsoft.com/office/excel/2006/main">
          <x14:cfRule type="dataBar" id="{A8B1BF71-D7B9-4B06-AA3E-31735ECDF9FB}">
            <x14:dataBar minLength="0" maxLength="100" border="1" negativeBarBorderColorSameAsPositive="0">
              <x14:cfvo type="autoMin"/>
              <x14:cfvo type="autoMax"/>
              <x14:borderColor rgb="FFFF555A"/>
              <x14:negativeFillColor rgb="FFFF0000"/>
              <x14:negativeBorderColor rgb="FFFF0000"/>
              <x14:axisColor rgb="FF000000"/>
            </x14:dataBar>
          </x14:cfRule>
          <xm:sqref>A42:K53</xm:sqref>
        </x14:conditionalFormatting>
        <x14:conditionalFormatting xmlns:xm="http://schemas.microsoft.com/office/excel/2006/main">
          <x14:cfRule type="dataBar" id="{6AA8A14C-FDAF-4BBE-82FE-49200112734E}">
            <x14:dataBar minLength="0" maxLength="100" border="1" negativeBarBorderColorSameAsPositive="0">
              <x14:cfvo type="autoMin"/>
              <x14:cfvo type="autoMax"/>
              <x14:borderColor rgb="FF638EC6"/>
              <x14:negativeFillColor rgb="FFFF0000"/>
              <x14:negativeBorderColor rgb="FFFF0000"/>
              <x14:axisColor rgb="FF000000"/>
            </x14:dataBar>
          </x14:cfRule>
          <xm:sqref>L43:L53</xm:sqref>
        </x14:conditionalFormatting>
        <x14:conditionalFormatting xmlns:xm="http://schemas.microsoft.com/office/excel/2006/main">
          <x14:cfRule type="dataBar" id="{EB4D4127-9C7E-4E89-9C39-BDF5BD29F605}">
            <x14:dataBar minLength="0" maxLength="100" border="1" negativeBarBorderColorSameAsPositive="0">
              <x14:cfvo type="autoMin"/>
              <x14:cfvo type="autoMax"/>
              <x14:borderColor rgb="FFFF555A"/>
              <x14:negativeFillColor rgb="FFFF0000"/>
              <x14:negativeBorderColor rgb="FFFF0000"/>
              <x14:axisColor rgb="FF000000"/>
            </x14:dataBar>
          </x14:cfRule>
          <xm:sqref>L43:L53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3076-7FD9-41D3-A0CF-6C7733B77DA7}">
  <sheetPr codeName="Sheet11">
    <tabColor theme="6"/>
  </sheetPr>
  <dimension ref="A1:O59"/>
  <sheetViews>
    <sheetView showGridLines="0" zoomScale="85" zoomScaleNormal="85" workbookViewId="0">
      <selection activeCell="L7" sqref="L7"/>
    </sheetView>
  </sheetViews>
  <sheetFormatPr defaultColWidth="9.125" defaultRowHeight="14.4" x14ac:dyDescent="0.3"/>
  <cols>
    <col min="1" max="1" width="2.5" style="1" customWidth="1"/>
    <col min="2" max="2" width="35" style="1" customWidth="1"/>
    <col min="3" max="3" width="19.375" style="1" customWidth="1"/>
    <col min="4" max="4" width="22.125" style="1" customWidth="1"/>
    <col min="5" max="5" width="23.25" style="1" customWidth="1"/>
    <col min="6" max="6" width="24.75" style="1" customWidth="1"/>
    <col min="7" max="7" width="14.75" style="1" customWidth="1"/>
    <col min="8" max="8" width="33.75" style="1" customWidth="1"/>
    <col min="9" max="9" width="20.75" style="1" customWidth="1"/>
    <col min="10" max="10" width="26.875" style="1" customWidth="1"/>
    <col min="11" max="11" width="21" style="1" customWidth="1"/>
    <col min="12" max="12" width="42.375" style="1" customWidth="1"/>
    <col min="13" max="13" width="25.125" style="1" customWidth="1"/>
    <col min="14" max="16384" width="9.125" style="1"/>
  </cols>
  <sheetData>
    <row r="1" spans="1:12" ht="16.2" thickBot="1" x14ac:dyDescent="0.35">
      <c r="A1" s="195">
        <v>7</v>
      </c>
      <c r="B1" s="196" t="s">
        <v>273</v>
      </c>
      <c r="C1" s="197"/>
      <c r="D1" s="352">
        <v>45902</v>
      </c>
      <c r="E1" s="352"/>
      <c r="F1" s="197"/>
      <c r="G1" s="197"/>
    </row>
    <row r="2" spans="1:12" ht="45" thickBot="1" x14ac:dyDescent="0.35">
      <c r="B2" s="349" t="s">
        <v>274</v>
      </c>
      <c r="C2" s="350"/>
      <c r="D2" s="350"/>
      <c r="E2" s="350"/>
      <c r="F2" s="350"/>
      <c r="G2" s="351"/>
    </row>
    <row r="3" spans="1:12" ht="45" thickBot="1" x14ac:dyDescent="0.75">
      <c r="B3" s="237" t="s">
        <v>275</v>
      </c>
      <c r="C3" s="235" t="s">
        <v>276</v>
      </c>
      <c r="D3" s="235" t="s">
        <v>277</v>
      </c>
      <c r="E3" s="235" t="s">
        <v>278</v>
      </c>
      <c r="F3" s="236"/>
      <c r="G3" s="229"/>
    </row>
    <row r="4" spans="1:12" ht="40.200000000000003" customHeight="1" thickBot="1" x14ac:dyDescent="0.75">
      <c r="B4" s="230">
        <f ca="1">INT(D1-NOW())</f>
        <v>379</v>
      </c>
      <c r="C4" s="231">
        <f ca="1">HOUR(D1-NOW())</f>
        <v>22</v>
      </c>
      <c r="D4" s="232">
        <f ca="1">MINUTE(D1-NOW())</f>
        <v>51</v>
      </c>
      <c r="E4" s="232">
        <f ca="1">SECOND(D1-NOW())</f>
        <v>16</v>
      </c>
      <c r="F4" s="233"/>
      <c r="G4" s="234"/>
      <c r="L4" s="197"/>
    </row>
    <row r="5" spans="1:12" ht="25.2" customHeight="1" x14ac:dyDescent="0.45">
      <c r="A5" s="197"/>
      <c r="B5" s="198"/>
      <c r="C5" s="197"/>
      <c r="L5" s="197"/>
    </row>
    <row r="6" spans="1:12" ht="25.2" customHeight="1" x14ac:dyDescent="0.45">
      <c r="A6" s="197"/>
      <c r="B6" s="198"/>
      <c r="C6" s="197"/>
      <c r="L6" s="197"/>
    </row>
    <row r="7" spans="1:12" ht="25.2" customHeight="1" thickBot="1" x14ac:dyDescent="0.35">
      <c r="A7" s="197"/>
      <c r="B7" s="199" t="s">
        <v>433</v>
      </c>
      <c r="C7" s="199" t="s">
        <v>206</v>
      </c>
      <c r="D7" s="199" t="s">
        <v>207</v>
      </c>
      <c r="E7" s="199" t="s">
        <v>208</v>
      </c>
      <c r="F7" s="194"/>
      <c r="G7" s="194"/>
      <c r="H7" s="194" t="s">
        <v>434</v>
      </c>
      <c r="I7" s="200"/>
      <c r="J7" s="200"/>
      <c r="L7" s="197"/>
    </row>
    <row r="8" spans="1:12" ht="25.2" customHeight="1" thickBot="1" x14ac:dyDescent="0.35">
      <c r="A8" s="197"/>
      <c r="B8" s="266" t="s">
        <v>281</v>
      </c>
      <c r="C8" s="267">
        <v>381477</v>
      </c>
      <c r="D8" s="267" t="str">
        <f>IFERROR(VLOOKUP(C8,Aexclusive,2,FALSE)," ")</f>
        <v>Cowan</v>
      </c>
      <c r="E8" s="267" t="str">
        <f>IFERROR(VLOOKUP(C8,Aexclusive,3,FALSE)," ")</f>
        <v>marcella</v>
      </c>
      <c r="F8" s="267" t="s">
        <v>321</v>
      </c>
      <c r="G8" s="267"/>
      <c r="H8" s="268">
        <f>COUNT(ClassA)</f>
        <v>13</v>
      </c>
      <c r="I8" s="81"/>
      <c r="J8" s="81"/>
      <c r="L8" s="197"/>
    </row>
    <row r="9" spans="1:12" ht="25.2" customHeight="1" thickBot="1" x14ac:dyDescent="0.35">
      <c r="A9" s="197"/>
      <c r="B9" s="60"/>
      <c r="C9" s="269"/>
      <c r="D9" s="60"/>
      <c r="E9" s="60"/>
      <c r="F9" s="270"/>
      <c r="G9" s="270"/>
      <c r="H9" s="271"/>
      <c r="L9" s="197"/>
    </row>
    <row r="10" spans="1:12" ht="25.2" customHeight="1" thickBot="1" x14ac:dyDescent="0.35">
      <c r="A10" s="197"/>
      <c r="B10" s="266" t="s">
        <v>282</v>
      </c>
      <c r="C10" s="267">
        <v>229763</v>
      </c>
      <c r="D10" s="267" t="str">
        <f>IFERROR(VLOOKUP(C10,Bexclusive,2,FALSE)," ")</f>
        <v>Bush</v>
      </c>
      <c r="E10" s="267" t="str">
        <f>IFERROR(VLOOKUP(C10,Bexclusive,3,FALSE)," ")</f>
        <v>Mavis</v>
      </c>
      <c r="F10" s="267" t="s">
        <v>321</v>
      </c>
      <c r="G10" s="267"/>
      <c r="H10" s="268">
        <f>COUNT(ClassB)</f>
        <v>12</v>
      </c>
      <c r="I10" s="81"/>
      <c r="J10" s="81"/>
      <c r="L10" s="197"/>
    </row>
    <row r="11" spans="1:12" ht="25.2" customHeight="1" thickBot="1" x14ac:dyDescent="0.35">
      <c r="A11" s="197"/>
      <c r="B11" s="60"/>
      <c r="C11" s="269"/>
      <c r="D11" s="60"/>
      <c r="E11" s="60"/>
      <c r="F11" s="270"/>
      <c r="G11" s="270"/>
      <c r="H11" s="271"/>
      <c r="L11" s="197"/>
    </row>
    <row r="12" spans="1:12" ht="25.2" customHeight="1" thickBot="1" x14ac:dyDescent="0.35">
      <c r="A12" s="197"/>
      <c r="B12" s="266" t="s">
        <v>283</v>
      </c>
      <c r="C12" s="267">
        <v>303803</v>
      </c>
      <c r="D12" s="267" t="str">
        <f>IFERROR(VLOOKUP(C12,TeachersList[],2,FALSE)," ")</f>
        <v>Juarez</v>
      </c>
      <c r="E12" s="267" t="str">
        <f>IFERROR(VLOOKUP(C12,Cexclusive,3,FALSE)," ")</f>
        <v>Barton</v>
      </c>
      <c r="F12" s="267" t="s">
        <v>321</v>
      </c>
      <c r="G12" s="267"/>
      <c r="H12" s="268">
        <f>COUNT(ClassC)</f>
        <v>38</v>
      </c>
      <c r="I12" s="81"/>
      <c r="J12" s="81"/>
      <c r="L12" s="197"/>
    </row>
    <row r="13" spans="1:12" ht="25.2" customHeight="1" thickBot="1" x14ac:dyDescent="0.35">
      <c r="A13" s="197"/>
      <c r="B13" s="60"/>
      <c r="C13" s="269"/>
      <c r="D13" s="60"/>
      <c r="E13" s="60"/>
      <c r="F13" s="270"/>
      <c r="G13" s="270"/>
      <c r="H13" s="271"/>
      <c r="J13" s="81"/>
      <c r="L13" s="197"/>
    </row>
    <row r="14" spans="1:12" ht="25.2" customHeight="1" thickBot="1" x14ac:dyDescent="0.35">
      <c r="A14" s="197"/>
      <c r="B14" s="266" t="s">
        <v>284</v>
      </c>
      <c r="C14" s="267">
        <v>652424</v>
      </c>
      <c r="D14" s="267" t="str">
        <f>IFERROR(VLOOKUP(C14,TeachersList[],2,FALSE)," ")</f>
        <v>Cortez</v>
      </c>
      <c r="E14" s="267" t="str">
        <f>IFERROR(VLOOKUP(C14,TeachersList[],3,FALSE)," ")</f>
        <v>Alice</v>
      </c>
      <c r="F14" s="267" t="s">
        <v>321</v>
      </c>
      <c r="G14" s="267"/>
      <c r="H14" s="268">
        <f>COUNT(ClassAID)</f>
        <v>13</v>
      </c>
      <c r="I14" s="81"/>
      <c r="J14" s="81"/>
      <c r="L14" s="197"/>
    </row>
    <row r="15" spans="1:12" ht="19.95" customHeight="1" thickBot="1" x14ac:dyDescent="0.35">
      <c r="B15" s="60"/>
      <c r="C15" s="269"/>
      <c r="D15" s="60"/>
      <c r="E15" s="60"/>
      <c r="F15" s="270"/>
      <c r="G15" s="270"/>
      <c r="H15" s="271"/>
      <c r="I15" s="164"/>
      <c r="J15" s="164"/>
    </row>
    <row r="16" spans="1:12" ht="19.95" customHeight="1" thickBot="1" x14ac:dyDescent="0.35">
      <c r="B16" s="266" t="s">
        <v>285</v>
      </c>
      <c r="C16" s="267">
        <v>190632</v>
      </c>
      <c r="D16" s="267" t="str">
        <f>IFERROR(VLOOKUP(C16,TeachersList[],2,FALSE)," ")</f>
        <v>Sharp</v>
      </c>
      <c r="E16" s="267" t="str">
        <f>IFERROR(VLOOKUP(C16,Fexclusive,3,FALSE)," ")</f>
        <v>Herb</v>
      </c>
      <c r="F16" s="267" t="s">
        <v>321</v>
      </c>
      <c r="G16" s="267"/>
      <c r="H16" s="268">
        <f>COUNT(ClassAID)</f>
        <v>13</v>
      </c>
      <c r="I16" s="81"/>
      <c r="J16" s="81"/>
    </row>
    <row r="17" spans="1:14" ht="19.95" customHeight="1" thickBot="1" x14ac:dyDescent="0.35">
      <c r="B17" s="200"/>
      <c r="C17" s="200"/>
      <c r="D17" s="200"/>
      <c r="E17" s="200"/>
      <c r="F17" s="194"/>
      <c r="G17" s="194"/>
      <c r="H17" s="194"/>
      <c r="I17" s="81"/>
      <c r="J17" s="81"/>
    </row>
    <row r="18" spans="1:14" ht="19.95" customHeight="1" thickBot="1" x14ac:dyDescent="0.5">
      <c r="B18" s="238" t="s">
        <v>206</v>
      </c>
      <c r="C18" s="239" t="s">
        <v>207</v>
      </c>
      <c r="D18" s="239" t="s">
        <v>208</v>
      </c>
      <c r="E18" s="239" t="s">
        <v>281</v>
      </c>
      <c r="F18" s="239" t="s">
        <v>282</v>
      </c>
      <c r="G18" s="239" t="s">
        <v>283</v>
      </c>
      <c r="H18" s="239" t="s">
        <v>284</v>
      </c>
      <c r="I18" s="239" t="s">
        <v>285</v>
      </c>
      <c r="J18" s="240" t="s">
        <v>335</v>
      </c>
      <c r="K18" s="200"/>
      <c r="L18" s="192"/>
      <c r="M18" s="192"/>
      <c r="N18" s="192"/>
    </row>
    <row r="19" spans="1:14" ht="19.95" customHeight="1" thickBot="1" x14ac:dyDescent="0.5">
      <c r="B19" s="205">
        <v>652424</v>
      </c>
      <c r="C19" s="201" t="s">
        <v>215</v>
      </c>
      <c r="D19" s="201" t="s">
        <v>216</v>
      </c>
      <c r="E19" s="201" t="s">
        <v>213</v>
      </c>
      <c r="F19" s="201" t="str">
        <f>IF(E19="Yes","","yes")</f>
        <v/>
      </c>
      <c r="G19" s="201" t="str">
        <f>IF(OR(E19="yes",F19="Yes"),"","YES")</f>
        <v/>
      </c>
      <c r="H19" s="201" t="str">
        <f>IF(OR(E19="yes",F19="Yes",G19="Yes"),"","YES")</f>
        <v/>
      </c>
      <c r="I19" s="201" t="str">
        <f>IF(OR(E19="yes",F19="Yes",G19="Yes",H19="yes"),"","YES")</f>
        <v/>
      </c>
      <c r="J19" s="206" t="str">
        <f>IF(OR(E19="Yes",F19="yes",G19="Yes",H19="Yes",I19="yes"),"","""SUB")</f>
        <v/>
      </c>
      <c r="K19" s="192"/>
      <c r="L19" s="192"/>
      <c r="M19" s="192"/>
      <c r="N19" s="192"/>
    </row>
    <row r="20" spans="1:14" ht="19.95" customHeight="1" thickBot="1" x14ac:dyDescent="0.5">
      <c r="B20" s="257">
        <v>368744</v>
      </c>
      <c r="C20" s="257" t="s">
        <v>217</v>
      </c>
      <c r="D20" s="257" t="s">
        <v>218</v>
      </c>
      <c r="E20" s="257"/>
      <c r="F20" s="257" t="str">
        <f>IF(E20="Yes","","Yes")</f>
        <v>Yes</v>
      </c>
      <c r="G20" s="257" t="str">
        <f t="shared" ref="G20:G48" si="0">IF(OR(E20="yes",F20="Yes"),"","YES")</f>
        <v/>
      </c>
      <c r="H20" s="257" t="str">
        <f t="shared" ref="H20:H48" si="1">IF(OR(E20="yes",F20="Yes",G20="Yes"),"","YES")</f>
        <v/>
      </c>
      <c r="I20" s="257" t="str">
        <f t="shared" ref="I20:I48" si="2">IF(OR(E20="yes",F20="Yes",G20="Yes",H20="yes"),"","YES")</f>
        <v/>
      </c>
      <c r="J20" s="257" t="str">
        <f>IF(OR(E20="Yes",F20="yes",G20="Yes",H20="Yes",I20="yes"),"","SUB")</f>
        <v/>
      </c>
      <c r="K20" s="192"/>
      <c r="L20" s="192"/>
      <c r="M20" s="192"/>
      <c r="N20" s="192"/>
    </row>
    <row r="21" spans="1:14" ht="19.95" customHeight="1" thickBot="1" x14ac:dyDescent="0.5">
      <c r="B21" s="202">
        <v>675151</v>
      </c>
      <c r="C21" s="203" t="s">
        <v>176</v>
      </c>
      <c r="D21" s="203" t="s">
        <v>219</v>
      </c>
      <c r="E21" s="203"/>
      <c r="F21" s="203"/>
      <c r="G21" s="203"/>
      <c r="H21" s="203" t="str">
        <f t="shared" si="1"/>
        <v>YES</v>
      </c>
      <c r="I21" s="203" t="str">
        <f t="shared" si="2"/>
        <v/>
      </c>
      <c r="J21" s="204" t="str">
        <f t="shared" ref="J21:J48" si="3">IF(OR(E21="Yes",F21="yes",G21="Yes",H21="Yes",I21="yes"),"","SUB")</f>
        <v/>
      </c>
      <c r="K21" s="192"/>
      <c r="L21" s="192"/>
      <c r="M21" s="192"/>
      <c r="N21" s="192"/>
    </row>
    <row r="22" spans="1:14" ht="19.95" customHeight="1" thickBot="1" x14ac:dyDescent="0.5">
      <c r="B22" s="257">
        <v>698749</v>
      </c>
      <c r="C22" s="257" t="s">
        <v>220</v>
      </c>
      <c r="D22" s="257" t="s">
        <v>221</v>
      </c>
      <c r="E22" s="257"/>
      <c r="F22" s="257"/>
      <c r="G22" s="257"/>
      <c r="H22" s="257"/>
      <c r="I22" s="257" t="str">
        <f t="shared" si="2"/>
        <v>YES</v>
      </c>
      <c r="J22" s="257" t="str">
        <f t="shared" si="3"/>
        <v/>
      </c>
      <c r="K22" s="192"/>
      <c r="L22" s="207"/>
      <c r="M22" s="192"/>
      <c r="N22" s="192"/>
    </row>
    <row r="23" spans="1:14" ht="19.95" customHeight="1" thickBot="1" x14ac:dyDescent="0.5">
      <c r="B23" s="202">
        <v>381477</v>
      </c>
      <c r="C23" s="203" t="s">
        <v>222</v>
      </c>
      <c r="D23" s="203" t="s">
        <v>223</v>
      </c>
      <c r="E23" s="203" t="s">
        <v>213</v>
      </c>
      <c r="F23" s="203" t="str">
        <f>IF(E23="Yes","","yes")</f>
        <v/>
      </c>
      <c r="G23" s="203" t="str">
        <f t="shared" si="0"/>
        <v/>
      </c>
      <c r="H23" s="203" t="str">
        <f t="shared" si="1"/>
        <v/>
      </c>
      <c r="I23" s="203" t="str">
        <f t="shared" si="2"/>
        <v/>
      </c>
      <c r="J23" s="204" t="str">
        <f t="shared" si="3"/>
        <v/>
      </c>
      <c r="K23" s="192"/>
      <c r="L23" s="208"/>
      <c r="M23" s="209"/>
      <c r="N23" s="192"/>
    </row>
    <row r="24" spans="1:14" ht="19.95" customHeight="1" thickBot="1" x14ac:dyDescent="0.5">
      <c r="B24" s="257">
        <v>653601</v>
      </c>
      <c r="C24" s="257" t="s">
        <v>224</v>
      </c>
      <c r="D24" s="257" t="s">
        <v>225</v>
      </c>
      <c r="E24" s="257"/>
      <c r="F24" s="257" t="str">
        <f>IF(E24="Yes","","Yes")</f>
        <v>Yes</v>
      </c>
      <c r="G24" s="257" t="str">
        <f t="shared" si="0"/>
        <v/>
      </c>
      <c r="H24" s="257" t="str">
        <f t="shared" si="1"/>
        <v/>
      </c>
      <c r="I24" s="257" t="str">
        <f t="shared" si="2"/>
        <v/>
      </c>
      <c r="J24" s="257" t="str">
        <f t="shared" si="3"/>
        <v/>
      </c>
      <c r="K24" s="192"/>
      <c r="L24" s="208"/>
      <c r="M24" s="210"/>
      <c r="N24" s="192"/>
    </row>
    <row r="25" spans="1:14" ht="19.95" customHeight="1" thickBot="1" x14ac:dyDescent="0.5">
      <c r="B25" s="211">
        <v>508339</v>
      </c>
      <c r="C25" s="212" t="s">
        <v>226</v>
      </c>
      <c r="D25" s="213" t="s">
        <v>227</v>
      </c>
      <c r="E25" s="203"/>
      <c r="F25" s="203" t="str">
        <f>IF(E25="Yes","","Yes")</f>
        <v>Yes</v>
      </c>
      <c r="G25" s="203" t="str">
        <f t="shared" si="0"/>
        <v/>
      </c>
      <c r="H25" s="203" t="str">
        <f t="shared" si="1"/>
        <v/>
      </c>
      <c r="I25" s="203" t="str">
        <f t="shared" si="2"/>
        <v/>
      </c>
      <c r="J25" s="204" t="str">
        <f t="shared" si="3"/>
        <v/>
      </c>
      <c r="K25" s="192"/>
      <c r="L25" s="208"/>
      <c r="M25" s="210"/>
      <c r="N25" s="192"/>
    </row>
    <row r="26" spans="1:14" ht="19.95" customHeight="1" thickBot="1" x14ac:dyDescent="0.5">
      <c r="B26" s="257">
        <v>415890</v>
      </c>
      <c r="C26" s="257" t="s">
        <v>228</v>
      </c>
      <c r="D26" s="257" t="s">
        <v>229</v>
      </c>
      <c r="E26" s="257"/>
      <c r="F26" s="257"/>
      <c r="G26" s="257" t="str">
        <f t="shared" si="0"/>
        <v>YES</v>
      </c>
      <c r="H26" s="257" t="str">
        <f t="shared" si="1"/>
        <v/>
      </c>
      <c r="I26" s="257" t="str">
        <f t="shared" si="2"/>
        <v/>
      </c>
      <c r="J26" s="257" t="str">
        <f t="shared" si="3"/>
        <v/>
      </c>
      <c r="K26" s="192"/>
      <c r="L26" s="208"/>
      <c r="M26" s="215"/>
      <c r="N26" s="192"/>
    </row>
    <row r="27" spans="1:14" ht="19.95" customHeight="1" thickBot="1" x14ac:dyDescent="0.5">
      <c r="A27" s="216"/>
      <c r="B27" s="217">
        <v>116780</v>
      </c>
      <c r="C27" s="214" t="s">
        <v>230</v>
      </c>
      <c r="D27" s="201" t="s">
        <v>231</v>
      </c>
      <c r="E27" s="201"/>
      <c r="F27" s="201"/>
      <c r="G27" s="201"/>
      <c r="H27" s="201" t="str">
        <f t="shared" si="1"/>
        <v>YES</v>
      </c>
      <c r="I27" s="201" t="str">
        <f t="shared" si="2"/>
        <v/>
      </c>
      <c r="J27" s="206" t="str">
        <f t="shared" si="3"/>
        <v/>
      </c>
      <c r="K27" s="192"/>
      <c r="L27" s="208"/>
      <c r="M27" s="210"/>
      <c r="N27" s="192"/>
    </row>
    <row r="28" spans="1:14" ht="19.95" customHeight="1" thickBot="1" x14ac:dyDescent="0.5">
      <c r="A28" s="216"/>
      <c r="B28" s="257">
        <v>691757</v>
      </c>
      <c r="C28" s="257" t="s">
        <v>232</v>
      </c>
      <c r="D28" s="257" t="s">
        <v>233</v>
      </c>
      <c r="E28" s="257"/>
      <c r="F28" s="257"/>
      <c r="G28" s="257"/>
      <c r="H28" s="257"/>
      <c r="I28" s="257"/>
      <c r="J28" s="257" t="str">
        <f t="shared" si="3"/>
        <v>SUB</v>
      </c>
      <c r="K28" s="192"/>
      <c r="L28" s="208"/>
      <c r="M28" s="210"/>
      <c r="N28" s="192"/>
    </row>
    <row r="29" spans="1:14" ht="19.95" customHeight="1" thickBot="1" x14ac:dyDescent="0.5">
      <c r="B29" s="205">
        <v>177275</v>
      </c>
      <c r="C29" s="201" t="s">
        <v>234</v>
      </c>
      <c r="D29" s="201" t="s">
        <v>235</v>
      </c>
      <c r="E29" s="201" t="s">
        <v>213</v>
      </c>
      <c r="F29" s="201" t="str">
        <f>IF(E29="Yes","","yes")</f>
        <v/>
      </c>
      <c r="G29" s="201" t="str">
        <f t="shared" si="0"/>
        <v/>
      </c>
      <c r="H29" s="201" t="str">
        <f t="shared" si="1"/>
        <v/>
      </c>
      <c r="I29" s="201" t="str">
        <f t="shared" si="2"/>
        <v/>
      </c>
      <c r="J29" s="206" t="str">
        <f t="shared" si="3"/>
        <v/>
      </c>
      <c r="K29" s="192"/>
      <c r="L29" s="208"/>
      <c r="M29" s="210"/>
      <c r="N29" s="192"/>
    </row>
    <row r="30" spans="1:14" ht="19.95" customHeight="1" thickBot="1" x14ac:dyDescent="0.5">
      <c r="B30" s="257">
        <v>503413</v>
      </c>
      <c r="C30" s="257" t="s">
        <v>107</v>
      </c>
      <c r="D30" s="257" t="s">
        <v>236</v>
      </c>
      <c r="E30" s="257"/>
      <c r="F30" s="257"/>
      <c r="G30" s="257" t="str">
        <f t="shared" si="0"/>
        <v>YES</v>
      </c>
      <c r="H30" s="257" t="str">
        <f t="shared" si="1"/>
        <v/>
      </c>
      <c r="I30" s="257" t="str">
        <f t="shared" si="2"/>
        <v/>
      </c>
      <c r="J30" s="257" t="str">
        <f t="shared" si="3"/>
        <v/>
      </c>
      <c r="K30" s="192"/>
      <c r="L30" s="208"/>
      <c r="M30" s="215"/>
      <c r="N30" s="192"/>
    </row>
    <row r="31" spans="1:14" ht="19.95" customHeight="1" thickBot="1" x14ac:dyDescent="0.5">
      <c r="B31" s="205">
        <v>200167</v>
      </c>
      <c r="C31" s="201" t="s">
        <v>237</v>
      </c>
      <c r="D31" s="201" t="s">
        <v>238</v>
      </c>
      <c r="E31" s="201"/>
      <c r="F31" s="201"/>
      <c r="G31" s="201"/>
      <c r="H31" s="201"/>
      <c r="I31" s="201"/>
      <c r="J31" s="206" t="str">
        <f t="shared" si="3"/>
        <v>SUB</v>
      </c>
      <c r="K31" s="192"/>
      <c r="L31" s="208"/>
      <c r="M31" s="210"/>
      <c r="N31" s="192"/>
    </row>
    <row r="32" spans="1:14" ht="19.95" customHeight="1" thickBot="1" x14ac:dyDescent="0.5">
      <c r="B32" s="257">
        <v>229763</v>
      </c>
      <c r="C32" s="257" t="s">
        <v>239</v>
      </c>
      <c r="D32" s="257" t="s">
        <v>240</v>
      </c>
      <c r="E32" s="257"/>
      <c r="F32" s="257" t="str">
        <f>IF(E32="Yes","","Yes")</f>
        <v>Yes</v>
      </c>
      <c r="G32" s="257" t="str">
        <f t="shared" si="0"/>
        <v/>
      </c>
      <c r="H32" s="257" t="str">
        <f t="shared" si="1"/>
        <v/>
      </c>
      <c r="I32" s="257" t="str">
        <f t="shared" si="2"/>
        <v/>
      </c>
      <c r="J32" s="257" t="str">
        <f t="shared" si="3"/>
        <v/>
      </c>
      <c r="K32" s="192"/>
      <c r="L32" s="208"/>
      <c r="M32" s="215"/>
      <c r="N32" s="192"/>
    </row>
    <row r="33" spans="1:15" ht="19.95" customHeight="1" thickBot="1" x14ac:dyDescent="0.5">
      <c r="B33" s="202">
        <v>238491</v>
      </c>
      <c r="C33" s="203" t="s">
        <v>241</v>
      </c>
      <c r="D33" s="203" t="s">
        <v>69</v>
      </c>
      <c r="E33" s="203" t="s">
        <v>213</v>
      </c>
      <c r="F33" s="203" t="str">
        <f>IF(E33="Yes","","yes")</f>
        <v/>
      </c>
      <c r="G33" s="203" t="str">
        <f t="shared" si="0"/>
        <v/>
      </c>
      <c r="H33" s="203" t="str">
        <f t="shared" si="1"/>
        <v/>
      </c>
      <c r="I33" s="203" t="str">
        <f t="shared" si="2"/>
        <v/>
      </c>
      <c r="J33" s="204" t="str">
        <f t="shared" si="3"/>
        <v/>
      </c>
      <c r="K33" s="192"/>
      <c r="L33" s="208"/>
      <c r="M33" s="210"/>
      <c r="N33" s="192"/>
    </row>
    <row r="34" spans="1:15" ht="19.95" customHeight="1" thickBot="1" x14ac:dyDescent="0.5">
      <c r="B34" s="257">
        <v>303803</v>
      </c>
      <c r="C34" s="257" t="s">
        <v>242</v>
      </c>
      <c r="D34" s="257" t="s">
        <v>243</v>
      </c>
      <c r="E34" s="257"/>
      <c r="F34" s="257"/>
      <c r="G34" s="257" t="str">
        <f t="shared" si="0"/>
        <v>YES</v>
      </c>
      <c r="H34" s="257" t="str">
        <f t="shared" si="1"/>
        <v/>
      </c>
      <c r="I34" s="257" t="str">
        <f t="shared" si="2"/>
        <v/>
      </c>
      <c r="J34" s="257" t="str">
        <f t="shared" si="3"/>
        <v/>
      </c>
      <c r="K34" s="192"/>
      <c r="L34" s="208"/>
      <c r="M34" s="210"/>
      <c r="N34" s="192"/>
    </row>
    <row r="35" spans="1:15" ht="19.95" customHeight="1" x14ac:dyDescent="0.45">
      <c r="B35" s="211">
        <v>190632</v>
      </c>
      <c r="C35" s="212" t="s">
        <v>244</v>
      </c>
      <c r="D35" s="212" t="s">
        <v>245</v>
      </c>
      <c r="E35" s="212"/>
      <c r="F35" s="212"/>
      <c r="G35" s="212"/>
      <c r="H35" s="212"/>
      <c r="I35" s="212" t="str">
        <f t="shared" si="2"/>
        <v>YES</v>
      </c>
      <c r="J35" s="218" t="str">
        <f t="shared" si="3"/>
        <v/>
      </c>
      <c r="K35" s="192"/>
      <c r="L35" s="208"/>
      <c r="M35" s="210"/>
      <c r="N35" s="192"/>
    </row>
    <row r="36" spans="1:15" ht="19.95" customHeight="1" thickBot="1" x14ac:dyDescent="0.5">
      <c r="A36" s="216"/>
      <c r="B36" s="257">
        <v>211925</v>
      </c>
      <c r="C36" s="257" t="s">
        <v>246</v>
      </c>
      <c r="D36" s="257" t="s">
        <v>247</v>
      </c>
      <c r="E36" s="257"/>
      <c r="F36" s="257"/>
      <c r="G36" s="257"/>
      <c r="H36" s="257" t="str">
        <f t="shared" si="1"/>
        <v>YES</v>
      </c>
      <c r="I36" s="257" t="str">
        <f t="shared" si="2"/>
        <v/>
      </c>
      <c r="J36" s="257" t="str">
        <f t="shared" si="3"/>
        <v/>
      </c>
      <c r="K36" s="192"/>
      <c r="L36" s="192"/>
      <c r="N36" s="192"/>
    </row>
    <row r="37" spans="1:15" ht="19.95" customHeight="1" thickBot="1" x14ac:dyDescent="0.5">
      <c r="A37" s="216"/>
      <c r="B37" s="202">
        <v>439380</v>
      </c>
      <c r="C37" s="204" t="s">
        <v>248</v>
      </c>
      <c r="D37" s="214" t="s">
        <v>249</v>
      </c>
      <c r="E37" s="204"/>
      <c r="F37" s="203" t="str">
        <f>IF(E37="Yes","","Yes")</f>
        <v>Yes</v>
      </c>
      <c r="G37" s="203" t="str">
        <f t="shared" si="0"/>
        <v/>
      </c>
      <c r="H37" s="203" t="str">
        <f t="shared" si="1"/>
        <v/>
      </c>
      <c r="I37" s="203" t="str">
        <f t="shared" si="2"/>
        <v/>
      </c>
      <c r="J37" s="204" t="str">
        <f t="shared" si="3"/>
        <v/>
      </c>
      <c r="K37" s="192"/>
      <c r="L37" s="192"/>
      <c r="M37" s="192"/>
      <c r="N37" s="192"/>
    </row>
    <row r="38" spans="1:15" ht="19.95" customHeight="1" thickBot="1" x14ac:dyDescent="0.5">
      <c r="A38" s="216"/>
      <c r="B38" s="257">
        <v>610702</v>
      </c>
      <c r="C38" s="257" t="s">
        <v>250</v>
      </c>
      <c r="D38" s="257" t="s">
        <v>251</v>
      </c>
      <c r="E38" s="257"/>
      <c r="F38" s="257"/>
      <c r="G38" s="257" t="str">
        <f t="shared" si="0"/>
        <v>YES</v>
      </c>
      <c r="H38" s="257" t="str">
        <f t="shared" si="1"/>
        <v/>
      </c>
      <c r="I38" s="257" t="str">
        <f t="shared" si="2"/>
        <v/>
      </c>
      <c r="J38" s="257" t="str">
        <f t="shared" si="3"/>
        <v/>
      </c>
      <c r="K38" s="192"/>
      <c r="L38" s="192"/>
      <c r="M38" s="192"/>
      <c r="N38" s="192"/>
    </row>
    <row r="39" spans="1:15" ht="19.95" customHeight="1" x14ac:dyDescent="0.45">
      <c r="A39" s="216"/>
      <c r="B39" s="222">
        <v>431063</v>
      </c>
      <c r="C39" s="213" t="s">
        <v>252</v>
      </c>
      <c r="D39" s="220" t="s">
        <v>253</v>
      </c>
      <c r="E39" s="213"/>
      <c r="F39" s="213"/>
      <c r="G39" s="213"/>
      <c r="H39" s="213"/>
      <c r="I39" s="213"/>
      <c r="J39" s="221" t="str">
        <f t="shared" si="3"/>
        <v>SUB</v>
      </c>
      <c r="K39" s="192"/>
      <c r="L39" s="192"/>
      <c r="M39" s="192"/>
      <c r="N39" s="192"/>
    </row>
    <row r="40" spans="1:15" ht="19.95" customHeight="1" thickBot="1" x14ac:dyDescent="0.5">
      <c r="A40" s="216"/>
      <c r="B40" s="257">
        <v>294431</v>
      </c>
      <c r="C40" s="257" t="s">
        <v>254</v>
      </c>
      <c r="D40" s="257" t="s">
        <v>255</v>
      </c>
      <c r="E40" s="257" t="s">
        <v>213</v>
      </c>
      <c r="F40" s="257" t="str">
        <f>IF(E40="Yes","","yes")</f>
        <v/>
      </c>
      <c r="G40" s="257" t="str">
        <f t="shared" si="0"/>
        <v/>
      </c>
      <c r="H40" s="257" t="str">
        <f t="shared" si="1"/>
        <v/>
      </c>
      <c r="I40" s="257" t="str">
        <f t="shared" si="2"/>
        <v/>
      </c>
      <c r="J40" s="257" t="str">
        <f t="shared" si="3"/>
        <v/>
      </c>
      <c r="K40" s="192"/>
      <c r="L40" s="192"/>
      <c r="M40" s="192"/>
      <c r="N40" s="192"/>
    </row>
    <row r="41" spans="1:15" ht="19.95" customHeight="1" thickBot="1" x14ac:dyDescent="0.5">
      <c r="A41" s="216"/>
      <c r="B41" s="223">
        <v>552430</v>
      </c>
      <c r="C41" s="201" t="s">
        <v>256</v>
      </c>
      <c r="D41" s="201" t="s">
        <v>257</v>
      </c>
      <c r="E41" s="201"/>
      <c r="F41" s="201"/>
      <c r="G41" s="201" t="str">
        <f t="shared" si="0"/>
        <v>YES</v>
      </c>
      <c r="H41" s="201" t="str">
        <f t="shared" si="1"/>
        <v/>
      </c>
      <c r="I41" s="201" t="str">
        <f t="shared" si="2"/>
        <v/>
      </c>
      <c r="J41" s="201" t="str">
        <f t="shared" si="3"/>
        <v/>
      </c>
      <c r="K41" s="224"/>
      <c r="L41" s="192"/>
      <c r="M41" s="192"/>
      <c r="N41" s="207"/>
      <c r="O41" s="197"/>
    </row>
    <row r="42" spans="1:15" ht="19.95" customHeight="1" thickBot="1" x14ac:dyDescent="0.5">
      <c r="A42" s="216"/>
      <c r="B42" s="257">
        <v>674518</v>
      </c>
      <c r="C42" s="257" t="s">
        <v>258</v>
      </c>
      <c r="D42" s="257" t="s">
        <v>259</v>
      </c>
      <c r="E42" s="257"/>
      <c r="F42" s="257"/>
      <c r="G42" s="257"/>
      <c r="H42" s="257" t="str">
        <f t="shared" si="1"/>
        <v>YES</v>
      </c>
      <c r="I42" s="257" t="str">
        <f t="shared" si="2"/>
        <v/>
      </c>
      <c r="J42" s="257" t="str">
        <f t="shared" si="3"/>
        <v/>
      </c>
      <c r="K42" s="192"/>
      <c r="L42" s="192"/>
      <c r="M42" s="192"/>
      <c r="N42" s="192"/>
    </row>
    <row r="43" spans="1:15" ht="19.95" customHeight="1" x14ac:dyDescent="0.45">
      <c r="A43" s="216"/>
      <c r="B43" s="219">
        <v>502168</v>
      </c>
      <c r="C43" s="212" t="s">
        <v>260</v>
      </c>
      <c r="D43" s="212" t="s">
        <v>261</v>
      </c>
      <c r="E43" s="212"/>
      <c r="F43" s="212"/>
      <c r="G43" s="212"/>
      <c r="H43" s="212"/>
      <c r="I43" s="212" t="str">
        <f t="shared" si="2"/>
        <v>YES</v>
      </c>
      <c r="J43" s="218" t="str">
        <f t="shared" si="3"/>
        <v/>
      </c>
      <c r="K43" s="192"/>
      <c r="L43" s="192"/>
      <c r="M43" s="192"/>
      <c r="N43" s="192"/>
    </row>
    <row r="44" spans="1:15" ht="19.95" customHeight="1" thickBot="1" x14ac:dyDescent="0.5">
      <c r="A44" s="216"/>
      <c r="B44" s="257">
        <v>532207</v>
      </c>
      <c r="C44" s="257" t="s">
        <v>262</v>
      </c>
      <c r="D44" s="257" t="s">
        <v>263</v>
      </c>
      <c r="E44" s="257"/>
      <c r="F44" s="257"/>
      <c r="G44" s="257"/>
      <c r="H44" s="257"/>
      <c r="I44" s="257" t="str">
        <f t="shared" si="2"/>
        <v>YES</v>
      </c>
      <c r="J44" s="257" t="str">
        <f t="shared" si="3"/>
        <v/>
      </c>
      <c r="K44" s="192"/>
      <c r="L44" s="192"/>
      <c r="M44" s="192"/>
      <c r="N44" s="192"/>
    </row>
    <row r="45" spans="1:15" ht="19.95" customHeight="1" thickBot="1" x14ac:dyDescent="0.5">
      <c r="A45" s="216"/>
      <c r="B45" s="223">
        <v>134560</v>
      </c>
      <c r="C45" s="201" t="s">
        <v>264</v>
      </c>
      <c r="D45" s="201" t="s">
        <v>265</v>
      </c>
      <c r="E45" s="201"/>
      <c r="F45" s="201"/>
      <c r="G45" s="201"/>
      <c r="H45" s="201"/>
      <c r="I45" s="201"/>
      <c r="J45" s="206" t="str">
        <f t="shared" si="3"/>
        <v>SUB</v>
      </c>
      <c r="K45" s="192"/>
      <c r="L45" s="192"/>
      <c r="M45" s="192"/>
      <c r="N45" s="192"/>
    </row>
    <row r="46" spans="1:15" ht="19.95" customHeight="1" thickBot="1" x14ac:dyDescent="0.5">
      <c r="A46" s="216"/>
      <c r="B46" s="257">
        <v>589646</v>
      </c>
      <c r="C46" s="257" t="s">
        <v>26</v>
      </c>
      <c r="D46" s="257" t="s">
        <v>266</v>
      </c>
      <c r="E46" s="257"/>
      <c r="F46" s="257"/>
      <c r="G46" s="257" t="str">
        <f t="shared" si="0"/>
        <v>YES</v>
      </c>
      <c r="H46" s="257" t="str">
        <f t="shared" si="1"/>
        <v/>
      </c>
      <c r="I46" s="257" t="str">
        <f t="shared" si="2"/>
        <v/>
      </c>
      <c r="J46" s="257" t="str">
        <f t="shared" si="3"/>
        <v/>
      </c>
      <c r="K46" s="192"/>
      <c r="L46" s="192"/>
      <c r="M46" s="192"/>
      <c r="N46" s="192"/>
    </row>
    <row r="47" spans="1:15" ht="19.95" customHeight="1" thickBot="1" x14ac:dyDescent="0.5">
      <c r="B47" s="202">
        <v>259086</v>
      </c>
      <c r="C47" s="203" t="s">
        <v>267</v>
      </c>
      <c r="D47" s="203" t="s">
        <v>268</v>
      </c>
      <c r="E47" s="203"/>
      <c r="F47" s="203"/>
      <c r="G47" s="203"/>
      <c r="H47" s="203" t="str">
        <f t="shared" si="1"/>
        <v>YES</v>
      </c>
      <c r="I47" s="203" t="str">
        <f t="shared" si="2"/>
        <v/>
      </c>
      <c r="J47" s="204" t="str">
        <f t="shared" si="3"/>
        <v/>
      </c>
      <c r="K47" s="192"/>
      <c r="L47" s="192"/>
      <c r="M47" s="192"/>
      <c r="N47" s="192"/>
    </row>
    <row r="48" spans="1:15" ht="19.95" customHeight="1" thickBot="1" x14ac:dyDescent="0.5">
      <c r="B48" s="257">
        <v>251960</v>
      </c>
      <c r="C48" s="257" t="s">
        <v>269</v>
      </c>
      <c r="D48" s="257" t="s">
        <v>270</v>
      </c>
      <c r="E48" s="257"/>
      <c r="F48" s="257" t="str">
        <f>IF(E48="Yes","","yes")</f>
        <v>yes</v>
      </c>
      <c r="G48" s="257" t="str">
        <f t="shared" si="0"/>
        <v/>
      </c>
      <c r="H48" s="257" t="str">
        <f t="shared" si="1"/>
        <v/>
      </c>
      <c r="I48" s="257" t="str">
        <f t="shared" si="2"/>
        <v/>
      </c>
      <c r="J48" s="257" t="str">
        <f t="shared" si="3"/>
        <v/>
      </c>
      <c r="K48" s="257" t="s">
        <v>425</v>
      </c>
      <c r="L48" s="192"/>
      <c r="M48" s="192"/>
      <c r="N48" s="192"/>
    </row>
    <row r="49" spans="1:14" ht="19.95" customHeight="1" thickBot="1" x14ac:dyDescent="0.5">
      <c r="B49" s="241" t="s">
        <v>423</v>
      </c>
      <c r="C49" s="242"/>
      <c r="D49" s="242"/>
      <c r="E49" s="242">
        <f>COUNTIF(E19:E48,"Yes")</f>
        <v>5</v>
      </c>
      <c r="F49" s="242">
        <f>COUNTIF(F19:F48,"Yes")</f>
        <v>6</v>
      </c>
      <c r="G49" s="242">
        <f>COUNTIF(G19:G48,"Yes")</f>
        <v>6</v>
      </c>
      <c r="H49" s="242">
        <f>COUNTIF(H19:H48,"Yes")</f>
        <v>5</v>
      </c>
      <c r="I49" s="242">
        <f>COUNTIF(I19:I48,"Yes")</f>
        <v>4</v>
      </c>
      <c r="J49" s="243">
        <f>COUNTIF(J19:J48,"SUB")</f>
        <v>4</v>
      </c>
      <c r="K49" s="242">
        <f>COUNT(Employee_ID)</f>
        <v>30</v>
      </c>
      <c r="L49" s="192"/>
      <c r="M49" s="192"/>
      <c r="N49" s="192"/>
    </row>
    <row r="50" spans="1:14" ht="19.95" customHeight="1" thickBot="1" x14ac:dyDescent="0.5">
      <c r="B50" s="244" t="s">
        <v>424</v>
      </c>
      <c r="C50" s="245"/>
      <c r="D50" s="245"/>
      <c r="E50" s="245">
        <f>COUNT(ClassA)</f>
        <v>13</v>
      </c>
      <c r="F50" s="245">
        <f>COUNT(ClassB)</f>
        <v>12</v>
      </c>
      <c r="G50" s="245">
        <f>COUNT(ClassC)</f>
        <v>38</v>
      </c>
      <c r="H50" s="245">
        <f>COUNT(ClassD)</f>
        <v>27</v>
      </c>
      <c r="I50" s="245">
        <f>COUNT(ClassF)</f>
        <v>10</v>
      </c>
      <c r="J50" s="246">
        <f>COUNT(ClassA)</f>
        <v>13</v>
      </c>
      <c r="K50" s="245">
        <f>COUNT(Student_ID)</f>
        <v>100</v>
      </c>
      <c r="L50" s="192"/>
      <c r="M50" s="192"/>
      <c r="N50" s="192"/>
    </row>
    <row r="51" spans="1:14" ht="19.95" customHeight="1" x14ac:dyDescent="0.3">
      <c r="B51" s="164"/>
      <c r="C51" s="225"/>
      <c r="D51" s="225"/>
      <c r="E51" s="225"/>
      <c r="F51" s="225"/>
      <c r="G51" s="225"/>
      <c r="H51" s="225"/>
      <c r="I51" s="225"/>
      <c r="J51" s="225"/>
    </row>
    <row r="52" spans="1:14" ht="19.95" customHeight="1" x14ac:dyDescent="0.3">
      <c r="A52" s="216"/>
      <c r="B52" s="164"/>
      <c r="C52" s="164"/>
      <c r="D52" s="164"/>
      <c r="E52" s="164"/>
      <c r="F52" s="164"/>
      <c r="G52" s="164"/>
      <c r="H52" s="164"/>
      <c r="I52" s="164"/>
      <c r="J52" s="164"/>
    </row>
    <row r="53" spans="1:14" ht="19.95" customHeight="1" x14ac:dyDescent="0.3">
      <c r="B53" s="164"/>
      <c r="C53" s="164"/>
      <c r="D53" s="164"/>
      <c r="E53" s="164"/>
      <c r="F53" s="164"/>
      <c r="G53" s="164"/>
      <c r="H53" s="164"/>
      <c r="I53" s="164"/>
      <c r="J53" s="164"/>
    </row>
    <row r="54" spans="1:14" ht="19.95" customHeight="1" x14ac:dyDescent="0.3">
      <c r="B54" s="164"/>
      <c r="C54" s="164"/>
      <c r="D54" s="164"/>
      <c r="E54" s="164"/>
      <c r="F54" s="164"/>
      <c r="G54" s="164"/>
      <c r="H54" s="164"/>
      <c r="I54" s="164"/>
      <c r="J54" s="164"/>
    </row>
    <row r="55" spans="1:14" ht="19.95" customHeight="1" x14ac:dyDescent="0.3">
      <c r="B55" s="164"/>
      <c r="C55" s="164"/>
      <c r="D55" s="164"/>
      <c r="E55" s="164"/>
      <c r="F55" s="164"/>
      <c r="G55" s="164"/>
      <c r="H55" s="164"/>
      <c r="I55" s="164"/>
      <c r="J55" s="164"/>
    </row>
    <row r="56" spans="1:14" ht="19.95" customHeight="1" x14ac:dyDescent="0.3">
      <c r="B56" s="164"/>
      <c r="C56" s="164"/>
      <c r="D56" s="164"/>
      <c r="E56" s="164"/>
      <c r="F56" s="164"/>
      <c r="G56" s="164"/>
      <c r="H56" s="164"/>
      <c r="I56" s="164"/>
      <c r="J56" s="164"/>
    </row>
    <row r="57" spans="1:14" ht="19.95" customHeight="1" x14ac:dyDescent="0.3">
      <c r="B57" s="164"/>
      <c r="C57" s="164"/>
      <c r="D57" s="164"/>
      <c r="E57" s="164"/>
      <c r="F57" s="164"/>
      <c r="G57" s="164"/>
      <c r="H57" s="164"/>
      <c r="I57" s="164"/>
      <c r="J57" s="164"/>
    </row>
    <row r="58" spans="1:14" ht="15.6" x14ac:dyDescent="0.3">
      <c r="B58" s="164"/>
      <c r="C58" s="164"/>
      <c r="D58" s="164"/>
      <c r="E58" s="164"/>
      <c r="F58" s="164"/>
      <c r="G58" s="164"/>
      <c r="H58" s="164"/>
      <c r="I58" s="164"/>
      <c r="J58" s="164"/>
    </row>
    <row r="59" spans="1:14" ht="15.6" x14ac:dyDescent="0.3">
      <c r="B59" s="164"/>
      <c r="C59" s="164"/>
      <c r="D59" s="164"/>
      <c r="E59" s="164"/>
      <c r="F59" s="164"/>
      <c r="G59" s="164"/>
      <c r="H59" s="164"/>
      <c r="I59" s="164"/>
      <c r="J59" s="164"/>
    </row>
  </sheetData>
  <mergeCells count="2">
    <mergeCell ref="B2:G2"/>
    <mergeCell ref="D1:E1"/>
  </mergeCells>
  <dataValidations count="1">
    <dataValidation type="list" allowBlank="1" showInputMessage="1" showErrorMessage="1" sqref="C14" xr:uid="{6EE397CC-6762-425E-9ED9-8258EC51F3CB}">
      <formula1>$M$8:$M$28</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768C2114-02F5-4CF7-8385-7BE6997099BE}">
          <x14:formula1>
            <xm:f>'Class A'!$M$6:$M$10</xm:f>
          </x14:formula1>
          <xm:sqref>C8</xm:sqref>
        </x14:dataValidation>
        <x14:dataValidation type="list" allowBlank="1" showInputMessage="1" showErrorMessage="1" xr:uid="{E0D83AB5-6F6B-4436-8FCD-A3D102CA7E7A}">
          <x14:formula1>
            <xm:f>'Class F '!$N$4:$N$7</xm:f>
          </x14:formula1>
          <xm:sqref>C16:C17</xm:sqref>
        </x14:dataValidation>
        <x14:dataValidation type="list" allowBlank="1" showInputMessage="1" showErrorMessage="1" xr:uid="{B8CC7392-138B-4598-91E7-F859179A1313}">
          <x14:formula1>
            <xm:f>'Class C'!$N$13:$N$17</xm:f>
          </x14:formula1>
          <xm:sqref>C12</xm:sqref>
        </x14:dataValidation>
        <x14:dataValidation type="list" allowBlank="1" showInputMessage="1" showErrorMessage="1" xr:uid="{617FEA98-C621-45BA-A684-9A3742CB07D2}">
          <x14:formula1>
            <xm:f>'Class  B'!$R$30:$R$35</xm:f>
          </x14:formula1>
          <xm:sqref>C10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0D6AF-16BB-4AF8-9B17-FF05C603A556}">
  <sheetPr codeName="Sheet6">
    <tabColor theme="6"/>
  </sheetPr>
  <dimension ref="A1:M65"/>
  <sheetViews>
    <sheetView zoomScaleNormal="100" workbookViewId="0">
      <pane ySplit="1" topLeftCell="A2" activePane="bottomLeft" state="frozen"/>
      <selection activeCell="AC33" sqref="AC33"/>
      <selection pane="bottomLeft" activeCell="O24" sqref="O24"/>
    </sheetView>
  </sheetViews>
  <sheetFormatPr defaultColWidth="8.875" defaultRowHeight="14.4" x14ac:dyDescent="0.3"/>
  <cols>
    <col min="1" max="1" width="4" style="29" customWidth="1"/>
    <col min="2" max="2" width="15.625" style="29" customWidth="1"/>
    <col min="3" max="3" width="13.375" style="29" customWidth="1"/>
    <col min="4" max="4" width="22.625" style="29" customWidth="1"/>
    <col min="5" max="5" width="21.375" style="29" customWidth="1"/>
    <col min="6" max="6" width="19.25" style="29" bestFit="1" customWidth="1"/>
    <col min="7" max="7" width="18.625" style="29" customWidth="1"/>
    <col min="8" max="8" width="20.125" style="29" bestFit="1" customWidth="1"/>
    <col min="9" max="9" width="12.625" style="29" customWidth="1"/>
    <col min="10" max="10" width="17.125" style="29" customWidth="1"/>
    <col min="11" max="11" width="19.625" style="29" customWidth="1"/>
    <col min="12" max="12" width="12" style="29" customWidth="1"/>
    <col min="13" max="14" width="8.875" style="29"/>
    <col min="15" max="15" width="12" style="29" bestFit="1" customWidth="1"/>
    <col min="16" max="16" width="19.625" style="29" bestFit="1" customWidth="1"/>
    <col min="17" max="16384" width="8.875" style="29"/>
  </cols>
  <sheetData>
    <row r="1" spans="1:13" ht="27.75" customHeight="1" x14ac:dyDescent="0.3">
      <c r="A1" s="60">
        <v>2</v>
      </c>
      <c r="B1" s="126" t="s">
        <v>206</v>
      </c>
      <c r="C1" s="126" t="s">
        <v>207</v>
      </c>
      <c r="D1" s="126" t="s">
        <v>208</v>
      </c>
      <c r="E1" s="126" t="s">
        <v>209</v>
      </c>
      <c r="F1" s="126" t="s">
        <v>210</v>
      </c>
      <c r="G1" s="126" t="s">
        <v>211</v>
      </c>
      <c r="H1" s="126" t="s">
        <v>212</v>
      </c>
      <c r="M1" s="60" t="s">
        <v>213</v>
      </c>
    </row>
    <row r="2" spans="1:13" x14ac:dyDescent="0.3">
      <c r="B2" s="127">
        <v>415890</v>
      </c>
      <c r="C2" s="127" t="str">
        <f>IFERROR(VLOOKUP($B$2,$B5:$H$55,2,FALSE)," ")</f>
        <v>Boyd</v>
      </c>
      <c r="D2" s="127" t="str">
        <f>IFERROR(VLOOKUP($B$2,$B5:$H$55,3,FALSE)," ")</f>
        <v>Burton</v>
      </c>
      <c r="E2" s="127" t="str">
        <f ca="1">IFERROR(VLOOKUP($B$2,$B5:$H$55,4,FALSE)," ")</f>
        <v>No</v>
      </c>
      <c r="F2" s="127" t="str">
        <f ca="1">IFERROR(VLOOKUP($B$2,$B5:$H$55,5,FALSE)," ")</f>
        <v>Yes</v>
      </c>
      <c r="G2" s="127" t="str">
        <f ca="1">IFERROR(VLOOKUP($B$2,$B5:$H$55,6,FALSE)," ")</f>
        <v>No</v>
      </c>
      <c r="H2" s="127" t="str">
        <f ca="1">IFERROR(VLOOKUP($B$2,$B5:$H$55,7,FALSE)," ")</f>
        <v>Yes</v>
      </c>
      <c r="M2" s="60" t="s">
        <v>214</v>
      </c>
    </row>
    <row r="3" spans="1:13" x14ac:dyDescent="0.3">
      <c r="B3" s="127"/>
      <c r="C3" s="127"/>
      <c r="D3" s="127"/>
      <c r="E3" s="127"/>
      <c r="F3" s="127"/>
      <c r="G3" s="127"/>
      <c r="H3" s="127"/>
    </row>
    <row r="5" spans="1:13" x14ac:dyDescent="0.3">
      <c r="B5" s="121" t="s">
        <v>206</v>
      </c>
      <c r="C5" s="121" t="s">
        <v>207</v>
      </c>
      <c r="D5" s="121" t="s">
        <v>208</v>
      </c>
      <c r="E5" s="121" t="s">
        <v>209</v>
      </c>
      <c r="F5" s="121" t="s">
        <v>210</v>
      </c>
      <c r="G5" s="121" t="s">
        <v>211</v>
      </c>
      <c r="H5" s="121" t="s">
        <v>212</v>
      </c>
      <c r="L5" s="119"/>
    </row>
    <row r="6" spans="1:13" x14ac:dyDescent="0.3">
      <c r="B6" s="125">
        <v>431063</v>
      </c>
      <c r="C6" s="125" t="s">
        <v>252</v>
      </c>
      <c r="D6" s="125" t="s">
        <v>253</v>
      </c>
      <c r="E6" s="29" t="str">
        <f t="shared" ref="E6:E35" ca="1" si="0">IF(RAND()&lt;0.25,"Yes","No")</f>
        <v>Yes</v>
      </c>
      <c r="F6" s="29" t="str">
        <f t="shared" ref="F6:H35" ca="1" si="1">IF(E6="Yes","No","Yes")</f>
        <v>No</v>
      </c>
      <c r="G6" s="29" t="str">
        <f t="shared" ca="1" si="1"/>
        <v>Yes</v>
      </c>
      <c r="H6" s="29" t="str">
        <f t="shared" ca="1" si="1"/>
        <v>No</v>
      </c>
    </row>
    <row r="7" spans="1:13" x14ac:dyDescent="0.3">
      <c r="B7" s="125">
        <v>200167</v>
      </c>
      <c r="C7" s="125" t="s">
        <v>237</v>
      </c>
      <c r="D7" s="125" t="s">
        <v>238</v>
      </c>
      <c r="E7" s="29" t="str">
        <f t="shared" ca="1" si="0"/>
        <v>No</v>
      </c>
      <c r="F7" s="29" t="str">
        <f t="shared" ca="1" si="1"/>
        <v>Yes</v>
      </c>
      <c r="G7" s="29" t="str">
        <f t="shared" ca="1" si="1"/>
        <v>No</v>
      </c>
      <c r="H7" s="29" t="str">
        <f t="shared" ca="1" si="1"/>
        <v>Yes</v>
      </c>
    </row>
    <row r="8" spans="1:13" x14ac:dyDescent="0.3">
      <c r="B8" s="125">
        <v>177275</v>
      </c>
      <c r="C8" s="125" t="s">
        <v>234</v>
      </c>
      <c r="D8" s="125" t="s">
        <v>235</v>
      </c>
      <c r="E8" s="29" t="str">
        <f t="shared" ca="1" si="0"/>
        <v>No</v>
      </c>
      <c r="F8" s="29" t="str">
        <f t="shared" ca="1" si="1"/>
        <v>Yes</v>
      </c>
      <c r="G8" s="29" t="str">
        <f t="shared" ca="1" si="1"/>
        <v>No</v>
      </c>
      <c r="H8" s="29" t="str">
        <f t="shared" ca="1" si="1"/>
        <v>Yes</v>
      </c>
    </row>
    <row r="9" spans="1:13" x14ac:dyDescent="0.3">
      <c r="B9" s="125">
        <v>415890</v>
      </c>
      <c r="C9" s="125" t="s">
        <v>228</v>
      </c>
      <c r="D9" s="125" t="s">
        <v>229</v>
      </c>
      <c r="E9" s="29" t="str">
        <f t="shared" ca="1" si="0"/>
        <v>No</v>
      </c>
      <c r="F9" s="29" t="str">
        <f t="shared" ca="1" si="1"/>
        <v>Yes</v>
      </c>
      <c r="G9" s="29" t="str">
        <f t="shared" ca="1" si="1"/>
        <v>No</v>
      </c>
      <c r="H9" s="29" t="str">
        <f t="shared" ca="1" si="1"/>
        <v>Yes</v>
      </c>
    </row>
    <row r="10" spans="1:13" x14ac:dyDescent="0.3">
      <c r="B10" s="125">
        <v>229763</v>
      </c>
      <c r="C10" s="125" t="s">
        <v>239</v>
      </c>
      <c r="D10" s="125" t="s">
        <v>240</v>
      </c>
      <c r="E10" s="29" t="str">
        <f t="shared" ca="1" si="0"/>
        <v>No</v>
      </c>
      <c r="F10" s="29" t="str">
        <f t="shared" ca="1" si="1"/>
        <v>Yes</v>
      </c>
      <c r="G10" s="29" t="str">
        <f t="shared" ca="1" si="1"/>
        <v>No</v>
      </c>
      <c r="H10" s="29" t="str">
        <f t="shared" ca="1" si="1"/>
        <v>Yes</v>
      </c>
    </row>
    <row r="11" spans="1:13" x14ac:dyDescent="0.3">
      <c r="B11" s="125">
        <v>675151</v>
      </c>
      <c r="C11" s="125" t="s">
        <v>176</v>
      </c>
      <c r="D11" s="125" t="s">
        <v>219</v>
      </c>
      <c r="E11" s="29" t="str">
        <f t="shared" ca="1" si="0"/>
        <v>Yes</v>
      </c>
      <c r="F11" s="29" t="str">
        <f t="shared" ca="1" si="1"/>
        <v>No</v>
      </c>
      <c r="G11" s="29" t="str">
        <f t="shared" ca="1" si="1"/>
        <v>Yes</v>
      </c>
      <c r="H11" s="29" t="str">
        <f t="shared" ca="1" si="1"/>
        <v>No</v>
      </c>
    </row>
    <row r="12" spans="1:13" x14ac:dyDescent="0.3">
      <c r="B12" s="125">
        <v>674518</v>
      </c>
      <c r="C12" s="125" t="s">
        <v>258</v>
      </c>
      <c r="D12" s="125" t="s">
        <v>259</v>
      </c>
      <c r="E12" s="29" t="str">
        <f t="shared" ca="1" si="0"/>
        <v>No</v>
      </c>
      <c r="F12" s="29" t="str">
        <f t="shared" ca="1" si="1"/>
        <v>Yes</v>
      </c>
      <c r="G12" s="29" t="str">
        <f t="shared" ca="1" si="1"/>
        <v>No</v>
      </c>
      <c r="H12" s="29" t="str">
        <f t="shared" ca="1" si="1"/>
        <v>Yes</v>
      </c>
    </row>
    <row r="13" spans="1:13" x14ac:dyDescent="0.3">
      <c r="B13" s="125">
        <v>652424</v>
      </c>
      <c r="C13" s="125" t="s">
        <v>215</v>
      </c>
      <c r="D13" s="125" t="s">
        <v>216</v>
      </c>
      <c r="E13" s="29" t="str">
        <f t="shared" ca="1" si="0"/>
        <v>No</v>
      </c>
      <c r="F13" s="29" t="str">
        <f t="shared" ca="1" si="1"/>
        <v>Yes</v>
      </c>
      <c r="G13" s="29" t="str">
        <f t="shared" ca="1" si="1"/>
        <v>No</v>
      </c>
      <c r="H13" s="29" t="str">
        <f t="shared" ca="1" si="1"/>
        <v>Yes</v>
      </c>
    </row>
    <row r="14" spans="1:13" x14ac:dyDescent="0.3">
      <c r="B14" s="125">
        <v>381477</v>
      </c>
      <c r="C14" s="125" t="s">
        <v>222</v>
      </c>
      <c r="D14" s="125" t="s">
        <v>223</v>
      </c>
      <c r="E14" s="29" t="str">
        <f t="shared" ca="1" si="0"/>
        <v>Yes</v>
      </c>
      <c r="F14" s="29" t="str">
        <f t="shared" ca="1" si="1"/>
        <v>No</v>
      </c>
      <c r="G14" s="29" t="str">
        <f t="shared" ca="1" si="1"/>
        <v>Yes</v>
      </c>
      <c r="H14" s="29" t="str">
        <f t="shared" ca="1" si="1"/>
        <v>No</v>
      </c>
      <c r="J14" s="121" t="s">
        <v>382</v>
      </c>
    </row>
    <row r="15" spans="1:13" ht="15" customHeight="1" x14ac:dyDescent="0.3">
      <c r="B15" s="125">
        <v>251960</v>
      </c>
      <c r="C15" s="125" t="s">
        <v>269</v>
      </c>
      <c r="D15" s="125" t="s">
        <v>270</v>
      </c>
      <c r="E15" s="29" t="str">
        <f t="shared" ca="1" si="0"/>
        <v>Yes</v>
      </c>
      <c r="F15" s="29" t="str">
        <f t="shared" ca="1" si="1"/>
        <v>No</v>
      </c>
      <c r="G15" s="29" t="str">
        <f t="shared" ca="1" si="1"/>
        <v>Yes</v>
      </c>
      <c r="H15" s="29" t="str">
        <f t="shared" ca="1" si="1"/>
        <v>No</v>
      </c>
      <c r="J15" s="123" t="s">
        <v>214</v>
      </c>
    </row>
    <row r="16" spans="1:13" x14ac:dyDescent="0.3">
      <c r="B16" s="125">
        <v>116780</v>
      </c>
      <c r="C16" s="125" t="s">
        <v>230</v>
      </c>
      <c r="D16" s="125" t="s">
        <v>231</v>
      </c>
      <c r="E16" s="29" t="str">
        <f t="shared" ca="1" si="0"/>
        <v>No</v>
      </c>
      <c r="F16" s="29" t="str">
        <f t="shared" ca="1" si="1"/>
        <v>Yes</v>
      </c>
      <c r="G16" s="29" t="str">
        <f t="shared" ca="1" si="1"/>
        <v>No</v>
      </c>
      <c r="H16" s="29" t="str">
        <f t="shared" ca="1" si="1"/>
        <v>Yes</v>
      </c>
      <c r="J16" s="123" t="s">
        <v>213</v>
      </c>
    </row>
    <row r="17" spans="2:11" x14ac:dyDescent="0.3">
      <c r="B17" s="125">
        <v>589646</v>
      </c>
      <c r="C17" s="125" t="s">
        <v>26</v>
      </c>
      <c r="D17" s="125" t="s">
        <v>266</v>
      </c>
      <c r="E17" s="29" t="str">
        <f t="shared" ca="1" si="0"/>
        <v>No</v>
      </c>
      <c r="F17" s="29" t="str">
        <f t="shared" ca="1" si="1"/>
        <v>Yes</v>
      </c>
      <c r="G17" s="29" t="str">
        <f t="shared" ca="1" si="1"/>
        <v>No</v>
      </c>
      <c r="H17" s="29" t="str">
        <f t="shared" ca="1" si="1"/>
        <v>Yes</v>
      </c>
      <c r="J17" s="124" t="s">
        <v>286</v>
      </c>
    </row>
    <row r="18" spans="2:11" x14ac:dyDescent="0.3">
      <c r="B18" s="125">
        <v>653601</v>
      </c>
      <c r="C18" s="125" t="s">
        <v>224</v>
      </c>
      <c r="D18" s="125" t="s">
        <v>225</v>
      </c>
      <c r="E18" s="29" t="str">
        <f t="shared" ca="1" si="0"/>
        <v>No</v>
      </c>
      <c r="F18" s="29" t="str">
        <f t="shared" ca="1" si="1"/>
        <v>Yes</v>
      </c>
      <c r="G18" s="29" t="str">
        <f t="shared" ca="1" si="1"/>
        <v>No</v>
      </c>
      <c r="H18" s="29" t="str">
        <f t="shared" ca="1" si="1"/>
        <v>Yes</v>
      </c>
    </row>
    <row r="19" spans="2:11" x14ac:dyDescent="0.3">
      <c r="B19" s="125">
        <v>691757</v>
      </c>
      <c r="C19" s="125" t="s">
        <v>232</v>
      </c>
      <c r="D19" s="125" t="s">
        <v>233</v>
      </c>
      <c r="E19" s="29" t="str">
        <f t="shared" ca="1" si="0"/>
        <v>No</v>
      </c>
      <c r="F19" s="29" t="str">
        <f t="shared" ca="1" si="1"/>
        <v>Yes</v>
      </c>
      <c r="G19" s="29" t="str">
        <f t="shared" ca="1" si="1"/>
        <v>No</v>
      </c>
      <c r="H19" s="29" t="str">
        <f t="shared" ca="1" si="1"/>
        <v>Yes</v>
      </c>
      <c r="J19" s="1"/>
    </row>
    <row r="20" spans="2:11" x14ac:dyDescent="0.3">
      <c r="B20" s="125">
        <v>503413</v>
      </c>
      <c r="C20" s="125" t="s">
        <v>107</v>
      </c>
      <c r="D20" s="125" t="s">
        <v>236</v>
      </c>
      <c r="E20" s="29" t="str">
        <f t="shared" ca="1" si="0"/>
        <v>No</v>
      </c>
      <c r="F20" s="29" t="str">
        <f t="shared" ca="1" si="1"/>
        <v>Yes</v>
      </c>
      <c r="G20" s="29" t="str">
        <f t="shared" ca="1" si="1"/>
        <v>No</v>
      </c>
      <c r="H20" s="29" t="str">
        <f t="shared" ca="1" si="1"/>
        <v>Yes</v>
      </c>
      <c r="J20" s="1"/>
    </row>
    <row r="21" spans="2:11" x14ac:dyDescent="0.3">
      <c r="B21" s="125">
        <v>134560</v>
      </c>
      <c r="C21" s="125" t="s">
        <v>264</v>
      </c>
      <c r="D21" s="125" t="s">
        <v>265</v>
      </c>
      <c r="E21" s="29" t="str">
        <f t="shared" ca="1" si="0"/>
        <v>No</v>
      </c>
      <c r="F21" s="29" t="str">
        <f t="shared" ca="1" si="1"/>
        <v>Yes</v>
      </c>
      <c r="G21" s="29" t="str">
        <f t="shared" ca="1" si="1"/>
        <v>No</v>
      </c>
      <c r="H21" s="29" t="str">
        <f t="shared" ca="1" si="1"/>
        <v>Yes</v>
      </c>
      <c r="J21" s="14" t="s">
        <v>323</v>
      </c>
      <c r="K21" t="s">
        <v>327</v>
      </c>
    </row>
    <row r="22" spans="2:11" x14ac:dyDescent="0.3">
      <c r="B22" s="125">
        <v>303803</v>
      </c>
      <c r="C22" s="125" t="s">
        <v>242</v>
      </c>
      <c r="D22" s="125" t="s">
        <v>243</v>
      </c>
      <c r="E22" s="29" t="str">
        <f t="shared" ca="1" si="0"/>
        <v>No</v>
      </c>
      <c r="F22" s="29" t="str">
        <f t="shared" ca="1" si="1"/>
        <v>Yes</v>
      </c>
      <c r="G22" s="29" t="str">
        <f t="shared" ca="1" si="1"/>
        <v>No</v>
      </c>
      <c r="H22" s="29" t="str">
        <f t="shared" ca="1" si="1"/>
        <v>Yes</v>
      </c>
      <c r="J22" s="16" t="s">
        <v>214</v>
      </c>
      <c r="K22">
        <v>24</v>
      </c>
    </row>
    <row r="23" spans="2:11" x14ac:dyDescent="0.3">
      <c r="B23" s="125">
        <v>502168</v>
      </c>
      <c r="C23" s="125" t="s">
        <v>260</v>
      </c>
      <c r="D23" s="125" t="s">
        <v>261</v>
      </c>
      <c r="E23" s="29" t="str">
        <f t="shared" ca="1" si="0"/>
        <v>Yes</v>
      </c>
      <c r="F23" s="29" t="str">
        <f t="shared" ca="1" si="1"/>
        <v>No</v>
      </c>
      <c r="G23" s="29" t="str">
        <f t="shared" ca="1" si="1"/>
        <v>Yes</v>
      </c>
      <c r="H23" s="29" t="str">
        <f t="shared" ca="1" si="1"/>
        <v>No</v>
      </c>
      <c r="J23" s="16" t="s">
        <v>213</v>
      </c>
      <c r="K23">
        <v>6</v>
      </c>
    </row>
    <row r="24" spans="2:11" x14ac:dyDescent="0.3">
      <c r="B24" s="125">
        <v>211925</v>
      </c>
      <c r="C24" s="125" t="s">
        <v>246</v>
      </c>
      <c r="D24" s="125" t="s">
        <v>247</v>
      </c>
      <c r="E24" s="29" t="str">
        <f t="shared" ca="1" si="0"/>
        <v>No</v>
      </c>
      <c r="F24" s="29" t="str">
        <f t="shared" ca="1" si="1"/>
        <v>Yes</v>
      </c>
      <c r="G24" s="29" t="str">
        <f t="shared" ca="1" si="1"/>
        <v>No</v>
      </c>
      <c r="H24" s="29" t="str">
        <f t="shared" ca="1" si="1"/>
        <v>Yes</v>
      </c>
      <c r="J24" s="17" t="s">
        <v>176</v>
      </c>
      <c r="K24">
        <v>1</v>
      </c>
    </row>
    <row r="25" spans="2:11" x14ac:dyDescent="0.3">
      <c r="B25" s="125">
        <v>508339</v>
      </c>
      <c r="C25" s="125" t="s">
        <v>226</v>
      </c>
      <c r="D25" s="125" t="s">
        <v>227</v>
      </c>
      <c r="E25" s="29" t="str">
        <f t="shared" ca="1" si="0"/>
        <v>Yes</v>
      </c>
      <c r="F25" s="29" t="str">
        <f t="shared" ca="1" si="1"/>
        <v>No</v>
      </c>
      <c r="G25" s="29" t="str">
        <f t="shared" ca="1" si="1"/>
        <v>Yes</v>
      </c>
      <c r="H25" s="29" t="str">
        <f t="shared" ca="1" si="1"/>
        <v>No</v>
      </c>
      <c r="J25" s="18" t="s">
        <v>219</v>
      </c>
      <c r="K25">
        <v>1</v>
      </c>
    </row>
    <row r="26" spans="2:11" x14ac:dyDescent="0.3">
      <c r="B26" s="125">
        <v>238491</v>
      </c>
      <c r="C26" s="125" t="s">
        <v>241</v>
      </c>
      <c r="D26" s="125" t="s">
        <v>69</v>
      </c>
      <c r="E26" s="29" t="str">
        <f t="shared" ca="1" si="0"/>
        <v>No</v>
      </c>
      <c r="F26" s="29" t="str">
        <f t="shared" ca="1" si="1"/>
        <v>Yes</v>
      </c>
      <c r="G26" s="29" t="str">
        <f t="shared" ca="1" si="1"/>
        <v>No</v>
      </c>
      <c r="H26" s="29" t="str">
        <f t="shared" ca="1" si="1"/>
        <v>Yes</v>
      </c>
      <c r="J26" s="17" t="s">
        <v>242</v>
      </c>
      <c r="K26">
        <v>1</v>
      </c>
    </row>
    <row r="27" spans="2:11" x14ac:dyDescent="0.3">
      <c r="B27" s="125">
        <v>259086</v>
      </c>
      <c r="C27" s="125" t="s">
        <v>267</v>
      </c>
      <c r="D27" s="125" t="s">
        <v>268</v>
      </c>
      <c r="E27" s="29" t="str">
        <f t="shared" ca="1" si="0"/>
        <v>Yes</v>
      </c>
      <c r="F27" s="29" t="str">
        <f t="shared" ca="1" si="1"/>
        <v>No</v>
      </c>
      <c r="G27" s="29" t="str">
        <f t="shared" ca="1" si="1"/>
        <v>Yes</v>
      </c>
      <c r="H27" s="29" t="str">
        <f t="shared" ca="1" si="1"/>
        <v>No</v>
      </c>
      <c r="J27" s="18" t="s">
        <v>243</v>
      </c>
      <c r="K27">
        <v>1</v>
      </c>
    </row>
    <row r="28" spans="2:11" x14ac:dyDescent="0.3">
      <c r="B28" s="125">
        <v>368744</v>
      </c>
      <c r="C28" s="125" t="s">
        <v>217</v>
      </c>
      <c r="D28" s="125" t="s">
        <v>218</v>
      </c>
      <c r="E28" s="29" t="str">
        <f t="shared" ca="1" si="0"/>
        <v>No</v>
      </c>
      <c r="F28" s="29" t="str">
        <f t="shared" ca="1" si="1"/>
        <v>Yes</v>
      </c>
      <c r="G28" s="29" t="str">
        <f t="shared" ca="1" si="1"/>
        <v>No</v>
      </c>
      <c r="H28" s="29" t="str">
        <f t="shared" ca="1" si="1"/>
        <v>Yes</v>
      </c>
      <c r="J28" s="17" t="s">
        <v>267</v>
      </c>
      <c r="K28">
        <v>1</v>
      </c>
    </row>
    <row r="29" spans="2:11" x14ac:dyDescent="0.3">
      <c r="B29" s="125">
        <v>610702</v>
      </c>
      <c r="C29" s="125" t="s">
        <v>250</v>
      </c>
      <c r="D29" s="125" t="s">
        <v>251</v>
      </c>
      <c r="E29" s="29" t="str">
        <f t="shared" ca="1" si="0"/>
        <v>No</v>
      </c>
      <c r="F29" s="29" t="str">
        <f t="shared" ca="1" si="1"/>
        <v>Yes</v>
      </c>
      <c r="G29" s="29" t="str">
        <f t="shared" ca="1" si="1"/>
        <v>No</v>
      </c>
      <c r="H29" s="29" t="str">
        <f t="shared" ca="1" si="1"/>
        <v>Yes</v>
      </c>
      <c r="J29" s="18" t="s">
        <v>268</v>
      </c>
      <c r="K29">
        <v>1</v>
      </c>
    </row>
    <row r="30" spans="2:11" x14ac:dyDescent="0.3">
      <c r="B30" s="125">
        <v>552430</v>
      </c>
      <c r="C30" s="125" t="s">
        <v>256</v>
      </c>
      <c r="D30" s="125" t="s">
        <v>257</v>
      </c>
      <c r="E30" s="29" t="str">
        <f t="shared" ca="1" si="0"/>
        <v>No</v>
      </c>
      <c r="F30" s="29" t="str">
        <f t="shared" ca="1" si="1"/>
        <v>Yes</v>
      </c>
      <c r="G30" s="29" t="str">
        <f t="shared" ca="1" si="1"/>
        <v>No</v>
      </c>
      <c r="H30" s="29" t="str">
        <f t="shared" ca="1" si="1"/>
        <v>Yes</v>
      </c>
      <c r="J30" s="17" t="s">
        <v>256</v>
      </c>
      <c r="K30">
        <v>1</v>
      </c>
    </row>
    <row r="31" spans="2:11" x14ac:dyDescent="0.3">
      <c r="B31" s="125">
        <v>532207</v>
      </c>
      <c r="C31" s="125" t="s">
        <v>262</v>
      </c>
      <c r="D31" s="125" t="s">
        <v>263</v>
      </c>
      <c r="E31" s="29" t="str">
        <f t="shared" ca="1" si="0"/>
        <v>No</v>
      </c>
      <c r="F31" s="29" t="str">
        <f t="shared" ca="1" si="1"/>
        <v>Yes</v>
      </c>
      <c r="G31" s="29" t="str">
        <f t="shared" ca="1" si="1"/>
        <v>No</v>
      </c>
      <c r="H31" s="29" t="str">
        <f t="shared" ca="1" si="1"/>
        <v>Yes</v>
      </c>
      <c r="J31" s="18" t="s">
        <v>257</v>
      </c>
      <c r="K31">
        <v>1</v>
      </c>
    </row>
    <row r="32" spans="2:11" x14ac:dyDescent="0.3">
      <c r="B32" s="125">
        <v>439380</v>
      </c>
      <c r="C32" s="125" t="s">
        <v>248</v>
      </c>
      <c r="D32" s="125" t="s">
        <v>249</v>
      </c>
      <c r="E32" s="29" t="str">
        <f t="shared" ca="1" si="0"/>
        <v>No</v>
      </c>
      <c r="F32" s="29" t="str">
        <f t="shared" ca="1" si="1"/>
        <v>Yes</v>
      </c>
      <c r="G32" s="29" t="str">
        <f t="shared" ca="1" si="1"/>
        <v>No</v>
      </c>
      <c r="H32" s="29" t="str">
        <f t="shared" ca="1" si="1"/>
        <v>Yes</v>
      </c>
      <c r="J32" s="17" t="s">
        <v>248</v>
      </c>
      <c r="K32">
        <v>1</v>
      </c>
    </row>
    <row r="33" spans="2:11" x14ac:dyDescent="0.3">
      <c r="B33" s="125">
        <v>294431</v>
      </c>
      <c r="C33" s="125" t="s">
        <v>254</v>
      </c>
      <c r="D33" s="125" t="s">
        <v>255</v>
      </c>
      <c r="E33" s="29" t="str">
        <f t="shared" ca="1" si="0"/>
        <v>No</v>
      </c>
      <c r="F33" s="29" t="str">
        <f t="shared" ca="1" si="1"/>
        <v>Yes</v>
      </c>
      <c r="G33" s="29" t="str">
        <f t="shared" ca="1" si="1"/>
        <v>No</v>
      </c>
      <c r="H33" s="29" t="str">
        <f t="shared" ca="1" si="1"/>
        <v>Yes</v>
      </c>
      <c r="J33" s="18" t="s">
        <v>249</v>
      </c>
      <c r="K33">
        <v>1</v>
      </c>
    </row>
    <row r="34" spans="2:11" x14ac:dyDescent="0.3">
      <c r="B34" s="125">
        <v>698749</v>
      </c>
      <c r="C34" s="125" t="s">
        <v>220</v>
      </c>
      <c r="D34" s="125" t="s">
        <v>221</v>
      </c>
      <c r="E34" s="29" t="str">
        <f t="shared" ca="1" si="0"/>
        <v>No</v>
      </c>
      <c r="F34" s="29" t="str">
        <f t="shared" ca="1" si="1"/>
        <v>Yes</v>
      </c>
      <c r="G34" s="29" t="str">
        <f t="shared" ca="1" si="1"/>
        <v>No</v>
      </c>
      <c r="H34" s="29" t="str">
        <f t="shared" ca="1" si="1"/>
        <v>Yes</v>
      </c>
      <c r="J34" s="17" t="s">
        <v>254</v>
      </c>
      <c r="K34">
        <v>1</v>
      </c>
    </row>
    <row r="35" spans="2:11" x14ac:dyDescent="0.3">
      <c r="B35" s="125">
        <v>190632</v>
      </c>
      <c r="C35" s="125" t="s">
        <v>244</v>
      </c>
      <c r="D35" s="125" t="s">
        <v>245</v>
      </c>
      <c r="E35" s="29" t="str">
        <f t="shared" ca="1" si="0"/>
        <v>No</v>
      </c>
      <c r="F35" s="29" t="str">
        <f t="shared" ca="1" si="1"/>
        <v>Yes</v>
      </c>
      <c r="G35" s="29" t="str">
        <f t="shared" ca="1" si="1"/>
        <v>No</v>
      </c>
      <c r="H35" s="29" t="str">
        <f t="shared" ca="1" si="1"/>
        <v>Yes</v>
      </c>
      <c r="J35" s="18" t="s">
        <v>255</v>
      </c>
      <c r="K35">
        <v>1</v>
      </c>
    </row>
    <row r="36" spans="2:11" x14ac:dyDescent="0.3">
      <c r="B36" s="121" t="s">
        <v>271</v>
      </c>
      <c r="C36" s="121"/>
      <c r="D36" s="121"/>
      <c r="E36" s="121">
        <f ca="1">COUNTIF(TeachersList[Valentines day dance],"YES")</f>
        <v>7</v>
      </c>
      <c r="F36" s="121">
        <f ca="1">COUNTIF(TeachersList[Holloween dance],"YES")</f>
        <v>23</v>
      </c>
      <c r="G36" s="121">
        <f ca="1">COUNTIF(TeachersList[Prom],"YES")</f>
        <v>7</v>
      </c>
      <c r="H36" s="121">
        <f ca="1">COUNTIF(TeachersList[Annual school trip],"YES")</f>
        <v>23</v>
      </c>
      <c r="J36" s="16" t="s">
        <v>286</v>
      </c>
      <c r="K36">
        <v>30</v>
      </c>
    </row>
    <row r="37" spans="2:11" x14ac:dyDescent="0.3">
      <c r="B37" s="121" t="s">
        <v>272</v>
      </c>
      <c r="C37" s="121"/>
      <c r="D37" s="121"/>
      <c r="E37" s="122">
        <f ca="1">COUNTIF(PlacementScore,"&gt;60")/TeachersList[[#Totals],[Valentines day dance]]</f>
        <v>3.5714285714285716</v>
      </c>
      <c r="F37" s="122">
        <f ca="1">COUNTIF(PlacementScore,"&gt;60")/TeachersList[[#Totals],[Holloween dance]]</f>
        <v>1.0869565217391304</v>
      </c>
      <c r="G37" s="122">
        <f ca="1">COUNTIF(PlacementScore,"&gt;60")/TeachersList[[#Totals],[Prom]]</f>
        <v>3.5714285714285716</v>
      </c>
      <c r="H37" s="122">
        <f ca="1">COUNTIF(PlacementScore,"&gt;60")/TeachersList[[#Totals],[Annual school trip]]</f>
        <v>1.0869565217391304</v>
      </c>
    </row>
    <row r="42" spans="2:11" x14ac:dyDescent="0.3">
      <c r="H42" s="120"/>
      <c r="J42"/>
    </row>
    <row r="43" spans="2:11" x14ac:dyDescent="0.3">
      <c r="H43" s="120"/>
      <c r="J43"/>
    </row>
    <row r="44" spans="2:11" x14ac:dyDescent="0.3">
      <c r="H44" s="120"/>
      <c r="J44"/>
    </row>
    <row r="45" spans="2:11" x14ac:dyDescent="0.3">
      <c r="H45" s="120"/>
      <c r="J45"/>
    </row>
    <row r="46" spans="2:11" x14ac:dyDescent="0.3">
      <c r="J46"/>
    </row>
    <row r="47" spans="2:11" x14ac:dyDescent="0.3">
      <c r="J47"/>
    </row>
    <row r="48" spans="2:11" x14ac:dyDescent="0.3">
      <c r="J48"/>
    </row>
    <row r="49" spans="10:10" x14ac:dyDescent="0.3">
      <c r="J49"/>
    </row>
    <row r="50" spans="10:10" x14ac:dyDescent="0.3">
      <c r="J50"/>
    </row>
    <row r="51" spans="10:10" x14ac:dyDescent="0.3">
      <c r="J51"/>
    </row>
    <row r="52" spans="10:10" x14ac:dyDescent="0.3">
      <c r="J52"/>
    </row>
    <row r="53" spans="10:10" x14ac:dyDescent="0.3">
      <c r="J53"/>
    </row>
    <row r="54" spans="10:10" x14ac:dyDescent="0.3">
      <c r="J54"/>
    </row>
    <row r="55" spans="10:10" x14ac:dyDescent="0.3">
      <c r="J55"/>
    </row>
    <row r="56" spans="10:10" x14ac:dyDescent="0.3">
      <c r="J56"/>
    </row>
    <row r="57" spans="10:10" x14ac:dyDescent="0.3">
      <c r="J57"/>
    </row>
    <row r="58" spans="10:10" x14ac:dyDescent="0.3">
      <c r="J58"/>
    </row>
    <row r="59" spans="10:10" x14ac:dyDescent="0.3">
      <c r="J59"/>
    </row>
    <row r="60" spans="10:10" x14ac:dyDescent="0.3">
      <c r="J60"/>
    </row>
    <row r="61" spans="10:10" x14ac:dyDescent="0.3">
      <c r="J61"/>
    </row>
    <row r="62" spans="10:10" x14ac:dyDescent="0.3">
      <c r="J62"/>
    </row>
    <row r="63" spans="10:10" x14ac:dyDescent="0.3">
      <c r="J63"/>
    </row>
    <row r="64" spans="10:10" x14ac:dyDescent="0.3">
      <c r="J64"/>
    </row>
    <row r="65" spans="10:10" x14ac:dyDescent="0.3">
      <c r="J65"/>
    </row>
  </sheetData>
  <dataValidations count="3">
    <dataValidation type="whole" allowBlank="1" showInputMessage="1" showErrorMessage="1" sqref="B6:B35" xr:uid="{9C46A2CF-F1C2-454F-993A-7A3EBFAB0264}">
      <formula1>100000</formula1>
      <formula2>700000</formula2>
    </dataValidation>
    <dataValidation type="list" allowBlank="1" showInputMessage="1" showErrorMessage="1" sqref="B2:B4 A5" xr:uid="{B20340FE-5F1F-416F-A10A-6B2154457588}">
      <formula1>$B$6:$B$35</formula1>
    </dataValidation>
    <dataValidation type="list" allowBlank="1" showInputMessage="1" showErrorMessage="1" sqref="A1" xr:uid="{A08D2FC0-CCD2-4928-BB3B-7D107CBD6BCC}">
      <formula1>$A$1</formula1>
    </dataValidation>
  </dataValidations>
  <pageMargins left="0.7" right="0.7" top="0.75" bottom="0.75" header="0.3" footer="0.3"/>
  <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containsText" priority="1" operator="containsText" id="{2DB5A61A-E158-4B65-BBCB-A4B5AD03FB0E}">
            <xm:f>NOT(ISERROR(SEARCH($M$1,E6)))</xm:f>
            <xm:f>$M$1</xm:f>
            <x14:dxf>
              <font>
                <color rgb="FF006100"/>
              </font>
              <fill>
                <patternFill>
                  <bgColor rgb="FFC6EFCE"/>
                </patternFill>
              </fill>
            </x14:dxf>
          </x14:cfRule>
          <x14:cfRule type="containsText" priority="2" operator="containsText" id="{CDF7ABA6-10C9-4754-A812-1FC99D0BF80F}">
            <xm:f>NOT(ISERROR(SEARCH($M$2,E6)))</xm:f>
            <xm:f>$M$2</xm:f>
            <x14:dxf>
              <font>
                <color rgb="FF9C0006"/>
              </font>
              <fill>
                <patternFill>
                  <bgColor rgb="FFFFC7CE"/>
                </patternFill>
              </fill>
            </x14:dxf>
          </x14:cfRule>
          <xm:sqref>E6:H35</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A9456-B9D4-4FFF-84FA-6F292D7B3A92}">
  <sheetPr codeName="Sheet14">
    <tabColor theme="6"/>
  </sheetPr>
  <dimension ref="A1:S85"/>
  <sheetViews>
    <sheetView zoomScale="70" zoomScaleNormal="70" workbookViewId="0">
      <pane ySplit="1" topLeftCell="A2" activePane="bottomLeft" state="frozen"/>
      <selection pane="bottomLeft"/>
    </sheetView>
  </sheetViews>
  <sheetFormatPr defaultColWidth="8.875" defaultRowHeight="13.8" outlineLevelRow="1" x14ac:dyDescent="0.25"/>
  <cols>
    <col min="1" max="1" width="15.75" style="278" customWidth="1"/>
    <col min="2" max="2" width="17.125" style="278" customWidth="1"/>
    <col min="3" max="3" width="17.125" style="278" bestFit="1" customWidth="1"/>
    <col min="4" max="7" width="15.75" style="278" customWidth="1"/>
    <col min="8" max="8" width="20.875" style="278" bestFit="1" customWidth="1"/>
    <col min="9" max="9" width="20.125" style="278" bestFit="1" customWidth="1"/>
    <col min="10" max="10" width="34" style="278" customWidth="1"/>
    <col min="11" max="12" width="15.75" style="278" customWidth="1"/>
    <col min="13" max="13" width="19.125" style="278" customWidth="1"/>
    <col min="14" max="17" width="15.75" style="278" customWidth="1"/>
    <col min="18" max="18" width="8.875" style="193"/>
    <col min="19" max="19" width="6.25" style="193" bestFit="1" customWidth="1"/>
    <col min="20" max="20" width="2.75" style="193" bestFit="1" customWidth="1"/>
    <col min="21" max="21" width="10.125" style="193" bestFit="1" customWidth="1"/>
    <col min="22" max="22" width="7.375" style="193" bestFit="1" customWidth="1"/>
    <col min="23" max="23" width="12.25" style="193" bestFit="1" customWidth="1"/>
    <col min="24" max="24" width="7.875" style="193" bestFit="1" customWidth="1"/>
    <col min="25" max="16384" width="8.875" style="193"/>
  </cols>
  <sheetData>
    <row r="1" spans="1:19" ht="62.25" customHeight="1" x14ac:dyDescent="0.35">
      <c r="A1" s="279" t="s">
        <v>0</v>
      </c>
      <c r="B1" s="313" t="s">
        <v>193</v>
      </c>
      <c r="C1" s="313" t="s">
        <v>302</v>
      </c>
      <c r="D1" s="314" t="s">
        <v>449</v>
      </c>
      <c r="E1" s="314" t="s">
        <v>448</v>
      </c>
      <c r="F1" s="314" t="s">
        <v>447</v>
      </c>
      <c r="G1" s="315" t="s">
        <v>446</v>
      </c>
      <c r="H1" s="315" t="s">
        <v>445</v>
      </c>
      <c r="I1" s="314" t="s">
        <v>444</v>
      </c>
      <c r="J1" s="316" t="s">
        <v>443</v>
      </c>
    </row>
    <row r="2" spans="1:19" ht="18" x14ac:dyDescent="0.35">
      <c r="A2" s="280">
        <v>42395721</v>
      </c>
      <c r="B2" s="281" t="s">
        <v>78</v>
      </c>
      <c r="C2" s="281" t="s">
        <v>79</v>
      </c>
      <c r="D2" s="282" t="s">
        <v>308</v>
      </c>
      <c r="E2" s="283" t="str">
        <f t="shared" ref="E2:E33" ca="1" si="0">VLOOKUP(RAND(),$L$9:$M$12,2,TRUE)</f>
        <v>Biology</v>
      </c>
      <c r="F2" s="284">
        <v>45444</v>
      </c>
      <c r="G2" s="284">
        <v>45535</v>
      </c>
      <c r="H2" s="285">
        <f t="shared" ref="H2:H33" ca="1" si="1">VLOOKUP(RAND(),$L$16:$M$19,2,TRUE)</f>
        <v>0.41666666666666669</v>
      </c>
      <c r="I2" s="285">
        <f t="shared" ref="I2:I33" ca="1" si="2">VLOOKUP(RAND(),$L$22:$M$25,2,TRUE)</f>
        <v>0.58333333333333337</v>
      </c>
      <c r="J2" s="286">
        <f t="shared" ref="J2:J33" ca="1" si="3">HOUR(I2-H2)</f>
        <v>4</v>
      </c>
    </row>
    <row r="3" spans="1:19" ht="18" x14ac:dyDescent="0.35">
      <c r="A3" s="287">
        <v>28046284</v>
      </c>
      <c r="B3" s="288" t="s">
        <v>80</v>
      </c>
      <c r="C3" s="288" t="s">
        <v>81</v>
      </c>
      <c r="D3" s="289" t="s">
        <v>309</v>
      </c>
      <c r="E3" s="318" t="str">
        <f t="shared" ca="1" si="0"/>
        <v>Biology</v>
      </c>
      <c r="F3" s="291">
        <v>45444</v>
      </c>
      <c r="G3" s="291">
        <v>45535</v>
      </c>
      <c r="H3" s="292">
        <f t="shared" ca="1" si="1"/>
        <v>0.39583333333333331</v>
      </c>
      <c r="I3" s="292">
        <f t="shared" ca="1" si="2"/>
        <v>0.70833333333333337</v>
      </c>
      <c r="J3" s="293">
        <f t="shared" ca="1" si="3"/>
        <v>7</v>
      </c>
    </row>
    <row r="4" spans="1:19" ht="18" x14ac:dyDescent="0.35">
      <c r="A4" s="294">
        <v>49517726</v>
      </c>
      <c r="B4" s="295" t="s">
        <v>82</v>
      </c>
      <c r="C4" s="295" t="s">
        <v>83</v>
      </c>
      <c r="D4" s="282" t="s">
        <v>309</v>
      </c>
      <c r="E4" s="319" t="str">
        <f t="shared" ca="1" si="0"/>
        <v>English</v>
      </c>
      <c r="F4" s="296">
        <v>45474</v>
      </c>
      <c r="G4" s="296">
        <v>45536</v>
      </c>
      <c r="H4" s="285">
        <f t="shared" ca="1" si="1"/>
        <v>0.41666666666666669</v>
      </c>
      <c r="I4" s="285">
        <f t="shared" ca="1" si="2"/>
        <v>0.58333333333333337</v>
      </c>
      <c r="J4" s="286">
        <f t="shared" ca="1" si="3"/>
        <v>4</v>
      </c>
    </row>
    <row r="5" spans="1:19" ht="18" x14ac:dyDescent="0.35">
      <c r="A5" s="297">
        <v>11266789</v>
      </c>
      <c r="B5" s="298" t="s">
        <v>84</v>
      </c>
      <c r="C5" s="298" t="s">
        <v>85</v>
      </c>
      <c r="D5" s="289" t="s">
        <v>309</v>
      </c>
      <c r="E5" s="318" t="str">
        <f t="shared" ca="1" si="0"/>
        <v>Anthroplogy</v>
      </c>
      <c r="F5" s="291">
        <v>45505</v>
      </c>
      <c r="G5" s="291">
        <v>45537</v>
      </c>
      <c r="H5" s="292">
        <f t="shared" ca="1" si="1"/>
        <v>0.4375</v>
      </c>
      <c r="I5" s="292">
        <f t="shared" ca="1" si="2"/>
        <v>0.58333333333333337</v>
      </c>
      <c r="J5" s="293">
        <f t="shared" ca="1" si="3"/>
        <v>3</v>
      </c>
    </row>
    <row r="6" spans="1:19" ht="18" x14ac:dyDescent="0.35">
      <c r="A6" s="294">
        <v>31207252</v>
      </c>
      <c r="B6" s="295" t="s">
        <v>86</v>
      </c>
      <c r="C6" s="295" t="s">
        <v>87</v>
      </c>
      <c r="D6" s="282" t="s">
        <v>309</v>
      </c>
      <c r="E6" s="319" t="str">
        <f t="shared" ca="1" si="0"/>
        <v>Biology</v>
      </c>
      <c r="F6" s="296">
        <v>45474</v>
      </c>
      <c r="G6" s="296">
        <v>45538</v>
      </c>
      <c r="H6" s="285">
        <f t="shared" ca="1" si="1"/>
        <v>0.375</v>
      </c>
      <c r="I6" s="285">
        <f t="shared" ca="1" si="2"/>
        <v>0.58333333333333337</v>
      </c>
      <c r="J6" s="286">
        <f t="shared" ca="1" si="3"/>
        <v>5</v>
      </c>
    </row>
    <row r="7" spans="1:19" ht="18" outlineLevel="1" x14ac:dyDescent="0.35">
      <c r="A7" s="297">
        <v>40941908</v>
      </c>
      <c r="B7" s="298" t="s">
        <v>88</v>
      </c>
      <c r="C7" s="298" t="s">
        <v>89</v>
      </c>
      <c r="D7" s="289" t="s">
        <v>309</v>
      </c>
      <c r="E7" s="318" t="str">
        <f t="shared" ca="1" si="0"/>
        <v>Anthroplogy</v>
      </c>
      <c r="F7" s="291">
        <v>45495</v>
      </c>
      <c r="G7" s="291">
        <v>45539</v>
      </c>
      <c r="H7" s="292">
        <f t="shared" ca="1" si="1"/>
        <v>0.375</v>
      </c>
      <c r="I7" s="292">
        <f t="shared" ca="1" si="2"/>
        <v>0.58333333333333337</v>
      </c>
      <c r="J7" s="293">
        <f t="shared" ca="1" si="3"/>
        <v>5</v>
      </c>
    </row>
    <row r="8" spans="1:19" ht="18.600000000000001" outlineLevel="1" thickBot="1" x14ac:dyDescent="0.4">
      <c r="A8" s="294">
        <v>28380069</v>
      </c>
      <c r="B8" s="295" t="s">
        <v>90</v>
      </c>
      <c r="C8" s="295" t="s">
        <v>91</v>
      </c>
      <c r="D8" s="282" t="s">
        <v>309</v>
      </c>
      <c r="E8" s="319" t="str">
        <f t="shared" ca="1" si="0"/>
        <v>Biology</v>
      </c>
      <c r="F8" s="296">
        <v>45475</v>
      </c>
      <c r="G8" s="296">
        <v>45540</v>
      </c>
      <c r="H8" s="285">
        <f t="shared" ca="1" si="1"/>
        <v>0.4375</v>
      </c>
      <c r="I8" s="285">
        <f t="shared" ca="1" si="2"/>
        <v>0.58333333333333337</v>
      </c>
      <c r="J8" s="286">
        <f t="shared" ca="1" si="3"/>
        <v>3</v>
      </c>
    </row>
    <row r="9" spans="1:19" ht="18.600000000000001" outlineLevel="1" thickBot="1" x14ac:dyDescent="0.4">
      <c r="A9" s="297">
        <v>33455570</v>
      </c>
      <c r="B9" s="298" t="s">
        <v>92</v>
      </c>
      <c r="C9" s="298" t="s">
        <v>93</v>
      </c>
      <c r="D9" s="289" t="s">
        <v>309</v>
      </c>
      <c r="E9" s="318" t="str">
        <f t="shared" ca="1" si="0"/>
        <v>English</v>
      </c>
      <c r="F9" s="291">
        <v>45495</v>
      </c>
      <c r="G9" s="291">
        <v>45541</v>
      </c>
      <c r="H9" s="292">
        <f t="shared" ca="1" si="1"/>
        <v>0.41666666666666669</v>
      </c>
      <c r="I9" s="292">
        <f t="shared" ca="1" si="2"/>
        <v>0.58333333333333337</v>
      </c>
      <c r="J9" s="293">
        <f t="shared" ca="1" si="3"/>
        <v>4</v>
      </c>
      <c r="K9" s="278" t="s">
        <v>442</v>
      </c>
      <c r="L9" s="299">
        <v>0</v>
      </c>
      <c r="M9" s="300" t="s">
        <v>372</v>
      </c>
    </row>
    <row r="10" spans="1:19" ht="18.600000000000001" outlineLevel="1" thickBot="1" x14ac:dyDescent="0.4">
      <c r="A10" s="294">
        <v>52775578</v>
      </c>
      <c r="B10" s="295" t="s">
        <v>94</v>
      </c>
      <c r="C10" s="295" t="s">
        <v>95</v>
      </c>
      <c r="D10" s="282" t="s">
        <v>309</v>
      </c>
      <c r="E10" s="319" t="str">
        <f t="shared" ca="1" si="0"/>
        <v>Anthroplogy</v>
      </c>
      <c r="F10" s="296">
        <v>45496</v>
      </c>
      <c r="G10" s="296">
        <v>45542</v>
      </c>
      <c r="H10" s="285">
        <f t="shared" ca="1" si="1"/>
        <v>0.41666666666666669</v>
      </c>
      <c r="I10" s="285">
        <f t="shared" ca="1" si="2"/>
        <v>0.58333333333333337</v>
      </c>
      <c r="J10" s="286">
        <f t="shared" ca="1" si="3"/>
        <v>4</v>
      </c>
      <c r="L10" s="299">
        <v>0.2</v>
      </c>
      <c r="M10" s="300" t="s">
        <v>373</v>
      </c>
      <c r="N10" s="193"/>
      <c r="O10" s="193"/>
      <c r="P10" s="193"/>
      <c r="Q10" s="193"/>
    </row>
    <row r="11" spans="1:19" ht="18.600000000000001" outlineLevel="1" thickBot="1" x14ac:dyDescent="0.4">
      <c r="A11" s="297">
        <v>69512922</v>
      </c>
      <c r="B11" s="298" t="s">
        <v>96</v>
      </c>
      <c r="C11" s="298" t="s">
        <v>97</v>
      </c>
      <c r="D11" s="289" t="s">
        <v>309</v>
      </c>
      <c r="E11" s="318" t="str">
        <f t="shared" ca="1" si="0"/>
        <v>English</v>
      </c>
      <c r="F11" s="291">
        <v>45496</v>
      </c>
      <c r="G11" s="291">
        <v>45543</v>
      </c>
      <c r="H11" s="292">
        <f t="shared" ca="1" si="1"/>
        <v>0.39583333333333331</v>
      </c>
      <c r="I11" s="292">
        <f t="shared" ca="1" si="2"/>
        <v>0.625</v>
      </c>
      <c r="J11" s="293">
        <f t="shared" ca="1" si="3"/>
        <v>5</v>
      </c>
      <c r="L11" s="299">
        <v>0.4</v>
      </c>
      <c r="M11" s="300" t="s">
        <v>375</v>
      </c>
      <c r="N11" s="193"/>
      <c r="O11" s="193"/>
      <c r="P11" s="193"/>
      <c r="Q11" s="193"/>
    </row>
    <row r="12" spans="1:19" ht="18.600000000000001" outlineLevel="1" thickBot="1" x14ac:dyDescent="0.4">
      <c r="A12" s="294">
        <v>20320994</v>
      </c>
      <c r="B12" s="295" t="s">
        <v>98</v>
      </c>
      <c r="C12" s="295" t="s">
        <v>99</v>
      </c>
      <c r="D12" s="282" t="s">
        <v>309</v>
      </c>
      <c r="E12" s="319" t="str">
        <f t="shared" ca="1" si="0"/>
        <v>Journalism</v>
      </c>
      <c r="F12" s="296">
        <v>45474</v>
      </c>
      <c r="G12" s="296">
        <v>45544</v>
      </c>
      <c r="H12" s="285">
        <f t="shared" ca="1" si="1"/>
        <v>0.4375</v>
      </c>
      <c r="I12" s="285">
        <f t="shared" ca="1" si="2"/>
        <v>0.66666666666666663</v>
      </c>
      <c r="J12" s="286">
        <f t="shared" ca="1" si="3"/>
        <v>5</v>
      </c>
      <c r="L12" s="299">
        <v>0.6</v>
      </c>
      <c r="M12" s="300" t="s">
        <v>374</v>
      </c>
      <c r="N12" s="193"/>
      <c r="O12" s="193"/>
      <c r="P12" s="274" t="s">
        <v>372</v>
      </c>
      <c r="Q12" s="274" t="s">
        <v>373</v>
      </c>
      <c r="R12" s="274" t="s">
        <v>375</v>
      </c>
      <c r="S12" s="274" t="s">
        <v>374</v>
      </c>
    </row>
    <row r="13" spans="1:19" ht="18.600000000000001" outlineLevel="1" thickBot="1" x14ac:dyDescent="0.4">
      <c r="A13" s="297">
        <v>51855406</v>
      </c>
      <c r="B13" s="298" t="s">
        <v>100</v>
      </c>
      <c r="C13" s="298" t="s">
        <v>101</v>
      </c>
      <c r="D13" s="289" t="s">
        <v>309</v>
      </c>
      <c r="E13" s="318" t="str">
        <f t="shared" ca="1" si="0"/>
        <v>Journalism</v>
      </c>
      <c r="F13" s="291">
        <v>45452</v>
      </c>
      <c r="G13" s="302">
        <v>45526</v>
      </c>
      <c r="H13" s="292">
        <f t="shared" ca="1" si="1"/>
        <v>0.39583333333333331</v>
      </c>
      <c r="I13" s="292">
        <f t="shared" ca="1" si="2"/>
        <v>0.70833333333333337</v>
      </c>
      <c r="J13" s="293">
        <f t="shared" ca="1" si="3"/>
        <v>7</v>
      </c>
      <c r="N13" s="193" t="b">
        <v>1</v>
      </c>
      <c r="O13" s="277" t="s">
        <v>311</v>
      </c>
      <c r="P13" s="193">
        <f ca="1">IF($N$13=TRUE,M29,NA())</f>
        <v>1</v>
      </c>
      <c r="Q13" s="193">
        <f ca="1">IF($N$13=TRUE,N29,NA())</f>
        <v>3</v>
      </c>
      <c r="R13" s="193">
        <f ca="1">IF($N$13=TRUE,O29,NA())</f>
        <v>1</v>
      </c>
      <c r="S13" s="193">
        <f ca="1">IF($N$13=TRUE,P29,NA())</f>
        <v>9</v>
      </c>
    </row>
    <row r="14" spans="1:19" ht="18.600000000000001" outlineLevel="1" thickBot="1" x14ac:dyDescent="0.4">
      <c r="A14" s="294">
        <v>22312334</v>
      </c>
      <c r="B14" s="295" t="s">
        <v>102</v>
      </c>
      <c r="C14" s="295" t="s">
        <v>103</v>
      </c>
      <c r="D14" s="282" t="s">
        <v>309</v>
      </c>
      <c r="E14" s="319" t="str">
        <f t="shared" ca="1" si="0"/>
        <v>Journalism</v>
      </c>
      <c r="F14" s="284">
        <v>45491</v>
      </c>
      <c r="G14" s="296">
        <v>45527</v>
      </c>
      <c r="H14" s="285">
        <f t="shared" ca="1" si="1"/>
        <v>0.39583333333333331</v>
      </c>
      <c r="I14" s="285">
        <f t="shared" ca="1" si="2"/>
        <v>0.58333333333333337</v>
      </c>
      <c r="J14" s="286">
        <f t="shared" ca="1" si="3"/>
        <v>4</v>
      </c>
      <c r="N14" s="193" t="b">
        <v>1</v>
      </c>
      <c r="O14" s="275" t="s">
        <v>310</v>
      </c>
      <c r="P14" s="193">
        <f ca="1">IF($N$14=TRUE,M30,NA())</f>
        <v>3</v>
      </c>
      <c r="Q14" s="193">
        <f ca="1">IF($N$14=TRUE,N30,NA())</f>
        <v>1</v>
      </c>
      <c r="R14" s="193">
        <f ca="1">IF($N$14=TRUE,O30,NA())</f>
        <v>2</v>
      </c>
      <c r="S14" s="193">
        <f ca="1">IF($N$14=TRUE,P30,NA())</f>
        <v>5</v>
      </c>
    </row>
    <row r="15" spans="1:19" ht="18.600000000000001" outlineLevel="1" thickBot="1" x14ac:dyDescent="0.4">
      <c r="A15" s="297">
        <v>66173853</v>
      </c>
      <c r="B15" s="298" t="s">
        <v>104</v>
      </c>
      <c r="C15" s="298" t="s">
        <v>105</v>
      </c>
      <c r="D15" s="289" t="s">
        <v>309</v>
      </c>
      <c r="E15" s="318" t="str">
        <f t="shared" ca="1" si="0"/>
        <v>English</v>
      </c>
      <c r="F15" s="302">
        <v>45499</v>
      </c>
      <c r="G15" s="302">
        <v>45536</v>
      </c>
      <c r="H15" s="292">
        <f t="shared" ca="1" si="1"/>
        <v>0.375</v>
      </c>
      <c r="I15" s="292">
        <f t="shared" ca="1" si="2"/>
        <v>0.66666666666666663</v>
      </c>
      <c r="J15" s="293">
        <f t="shared" ca="1" si="3"/>
        <v>7</v>
      </c>
      <c r="N15" s="193" t="b">
        <v>1</v>
      </c>
      <c r="O15" s="276" t="s">
        <v>309</v>
      </c>
      <c r="P15" s="193">
        <f ca="1">IF($N$15=TRUE,M31,NA())</f>
        <v>8</v>
      </c>
      <c r="Q15" s="193">
        <f ca="1">IF($N$15=TRUE,N31,NA())</f>
        <v>9</v>
      </c>
      <c r="R15" s="193">
        <f ca="1">IF($N$15=TRUE,O31,NA())</f>
        <v>10</v>
      </c>
      <c r="S15" s="193">
        <f ca="1">IF($N$15=TRUE,P31,NA())</f>
        <v>11</v>
      </c>
    </row>
    <row r="16" spans="1:19" ht="18.600000000000001" outlineLevel="1" thickBot="1" x14ac:dyDescent="0.4">
      <c r="A16" s="294">
        <v>46774911</v>
      </c>
      <c r="B16" s="295" t="s">
        <v>20</v>
      </c>
      <c r="C16" s="295" t="s">
        <v>106</v>
      </c>
      <c r="D16" s="282" t="s">
        <v>309</v>
      </c>
      <c r="E16" s="319" t="str">
        <f t="shared" ca="1" si="0"/>
        <v>Anthroplogy</v>
      </c>
      <c r="F16" s="284">
        <v>45444</v>
      </c>
      <c r="G16" s="284">
        <v>45535</v>
      </c>
      <c r="H16" s="285">
        <f t="shared" ca="1" si="1"/>
        <v>0.4375</v>
      </c>
      <c r="I16" s="285">
        <f t="shared" ca="1" si="2"/>
        <v>0.70833333333333337</v>
      </c>
      <c r="J16" s="286">
        <f t="shared" ca="1" si="3"/>
        <v>6</v>
      </c>
      <c r="K16" s="278" t="s">
        <v>441</v>
      </c>
      <c r="L16" s="299">
        <v>0</v>
      </c>
      <c r="M16" s="301">
        <v>0.375</v>
      </c>
      <c r="N16" s="193" t="b">
        <v>1</v>
      </c>
      <c r="O16" s="275" t="s">
        <v>308</v>
      </c>
      <c r="P16" s="193">
        <f ca="1">IF($N$16=TRUE,M32,NA())</f>
        <v>0</v>
      </c>
      <c r="Q16" s="193">
        <f ca="1">IF($N$16=TRUE,N32,NA())</f>
        <v>0</v>
      </c>
      <c r="R16" s="193">
        <f ca="1">IF($N$16=TRUE,O32,NA())</f>
        <v>0</v>
      </c>
      <c r="S16" s="193">
        <f ca="1">IF($N$16=TRUE,P32,NA())</f>
        <v>1</v>
      </c>
    </row>
    <row r="17" spans="1:17" ht="18.600000000000001" outlineLevel="1" thickBot="1" x14ac:dyDescent="0.4">
      <c r="A17" s="297">
        <v>88099789</v>
      </c>
      <c r="B17" s="298" t="s">
        <v>107</v>
      </c>
      <c r="C17" s="298" t="s">
        <v>108</v>
      </c>
      <c r="D17" s="289" t="s">
        <v>309</v>
      </c>
      <c r="E17" s="318" t="str">
        <f t="shared" ca="1" si="0"/>
        <v>Journalism</v>
      </c>
      <c r="F17" s="302">
        <v>45474</v>
      </c>
      <c r="G17" s="302">
        <v>45536</v>
      </c>
      <c r="H17" s="292">
        <f t="shared" ca="1" si="1"/>
        <v>0.4375</v>
      </c>
      <c r="I17" s="292">
        <f t="shared" ca="1" si="2"/>
        <v>0.66666666666666663</v>
      </c>
      <c r="J17" s="293">
        <f t="shared" ca="1" si="3"/>
        <v>5</v>
      </c>
      <c r="L17" s="299">
        <v>0.2</v>
      </c>
      <c r="M17" s="301">
        <v>0.39583333333333331</v>
      </c>
      <c r="N17" s="193"/>
      <c r="O17" s="193"/>
      <c r="P17" s="193"/>
      <c r="Q17" s="193"/>
    </row>
    <row r="18" spans="1:17" ht="18.600000000000001" outlineLevel="1" thickBot="1" x14ac:dyDescent="0.4">
      <c r="A18" s="294">
        <v>21171011</v>
      </c>
      <c r="B18" s="295" t="s">
        <v>109</v>
      </c>
      <c r="C18" s="295" t="s">
        <v>110</v>
      </c>
      <c r="D18" s="282" t="s">
        <v>309</v>
      </c>
      <c r="E18" s="319" t="str">
        <f t="shared" ca="1" si="0"/>
        <v>Anthroplogy</v>
      </c>
      <c r="F18" s="284">
        <v>45505</v>
      </c>
      <c r="G18" s="284">
        <v>45537</v>
      </c>
      <c r="H18" s="285">
        <f t="shared" ca="1" si="1"/>
        <v>0.39583333333333331</v>
      </c>
      <c r="I18" s="285">
        <f t="shared" ca="1" si="2"/>
        <v>0.58333333333333337</v>
      </c>
      <c r="J18" s="286">
        <f t="shared" ca="1" si="3"/>
        <v>4</v>
      </c>
      <c r="L18" s="299">
        <v>0.4</v>
      </c>
      <c r="M18" s="301">
        <v>0.41666666666666669</v>
      </c>
      <c r="N18" s="193"/>
      <c r="O18" s="193"/>
      <c r="P18" s="193"/>
      <c r="Q18" s="193"/>
    </row>
    <row r="19" spans="1:17" ht="18.600000000000001" outlineLevel="1" thickBot="1" x14ac:dyDescent="0.4">
      <c r="A19" s="297">
        <v>56229618</v>
      </c>
      <c r="B19" s="298" t="s">
        <v>111</v>
      </c>
      <c r="C19" s="298" t="s">
        <v>112</v>
      </c>
      <c r="D19" s="289" t="s">
        <v>309</v>
      </c>
      <c r="E19" s="318" t="str">
        <f t="shared" ca="1" si="0"/>
        <v>Anthroplogy</v>
      </c>
      <c r="F19" s="302">
        <v>45474</v>
      </c>
      <c r="G19" s="302">
        <v>45538</v>
      </c>
      <c r="H19" s="292">
        <f t="shared" ca="1" si="1"/>
        <v>0.41666666666666669</v>
      </c>
      <c r="I19" s="292">
        <f t="shared" ca="1" si="2"/>
        <v>0.70833333333333337</v>
      </c>
      <c r="J19" s="293">
        <f t="shared" ca="1" si="3"/>
        <v>7</v>
      </c>
      <c r="L19" s="299">
        <v>0.6</v>
      </c>
      <c r="M19" s="301">
        <v>0.4375</v>
      </c>
    </row>
    <row r="20" spans="1:17" ht="18" outlineLevel="1" x14ac:dyDescent="0.35">
      <c r="A20" s="294">
        <v>24895680</v>
      </c>
      <c r="B20" s="295" t="s">
        <v>113</v>
      </c>
      <c r="C20" s="295" t="s">
        <v>114</v>
      </c>
      <c r="D20" s="282" t="s">
        <v>309</v>
      </c>
      <c r="E20" s="319" t="str">
        <f t="shared" ca="1" si="0"/>
        <v>Biology</v>
      </c>
      <c r="F20" s="284">
        <v>45495</v>
      </c>
      <c r="G20" s="284">
        <v>45539</v>
      </c>
      <c r="H20" s="285">
        <f t="shared" ca="1" si="1"/>
        <v>0.41666666666666669</v>
      </c>
      <c r="I20" s="285">
        <f t="shared" ca="1" si="2"/>
        <v>0.66666666666666663</v>
      </c>
      <c r="J20" s="286">
        <f t="shared" ca="1" si="3"/>
        <v>6</v>
      </c>
    </row>
    <row r="21" spans="1:17" ht="18.600000000000001" outlineLevel="1" thickBot="1" x14ac:dyDescent="0.4">
      <c r="A21" s="297">
        <v>24074179</v>
      </c>
      <c r="B21" s="298" t="s">
        <v>115</v>
      </c>
      <c r="C21" s="298" t="s">
        <v>116</v>
      </c>
      <c r="D21" s="289" t="s">
        <v>309</v>
      </c>
      <c r="E21" s="318" t="str">
        <f t="shared" ca="1" si="0"/>
        <v>Anthroplogy</v>
      </c>
      <c r="F21" s="302">
        <v>45475</v>
      </c>
      <c r="G21" s="302">
        <v>45540</v>
      </c>
      <c r="H21" s="292">
        <f t="shared" ca="1" si="1"/>
        <v>0.39583333333333331</v>
      </c>
      <c r="I21" s="292">
        <f t="shared" ca="1" si="2"/>
        <v>0.58333333333333337</v>
      </c>
      <c r="J21" s="293">
        <f t="shared" ca="1" si="3"/>
        <v>4</v>
      </c>
    </row>
    <row r="22" spans="1:17" ht="18.600000000000001" outlineLevel="1" thickBot="1" x14ac:dyDescent="0.4">
      <c r="A22" s="294">
        <v>14100297</v>
      </c>
      <c r="B22" s="295" t="s">
        <v>117</v>
      </c>
      <c r="C22" s="295" t="s">
        <v>118</v>
      </c>
      <c r="D22" s="282" t="s">
        <v>309</v>
      </c>
      <c r="E22" s="319" t="str">
        <f t="shared" ca="1" si="0"/>
        <v>Biology</v>
      </c>
      <c r="F22" s="284">
        <v>45495</v>
      </c>
      <c r="G22" s="284">
        <v>45541</v>
      </c>
      <c r="H22" s="285">
        <f t="shared" ca="1" si="1"/>
        <v>0.4375</v>
      </c>
      <c r="I22" s="285">
        <f t="shared" ca="1" si="2"/>
        <v>0.70833333333333337</v>
      </c>
      <c r="J22" s="286">
        <f t="shared" ca="1" si="3"/>
        <v>6</v>
      </c>
      <c r="K22" s="278" t="s">
        <v>440</v>
      </c>
      <c r="L22" s="299">
        <v>0</v>
      </c>
      <c r="M22" s="301">
        <v>0.70833333333333337</v>
      </c>
    </row>
    <row r="23" spans="1:17" ht="18.600000000000001" outlineLevel="1" thickBot="1" x14ac:dyDescent="0.4">
      <c r="A23" s="297">
        <v>47953857</v>
      </c>
      <c r="B23" s="298" t="s">
        <v>82</v>
      </c>
      <c r="C23" s="298" t="s">
        <v>119</v>
      </c>
      <c r="D23" s="289" t="s">
        <v>309</v>
      </c>
      <c r="E23" s="318" t="str">
        <f t="shared" ca="1" si="0"/>
        <v>Biology</v>
      </c>
      <c r="F23" s="302">
        <v>45496</v>
      </c>
      <c r="G23" s="302">
        <v>45542</v>
      </c>
      <c r="H23" s="292">
        <f t="shared" ca="1" si="1"/>
        <v>0.39583333333333331</v>
      </c>
      <c r="I23" s="292">
        <f t="shared" ca="1" si="2"/>
        <v>0.625</v>
      </c>
      <c r="J23" s="293">
        <f t="shared" ca="1" si="3"/>
        <v>5</v>
      </c>
      <c r="L23" s="299">
        <v>0.2</v>
      </c>
      <c r="M23" s="301">
        <v>0.66666666666666663</v>
      </c>
    </row>
    <row r="24" spans="1:17" ht="18.600000000000001" outlineLevel="1" thickBot="1" x14ac:dyDescent="0.4">
      <c r="A24" s="294">
        <v>61870635</v>
      </c>
      <c r="B24" s="295" t="s">
        <v>120</v>
      </c>
      <c r="C24" s="295" t="s">
        <v>121</v>
      </c>
      <c r="D24" s="282" t="s">
        <v>309</v>
      </c>
      <c r="E24" s="319" t="str">
        <f t="shared" ca="1" si="0"/>
        <v>Journalism</v>
      </c>
      <c r="F24" s="284">
        <v>45496</v>
      </c>
      <c r="G24" s="284">
        <v>45543</v>
      </c>
      <c r="H24" s="285">
        <f t="shared" ca="1" si="1"/>
        <v>0.41666666666666669</v>
      </c>
      <c r="I24" s="285">
        <f t="shared" ca="1" si="2"/>
        <v>0.625</v>
      </c>
      <c r="J24" s="286">
        <f t="shared" ca="1" si="3"/>
        <v>5</v>
      </c>
      <c r="L24" s="299">
        <v>0.4</v>
      </c>
      <c r="M24" s="301">
        <v>0.625</v>
      </c>
    </row>
    <row r="25" spans="1:17" ht="18.600000000000001" outlineLevel="1" thickBot="1" x14ac:dyDescent="0.4">
      <c r="A25" s="297">
        <v>30476018</v>
      </c>
      <c r="B25" s="298" t="s">
        <v>122</v>
      </c>
      <c r="C25" s="298" t="s">
        <v>123</v>
      </c>
      <c r="D25" s="289" t="s">
        <v>309</v>
      </c>
      <c r="E25" s="318" t="str">
        <f t="shared" ca="1" si="0"/>
        <v>Biology</v>
      </c>
      <c r="F25" s="302">
        <v>45474</v>
      </c>
      <c r="G25" s="302">
        <v>45544</v>
      </c>
      <c r="H25" s="292">
        <f t="shared" ca="1" si="1"/>
        <v>0.4375</v>
      </c>
      <c r="I25" s="292">
        <f t="shared" ca="1" si="2"/>
        <v>0.58333333333333337</v>
      </c>
      <c r="J25" s="293">
        <f t="shared" ca="1" si="3"/>
        <v>3</v>
      </c>
      <c r="L25" s="299">
        <v>0.6</v>
      </c>
      <c r="M25" s="301">
        <v>0.58333333333333337</v>
      </c>
    </row>
    <row r="26" spans="1:17" ht="18" outlineLevel="1" x14ac:dyDescent="0.35">
      <c r="A26" s="294">
        <v>29169845</v>
      </c>
      <c r="B26" s="295" t="s">
        <v>124</v>
      </c>
      <c r="C26" s="295" t="s">
        <v>125</v>
      </c>
      <c r="D26" s="282" t="s">
        <v>309</v>
      </c>
      <c r="E26" s="319" t="str">
        <f t="shared" ca="1" si="0"/>
        <v>Biology</v>
      </c>
      <c r="F26" s="284">
        <v>45452</v>
      </c>
      <c r="G26" s="296">
        <v>45526</v>
      </c>
      <c r="H26" s="285">
        <f t="shared" ca="1" si="1"/>
        <v>0.4375</v>
      </c>
      <c r="I26" s="285">
        <f t="shared" ca="1" si="2"/>
        <v>0.66666666666666663</v>
      </c>
      <c r="J26" s="286">
        <f t="shared" ca="1" si="3"/>
        <v>5</v>
      </c>
    </row>
    <row r="27" spans="1:17" ht="18.600000000000001" outlineLevel="1" thickBot="1" x14ac:dyDescent="0.4">
      <c r="A27" s="297">
        <v>31920733</v>
      </c>
      <c r="B27" s="298" t="s">
        <v>126</v>
      </c>
      <c r="C27" s="298" t="s">
        <v>127</v>
      </c>
      <c r="D27" s="289" t="s">
        <v>309</v>
      </c>
      <c r="E27" s="318" t="str">
        <f t="shared" ca="1" si="0"/>
        <v>Journalism</v>
      </c>
      <c r="F27" s="291">
        <v>45491</v>
      </c>
      <c r="G27" s="302">
        <v>45527</v>
      </c>
      <c r="H27" s="292">
        <f t="shared" ca="1" si="1"/>
        <v>0.4375</v>
      </c>
      <c r="I27" s="292">
        <f t="shared" ca="1" si="2"/>
        <v>0.625</v>
      </c>
      <c r="J27" s="293">
        <f t="shared" ca="1" si="3"/>
        <v>4</v>
      </c>
    </row>
    <row r="28" spans="1:17" ht="18.600000000000001" outlineLevel="1" thickBot="1" x14ac:dyDescent="0.4">
      <c r="A28" s="294">
        <v>59135219</v>
      </c>
      <c r="B28" s="295" t="s">
        <v>128</v>
      </c>
      <c r="C28" s="295" t="s">
        <v>129</v>
      </c>
      <c r="D28" s="282" t="s">
        <v>309</v>
      </c>
      <c r="E28" s="319" t="str">
        <f t="shared" ca="1" si="0"/>
        <v>English</v>
      </c>
      <c r="F28" s="296">
        <v>45499</v>
      </c>
      <c r="G28" s="296">
        <v>45536</v>
      </c>
      <c r="H28" s="285">
        <f t="shared" ca="1" si="1"/>
        <v>0.41666666666666669</v>
      </c>
      <c r="I28" s="285">
        <f t="shared" ca="1" si="2"/>
        <v>0.58333333333333337</v>
      </c>
      <c r="J28" s="286">
        <f t="shared" ca="1" si="3"/>
        <v>4</v>
      </c>
      <c r="M28" s="300" t="s">
        <v>372</v>
      </c>
      <c r="N28" s="300" t="s">
        <v>373</v>
      </c>
      <c r="O28" s="300" t="s">
        <v>375</v>
      </c>
      <c r="P28" s="300" t="s">
        <v>374</v>
      </c>
    </row>
    <row r="29" spans="1:17" ht="18.600000000000001" outlineLevel="1" thickBot="1" x14ac:dyDescent="0.4">
      <c r="A29" s="297">
        <v>29617570</v>
      </c>
      <c r="B29" s="298" t="s">
        <v>130</v>
      </c>
      <c r="C29" s="298" t="s">
        <v>131</v>
      </c>
      <c r="D29" s="289" t="s">
        <v>309</v>
      </c>
      <c r="E29" s="318" t="str">
        <f t="shared" ca="1" si="0"/>
        <v>Anthroplogy</v>
      </c>
      <c r="F29" s="291">
        <v>45444</v>
      </c>
      <c r="G29" s="291">
        <v>45535</v>
      </c>
      <c r="H29" s="292">
        <f t="shared" ca="1" si="1"/>
        <v>0.375</v>
      </c>
      <c r="I29" s="292">
        <f t="shared" ca="1" si="2"/>
        <v>0.58333333333333337</v>
      </c>
      <c r="J29" s="293">
        <f t="shared" ca="1" si="3"/>
        <v>5</v>
      </c>
      <c r="L29" s="303" t="s">
        <v>311</v>
      </c>
      <c r="M29" s="300">
        <f ca="1">COUNTIFS($D$52:$D$65,"=A",$E$52:$E$65,"=Journalism")</f>
        <v>1</v>
      </c>
      <c r="N29" s="300">
        <f ca="1">COUNTIFS($D$52:$D$65,"=A",$E$52:$E$65,"=English")</f>
        <v>3</v>
      </c>
      <c r="O29" s="300">
        <f ca="1">COUNTIFS($D$52:$D$65,"=A",$E$52:$E$65,"=Anthroplogy")</f>
        <v>1</v>
      </c>
      <c r="P29" s="300">
        <f ca="1">COUNTIFS($D$52:$D$65,"=A",$E$52:$E$65,"=Biology")</f>
        <v>9</v>
      </c>
    </row>
    <row r="30" spans="1:17" ht="18.600000000000001" outlineLevel="1" thickBot="1" x14ac:dyDescent="0.4">
      <c r="A30" s="294">
        <v>41604417</v>
      </c>
      <c r="B30" s="295" t="s">
        <v>132</v>
      </c>
      <c r="C30" s="295" t="s">
        <v>133</v>
      </c>
      <c r="D30" s="282" t="s">
        <v>309</v>
      </c>
      <c r="E30" s="319" t="str">
        <f t="shared" ca="1" si="0"/>
        <v>Biology</v>
      </c>
      <c r="F30" s="296">
        <v>45474</v>
      </c>
      <c r="G30" s="296">
        <v>45536</v>
      </c>
      <c r="H30" s="285">
        <f t="shared" ca="1" si="1"/>
        <v>0.4375</v>
      </c>
      <c r="I30" s="285">
        <f t="shared" ca="1" si="2"/>
        <v>0.70833333333333337</v>
      </c>
      <c r="J30" s="286">
        <f t="shared" ca="1" si="3"/>
        <v>6</v>
      </c>
      <c r="L30" s="304" t="s">
        <v>310</v>
      </c>
      <c r="M30" s="300">
        <f ca="1">COUNTIFS($D$41:$D$51,"=B",$E$41:$E$51,"=Journalism")</f>
        <v>3</v>
      </c>
      <c r="N30" s="300">
        <f ca="1">COUNTIFS($D$41:$D$54,"=B",$E$41:$E$54,"=English")</f>
        <v>1</v>
      </c>
      <c r="O30" s="300">
        <f ca="1">COUNTIFS($D$41:$D$54,"=B",$E$41:$E$54,"=Anthroplogy")</f>
        <v>2</v>
      </c>
      <c r="P30" s="300">
        <f ca="1">COUNTIFS($D$41:$D$54,"=B",$E$41:$E$54,"=Biology")</f>
        <v>5</v>
      </c>
    </row>
    <row r="31" spans="1:17" ht="18.600000000000001" outlineLevel="1" thickBot="1" x14ac:dyDescent="0.4">
      <c r="A31" s="297">
        <v>67642835</v>
      </c>
      <c r="B31" s="298" t="s">
        <v>134</v>
      </c>
      <c r="C31" s="298" t="s">
        <v>135</v>
      </c>
      <c r="D31" s="289" t="s">
        <v>309</v>
      </c>
      <c r="E31" s="318" t="str">
        <f t="shared" ca="1" si="0"/>
        <v>English</v>
      </c>
      <c r="F31" s="291">
        <v>45444</v>
      </c>
      <c r="G31" s="291">
        <v>45535</v>
      </c>
      <c r="H31" s="292">
        <f t="shared" ca="1" si="1"/>
        <v>0.39583333333333331</v>
      </c>
      <c r="I31" s="292">
        <f t="shared" ca="1" si="2"/>
        <v>0.58333333333333337</v>
      </c>
      <c r="J31" s="293">
        <f t="shared" ca="1" si="3"/>
        <v>4</v>
      </c>
      <c r="L31" s="305" t="s">
        <v>309</v>
      </c>
      <c r="M31" s="300">
        <f ca="1">COUNTIFS($D$3:$D$65,"=C",$E$3:$E$65,"=Journalism")</f>
        <v>8</v>
      </c>
      <c r="N31" s="300">
        <f ca="1">COUNTIFS($D$3:$D$65,"=C",$E$3:$E$65,"=English")</f>
        <v>9</v>
      </c>
      <c r="O31" s="300">
        <f ca="1">COUNTIFS($D$3:$D$65,"=C",$E$3:$E$65,"=Anthroplogy")</f>
        <v>10</v>
      </c>
      <c r="P31" s="300">
        <f ca="1">COUNTIFS($D$3:$D$65,"=C",$E$3:$E$65,"=Biology")</f>
        <v>11</v>
      </c>
    </row>
    <row r="32" spans="1:17" ht="18.600000000000001" outlineLevel="1" thickBot="1" x14ac:dyDescent="0.4">
      <c r="A32" s="294">
        <v>65777672</v>
      </c>
      <c r="B32" s="295" t="s">
        <v>136</v>
      </c>
      <c r="C32" s="295" t="s">
        <v>137</v>
      </c>
      <c r="D32" s="282" t="s">
        <v>309</v>
      </c>
      <c r="E32" s="319" t="str">
        <f t="shared" ca="1" si="0"/>
        <v>English</v>
      </c>
      <c r="F32" s="284">
        <v>45444</v>
      </c>
      <c r="G32" s="284">
        <v>45535</v>
      </c>
      <c r="H32" s="285">
        <f t="shared" ca="1" si="1"/>
        <v>0.39583333333333331</v>
      </c>
      <c r="I32" s="285">
        <f t="shared" ca="1" si="2"/>
        <v>0.625</v>
      </c>
      <c r="J32" s="286">
        <f t="shared" ca="1" si="3"/>
        <v>5</v>
      </c>
      <c r="L32" s="304" t="s">
        <v>308</v>
      </c>
      <c r="M32" s="300">
        <f ca="1">COUNTIFS($D$2:$D$64,"=D",$E$2:$E$64,"=Journalism")</f>
        <v>0</v>
      </c>
      <c r="N32" s="300">
        <f ca="1">COUNTIFS($D$2:$D$64,"=D",$E$2:$E$64,"=English")</f>
        <v>0</v>
      </c>
      <c r="O32" s="300">
        <f ca="1">COUNTIFS($D$2:$D$64,"=D",$E$2:$E$64,"=Anthroplogy")</f>
        <v>0</v>
      </c>
      <c r="P32" s="300">
        <f ca="1">COUNTIFS($D$2:$D$64,"=D",$E$2:$E$64,"=Biology")</f>
        <v>1</v>
      </c>
    </row>
    <row r="33" spans="1:16" ht="18" outlineLevel="1" x14ac:dyDescent="0.35">
      <c r="A33" s="297">
        <v>57031215</v>
      </c>
      <c r="B33" s="298" t="s">
        <v>138</v>
      </c>
      <c r="C33" s="298" t="s">
        <v>139</v>
      </c>
      <c r="D33" s="289" t="s">
        <v>309</v>
      </c>
      <c r="E33" s="318" t="str">
        <f t="shared" ca="1" si="0"/>
        <v>Biology</v>
      </c>
      <c r="F33" s="302">
        <v>45474</v>
      </c>
      <c r="G33" s="302">
        <v>45536</v>
      </c>
      <c r="H33" s="292">
        <f t="shared" ca="1" si="1"/>
        <v>0.41666666666666669</v>
      </c>
      <c r="I33" s="292">
        <f t="shared" ca="1" si="2"/>
        <v>0.58333333333333337</v>
      </c>
      <c r="J33" s="293">
        <f t="shared" ca="1" si="3"/>
        <v>4</v>
      </c>
    </row>
    <row r="34" spans="1:16" ht="18" outlineLevel="1" x14ac:dyDescent="0.35">
      <c r="A34" s="294">
        <v>14679298</v>
      </c>
      <c r="B34" s="295" t="s">
        <v>140</v>
      </c>
      <c r="C34" s="295" t="s">
        <v>141</v>
      </c>
      <c r="D34" s="282" t="s">
        <v>309</v>
      </c>
      <c r="E34" s="319" t="str">
        <f t="shared" ref="E34:E65" ca="1" si="4">VLOOKUP(RAND(),$L$9:$M$12,2,TRUE)</f>
        <v>Journalism</v>
      </c>
      <c r="F34" s="284">
        <v>45505</v>
      </c>
      <c r="G34" s="284">
        <v>45537</v>
      </c>
      <c r="H34" s="285">
        <f t="shared" ref="H34:H65" ca="1" si="5">VLOOKUP(RAND(),$L$16:$M$19,2,TRUE)</f>
        <v>0.4375</v>
      </c>
      <c r="I34" s="285">
        <f t="shared" ref="I34:I65" ca="1" si="6">VLOOKUP(RAND(),$L$22:$M$25,2,TRUE)</f>
        <v>0.66666666666666663</v>
      </c>
      <c r="J34" s="286">
        <f t="shared" ref="J34:J65" ca="1" si="7">HOUR(I34-H34)</f>
        <v>5</v>
      </c>
    </row>
    <row r="35" spans="1:16" ht="18" outlineLevel="1" x14ac:dyDescent="0.35">
      <c r="A35" s="297">
        <v>26610470</v>
      </c>
      <c r="B35" s="298" t="s">
        <v>32</v>
      </c>
      <c r="C35" s="298" t="s">
        <v>142</v>
      </c>
      <c r="D35" s="289" t="s">
        <v>309</v>
      </c>
      <c r="E35" s="318" t="str">
        <f t="shared" ca="1" si="4"/>
        <v>Biology</v>
      </c>
      <c r="F35" s="302">
        <v>45474</v>
      </c>
      <c r="G35" s="302">
        <v>45538</v>
      </c>
      <c r="H35" s="292">
        <f t="shared" ca="1" si="5"/>
        <v>0.4375</v>
      </c>
      <c r="I35" s="292">
        <f t="shared" ca="1" si="6"/>
        <v>0.70833333333333337</v>
      </c>
      <c r="J35" s="293">
        <f t="shared" ca="1" si="7"/>
        <v>6</v>
      </c>
      <c r="L35" s="312" t="s">
        <v>442</v>
      </c>
      <c r="M35" s="278" t="s">
        <v>379</v>
      </c>
    </row>
    <row r="36" spans="1:16" ht="18" outlineLevel="1" x14ac:dyDescent="0.35">
      <c r="A36" s="294">
        <v>39378097</v>
      </c>
      <c r="B36" s="295" t="s">
        <v>143</v>
      </c>
      <c r="C36" s="295" t="s">
        <v>144</v>
      </c>
      <c r="D36" s="282" t="s">
        <v>309</v>
      </c>
      <c r="E36" s="319" t="str">
        <f t="shared" ca="1" si="4"/>
        <v>English</v>
      </c>
      <c r="F36" s="284">
        <v>45495</v>
      </c>
      <c r="G36" s="284">
        <v>45539</v>
      </c>
      <c r="H36" s="285">
        <f t="shared" ca="1" si="5"/>
        <v>0.4375</v>
      </c>
      <c r="I36" s="285">
        <f t="shared" ca="1" si="6"/>
        <v>0.70833333333333337</v>
      </c>
      <c r="J36" s="286">
        <f t="shared" ca="1" si="7"/>
        <v>6</v>
      </c>
      <c r="L36" s="278" t="s">
        <v>311</v>
      </c>
      <c r="M36" s="278">
        <v>65</v>
      </c>
    </row>
    <row r="37" spans="1:16" ht="18" outlineLevel="1" x14ac:dyDescent="0.35">
      <c r="A37" s="297">
        <v>12255678</v>
      </c>
      <c r="B37" s="298" t="s">
        <v>145</v>
      </c>
      <c r="C37" s="298" t="s">
        <v>146</v>
      </c>
      <c r="D37" s="289" t="s">
        <v>309</v>
      </c>
      <c r="E37" s="318" t="str">
        <f t="shared" ca="1" si="4"/>
        <v>Anthroplogy</v>
      </c>
      <c r="F37" s="302">
        <v>45475</v>
      </c>
      <c r="G37" s="302">
        <v>45540</v>
      </c>
      <c r="H37" s="292">
        <f t="shared" ca="1" si="5"/>
        <v>0.39583333333333331</v>
      </c>
      <c r="I37" s="292">
        <f t="shared" ca="1" si="6"/>
        <v>0.625</v>
      </c>
      <c r="J37" s="293">
        <f t="shared" ca="1" si="7"/>
        <v>5</v>
      </c>
      <c r="L37" s="278" t="s">
        <v>375</v>
      </c>
      <c r="M37" s="278">
        <v>4</v>
      </c>
    </row>
    <row r="38" spans="1:16" ht="18" outlineLevel="1" x14ac:dyDescent="0.35">
      <c r="A38" s="294">
        <v>23300401</v>
      </c>
      <c r="B38" s="295" t="s">
        <v>147</v>
      </c>
      <c r="C38" s="295" t="s">
        <v>148</v>
      </c>
      <c r="D38" s="282" t="s">
        <v>309</v>
      </c>
      <c r="E38" s="319" t="str">
        <f t="shared" ca="1" si="4"/>
        <v>Anthroplogy</v>
      </c>
      <c r="F38" s="284">
        <v>45495</v>
      </c>
      <c r="G38" s="284">
        <v>45541</v>
      </c>
      <c r="H38" s="285">
        <f t="shared" ca="1" si="5"/>
        <v>0.375</v>
      </c>
      <c r="I38" s="285">
        <f t="shared" ca="1" si="6"/>
        <v>0.66666666666666663</v>
      </c>
      <c r="J38" s="286">
        <f t="shared" ca="1" si="7"/>
        <v>7</v>
      </c>
      <c r="L38" s="278" t="s">
        <v>437</v>
      </c>
      <c r="M38" s="278">
        <v>4</v>
      </c>
    </row>
    <row r="39" spans="1:16" ht="18" outlineLevel="1" x14ac:dyDescent="0.35">
      <c r="A39" s="297">
        <v>73797335</v>
      </c>
      <c r="B39" s="298" t="s">
        <v>102</v>
      </c>
      <c r="C39" s="298" t="s">
        <v>149</v>
      </c>
      <c r="D39" s="289" t="s">
        <v>309</v>
      </c>
      <c r="E39" s="318" t="str">
        <f t="shared" ca="1" si="4"/>
        <v>Journalism</v>
      </c>
      <c r="F39" s="302">
        <v>45496</v>
      </c>
      <c r="G39" s="302">
        <v>45542</v>
      </c>
      <c r="H39" s="292">
        <f t="shared" ca="1" si="5"/>
        <v>0.4375</v>
      </c>
      <c r="I39" s="292">
        <f t="shared" ca="1" si="6"/>
        <v>0.70833333333333337</v>
      </c>
      <c r="J39" s="293">
        <f t="shared" ca="1" si="7"/>
        <v>6</v>
      </c>
      <c r="L39" s="278" t="s">
        <v>374</v>
      </c>
      <c r="M39" s="278">
        <v>45</v>
      </c>
    </row>
    <row r="40" spans="1:16" ht="18" outlineLevel="1" x14ac:dyDescent="0.35">
      <c r="A40" s="294">
        <v>96788908</v>
      </c>
      <c r="B40" s="295" t="s">
        <v>101</v>
      </c>
      <c r="C40" s="295" t="s">
        <v>150</v>
      </c>
      <c r="D40" s="282" t="s">
        <v>309</v>
      </c>
      <c r="E40" s="319" t="str">
        <f t="shared" ca="1" si="4"/>
        <v>English</v>
      </c>
      <c r="F40" s="284">
        <v>45496</v>
      </c>
      <c r="G40" s="284">
        <v>45543</v>
      </c>
      <c r="H40" s="285">
        <f t="shared" ca="1" si="5"/>
        <v>0.375</v>
      </c>
      <c r="I40" s="285">
        <f t="shared" ca="1" si="6"/>
        <v>0.70833333333333337</v>
      </c>
      <c r="J40" s="286">
        <f t="shared" ca="1" si="7"/>
        <v>8</v>
      </c>
      <c r="L40" s="278" t="s">
        <v>438</v>
      </c>
      <c r="M40" s="278">
        <v>14</v>
      </c>
    </row>
    <row r="41" spans="1:16" ht="18" outlineLevel="1" x14ac:dyDescent="0.35">
      <c r="A41" s="287">
        <v>16251330</v>
      </c>
      <c r="B41" s="288" t="s">
        <v>151</v>
      </c>
      <c r="C41" s="289" t="s">
        <v>152</v>
      </c>
      <c r="D41" s="290" t="s">
        <v>310</v>
      </c>
      <c r="E41" s="318" t="str">
        <f t="shared" ca="1" si="4"/>
        <v>Biology</v>
      </c>
      <c r="F41" s="302">
        <v>45474</v>
      </c>
      <c r="G41" s="302">
        <v>45544</v>
      </c>
      <c r="H41" s="292">
        <f t="shared" ca="1" si="5"/>
        <v>0.41666666666666669</v>
      </c>
      <c r="I41" s="292">
        <f t="shared" ca="1" si="6"/>
        <v>0.58333333333333337</v>
      </c>
      <c r="J41" s="293">
        <f t="shared" ca="1" si="7"/>
        <v>4</v>
      </c>
      <c r="L41" s="278" t="s">
        <v>437</v>
      </c>
      <c r="M41" s="278">
        <v>27</v>
      </c>
    </row>
    <row r="42" spans="1:16" ht="18" outlineLevel="1" x14ac:dyDescent="0.35">
      <c r="A42" s="294">
        <v>35471023</v>
      </c>
      <c r="B42" s="295" t="s">
        <v>32</v>
      </c>
      <c r="C42" s="306" t="s">
        <v>153</v>
      </c>
      <c r="D42" s="283" t="s">
        <v>310</v>
      </c>
      <c r="E42" s="319" t="str">
        <f t="shared" ca="1" si="4"/>
        <v>Journalism</v>
      </c>
      <c r="F42" s="284">
        <v>45452</v>
      </c>
      <c r="G42" s="296">
        <v>45526</v>
      </c>
      <c r="H42" s="285">
        <f t="shared" ca="1" si="5"/>
        <v>0.375</v>
      </c>
      <c r="I42" s="285">
        <f t="shared" ca="1" si="6"/>
        <v>0.625</v>
      </c>
      <c r="J42" s="286">
        <f t="shared" ca="1" si="7"/>
        <v>6</v>
      </c>
      <c r="L42" s="278" t="s">
        <v>439</v>
      </c>
      <c r="M42" s="278">
        <v>4</v>
      </c>
    </row>
    <row r="43" spans="1:16" ht="18" outlineLevel="1" x14ac:dyDescent="0.35">
      <c r="A43" s="297">
        <v>50822121</v>
      </c>
      <c r="B43" s="298" t="s">
        <v>154</v>
      </c>
      <c r="C43" s="307" t="s">
        <v>155</v>
      </c>
      <c r="D43" s="290" t="s">
        <v>310</v>
      </c>
      <c r="E43" s="318" t="str">
        <f t="shared" ca="1" si="4"/>
        <v>English</v>
      </c>
      <c r="F43" s="291">
        <v>45491</v>
      </c>
      <c r="G43" s="302">
        <v>45527</v>
      </c>
      <c r="H43" s="292">
        <f t="shared" ca="1" si="5"/>
        <v>0.375</v>
      </c>
      <c r="I43" s="292">
        <f t="shared" ca="1" si="6"/>
        <v>0.58333333333333337</v>
      </c>
      <c r="J43" s="293">
        <f t="shared" ca="1" si="7"/>
        <v>5</v>
      </c>
      <c r="L43" s="278" t="s">
        <v>373</v>
      </c>
      <c r="M43" s="278">
        <v>5</v>
      </c>
      <c r="P43" s="193"/>
    </row>
    <row r="44" spans="1:16" ht="18" outlineLevel="1" x14ac:dyDescent="0.35">
      <c r="A44" s="294">
        <v>45322100</v>
      </c>
      <c r="B44" s="295" t="s">
        <v>156</v>
      </c>
      <c r="C44" s="306" t="s">
        <v>157</v>
      </c>
      <c r="D44" s="283" t="s">
        <v>310</v>
      </c>
      <c r="E44" s="319" t="str">
        <f t="shared" ca="1" si="4"/>
        <v>Anthroplogy</v>
      </c>
      <c r="F44" s="296">
        <v>45499</v>
      </c>
      <c r="G44" s="296">
        <v>45536</v>
      </c>
      <c r="H44" s="285">
        <f t="shared" ca="1" si="5"/>
        <v>0.375</v>
      </c>
      <c r="I44" s="285">
        <f t="shared" ca="1" si="6"/>
        <v>0.625</v>
      </c>
      <c r="J44" s="286">
        <f t="shared" ca="1" si="7"/>
        <v>6</v>
      </c>
      <c r="L44" s="278" t="s">
        <v>437</v>
      </c>
      <c r="M44" s="278">
        <v>5</v>
      </c>
      <c r="P44" s="193"/>
    </row>
    <row r="45" spans="1:16" ht="18" outlineLevel="1" x14ac:dyDescent="0.35">
      <c r="A45" s="297">
        <v>55251417</v>
      </c>
      <c r="B45" s="298" t="s">
        <v>158</v>
      </c>
      <c r="C45" s="307" t="s">
        <v>159</v>
      </c>
      <c r="D45" s="290" t="s">
        <v>310</v>
      </c>
      <c r="E45" s="318" t="str">
        <f t="shared" ca="1" si="4"/>
        <v>Anthroplogy</v>
      </c>
      <c r="F45" s="291">
        <v>45444</v>
      </c>
      <c r="G45" s="291">
        <v>45535</v>
      </c>
      <c r="H45" s="292">
        <f t="shared" ca="1" si="5"/>
        <v>0.4375</v>
      </c>
      <c r="I45" s="292">
        <f t="shared" ca="1" si="6"/>
        <v>0.66666666666666663</v>
      </c>
      <c r="J45" s="293">
        <f t="shared" ca="1" si="7"/>
        <v>5</v>
      </c>
      <c r="L45" s="278" t="s">
        <v>372</v>
      </c>
      <c r="M45" s="278">
        <v>11</v>
      </c>
      <c r="P45" s="193"/>
    </row>
    <row r="46" spans="1:16" ht="18" outlineLevel="1" x14ac:dyDescent="0.35">
      <c r="A46" s="294">
        <v>14858103</v>
      </c>
      <c r="B46" s="295" t="s">
        <v>160</v>
      </c>
      <c r="C46" s="306" t="s">
        <v>161</v>
      </c>
      <c r="D46" s="283" t="s">
        <v>310</v>
      </c>
      <c r="E46" s="319" t="str">
        <f t="shared" ca="1" si="4"/>
        <v>Journalism</v>
      </c>
      <c r="F46" s="296">
        <v>45474</v>
      </c>
      <c r="G46" s="296">
        <v>45536</v>
      </c>
      <c r="H46" s="285">
        <f t="shared" ca="1" si="5"/>
        <v>0.375</v>
      </c>
      <c r="I46" s="285">
        <f t="shared" ca="1" si="6"/>
        <v>0.625</v>
      </c>
      <c r="J46" s="286">
        <f t="shared" ca="1" si="7"/>
        <v>6</v>
      </c>
      <c r="L46" s="278" t="s">
        <v>438</v>
      </c>
      <c r="M46" s="278">
        <v>3</v>
      </c>
      <c r="P46" s="193"/>
    </row>
    <row r="47" spans="1:16" ht="18" outlineLevel="1" x14ac:dyDescent="0.35">
      <c r="A47" s="297">
        <v>46271285</v>
      </c>
      <c r="B47" s="298" t="s">
        <v>162</v>
      </c>
      <c r="C47" s="307" t="s">
        <v>163</v>
      </c>
      <c r="D47" s="290" t="s">
        <v>310</v>
      </c>
      <c r="E47" s="318" t="str">
        <f t="shared" ca="1" si="4"/>
        <v>Biology</v>
      </c>
      <c r="F47" s="291">
        <v>45505</v>
      </c>
      <c r="G47" s="291">
        <v>45537</v>
      </c>
      <c r="H47" s="292">
        <f t="shared" ca="1" si="5"/>
        <v>0.39583333333333331</v>
      </c>
      <c r="I47" s="292">
        <f t="shared" ca="1" si="6"/>
        <v>0.625</v>
      </c>
      <c r="J47" s="293">
        <f t="shared" ca="1" si="7"/>
        <v>5</v>
      </c>
      <c r="L47" s="278" t="s">
        <v>437</v>
      </c>
      <c r="M47" s="278">
        <v>8</v>
      </c>
      <c r="P47" s="193"/>
    </row>
    <row r="48" spans="1:16" ht="18" outlineLevel="1" x14ac:dyDescent="0.35">
      <c r="A48" s="294">
        <v>42393621</v>
      </c>
      <c r="B48" s="295" t="s">
        <v>164</v>
      </c>
      <c r="C48" s="306" t="s">
        <v>165</v>
      </c>
      <c r="D48" s="283" t="s">
        <v>310</v>
      </c>
      <c r="E48" s="319" t="str">
        <f t="shared" ca="1" si="4"/>
        <v>Biology</v>
      </c>
      <c r="F48" s="296">
        <v>45474</v>
      </c>
      <c r="G48" s="296">
        <v>45538</v>
      </c>
      <c r="H48" s="285">
        <f t="shared" ca="1" si="5"/>
        <v>0.41666666666666669</v>
      </c>
      <c r="I48" s="285">
        <f t="shared" ca="1" si="6"/>
        <v>0.58333333333333337</v>
      </c>
      <c r="J48" s="286">
        <f t="shared" ca="1" si="7"/>
        <v>4</v>
      </c>
      <c r="L48" s="278" t="s">
        <v>286</v>
      </c>
      <c r="M48" s="278">
        <v>65</v>
      </c>
      <c r="P48" s="193"/>
    </row>
    <row r="49" spans="1:16" ht="18" outlineLevel="1" x14ac:dyDescent="0.35">
      <c r="A49" s="297">
        <v>88900987</v>
      </c>
      <c r="B49" s="298" t="s">
        <v>89</v>
      </c>
      <c r="C49" s="307" t="s">
        <v>166</v>
      </c>
      <c r="D49" s="290" t="s">
        <v>310</v>
      </c>
      <c r="E49" s="318" t="str">
        <f t="shared" ca="1" si="4"/>
        <v>Biology</v>
      </c>
      <c r="F49" s="291">
        <v>45495</v>
      </c>
      <c r="G49" s="291">
        <v>45539</v>
      </c>
      <c r="H49" s="292">
        <f t="shared" ca="1" si="5"/>
        <v>0.4375</v>
      </c>
      <c r="I49" s="292">
        <f t="shared" ca="1" si="6"/>
        <v>0.625</v>
      </c>
      <c r="J49" s="293">
        <f t="shared" ca="1" si="7"/>
        <v>4</v>
      </c>
      <c r="P49" s="193"/>
    </row>
    <row r="50" spans="1:16" ht="18" outlineLevel="1" x14ac:dyDescent="0.35">
      <c r="A50" s="294">
        <v>61539595</v>
      </c>
      <c r="B50" s="295" t="s">
        <v>82</v>
      </c>
      <c r="C50" s="306" t="s">
        <v>167</v>
      </c>
      <c r="D50" s="283" t="s">
        <v>310</v>
      </c>
      <c r="E50" s="319" t="str">
        <f t="shared" ca="1" si="4"/>
        <v>Journalism</v>
      </c>
      <c r="F50" s="296">
        <v>45475</v>
      </c>
      <c r="G50" s="296">
        <v>45540</v>
      </c>
      <c r="H50" s="285">
        <f t="shared" ca="1" si="5"/>
        <v>0.375</v>
      </c>
      <c r="I50" s="285">
        <f t="shared" ca="1" si="6"/>
        <v>0.58333333333333337</v>
      </c>
      <c r="J50" s="286">
        <f t="shared" ca="1" si="7"/>
        <v>5</v>
      </c>
      <c r="P50" s="193"/>
    </row>
    <row r="51" spans="1:16" ht="18" outlineLevel="1" x14ac:dyDescent="0.35">
      <c r="A51" s="297">
        <v>99978671</v>
      </c>
      <c r="B51" s="298" t="s">
        <v>168</v>
      </c>
      <c r="C51" s="307" t="s">
        <v>169</v>
      </c>
      <c r="D51" s="290" t="s">
        <v>310</v>
      </c>
      <c r="E51" s="318" t="str">
        <f t="shared" ca="1" si="4"/>
        <v>Biology</v>
      </c>
      <c r="F51" s="291">
        <v>45495</v>
      </c>
      <c r="G51" s="291">
        <v>45541</v>
      </c>
      <c r="H51" s="292">
        <f t="shared" ca="1" si="5"/>
        <v>0.39583333333333331</v>
      </c>
      <c r="I51" s="292">
        <f t="shared" ca="1" si="6"/>
        <v>0.58333333333333337</v>
      </c>
      <c r="J51" s="293">
        <f t="shared" ca="1" si="7"/>
        <v>4</v>
      </c>
      <c r="P51" s="193"/>
    </row>
    <row r="52" spans="1:16" ht="18" outlineLevel="1" x14ac:dyDescent="0.35">
      <c r="A52" s="294">
        <v>66788007</v>
      </c>
      <c r="B52" s="295" t="s">
        <v>8</v>
      </c>
      <c r="C52" s="295" t="s">
        <v>170</v>
      </c>
      <c r="D52" s="306" t="s">
        <v>311</v>
      </c>
      <c r="E52" s="319" t="str">
        <f t="shared" ca="1" si="4"/>
        <v>Journalism</v>
      </c>
      <c r="F52" s="284">
        <v>45496</v>
      </c>
      <c r="G52" s="284">
        <v>45543</v>
      </c>
      <c r="H52" s="285">
        <f t="shared" ca="1" si="5"/>
        <v>0.4375</v>
      </c>
      <c r="I52" s="285">
        <f t="shared" ca="1" si="6"/>
        <v>0.58333333333333337</v>
      </c>
      <c r="J52" s="286">
        <f t="shared" ca="1" si="7"/>
        <v>3</v>
      </c>
      <c r="P52" s="193"/>
    </row>
    <row r="53" spans="1:16" ht="18" outlineLevel="1" x14ac:dyDescent="0.35">
      <c r="A53" s="297">
        <v>26430751</v>
      </c>
      <c r="B53" s="298" t="s">
        <v>20</v>
      </c>
      <c r="C53" s="298" t="s">
        <v>171</v>
      </c>
      <c r="D53" s="307" t="s">
        <v>311</v>
      </c>
      <c r="E53" s="318" t="str">
        <f t="shared" ca="1" si="4"/>
        <v>Biology</v>
      </c>
      <c r="F53" s="302">
        <v>45474</v>
      </c>
      <c r="G53" s="302">
        <v>45544</v>
      </c>
      <c r="H53" s="292">
        <f t="shared" ca="1" si="5"/>
        <v>0.41666666666666669</v>
      </c>
      <c r="I53" s="292">
        <f t="shared" ca="1" si="6"/>
        <v>0.66666666666666663</v>
      </c>
      <c r="J53" s="293">
        <f t="shared" ca="1" si="7"/>
        <v>6</v>
      </c>
      <c r="P53" s="193"/>
    </row>
    <row r="54" spans="1:16" ht="18" outlineLevel="1" x14ac:dyDescent="0.35">
      <c r="A54" s="294">
        <v>56566555</v>
      </c>
      <c r="B54" s="295" t="s">
        <v>172</v>
      </c>
      <c r="C54" s="295" t="s">
        <v>173</v>
      </c>
      <c r="D54" s="306" t="s">
        <v>311</v>
      </c>
      <c r="E54" s="319" t="str">
        <f t="shared" ca="1" si="4"/>
        <v>Biology</v>
      </c>
      <c r="F54" s="284">
        <v>45452</v>
      </c>
      <c r="G54" s="296">
        <v>45526</v>
      </c>
      <c r="H54" s="285">
        <f t="shared" ca="1" si="5"/>
        <v>0.39583333333333331</v>
      </c>
      <c r="I54" s="285">
        <f t="shared" ca="1" si="6"/>
        <v>0.625</v>
      </c>
      <c r="J54" s="286">
        <f t="shared" ca="1" si="7"/>
        <v>5</v>
      </c>
      <c r="L54" s="193"/>
      <c r="M54" s="193"/>
      <c r="N54" s="193"/>
      <c r="O54" s="193"/>
      <c r="P54" s="193"/>
    </row>
    <row r="55" spans="1:16" ht="18" outlineLevel="1" x14ac:dyDescent="0.35">
      <c r="A55" s="297">
        <v>54881230</v>
      </c>
      <c r="B55" s="298" t="s">
        <v>174</v>
      </c>
      <c r="C55" s="298" t="s">
        <v>175</v>
      </c>
      <c r="D55" s="307" t="s">
        <v>311</v>
      </c>
      <c r="E55" s="318" t="str">
        <f t="shared" ca="1" si="4"/>
        <v>Biology</v>
      </c>
      <c r="F55" s="291">
        <v>45491</v>
      </c>
      <c r="G55" s="302">
        <v>45527</v>
      </c>
      <c r="H55" s="292">
        <f t="shared" ca="1" si="5"/>
        <v>0.4375</v>
      </c>
      <c r="I55" s="292">
        <f t="shared" ca="1" si="6"/>
        <v>0.58333333333333337</v>
      </c>
      <c r="J55" s="293">
        <f t="shared" ca="1" si="7"/>
        <v>3</v>
      </c>
      <c r="L55" s="193"/>
      <c r="M55" s="193"/>
      <c r="N55" s="193"/>
      <c r="O55" s="193"/>
      <c r="P55" s="193"/>
    </row>
    <row r="56" spans="1:16" ht="18" x14ac:dyDescent="0.35">
      <c r="A56" s="294">
        <v>36326243</v>
      </c>
      <c r="B56" s="295" t="s">
        <v>176</v>
      </c>
      <c r="C56" s="295" t="s">
        <v>177</v>
      </c>
      <c r="D56" s="306" t="s">
        <v>311</v>
      </c>
      <c r="E56" s="319" t="str">
        <f t="shared" ca="1" si="4"/>
        <v>Biology</v>
      </c>
      <c r="F56" s="296">
        <v>45499</v>
      </c>
      <c r="G56" s="296">
        <v>45536</v>
      </c>
      <c r="H56" s="285">
        <f t="shared" ca="1" si="5"/>
        <v>0.4375</v>
      </c>
      <c r="I56" s="285">
        <f t="shared" ca="1" si="6"/>
        <v>0.58333333333333337</v>
      </c>
      <c r="J56" s="286">
        <f t="shared" ca="1" si="7"/>
        <v>3</v>
      </c>
      <c r="L56" s="193"/>
      <c r="M56" s="193"/>
      <c r="N56" s="193"/>
      <c r="O56" s="193"/>
      <c r="P56" s="193"/>
    </row>
    <row r="57" spans="1:16" ht="18" outlineLevel="1" x14ac:dyDescent="0.35">
      <c r="A57" s="297">
        <v>42567936</v>
      </c>
      <c r="B57" s="298" t="s">
        <v>128</v>
      </c>
      <c r="C57" s="298" t="s">
        <v>178</v>
      </c>
      <c r="D57" s="307" t="s">
        <v>311</v>
      </c>
      <c r="E57" s="318" t="str">
        <f t="shared" ca="1" si="4"/>
        <v>Biology</v>
      </c>
      <c r="F57" s="291">
        <v>45444</v>
      </c>
      <c r="G57" s="291">
        <v>45535</v>
      </c>
      <c r="H57" s="292">
        <f t="shared" ca="1" si="5"/>
        <v>0.4375</v>
      </c>
      <c r="I57" s="292">
        <f t="shared" ca="1" si="6"/>
        <v>0.70833333333333337</v>
      </c>
      <c r="J57" s="293">
        <f t="shared" ca="1" si="7"/>
        <v>6</v>
      </c>
      <c r="L57" s="193"/>
      <c r="M57" s="193"/>
      <c r="N57" s="193"/>
      <c r="O57" s="193"/>
      <c r="P57" s="193"/>
    </row>
    <row r="58" spans="1:16" ht="18" outlineLevel="1" x14ac:dyDescent="0.35">
      <c r="A58" s="294">
        <v>30497977</v>
      </c>
      <c r="B58" s="295" t="s">
        <v>179</v>
      </c>
      <c r="C58" s="295" t="s">
        <v>180</v>
      </c>
      <c r="D58" s="306" t="s">
        <v>311</v>
      </c>
      <c r="E58" s="319" t="str">
        <f t="shared" ca="1" si="4"/>
        <v>Biology</v>
      </c>
      <c r="F58" s="296">
        <v>45474</v>
      </c>
      <c r="G58" s="296">
        <v>45536</v>
      </c>
      <c r="H58" s="285">
        <f t="shared" ca="1" si="5"/>
        <v>0.375</v>
      </c>
      <c r="I58" s="285">
        <f t="shared" ca="1" si="6"/>
        <v>0.70833333333333337</v>
      </c>
      <c r="J58" s="286">
        <f t="shared" ca="1" si="7"/>
        <v>8</v>
      </c>
      <c r="L58" s="193"/>
      <c r="M58" s="193"/>
      <c r="N58" s="193"/>
      <c r="O58" s="193"/>
      <c r="P58" s="193"/>
    </row>
    <row r="59" spans="1:16" ht="18" outlineLevel="1" x14ac:dyDescent="0.35">
      <c r="A59" s="297">
        <v>60161889</v>
      </c>
      <c r="B59" s="298" t="s">
        <v>10</v>
      </c>
      <c r="C59" s="298" t="s">
        <v>181</v>
      </c>
      <c r="D59" s="307" t="s">
        <v>311</v>
      </c>
      <c r="E59" s="318" t="str">
        <f t="shared" ca="1" si="4"/>
        <v>Biology</v>
      </c>
      <c r="F59" s="291">
        <v>45444</v>
      </c>
      <c r="G59" s="291">
        <v>45535</v>
      </c>
      <c r="H59" s="292">
        <f t="shared" ca="1" si="5"/>
        <v>0.4375</v>
      </c>
      <c r="I59" s="292">
        <f t="shared" ca="1" si="6"/>
        <v>0.58333333333333337</v>
      </c>
      <c r="J59" s="293">
        <f t="shared" ca="1" si="7"/>
        <v>3</v>
      </c>
      <c r="L59" s="193"/>
      <c r="M59" s="193"/>
      <c r="N59" s="193"/>
      <c r="O59" s="193"/>
      <c r="P59" s="193"/>
    </row>
    <row r="60" spans="1:16" ht="18" outlineLevel="1" x14ac:dyDescent="0.35">
      <c r="A60" s="294">
        <v>23970827</v>
      </c>
      <c r="B60" s="295" t="s">
        <v>182</v>
      </c>
      <c r="C60" s="295" t="s">
        <v>183</v>
      </c>
      <c r="D60" s="306" t="s">
        <v>311</v>
      </c>
      <c r="E60" s="319" t="str">
        <f t="shared" ca="1" si="4"/>
        <v>Biology</v>
      </c>
      <c r="F60" s="284">
        <v>45444</v>
      </c>
      <c r="G60" s="284">
        <v>45535</v>
      </c>
      <c r="H60" s="285">
        <f t="shared" ca="1" si="5"/>
        <v>0.41666666666666669</v>
      </c>
      <c r="I60" s="285">
        <f t="shared" ca="1" si="6"/>
        <v>0.66666666666666663</v>
      </c>
      <c r="J60" s="286">
        <f t="shared" ca="1" si="7"/>
        <v>6</v>
      </c>
      <c r="L60" s="193"/>
      <c r="M60" s="193"/>
      <c r="N60" s="193"/>
      <c r="O60" s="193"/>
      <c r="P60" s="193"/>
    </row>
    <row r="61" spans="1:16" ht="18" outlineLevel="1" x14ac:dyDescent="0.35">
      <c r="A61" s="297">
        <v>15767535</v>
      </c>
      <c r="B61" s="298" t="s">
        <v>184</v>
      </c>
      <c r="C61" s="298" t="s">
        <v>185</v>
      </c>
      <c r="D61" s="307" t="s">
        <v>311</v>
      </c>
      <c r="E61" s="318" t="str">
        <f t="shared" ca="1" si="4"/>
        <v>English</v>
      </c>
      <c r="F61" s="302">
        <v>45474</v>
      </c>
      <c r="G61" s="302">
        <v>45536</v>
      </c>
      <c r="H61" s="292">
        <f t="shared" ca="1" si="5"/>
        <v>0.4375</v>
      </c>
      <c r="I61" s="292">
        <f t="shared" ca="1" si="6"/>
        <v>0.66666666666666663</v>
      </c>
      <c r="J61" s="293">
        <f t="shared" ca="1" si="7"/>
        <v>5</v>
      </c>
      <c r="L61" s="193"/>
      <c r="M61" s="193"/>
      <c r="N61" s="193"/>
      <c r="O61" s="193"/>
      <c r="P61" s="193"/>
    </row>
    <row r="62" spans="1:16" ht="18" outlineLevel="1" x14ac:dyDescent="0.35">
      <c r="A62" s="294">
        <v>10648455</v>
      </c>
      <c r="B62" s="295" t="s">
        <v>32</v>
      </c>
      <c r="C62" s="295" t="s">
        <v>186</v>
      </c>
      <c r="D62" s="306" t="s">
        <v>311</v>
      </c>
      <c r="E62" s="319" t="str">
        <f t="shared" ca="1" si="4"/>
        <v>English</v>
      </c>
      <c r="F62" s="284">
        <v>45505</v>
      </c>
      <c r="G62" s="284">
        <v>45537</v>
      </c>
      <c r="H62" s="285">
        <f t="shared" ca="1" si="5"/>
        <v>0.39583333333333331</v>
      </c>
      <c r="I62" s="285">
        <f t="shared" ca="1" si="6"/>
        <v>0.66666666666666663</v>
      </c>
      <c r="J62" s="286">
        <f t="shared" ca="1" si="7"/>
        <v>6</v>
      </c>
      <c r="L62" s="193"/>
      <c r="M62" s="193"/>
      <c r="N62" s="193"/>
      <c r="O62" s="193"/>
      <c r="P62" s="193"/>
    </row>
    <row r="63" spans="1:16" ht="18" outlineLevel="1" x14ac:dyDescent="0.35">
      <c r="A63" s="297">
        <v>31440459</v>
      </c>
      <c r="B63" s="298" t="s">
        <v>187</v>
      </c>
      <c r="C63" s="298" t="s">
        <v>148</v>
      </c>
      <c r="D63" s="307" t="s">
        <v>311</v>
      </c>
      <c r="E63" s="318" t="str">
        <f t="shared" ca="1" si="4"/>
        <v>Biology</v>
      </c>
      <c r="F63" s="302">
        <v>45474</v>
      </c>
      <c r="G63" s="302">
        <v>45538</v>
      </c>
      <c r="H63" s="292">
        <f t="shared" ca="1" si="5"/>
        <v>0.375</v>
      </c>
      <c r="I63" s="292">
        <f t="shared" ca="1" si="6"/>
        <v>0.58333333333333337</v>
      </c>
      <c r="J63" s="293">
        <f t="shared" ca="1" si="7"/>
        <v>5</v>
      </c>
    </row>
    <row r="64" spans="1:16" ht="18" outlineLevel="1" x14ac:dyDescent="0.35">
      <c r="A64" s="294">
        <v>19259601</v>
      </c>
      <c r="B64" s="295" t="s">
        <v>188</v>
      </c>
      <c r="C64" s="295" t="s">
        <v>189</v>
      </c>
      <c r="D64" s="306" t="s">
        <v>311</v>
      </c>
      <c r="E64" s="319" t="str">
        <f t="shared" ca="1" si="4"/>
        <v>English</v>
      </c>
      <c r="F64" s="284">
        <v>45495</v>
      </c>
      <c r="G64" s="284">
        <v>45539</v>
      </c>
      <c r="H64" s="285">
        <f t="shared" ca="1" si="5"/>
        <v>0.4375</v>
      </c>
      <c r="I64" s="285">
        <f t="shared" ca="1" si="6"/>
        <v>0.58333333333333337</v>
      </c>
      <c r="J64" s="286">
        <f t="shared" ca="1" si="7"/>
        <v>3</v>
      </c>
    </row>
    <row r="65" spans="1:10" ht="18" outlineLevel="1" x14ac:dyDescent="0.35">
      <c r="A65" s="297">
        <v>37849714</v>
      </c>
      <c r="B65" s="298" t="s">
        <v>190</v>
      </c>
      <c r="C65" s="298" t="s">
        <v>191</v>
      </c>
      <c r="D65" s="307" t="s">
        <v>311</v>
      </c>
      <c r="E65" s="318" t="str">
        <f t="shared" ca="1" si="4"/>
        <v>Anthroplogy</v>
      </c>
      <c r="F65" s="302">
        <v>45475</v>
      </c>
      <c r="G65" s="302">
        <v>45540</v>
      </c>
      <c r="H65" s="292">
        <f t="shared" ca="1" si="5"/>
        <v>0.39583333333333331</v>
      </c>
      <c r="I65" s="292">
        <f t="shared" ca="1" si="6"/>
        <v>0.625</v>
      </c>
      <c r="J65" s="293">
        <f t="shared" ca="1" si="7"/>
        <v>5</v>
      </c>
    </row>
    <row r="66" spans="1:10" ht="17.399999999999999" outlineLevel="1" x14ac:dyDescent="0.3">
      <c r="A66" s="308" t="s">
        <v>281</v>
      </c>
      <c r="B66" s="309">
        <f ca="1">SUM(J52:J65)</f>
        <v>67</v>
      </c>
      <c r="C66" s="308" t="s">
        <v>282</v>
      </c>
      <c r="D66" s="310">
        <f ca="1">SUM(J41:J51)</f>
        <v>54</v>
      </c>
      <c r="E66" s="308" t="s">
        <v>283</v>
      </c>
      <c r="F66" s="309">
        <f ca="1">SUM(J3:J40)</f>
        <v>194</v>
      </c>
      <c r="G66" s="308" t="s">
        <v>284</v>
      </c>
      <c r="H66" s="309">
        <f ca="1">SUM(J2)</f>
        <v>4</v>
      </c>
      <c r="I66" s="311" t="s">
        <v>450</v>
      </c>
      <c r="J66" s="309">
        <f ca="1">SUM(J2:J65)</f>
        <v>319</v>
      </c>
    </row>
    <row r="67" spans="1:10" outlineLevel="1" x14ac:dyDescent="0.25"/>
    <row r="68" spans="1:10" outlineLevel="1" x14ac:dyDescent="0.25"/>
    <row r="69" spans="1:10" outlineLevel="1" x14ac:dyDescent="0.25"/>
    <row r="85" spans="4:4" x14ac:dyDescent="0.25">
      <c r="D85" s="278" cm="1">
        <f t="array" aca="1" ref="D85" ca="1">COUNT(AND(Internclasses="A",Major="journalism"))</f>
        <v>1</v>
      </c>
    </row>
  </sheetData>
  <autoFilter ref="A1:A65" xr:uid="{8DF72801-9A97-4109-BDAC-0063D34776FC}"/>
  <conditionalFormatting sqref="B1:J1">
    <cfRule type="colorScale" priority="1">
      <colorScale>
        <cfvo type="min"/>
        <cfvo type="percentile" val="50"/>
        <cfvo type="max"/>
        <color rgb="FF63BE7B"/>
        <color rgb="FFFFEB84"/>
        <color rgb="FFF8696B"/>
      </colorScale>
    </cfRule>
  </conditionalFormatting>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3793" r:id="rId5" name="Check Box 1">
              <controlPr defaultSize="0" autoFill="0" autoLine="0" autoPict="0">
                <anchor moveWithCells="1">
                  <from>
                    <xdr:col>11</xdr:col>
                    <xdr:colOff>800100</xdr:colOff>
                    <xdr:row>2</xdr:row>
                    <xdr:rowOff>167640</xdr:rowOff>
                  </from>
                  <to>
                    <xdr:col>13</xdr:col>
                    <xdr:colOff>381000</xdr:colOff>
                    <xdr:row>5</xdr:row>
                    <xdr:rowOff>76200</xdr:rowOff>
                  </to>
                </anchor>
              </controlPr>
            </control>
          </mc:Choice>
        </mc:AlternateContent>
        <mc:AlternateContent xmlns:mc="http://schemas.openxmlformats.org/markup-compatibility/2006">
          <mc:Choice Requires="x14">
            <control shapeId="33794" r:id="rId6" name="Check Box 2">
              <controlPr defaultSize="0" autoFill="0" autoLine="0" autoPict="0">
                <anchor moveWithCells="1">
                  <from>
                    <xdr:col>11</xdr:col>
                    <xdr:colOff>807720</xdr:colOff>
                    <xdr:row>4</xdr:row>
                    <xdr:rowOff>144780</xdr:rowOff>
                  </from>
                  <to>
                    <xdr:col>13</xdr:col>
                    <xdr:colOff>396240</xdr:colOff>
                    <xdr:row>7</xdr:row>
                    <xdr:rowOff>45720</xdr:rowOff>
                  </to>
                </anchor>
              </controlPr>
            </control>
          </mc:Choice>
        </mc:AlternateContent>
        <mc:AlternateContent xmlns:mc="http://schemas.openxmlformats.org/markup-compatibility/2006">
          <mc:Choice Requires="x14">
            <control shapeId="33795" r:id="rId7" name="Check Box 3">
              <controlPr defaultSize="0" autoFill="0" autoLine="0" autoPict="0">
                <anchor moveWithCells="1">
                  <from>
                    <xdr:col>11</xdr:col>
                    <xdr:colOff>784860</xdr:colOff>
                    <xdr:row>1</xdr:row>
                    <xdr:rowOff>160020</xdr:rowOff>
                  </from>
                  <to>
                    <xdr:col>13</xdr:col>
                    <xdr:colOff>373380</xdr:colOff>
                    <xdr:row>4</xdr:row>
                    <xdr:rowOff>68580</xdr:rowOff>
                  </to>
                </anchor>
              </controlPr>
            </control>
          </mc:Choice>
        </mc:AlternateContent>
        <mc:AlternateContent xmlns:mc="http://schemas.openxmlformats.org/markup-compatibility/2006">
          <mc:Choice Requires="x14">
            <control shapeId="33796" r:id="rId8" name="Check Box 4">
              <controlPr defaultSize="0" autoFill="0" autoLine="0" autoPict="0">
                <anchor moveWithCells="1">
                  <from>
                    <xdr:col>11</xdr:col>
                    <xdr:colOff>800100</xdr:colOff>
                    <xdr:row>3</xdr:row>
                    <xdr:rowOff>144780</xdr:rowOff>
                  </from>
                  <to>
                    <xdr:col>13</xdr:col>
                    <xdr:colOff>381000</xdr:colOff>
                    <xdr:row>6</xdr:row>
                    <xdr:rowOff>53340</xdr:rowOff>
                  </to>
                </anchor>
              </controlPr>
            </control>
          </mc:Choice>
        </mc:AlternateContent>
      </controls>
    </mc:Choice>
  </mc:AlternateContent>
  <tableParts count="1">
    <tablePart r:id="rId9"/>
  </tableParts>
  <extLst>
    <ext xmlns:x14="http://schemas.microsoft.com/office/spreadsheetml/2009/9/main" uri="{A8765BA9-456A-4dab-B4F3-ACF838C121DE}">
      <x14:slicerList>
        <x14:slicer r:id="rId10"/>
      </x14:slicerList>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992C46-D56E-4D9E-8CDC-C89BCB86F309}">
  <sheetPr codeName="Sheet16">
    <tabColor rgb="FF00B050"/>
  </sheetPr>
  <dimension ref="A1:S168"/>
  <sheetViews>
    <sheetView zoomScaleNormal="100" workbookViewId="0">
      <pane ySplit="1" topLeftCell="A2" activePane="bottomLeft" state="frozen"/>
      <selection pane="bottomLeft" activeCell="J73" sqref="J73"/>
    </sheetView>
  </sheetViews>
  <sheetFormatPr defaultRowHeight="14.4" x14ac:dyDescent="0.3"/>
  <cols>
    <col min="1" max="1" width="10.125" customWidth="1"/>
    <col min="2" max="2" width="11.875" customWidth="1"/>
    <col min="3" max="3" width="10" customWidth="1"/>
    <col min="4" max="5" width="12" customWidth="1"/>
    <col min="6" max="6" width="14.125" customWidth="1"/>
    <col min="7" max="7" width="12" customWidth="1"/>
    <col min="8" max="8" width="9.25" customWidth="1"/>
    <col min="9" max="9" width="17.625" customWidth="1"/>
    <col min="11" max="11" width="14.875" customWidth="1"/>
    <col min="12" max="12" width="14.25" customWidth="1"/>
    <col min="13" max="13" width="11.875" customWidth="1"/>
    <col min="14" max="14" width="14.25" customWidth="1"/>
    <col min="15" max="17" width="13.75" customWidth="1"/>
    <col min="18" max="18" width="16.375" customWidth="1"/>
    <col min="19" max="19" width="14.875" customWidth="1"/>
  </cols>
  <sheetData>
    <row r="1" spans="1:19" s="320" customFormat="1" ht="28.5" customHeight="1" x14ac:dyDescent="0.3"/>
    <row r="4" spans="1:19" x14ac:dyDescent="0.3">
      <c r="A4" s="345" t="s">
        <v>422</v>
      </c>
      <c r="B4" s="346"/>
      <c r="C4" s="346"/>
      <c r="D4" s="346"/>
      <c r="E4" s="346"/>
      <c r="F4" s="346"/>
      <c r="G4" s="346"/>
      <c r="H4" s="346"/>
      <c r="I4" s="346"/>
      <c r="K4" s="154" t="s">
        <v>421</v>
      </c>
      <c r="L4" s="154"/>
      <c r="M4" s="154"/>
      <c r="N4" s="154"/>
      <c r="O4" s="154"/>
      <c r="P4" s="154"/>
      <c r="Q4" s="154"/>
      <c r="R4" s="154"/>
      <c r="S4" s="154"/>
    </row>
    <row r="5" spans="1:19" x14ac:dyDescent="0.3">
      <c r="A5" s="137" t="s">
        <v>0</v>
      </c>
      <c r="B5" s="137" t="s">
        <v>279</v>
      </c>
      <c r="C5" s="137" t="s">
        <v>280</v>
      </c>
      <c r="D5" s="137" t="s">
        <v>420</v>
      </c>
      <c r="E5" s="137" t="s">
        <v>202</v>
      </c>
      <c r="F5" s="137" t="s">
        <v>203</v>
      </c>
      <c r="G5" s="137" t="s">
        <v>204</v>
      </c>
      <c r="H5" s="137" t="s">
        <v>419</v>
      </c>
      <c r="I5" s="137" t="s">
        <v>418</v>
      </c>
    </row>
    <row r="6" spans="1:19" x14ac:dyDescent="0.3">
      <c r="A6" s="134">
        <v>32695778</v>
      </c>
      <c r="B6" s="133" t="s">
        <v>28</v>
      </c>
      <c r="C6" s="133" t="s">
        <v>29</v>
      </c>
      <c r="D6" s="152">
        <f t="shared" ref="D6:D32" si="0">H40</f>
        <v>4.99</v>
      </c>
      <c r="E6" s="152">
        <f t="shared" ref="E6:E32" si="1">H74</f>
        <v>24.950000000000003</v>
      </c>
      <c r="F6" s="152">
        <f t="shared" ref="F6:F32" si="2">H108</f>
        <v>24.950000000000003</v>
      </c>
      <c r="G6" s="152">
        <f t="shared" ref="G6:G32" si="3">H142</f>
        <v>39.92</v>
      </c>
      <c r="H6" s="152">
        <f t="shared" ref="H6:H32" si="4">SUM(D6:G6)</f>
        <v>94.81</v>
      </c>
      <c r="I6" s="19" t="str">
        <f t="shared" ref="I6:I32" si="5">IF(AND(INDEX(FinalGPA,1)&gt;=2,H6&lt;$L$18),"P","F")</f>
        <v>F</v>
      </c>
      <c r="N6" s="19"/>
      <c r="O6" s="354" t="s">
        <v>417</v>
      </c>
      <c r="P6" s="354"/>
      <c r="Q6" s="19"/>
    </row>
    <row r="7" spans="1:19" x14ac:dyDescent="0.3">
      <c r="A7" s="136">
        <v>55677878</v>
      </c>
      <c r="B7" s="133" t="s">
        <v>30</v>
      </c>
      <c r="C7" s="133" t="s">
        <v>31</v>
      </c>
      <c r="D7" s="152">
        <f t="shared" si="0"/>
        <v>0</v>
      </c>
      <c r="E7" s="152">
        <f t="shared" si="1"/>
        <v>14.97</v>
      </c>
      <c r="F7" s="152">
        <f t="shared" si="2"/>
        <v>14.97</v>
      </c>
      <c r="G7" s="152">
        <f t="shared" si="3"/>
        <v>24.950000000000003</v>
      </c>
      <c r="H7" s="152">
        <f t="shared" si="4"/>
        <v>54.89</v>
      </c>
      <c r="I7" s="19" t="str">
        <f t="shared" si="5"/>
        <v>P</v>
      </c>
      <c r="N7" s="19"/>
      <c r="O7" s="19" t="s">
        <v>416</v>
      </c>
      <c r="P7" s="19" t="s">
        <v>415</v>
      </c>
      <c r="Q7" s="19"/>
    </row>
    <row r="8" spans="1:19" x14ac:dyDescent="0.3">
      <c r="A8" s="134">
        <v>13692938</v>
      </c>
      <c r="B8" s="133" t="s">
        <v>32</v>
      </c>
      <c r="C8" s="133" t="s">
        <v>33</v>
      </c>
      <c r="D8" s="152">
        <f t="shared" si="0"/>
        <v>29.94</v>
      </c>
      <c r="E8" s="152">
        <f t="shared" si="1"/>
        <v>49.900000000000006</v>
      </c>
      <c r="F8" s="152">
        <f t="shared" si="2"/>
        <v>0</v>
      </c>
      <c r="G8" s="152">
        <f t="shared" si="3"/>
        <v>0</v>
      </c>
      <c r="H8" s="152">
        <f t="shared" si="4"/>
        <v>79.84</v>
      </c>
      <c r="I8" s="19" t="str">
        <f t="shared" si="5"/>
        <v>F</v>
      </c>
      <c r="N8" s="19" t="s">
        <v>414</v>
      </c>
      <c r="O8" s="153">
        <v>44070</v>
      </c>
      <c r="P8" s="153">
        <v>44185</v>
      </c>
      <c r="Q8" s="19"/>
    </row>
    <row r="9" spans="1:19" x14ac:dyDescent="0.3">
      <c r="A9" s="136">
        <v>49461380</v>
      </c>
      <c r="B9" s="133" t="s">
        <v>34</v>
      </c>
      <c r="C9" s="133" t="s">
        <v>35</v>
      </c>
      <c r="D9" s="152">
        <f t="shared" si="0"/>
        <v>29.94</v>
      </c>
      <c r="E9" s="152">
        <f t="shared" si="1"/>
        <v>4.99</v>
      </c>
      <c r="F9" s="152">
        <f t="shared" si="2"/>
        <v>0</v>
      </c>
      <c r="G9" s="152">
        <f t="shared" si="3"/>
        <v>0</v>
      </c>
      <c r="H9" s="152">
        <f t="shared" si="4"/>
        <v>34.93</v>
      </c>
      <c r="I9" s="19" t="str">
        <f t="shared" si="5"/>
        <v>P</v>
      </c>
      <c r="N9" s="19" t="s">
        <v>413</v>
      </c>
      <c r="O9" s="153">
        <v>44223</v>
      </c>
      <c r="P9" s="153">
        <v>44338</v>
      </c>
      <c r="Q9" s="19"/>
    </row>
    <row r="10" spans="1:19" x14ac:dyDescent="0.3">
      <c r="A10" s="134">
        <v>66065006</v>
      </c>
      <c r="B10" s="133" t="s">
        <v>36</v>
      </c>
      <c r="C10" s="133" t="s">
        <v>37</v>
      </c>
      <c r="D10" s="152">
        <f t="shared" si="0"/>
        <v>29.94</v>
      </c>
      <c r="E10" s="152">
        <f t="shared" si="1"/>
        <v>0</v>
      </c>
      <c r="F10" s="152">
        <f t="shared" si="2"/>
        <v>14.97</v>
      </c>
      <c r="G10" s="152">
        <f t="shared" si="3"/>
        <v>34.93</v>
      </c>
      <c r="H10" s="152">
        <f t="shared" si="4"/>
        <v>79.84</v>
      </c>
      <c r="I10" s="19" t="str">
        <f t="shared" si="5"/>
        <v>F</v>
      </c>
      <c r="N10" s="19" t="s">
        <v>412</v>
      </c>
      <c r="O10" s="153">
        <v>44433</v>
      </c>
      <c r="P10" s="153">
        <v>44551</v>
      </c>
      <c r="Q10" s="19"/>
    </row>
    <row r="11" spans="1:19" x14ac:dyDescent="0.3">
      <c r="A11" s="136">
        <v>14185496</v>
      </c>
      <c r="B11" s="133" t="s">
        <v>38</v>
      </c>
      <c r="C11" s="133" t="s">
        <v>39</v>
      </c>
      <c r="D11" s="152">
        <f t="shared" si="0"/>
        <v>0</v>
      </c>
      <c r="E11" s="152">
        <f t="shared" si="1"/>
        <v>0</v>
      </c>
      <c r="F11" s="152">
        <f t="shared" si="2"/>
        <v>34.93</v>
      </c>
      <c r="G11" s="152">
        <f t="shared" si="3"/>
        <v>24.950000000000003</v>
      </c>
      <c r="H11" s="152">
        <f t="shared" si="4"/>
        <v>59.88</v>
      </c>
      <c r="I11" s="19" t="str">
        <f t="shared" si="5"/>
        <v>P</v>
      </c>
      <c r="N11" s="19" t="s">
        <v>411</v>
      </c>
      <c r="O11" s="153">
        <v>44589</v>
      </c>
      <c r="P11" s="153">
        <v>44705</v>
      </c>
      <c r="Q11" s="19"/>
    </row>
    <row r="12" spans="1:19" x14ac:dyDescent="0.3">
      <c r="A12" s="134">
        <v>22222762</v>
      </c>
      <c r="B12" s="133" t="s">
        <v>40</v>
      </c>
      <c r="C12" s="133" t="s">
        <v>41</v>
      </c>
      <c r="D12" s="152">
        <f t="shared" si="0"/>
        <v>0</v>
      </c>
      <c r="E12" s="152">
        <f t="shared" si="1"/>
        <v>0</v>
      </c>
      <c r="F12" s="152">
        <f t="shared" si="2"/>
        <v>0</v>
      </c>
      <c r="G12" s="152">
        <f t="shared" si="3"/>
        <v>0</v>
      </c>
      <c r="H12" s="152">
        <f t="shared" si="4"/>
        <v>0</v>
      </c>
      <c r="I12" s="19" t="str">
        <f t="shared" si="5"/>
        <v>P</v>
      </c>
      <c r="N12" t="s">
        <v>410</v>
      </c>
      <c r="O12" t="s">
        <v>409</v>
      </c>
    </row>
    <row r="13" spans="1:19" x14ac:dyDescent="0.3">
      <c r="A13" s="136">
        <v>33006505</v>
      </c>
      <c r="B13" s="133" t="s">
        <v>42</v>
      </c>
      <c r="C13" s="133" t="s">
        <v>43</v>
      </c>
      <c r="D13" s="152">
        <f t="shared" si="0"/>
        <v>0</v>
      </c>
      <c r="E13" s="152">
        <f t="shared" si="1"/>
        <v>29.94</v>
      </c>
      <c r="F13" s="152">
        <f t="shared" si="2"/>
        <v>0</v>
      </c>
      <c r="G13" s="152">
        <f t="shared" si="3"/>
        <v>0</v>
      </c>
      <c r="H13" s="152">
        <f t="shared" si="4"/>
        <v>29.94</v>
      </c>
      <c r="I13" s="19" t="str">
        <f t="shared" si="5"/>
        <v>P</v>
      </c>
      <c r="N13" t="s">
        <v>408</v>
      </c>
    </row>
    <row r="14" spans="1:19" x14ac:dyDescent="0.3">
      <c r="A14" s="134">
        <v>27658150</v>
      </c>
      <c r="B14" s="133" t="s">
        <v>44</v>
      </c>
      <c r="C14" s="133" t="s">
        <v>45</v>
      </c>
      <c r="D14" s="152">
        <f t="shared" si="0"/>
        <v>0</v>
      </c>
      <c r="E14" s="152">
        <f t="shared" si="1"/>
        <v>34.93</v>
      </c>
      <c r="F14" s="152">
        <f t="shared" si="2"/>
        <v>0</v>
      </c>
      <c r="G14" s="152">
        <f t="shared" si="3"/>
        <v>39.92</v>
      </c>
      <c r="H14" s="152">
        <f t="shared" si="4"/>
        <v>74.849999999999994</v>
      </c>
      <c r="I14" s="19" t="str">
        <f t="shared" si="5"/>
        <v>F</v>
      </c>
      <c r="N14" t="s">
        <v>407</v>
      </c>
      <c r="O14" t="s">
        <v>406</v>
      </c>
    </row>
    <row r="15" spans="1:19" x14ac:dyDescent="0.3">
      <c r="A15" s="136">
        <v>54116555</v>
      </c>
      <c r="B15" s="133" t="s">
        <v>46</v>
      </c>
      <c r="C15" s="133" t="s">
        <v>47</v>
      </c>
      <c r="D15" s="152">
        <f t="shared" si="0"/>
        <v>19.96</v>
      </c>
      <c r="E15" s="152">
        <f t="shared" si="1"/>
        <v>39.92</v>
      </c>
      <c r="F15" s="152">
        <f t="shared" si="2"/>
        <v>0</v>
      </c>
      <c r="G15" s="152">
        <f t="shared" si="3"/>
        <v>34.93</v>
      </c>
      <c r="H15" s="152">
        <f t="shared" si="4"/>
        <v>94.81</v>
      </c>
      <c r="I15" s="19" t="str">
        <f t="shared" si="5"/>
        <v>F</v>
      </c>
      <c r="N15" t="s">
        <v>405</v>
      </c>
      <c r="O15" t="s">
        <v>404</v>
      </c>
    </row>
    <row r="16" spans="1:19" x14ac:dyDescent="0.3">
      <c r="A16" s="134">
        <v>12255677</v>
      </c>
      <c r="B16" s="133" t="s">
        <v>48</v>
      </c>
      <c r="C16" s="133" t="s">
        <v>49</v>
      </c>
      <c r="D16" s="152">
        <f t="shared" si="0"/>
        <v>0</v>
      </c>
      <c r="E16" s="152">
        <f t="shared" si="1"/>
        <v>9.98</v>
      </c>
      <c r="F16" s="152">
        <f t="shared" si="2"/>
        <v>0</v>
      </c>
      <c r="G16" s="152">
        <f t="shared" si="3"/>
        <v>44.910000000000004</v>
      </c>
      <c r="H16" s="152">
        <f t="shared" si="4"/>
        <v>54.89</v>
      </c>
      <c r="I16" s="19" t="str">
        <f t="shared" si="5"/>
        <v>P</v>
      </c>
    </row>
    <row r="17" spans="1:15" x14ac:dyDescent="0.3">
      <c r="A17" s="136">
        <v>80079978</v>
      </c>
      <c r="B17" s="133" t="s">
        <v>50</v>
      </c>
      <c r="C17" s="133" t="s">
        <v>51</v>
      </c>
      <c r="D17" s="152">
        <f t="shared" si="0"/>
        <v>14.97</v>
      </c>
      <c r="E17" s="152">
        <f t="shared" si="1"/>
        <v>0</v>
      </c>
      <c r="F17" s="152">
        <f t="shared" si="2"/>
        <v>29.94</v>
      </c>
      <c r="G17" s="152">
        <f t="shared" si="3"/>
        <v>34.93</v>
      </c>
      <c r="H17" s="152">
        <f t="shared" si="4"/>
        <v>79.84</v>
      </c>
      <c r="I17" s="19" t="str">
        <f t="shared" si="5"/>
        <v>F</v>
      </c>
      <c r="K17" s="341" t="s">
        <v>403</v>
      </c>
      <c r="L17" s="341"/>
      <c r="M17" s="341"/>
      <c r="N17" s="341"/>
      <c r="O17" s="341"/>
    </row>
    <row r="18" spans="1:15" x14ac:dyDescent="0.3">
      <c r="A18" s="134">
        <v>62672194</v>
      </c>
      <c r="B18" s="133" t="s">
        <v>20</v>
      </c>
      <c r="C18" s="133" t="s">
        <v>52</v>
      </c>
      <c r="D18" s="152">
        <f t="shared" si="0"/>
        <v>9.98</v>
      </c>
      <c r="E18" s="152">
        <f t="shared" si="1"/>
        <v>9.98</v>
      </c>
      <c r="F18" s="152">
        <f t="shared" si="2"/>
        <v>0</v>
      </c>
      <c r="G18" s="152">
        <f t="shared" si="3"/>
        <v>9.98</v>
      </c>
      <c r="H18" s="152">
        <f t="shared" si="4"/>
        <v>29.94</v>
      </c>
      <c r="I18" s="19" t="str">
        <f t="shared" si="5"/>
        <v>P</v>
      </c>
      <c r="L18" s="353">
        <f>AVERAGEIF(H6:H32,"&gt;1")</f>
        <v>61.799230769230761</v>
      </c>
      <c r="M18" s="353"/>
    </row>
    <row r="19" spans="1:15" x14ac:dyDescent="0.3">
      <c r="A19" s="136">
        <v>22975112</v>
      </c>
      <c r="B19" s="133" t="s">
        <v>53</v>
      </c>
      <c r="C19" s="133" t="s">
        <v>54</v>
      </c>
      <c r="D19" s="152">
        <f t="shared" si="0"/>
        <v>34.93</v>
      </c>
      <c r="E19" s="152">
        <f t="shared" si="1"/>
        <v>0</v>
      </c>
      <c r="F19" s="152">
        <f t="shared" si="2"/>
        <v>0</v>
      </c>
      <c r="G19" s="152">
        <f t="shared" si="3"/>
        <v>0</v>
      </c>
      <c r="H19" s="152">
        <f t="shared" si="4"/>
        <v>34.93</v>
      </c>
      <c r="I19" s="19" t="str">
        <f t="shared" si="5"/>
        <v>P</v>
      </c>
    </row>
    <row r="20" spans="1:15" x14ac:dyDescent="0.3">
      <c r="A20" s="134">
        <v>17117302</v>
      </c>
      <c r="B20" s="133" t="s">
        <v>55</v>
      </c>
      <c r="C20" s="133" t="s">
        <v>56</v>
      </c>
      <c r="D20" s="152">
        <f t="shared" si="0"/>
        <v>44.910000000000004</v>
      </c>
      <c r="E20" s="152">
        <f t="shared" si="1"/>
        <v>0</v>
      </c>
      <c r="F20" s="152">
        <f t="shared" si="2"/>
        <v>4.99</v>
      </c>
      <c r="G20" s="152">
        <f t="shared" si="3"/>
        <v>0</v>
      </c>
      <c r="H20" s="152">
        <f t="shared" si="4"/>
        <v>49.900000000000006</v>
      </c>
      <c r="I20" s="19" t="str">
        <f t="shared" si="5"/>
        <v>P</v>
      </c>
    </row>
    <row r="21" spans="1:15" x14ac:dyDescent="0.3">
      <c r="A21" s="136">
        <v>17175244</v>
      </c>
      <c r="B21" s="133" t="s">
        <v>57</v>
      </c>
      <c r="C21" s="133" t="s">
        <v>58</v>
      </c>
      <c r="D21" s="152">
        <f t="shared" si="0"/>
        <v>0</v>
      </c>
      <c r="E21" s="152">
        <f t="shared" si="1"/>
        <v>0</v>
      </c>
      <c r="F21" s="152">
        <f t="shared" si="2"/>
        <v>29.94</v>
      </c>
      <c r="G21" s="152">
        <f t="shared" si="3"/>
        <v>49.900000000000006</v>
      </c>
      <c r="H21" s="152">
        <f t="shared" si="4"/>
        <v>79.84</v>
      </c>
      <c r="I21" s="19" t="str">
        <f t="shared" si="5"/>
        <v>F</v>
      </c>
    </row>
    <row r="22" spans="1:15" x14ac:dyDescent="0.3">
      <c r="A22" s="134">
        <v>67176280</v>
      </c>
      <c r="B22" s="133" t="s">
        <v>20</v>
      </c>
      <c r="C22" s="133" t="s">
        <v>59</v>
      </c>
      <c r="D22" s="152">
        <f t="shared" si="0"/>
        <v>0</v>
      </c>
      <c r="E22" s="152">
        <f t="shared" si="1"/>
        <v>0</v>
      </c>
      <c r="F22" s="152">
        <f t="shared" si="2"/>
        <v>44.910000000000004</v>
      </c>
      <c r="G22" s="152">
        <f t="shared" si="3"/>
        <v>49.900000000000006</v>
      </c>
      <c r="H22" s="152">
        <f t="shared" si="4"/>
        <v>94.81</v>
      </c>
      <c r="I22" s="19" t="str">
        <f t="shared" si="5"/>
        <v>F</v>
      </c>
    </row>
    <row r="23" spans="1:15" x14ac:dyDescent="0.3">
      <c r="A23" s="136">
        <v>90908811</v>
      </c>
      <c r="B23" s="133" t="s">
        <v>60</v>
      </c>
      <c r="C23" s="133" t="s">
        <v>61</v>
      </c>
      <c r="D23" s="152">
        <f t="shared" si="0"/>
        <v>0</v>
      </c>
      <c r="E23" s="152">
        <f t="shared" si="1"/>
        <v>29.94</v>
      </c>
      <c r="F23" s="152">
        <f t="shared" si="2"/>
        <v>0</v>
      </c>
      <c r="G23" s="152">
        <f t="shared" si="3"/>
        <v>0</v>
      </c>
      <c r="H23" s="152">
        <f t="shared" si="4"/>
        <v>29.94</v>
      </c>
      <c r="I23" s="19" t="str">
        <f t="shared" si="5"/>
        <v>P</v>
      </c>
    </row>
    <row r="24" spans="1:15" x14ac:dyDescent="0.3">
      <c r="A24" s="134">
        <v>37800314</v>
      </c>
      <c r="B24" s="133" t="s">
        <v>62</v>
      </c>
      <c r="C24" s="133" t="s">
        <v>63</v>
      </c>
      <c r="D24" s="152">
        <f t="shared" si="0"/>
        <v>0</v>
      </c>
      <c r="E24" s="152">
        <f t="shared" si="1"/>
        <v>0</v>
      </c>
      <c r="F24" s="152">
        <f t="shared" si="2"/>
        <v>29.94</v>
      </c>
      <c r="G24" s="152">
        <f t="shared" si="3"/>
        <v>49.900000000000006</v>
      </c>
      <c r="H24" s="152">
        <f t="shared" si="4"/>
        <v>79.84</v>
      </c>
      <c r="I24" s="19" t="str">
        <f t="shared" si="5"/>
        <v>F</v>
      </c>
    </row>
    <row r="25" spans="1:15" x14ac:dyDescent="0.3">
      <c r="A25" s="136">
        <v>59343896</v>
      </c>
      <c r="B25" s="133" t="s">
        <v>64</v>
      </c>
      <c r="C25" s="133" t="s">
        <v>65</v>
      </c>
      <c r="D25" s="152">
        <f t="shared" si="0"/>
        <v>4.99</v>
      </c>
      <c r="E25" s="152">
        <f t="shared" si="1"/>
        <v>0</v>
      </c>
      <c r="F25" s="152">
        <f t="shared" si="2"/>
        <v>14.97</v>
      </c>
      <c r="G25" s="152">
        <f t="shared" si="3"/>
        <v>0</v>
      </c>
      <c r="H25" s="152">
        <f t="shared" si="4"/>
        <v>19.96</v>
      </c>
      <c r="I25" s="19" t="str">
        <f t="shared" si="5"/>
        <v>P</v>
      </c>
    </row>
    <row r="26" spans="1:15" x14ac:dyDescent="0.3">
      <c r="A26" s="134">
        <v>56278487</v>
      </c>
      <c r="B26" s="133" t="s">
        <v>66</v>
      </c>
      <c r="C26" s="133" t="s">
        <v>67</v>
      </c>
      <c r="D26" s="152">
        <f t="shared" si="0"/>
        <v>0</v>
      </c>
      <c r="E26" s="152">
        <f t="shared" si="1"/>
        <v>4.99</v>
      </c>
      <c r="F26" s="152">
        <f t="shared" si="2"/>
        <v>19.96</v>
      </c>
      <c r="G26" s="152">
        <f t="shared" si="3"/>
        <v>49.900000000000006</v>
      </c>
      <c r="H26" s="152">
        <f t="shared" si="4"/>
        <v>74.850000000000009</v>
      </c>
      <c r="I26" s="19" t="str">
        <f t="shared" si="5"/>
        <v>F</v>
      </c>
    </row>
    <row r="27" spans="1:15" x14ac:dyDescent="0.3">
      <c r="A27" s="136">
        <v>77890678</v>
      </c>
      <c r="B27" s="133" t="s">
        <v>68</v>
      </c>
      <c r="C27" s="133" t="s">
        <v>69</v>
      </c>
      <c r="D27" s="152">
        <f t="shared" si="0"/>
        <v>19.96</v>
      </c>
      <c r="E27" s="152">
        <f t="shared" si="1"/>
        <v>19.96</v>
      </c>
      <c r="F27" s="152">
        <f t="shared" si="2"/>
        <v>4.99</v>
      </c>
      <c r="G27" s="152">
        <f t="shared" si="3"/>
        <v>49.900000000000006</v>
      </c>
      <c r="H27" s="152">
        <f t="shared" si="4"/>
        <v>94.81</v>
      </c>
      <c r="I27" s="19" t="str">
        <f t="shared" si="5"/>
        <v>F</v>
      </c>
    </row>
    <row r="28" spans="1:15" x14ac:dyDescent="0.3">
      <c r="A28" s="134">
        <v>33896032</v>
      </c>
      <c r="B28" s="133" t="s">
        <v>70</v>
      </c>
      <c r="C28" s="133" t="s">
        <v>71</v>
      </c>
      <c r="D28" s="152">
        <f t="shared" si="0"/>
        <v>0</v>
      </c>
      <c r="E28" s="152">
        <f t="shared" si="1"/>
        <v>4.99</v>
      </c>
      <c r="F28" s="152">
        <f t="shared" si="2"/>
        <v>0</v>
      </c>
      <c r="G28" s="152">
        <f t="shared" si="3"/>
        <v>0</v>
      </c>
      <c r="H28" s="152">
        <f t="shared" si="4"/>
        <v>4.99</v>
      </c>
      <c r="I28" s="19" t="str">
        <f t="shared" si="5"/>
        <v>P</v>
      </c>
    </row>
    <row r="29" spans="1:15" x14ac:dyDescent="0.3">
      <c r="A29" s="136">
        <v>40723551</v>
      </c>
      <c r="B29" s="133" t="s">
        <v>72</v>
      </c>
      <c r="C29" s="133" t="s">
        <v>73</v>
      </c>
      <c r="D29" s="152">
        <f t="shared" si="0"/>
        <v>14.97</v>
      </c>
      <c r="E29" s="152">
        <f t="shared" si="1"/>
        <v>49.900000000000006</v>
      </c>
      <c r="F29" s="152">
        <f t="shared" si="2"/>
        <v>29.94</v>
      </c>
      <c r="G29" s="152">
        <f t="shared" si="3"/>
        <v>24.950000000000003</v>
      </c>
      <c r="H29" s="152">
        <f t="shared" si="4"/>
        <v>119.76</v>
      </c>
      <c r="I29" s="19" t="str">
        <f t="shared" si="5"/>
        <v>F</v>
      </c>
    </row>
    <row r="30" spans="1:15" x14ac:dyDescent="0.3">
      <c r="A30" s="134">
        <v>23010569</v>
      </c>
      <c r="B30" s="133" t="s">
        <v>74</v>
      </c>
      <c r="C30" s="133" t="s">
        <v>75</v>
      </c>
      <c r="D30" s="152">
        <f t="shared" si="0"/>
        <v>0</v>
      </c>
      <c r="E30" s="152">
        <f t="shared" si="1"/>
        <v>0</v>
      </c>
      <c r="F30" s="152">
        <f t="shared" si="2"/>
        <v>0</v>
      </c>
      <c r="G30" s="152">
        <f t="shared" si="3"/>
        <v>19.96</v>
      </c>
      <c r="H30" s="152">
        <f t="shared" si="4"/>
        <v>19.96</v>
      </c>
      <c r="I30" s="19" t="str">
        <f t="shared" si="5"/>
        <v>P</v>
      </c>
    </row>
    <row r="31" spans="1:15" x14ac:dyDescent="0.3">
      <c r="A31" s="136">
        <v>44900212</v>
      </c>
      <c r="B31" s="133" t="s">
        <v>76</v>
      </c>
      <c r="C31" s="133" t="s">
        <v>77</v>
      </c>
      <c r="D31" s="152">
        <f t="shared" si="0"/>
        <v>0</v>
      </c>
      <c r="E31" s="152">
        <f t="shared" si="1"/>
        <v>14.97</v>
      </c>
      <c r="F31" s="152">
        <f t="shared" si="2"/>
        <v>9.98</v>
      </c>
      <c r="G31" s="152">
        <f t="shared" si="3"/>
        <v>44.910000000000004</v>
      </c>
      <c r="H31" s="152">
        <f t="shared" si="4"/>
        <v>69.860000000000014</v>
      </c>
      <c r="I31" s="19" t="str">
        <f t="shared" si="5"/>
        <v>F</v>
      </c>
    </row>
    <row r="32" spans="1:15" x14ac:dyDescent="0.3">
      <c r="A32" s="134">
        <v>42395721</v>
      </c>
      <c r="B32" s="133" t="s">
        <v>78</v>
      </c>
      <c r="C32" s="133" t="s">
        <v>79</v>
      </c>
      <c r="D32" s="152">
        <f t="shared" si="0"/>
        <v>0</v>
      </c>
      <c r="E32" s="152">
        <f t="shared" si="1"/>
        <v>0</v>
      </c>
      <c r="F32" s="152">
        <f t="shared" si="2"/>
        <v>14.97</v>
      </c>
      <c r="G32" s="152">
        <f t="shared" si="3"/>
        <v>49.900000000000006</v>
      </c>
      <c r="H32" s="152">
        <f t="shared" si="4"/>
        <v>64.87</v>
      </c>
      <c r="I32" s="19" t="str">
        <f t="shared" si="5"/>
        <v>F</v>
      </c>
    </row>
    <row r="33" spans="1:11" x14ac:dyDescent="0.3"/>
    <row r="38" spans="1:11" x14ac:dyDescent="0.3">
      <c r="A38" s="345" t="s">
        <v>192</v>
      </c>
      <c r="B38" s="346"/>
      <c r="C38" s="346"/>
      <c r="D38" s="346"/>
      <c r="E38" s="346"/>
      <c r="F38" s="346"/>
      <c r="G38" s="346"/>
      <c r="H38" s="347"/>
    </row>
    <row r="39" spans="1:11" x14ac:dyDescent="0.3">
      <c r="A39" s="137" t="s">
        <v>0</v>
      </c>
      <c r="B39" s="137" t="s">
        <v>279</v>
      </c>
      <c r="C39" s="137" t="s">
        <v>280</v>
      </c>
      <c r="D39" s="137" t="s">
        <v>396</v>
      </c>
      <c r="E39" s="137" t="s">
        <v>395</v>
      </c>
      <c r="F39" s="137" t="s">
        <v>394</v>
      </c>
      <c r="G39" s="137" t="s">
        <v>393</v>
      </c>
      <c r="H39" s="137" t="s">
        <v>392</v>
      </c>
    </row>
    <row r="40" spans="1:11" x14ac:dyDescent="0.3">
      <c r="A40" s="134">
        <v>32695778</v>
      </c>
      <c r="B40" s="133" t="s">
        <v>28</v>
      </c>
      <c r="C40" s="133" t="s">
        <v>29</v>
      </c>
      <c r="D40" s="151">
        <v>44110</v>
      </c>
      <c r="E40">
        <v>1</v>
      </c>
      <c r="F40" s="118">
        <f t="shared" ref="F40:F66" si="6">D40+30</f>
        <v>44140</v>
      </c>
      <c r="G40" t="s">
        <v>390</v>
      </c>
      <c r="H40" s="150" cm="1">
        <f t="array" ref="H40:H66">IF(Returned1="N", Books1*4.99, 0)</f>
        <v>4.99</v>
      </c>
    </row>
    <row r="41" spans="1:11" x14ac:dyDescent="0.3">
      <c r="A41" s="136">
        <v>55677878</v>
      </c>
      <c r="B41" s="133" t="s">
        <v>30</v>
      </c>
      <c r="C41" s="133" t="s">
        <v>31</v>
      </c>
      <c r="D41" s="151">
        <v>44122</v>
      </c>
      <c r="E41">
        <v>8</v>
      </c>
      <c r="F41" s="118">
        <f t="shared" si="6"/>
        <v>44152</v>
      </c>
      <c r="G41" t="s">
        <v>391</v>
      </c>
      <c r="H41" s="150">
        <v>0</v>
      </c>
    </row>
    <row r="42" spans="1:11" x14ac:dyDescent="0.3">
      <c r="A42" s="134">
        <v>13692938</v>
      </c>
      <c r="B42" s="133" t="s">
        <v>32</v>
      </c>
      <c r="C42" s="133" t="s">
        <v>33</v>
      </c>
      <c r="D42" s="151">
        <v>44147</v>
      </c>
      <c r="E42">
        <v>6</v>
      </c>
      <c r="F42" s="118">
        <f t="shared" si="6"/>
        <v>44177</v>
      </c>
      <c r="G42" t="s">
        <v>390</v>
      </c>
      <c r="H42" s="150">
        <v>29.94</v>
      </c>
    </row>
    <row r="43" spans="1:11" x14ac:dyDescent="0.3">
      <c r="A43" s="136">
        <v>49461380</v>
      </c>
      <c r="B43" s="133" t="s">
        <v>34</v>
      </c>
      <c r="C43" s="133" t="s">
        <v>35</v>
      </c>
      <c r="D43" s="151">
        <v>44100</v>
      </c>
      <c r="E43">
        <v>6</v>
      </c>
      <c r="F43" s="118">
        <f t="shared" si="6"/>
        <v>44130</v>
      </c>
      <c r="G43" t="s">
        <v>390</v>
      </c>
      <c r="H43" s="150">
        <v>29.94</v>
      </c>
    </row>
    <row r="44" spans="1:11" x14ac:dyDescent="0.3">
      <c r="A44" s="134">
        <v>66065006</v>
      </c>
      <c r="B44" s="133" t="s">
        <v>36</v>
      </c>
      <c r="C44" s="133" t="s">
        <v>37</v>
      </c>
      <c r="D44" s="151">
        <v>44136</v>
      </c>
      <c r="E44">
        <v>6</v>
      </c>
      <c r="F44" s="118">
        <f t="shared" si="6"/>
        <v>44166</v>
      </c>
      <c r="G44" t="s">
        <v>390</v>
      </c>
      <c r="H44" s="150">
        <v>29.94</v>
      </c>
    </row>
    <row r="45" spans="1:11" x14ac:dyDescent="0.3">
      <c r="A45" s="136">
        <v>14185496</v>
      </c>
      <c r="B45" s="133" t="s">
        <v>38</v>
      </c>
      <c r="C45" s="133" t="s">
        <v>39</v>
      </c>
      <c r="D45" s="151">
        <v>44179</v>
      </c>
      <c r="E45">
        <v>5</v>
      </c>
      <c r="F45" s="118">
        <f t="shared" si="6"/>
        <v>44209</v>
      </c>
      <c r="G45" t="s">
        <v>391</v>
      </c>
      <c r="H45" s="150">
        <v>0</v>
      </c>
    </row>
    <row r="46" spans="1:11" x14ac:dyDescent="0.3">
      <c r="A46" s="134">
        <v>22222762</v>
      </c>
      <c r="B46" s="133" t="s">
        <v>40</v>
      </c>
      <c r="C46" s="133" t="s">
        <v>41</v>
      </c>
      <c r="D46" s="151">
        <v>44071</v>
      </c>
      <c r="E46">
        <v>9</v>
      </c>
      <c r="F46" s="118">
        <f t="shared" si="6"/>
        <v>44101</v>
      </c>
      <c r="G46" t="s">
        <v>391</v>
      </c>
      <c r="H46" s="150">
        <v>0</v>
      </c>
    </row>
    <row r="47" spans="1:11" x14ac:dyDescent="0.3">
      <c r="A47" s="136">
        <v>33006505</v>
      </c>
      <c r="B47" s="133" t="s">
        <v>42</v>
      </c>
      <c r="C47" s="133" t="s">
        <v>43</v>
      </c>
      <c r="D47" s="151">
        <v>44101</v>
      </c>
      <c r="E47">
        <v>5</v>
      </c>
      <c r="F47" s="118">
        <f t="shared" si="6"/>
        <v>44131</v>
      </c>
      <c r="G47" t="s">
        <v>391</v>
      </c>
      <c r="H47" s="150">
        <v>0</v>
      </c>
    </row>
    <row r="48" spans="1:11" x14ac:dyDescent="0.3">
      <c r="A48" s="134">
        <v>27658150</v>
      </c>
      <c r="B48" s="133" t="s">
        <v>44</v>
      </c>
      <c r="C48" s="133" t="s">
        <v>45</v>
      </c>
      <c r="D48" s="151">
        <v>44088</v>
      </c>
      <c r="E48">
        <v>6</v>
      </c>
      <c r="F48" s="118">
        <f t="shared" si="6"/>
        <v>44118</v>
      </c>
      <c r="G48" t="s">
        <v>391</v>
      </c>
      <c r="H48" s="150">
        <v>0</v>
      </c>
    </row>
    <row r="49" spans="1:19" x14ac:dyDescent="0.3">
      <c r="A49" s="136">
        <v>54116555</v>
      </c>
      <c r="B49" s="133" t="s">
        <v>46</v>
      </c>
      <c r="C49" s="133" t="s">
        <v>47</v>
      </c>
      <c r="D49" s="151">
        <v>44111</v>
      </c>
      <c r="E49">
        <v>4</v>
      </c>
      <c r="F49" s="118">
        <f t="shared" si="6"/>
        <v>44141</v>
      </c>
      <c r="G49" t="s">
        <v>390</v>
      </c>
      <c r="H49" s="150">
        <v>19.96</v>
      </c>
    </row>
    <row r="50" spans="1:19" x14ac:dyDescent="0.3">
      <c r="A50" s="134">
        <v>12255677</v>
      </c>
      <c r="B50" s="133" t="s">
        <v>48</v>
      </c>
      <c r="C50" s="133" t="s">
        <v>49</v>
      </c>
      <c r="D50" s="151">
        <v>44102</v>
      </c>
      <c r="E50">
        <v>10</v>
      </c>
      <c r="F50" s="118">
        <f t="shared" si="6"/>
        <v>44132</v>
      </c>
      <c r="G50" t="s">
        <v>391</v>
      </c>
      <c r="H50" s="150">
        <v>0</v>
      </c>
    </row>
    <row r="51" spans="1:19" x14ac:dyDescent="0.3">
      <c r="A51" s="136">
        <v>80079978</v>
      </c>
      <c r="B51" s="133" t="s">
        <v>50</v>
      </c>
      <c r="C51" s="133" t="s">
        <v>51</v>
      </c>
      <c r="D51" s="151">
        <v>44155</v>
      </c>
      <c r="E51">
        <v>3</v>
      </c>
      <c r="F51" s="118">
        <f t="shared" si="6"/>
        <v>44185</v>
      </c>
      <c r="G51" t="s">
        <v>390</v>
      </c>
      <c r="H51" s="150">
        <v>14.97</v>
      </c>
    </row>
    <row r="52" spans="1:19" x14ac:dyDescent="0.3">
      <c r="A52" s="134">
        <v>62672194</v>
      </c>
      <c r="B52" s="133" t="s">
        <v>20</v>
      </c>
      <c r="C52" s="133" t="s">
        <v>52</v>
      </c>
      <c r="D52" s="151">
        <v>44102</v>
      </c>
      <c r="E52">
        <v>2</v>
      </c>
      <c r="F52" s="118">
        <f t="shared" si="6"/>
        <v>44132</v>
      </c>
      <c r="G52" t="s">
        <v>390</v>
      </c>
      <c r="H52" s="150">
        <v>9.98</v>
      </c>
    </row>
    <row r="53" spans="1:19" x14ac:dyDescent="0.3">
      <c r="A53" s="136">
        <v>22975112</v>
      </c>
      <c r="B53" s="133" t="s">
        <v>53</v>
      </c>
      <c r="C53" s="133" t="s">
        <v>54</v>
      </c>
      <c r="D53" s="151">
        <v>44171</v>
      </c>
      <c r="E53">
        <v>7</v>
      </c>
      <c r="F53" s="118">
        <f t="shared" si="6"/>
        <v>44201</v>
      </c>
      <c r="G53" t="s">
        <v>390</v>
      </c>
      <c r="H53" s="150">
        <v>34.93</v>
      </c>
      <c r="K53" s="14" t="s">
        <v>0</v>
      </c>
      <c r="L53" s="14" t="s">
        <v>279</v>
      </c>
      <c r="M53" s="14" t="s">
        <v>280</v>
      </c>
      <c r="N53" t="s">
        <v>402</v>
      </c>
      <c r="O53" t="s">
        <v>401</v>
      </c>
      <c r="P53" t="s">
        <v>400</v>
      </c>
      <c r="Q53" t="s">
        <v>399</v>
      </c>
      <c r="R53" t="s">
        <v>398</v>
      </c>
      <c r="S53" t="s">
        <v>397</v>
      </c>
    </row>
    <row r="54" spans="1:19" x14ac:dyDescent="0.3">
      <c r="A54" s="134">
        <v>17117302</v>
      </c>
      <c r="B54" s="133" t="s">
        <v>55</v>
      </c>
      <c r="C54" s="133" t="s">
        <v>56</v>
      </c>
      <c r="D54" s="151">
        <v>44139</v>
      </c>
      <c r="E54">
        <v>9</v>
      </c>
      <c r="F54" s="118">
        <f t="shared" si="6"/>
        <v>44169</v>
      </c>
      <c r="G54" t="s">
        <v>390</v>
      </c>
      <c r="H54" s="150">
        <v>44.910000000000004</v>
      </c>
      <c r="K54">
        <v>12255677</v>
      </c>
      <c r="N54">
        <v>0</v>
      </c>
      <c r="O54">
        <v>9.98</v>
      </c>
      <c r="P54">
        <v>0</v>
      </c>
      <c r="Q54">
        <v>44.910000000000004</v>
      </c>
      <c r="R54">
        <v>54.89</v>
      </c>
      <c r="S54">
        <v>1</v>
      </c>
    </row>
    <row r="55" spans="1:19" x14ac:dyDescent="0.3">
      <c r="A55" s="136">
        <v>17175244</v>
      </c>
      <c r="B55" s="133" t="s">
        <v>57</v>
      </c>
      <c r="C55" s="133" t="s">
        <v>58</v>
      </c>
      <c r="D55" s="151">
        <v>44094</v>
      </c>
      <c r="E55">
        <v>10</v>
      </c>
      <c r="F55" s="118">
        <f t="shared" si="6"/>
        <v>44124</v>
      </c>
      <c r="G55" t="s">
        <v>391</v>
      </c>
      <c r="H55" s="150">
        <v>0</v>
      </c>
      <c r="L55" t="s">
        <v>48</v>
      </c>
      <c r="N55">
        <v>0</v>
      </c>
      <c r="O55">
        <v>9.98</v>
      </c>
      <c r="P55">
        <v>0</v>
      </c>
      <c r="Q55">
        <v>44.910000000000004</v>
      </c>
      <c r="R55">
        <v>54.89</v>
      </c>
      <c r="S55">
        <v>1</v>
      </c>
    </row>
    <row r="56" spans="1:19" x14ac:dyDescent="0.3">
      <c r="A56" s="134">
        <v>67176280</v>
      </c>
      <c r="B56" s="133" t="s">
        <v>20</v>
      </c>
      <c r="C56" s="133" t="s">
        <v>59</v>
      </c>
      <c r="D56" s="151">
        <v>44145</v>
      </c>
      <c r="E56">
        <v>6</v>
      </c>
      <c r="F56" s="118">
        <f t="shared" si="6"/>
        <v>44175</v>
      </c>
      <c r="G56" t="s">
        <v>391</v>
      </c>
      <c r="H56" s="150">
        <v>0</v>
      </c>
      <c r="M56" t="s">
        <v>49</v>
      </c>
      <c r="N56">
        <v>0</v>
      </c>
      <c r="O56">
        <v>9.98</v>
      </c>
      <c r="P56">
        <v>0</v>
      </c>
      <c r="Q56">
        <v>44.910000000000004</v>
      </c>
      <c r="R56">
        <v>54.89</v>
      </c>
      <c r="S56">
        <v>1</v>
      </c>
    </row>
    <row r="57" spans="1:19" x14ac:dyDescent="0.3">
      <c r="A57" s="136">
        <v>90908811</v>
      </c>
      <c r="B57" s="133" t="s">
        <v>60</v>
      </c>
      <c r="C57" s="133" t="s">
        <v>61</v>
      </c>
      <c r="D57" s="151">
        <v>44168</v>
      </c>
      <c r="E57">
        <v>8</v>
      </c>
      <c r="F57" s="118">
        <f t="shared" si="6"/>
        <v>44198</v>
      </c>
      <c r="G57" t="s">
        <v>391</v>
      </c>
      <c r="H57" s="150">
        <v>0</v>
      </c>
      <c r="K57">
        <v>13692938</v>
      </c>
      <c r="N57">
        <v>29.94</v>
      </c>
      <c r="O57">
        <v>49.900000000000006</v>
      </c>
      <c r="P57">
        <v>0</v>
      </c>
      <c r="Q57">
        <v>0</v>
      </c>
      <c r="R57">
        <v>79.84</v>
      </c>
      <c r="S57">
        <v>1</v>
      </c>
    </row>
    <row r="58" spans="1:19" x14ac:dyDescent="0.3">
      <c r="A58" s="134">
        <v>37800314</v>
      </c>
      <c r="B58" s="133" t="s">
        <v>62</v>
      </c>
      <c r="C58" s="133" t="s">
        <v>63</v>
      </c>
      <c r="D58" s="151">
        <v>44106</v>
      </c>
      <c r="E58">
        <v>3</v>
      </c>
      <c r="F58" s="118">
        <f t="shared" si="6"/>
        <v>44136</v>
      </c>
      <c r="G58" t="s">
        <v>391</v>
      </c>
      <c r="H58" s="150">
        <v>0</v>
      </c>
      <c r="L58" t="s">
        <v>32</v>
      </c>
      <c r="N58">
        <v>29.94</v>
      </c>
      <c r="O58">
        <v>49.900000000000006</v>
      </c>
      <c r="P58">
        <v>0</v>
      </c>
      <c r="Q58">
        <v>0</v>
      </c>
      <c r="R58">
        <v>79.84</v>
      </c>
      <c r="S58">
        <v>1</v>
      </c>
    </row>
    <row r="59" spans="1:19" x14ac:dyDescent="0.3">
      <c r="A59" s="136">
        <v>59343896</v>
      </c>
      <c r="B59" s="133" t="s">
        <v>64</v>
      </c>
      <c r="C59" s="133" t="s">
        <v>65</v>
      </c>
      <c r="D59" s="151">
        <v>44081</v>
      </c>
      <c r="E59">
        <v>1</v>
      </c>
      <c r="F59" s="118">
        <f t="shared" si="6"/>
        <v>44111</v>
      </c>
      <c r="G59" t="s">
        <v>390</v>
      </c>
      <c r="H59" s="150">
        <v>4.99</v>
      </c>
      <c r="M59" t="s">
        <v>33</v>
      </c>
      <c r="N59">
        <v>29.94</v>
      </c>
      <c r="O59">
        <v>49.900000000000006</v>
      </c>
      <c r="P59">
        <v>0</v>
      </c>
      <c r="Q59">
        <v>0</v>
      </c>
      <c r="R59">
        <v>79.84</v>
      </c>
      <c r="S59">
        <v>1</v>
      </c>
    </row>
    <row r="60" spans="1:19" x14ac:dyDescent="0.3">
      <c r="A60" s="134">
        <v>56278487</v>
      </c>
      <c r="B60" s="133" t="s">
        <v>66</v>
      </c>
      <c r="C60" s="133" t="s">
        <v>67</v>
      </c>
      <c r="D60" s="151">
        <v>44171</v>
      </c>
      <c r="E60">
        <v>9</v>
      </c>
      <c r="F60" s="118">
        <f t="shared" si="6"/>
        <v>44201</v>
      </c>
      <c r="G60" t="s">
        <v>391</v>
      </c>
      <c r="H60" s="150">
        <v>0</v>
      </c>
      <c r="K60">
        <v>14185496</v>
      </c>
      <c r="N60">
        <v>0</v>
      </c>
      <c r="O60">
        <v>0</v>
      </c>
      <c r="P60">
        <v>34.93</v>
      </c>
      <c r="Q60">
        <v>24.950000000000003</v>
      </c>
      <c r="R60">
        <v>59.88</v>
      </c>
      <c r="S60">
        <v>1</v>
      </c>
    </row>
    <row r="61" spans="1:19" x14ac:dyDescent="0.3">
      <c r="A61" s="136">
        <v>77890678</v>
      </c>
      <c r="B61" s="133" t="s">
        <v>68</v>
      </c>
      <c r="C61" s="133" t="s">
        <v>69</v>
      </c>
      <c r="D61" s="151">
        <v>44080</v>
      </c>
      <c r="E61">
        <v>4</v>
      </c>
      <c r="F61" s="118">
        <f t="shared" si="6"/>
        <v>44110</v>
      </c>
      <c r="G61" t="s">
        <v>390</v>
      </c>
      <c r="H61" s="150">
        <v>19.96</v>
      </c>
      <c r="L61" t="s">
        <v>38</v>
      </c>
      <c r="N61">
        <v>0</v>
      </c>
      <c r="O61">
        <v>0</v>
      </c>
      <c r="P61">
        <v>34.93</v>
      </c>
      <c r="Q61">
        <v>24.950000000000003</v>
      </c>
      <c r="R61">
        <v>59.88</v>
      </c>
      <c r="S61">
        <v>1</v>
      </c>
    </row>
    <row r="62" spans="1:19" x14ac:dyDescent="0.3">
      <c r="A62" s="134">
        <v>33896032</v>
      </c>
      <c r="B62" s="133" t="s">
        <v>70</v>
      </c>
      <c r="C62" s="133" t="s">
        <v>71</v>
      </c>
      <c r="D62" s="151">
        <v>44157</v>
      </c>
      <c r="E62">
        <v>8</v>
      </c>
      <c r="F62" s="118">
        <f t="shared" si="6"/>
        <v>44187</v>
      </c>
      <c r="G62" t="s">
        <v>391</v>
      </c>
      <c r="H62" s="150">
        <v>0</v>
      </c>
      <c r="M62" t="s">
        <v>39</v>
      </c>
      <c r="N62">
        <v>0</v>
      </c>
      <c r="O62">
        <v>0</v>
      </c>
      <c r="P62">
        <v>34.93</v>
      </c>
      <c r="Q62">
        <v>24.950000000000003</v>
      </c>
      <c r="R62">
        <v>59.88</v>
      </c>
      <c r="S62">
        <v>1</v>
      </c>
    </row>
    <row r="63" spans="1:19" x14ac:dyDescent="0.3">
      <c r="A63" s="136">
        <v>40723551</v>
      </c>
      <c r="B63" s="133" t="s">
        <v>72</v>
      </c>
      <c r="C63" s="133" t="s">
        <v>73</v>
      </c>
      <c r="D63" s="151">
        <v>44108</v>
      </c>
      <c r="E63">
        <v>3</v>
      </c>
      <c r="F63" s="118">
        <f t="shared" si="6"/>
        <v>44138</v>
      </c>
      <c r="G63" t="s">
        <v>390</v>
      </c>
      <c r="H63" s="150">
        <v>14.97</v>
      </c>
      <c r="K63">
        <v>17117302</v>
      </c>
      <c r="N63">
        <v>44.910000000000004</v>
      </c>
      <c r="O63">
        <v>0</v>
      </c>
      <c r="P63">
        <v>4.99</v>
      </c>
      <c r="Q63">
        <v>0</v>
      </c>
      <c r="R63">
        <v>49.900000000000006</v>
      </c>
      <c r="S63">
        <v>1</v>
      </c>
    </row>
    <row r="64" spans="1:19" x14ac:dyDescent="0.3">
      <c r="A64" s="134">
        <v>23010569</v>
      </c>
      <c r="B64" s="133" t="s">
        <v>74</v>
      </c>
      <c r="C64" s="133" t="s">
        <v>75</v>
      </c>
      <c r="D64" s="151">
        <v>44103</v>
      </c>
      <c r="E64">
        <v>7</v>
      </c>
      <c r="F64" s="118">
        <f t="shared" si="6"/>
        <v>44133</v>
      </c>
      <c r="G64" t="s">
        <v>391</v>
      </c>
      <c r="H64" s="150">
        <v>0</v>
      </c>
      <c r="L64" t="s">
        <v>55</v>
      </c>
      <c r="N64">
        <v>44.910000000000004</v>
      </c>
      <c r="O64">
        <v>0</v>
      </c>
      <c r="P64">
        <v>4.99</v>
      </c>
      <c r="Q64">
        <v>0</v>
      </c>
      <c r="R64">
        <v>49.900000000000006</v>
      </c>
      <c r="S64">
        <v>1</v>
      </c>
    </row>
    <row r="65" spans="1:19" x14ac:dyDescent="0.3">
      <c r="A65" s="136">
        <v>44900212</v>
      </c>
      <c r="B65" s="133" t="s">
        <v>76</v>
      </c>
      <c r="C65" s="133" t="s">
        <v>77</v>
      </c>
      <c r="D65" s="151">
        <v>44114</v>
      </c>
      <c r="E65">
        <v>10</v>
      </c>
      <c r="F65" s="118">
        <f t="shared" si="6"/>
        <v>44144</v>
      </c>
      <c r="G65" t="s">
        <v>391</v>
      </c>
      <c r="H65" s="150">
        <v>0</v>
      </c>
      <c r="M65" t="s">
        <v>56</v>
      </c>
      <c r="N65">
        <v>44.910000000000004</v>
      </c>
      <c r="O65">
        <v>0</v>
      </c>
      <c r="P65">
        <v>4.99</v>
      </c>
      <c r="Q65">
        <v>0</v>
      </c>
      <c r="R65">
        <v>49.900000000000006</v>
      </c>
      <c r="S65">
        <v>1</v>
      </c>
    </row>
    <row r="66" spans="1:19" x14ac:dyDescent="0.3">
      <c r="A66" s="134">
        <v>42395721</v>
      </c>
      <c r="B66" s="133" t="s">
        <v>78</v>
      </c>
      <c r="C66" s="133" t="s">
        <v>79</v>
      </c>
      <c r="D66" s="151">
        <v>44091</v>
      </c>
      <c r="E66">
        <v>4</v>
      </c>
      <c r="F66" s="118">
        <f t="shared" si="6"/>
        <v>44121</v>
      </c>
      <c r="G66" t="s">
        <v>391</v>
      </c>
      <c r="H66" s="150">
        <v>0</v>
      </c>
      <c r="K66">
        <v>17175244</v>
      </c>
      <c r="N66">
        <v>0</v>
      </c>
      <c r="O66">
        <v>0</v>
      </c>
      <c r="P66">
        <v>29.94</v>
      </c>
      <c r="Q66">
        <v>49.900000000000006</v>
      </c>
      <c r="R66">
        <v>79.84</v>
      </c>
      <c r="S66">
        <v>1</v>
      </c>
    </row>
    <row r="67" spans="1:19" x14ac:dyDescent="0.3">
      <c r="L67" t="s">
        <v>57</v>
      </c>
      <c r="N67">
        <v>0</v>
      </c>
      <c r="O67">
        <v>0</v>
      </c>
      <c r="P67">
        <v>29.94</v>
      </c>
      <c r="Q67">
        <v>49.900000000000006</v>
      </c>
      <c r="R67">
        <v>79.84</v>
      </c>
      <c r="S67">
        <v>1</v>
      </c>
    </row>
    <row r="68" spans="1:19" x14ac:dyDescent="0.3">
      <c r="M68" t="s">
        <v>58</v>
      </c>
      <c r="N68">
        <v>0</v>
      </c>
      <c r="O68">
        <v>0</v>
      </c>
      <c r="P68">
        <v>29.94</v>
      </c>
      <c r="Q68">
        <v>49.900000000000006</v>
      </c>
      <c r="R68">
        <v>79.84</v>
      </c>
      <c r="S68">
        <v>1</v>
      </c>
    </row>
    <row r="69" spans="1:19" x14ac:dyDescent="0.3">
      <c r="K69">
        <v>22222762</v>
      </c>
      <c r="N69">
        <v>0</v>
      </c>
      <c r="O69">
        <v>0</v>
      </c>
      <c r="P69">
        <v>0</v>
      </c>
      <c r="Q69">
        <v>0</v>
      </c>
      <c r="R69">
        <v>0</v>
      </c>
      <c r="S69">
        <v>1</v>
      </c>
    </row>
    <row r="70" spans="1:19" x14ac:dyDescent="0.3">
      <c r="L70" t="s">
        <v>40</v>
      </c>
      <c r="N70">
        <v>0</v>
      </c>
      <c r="O70">
        <v>0</v>
      </c>
      <c r="P70">
        <v>0</v>
      </c>
      <c r="Q70">
        <v>0</v>
      </c>
      <c r="R70">
        <v>0</v>
      </c>
      <c r="S70">
        <v>1</v>
      </c>
    </row>
    <row r="71" spans="1:19" x14ac:dyDescent="0.3">
      <c r="M71" t="s">
        <v>41</v>
      </c>
      <c r="N71">
        <v>0</v>
      </c>
      <c r="O71">
        <v>0</v>
      </c>
      <c r="P71">
        <v>0</v>
      </c>
      <c r="Q71">
        <v>0</v>
      </c>
      <c r="R71">
        <v>0</v>
      </c>
      <c r="S71">
        <v>1</v>
      </c>
    </row>
    <row r="72" spans="1:19" x14ac:dyDescent="0.3">
      <c r="A72" s="345" t="s">
        <v>202</v>
      </c>
      <c r="B72" s="346"/>
      <c r="C72" s="346"/>
      <c r="D72" s="346"/>
      <c r="E72" s="346"/>
      <c r="F72" s="346"/>
      <c r="G72" s="346"/>
      <c r="H72" s="347"/>
      <c r="K72">
        <v>22975112</v>
      </c>
      <c r="N72">
        <v>34.93</v>
      </c>
      <c r="O72">
        <v>0</v>
      </c>
      <c r="P72">
        <v>0</v>
      </c>
      <c r="Q72">
        <v>0</v>
      </c>
      <c r="R72">
        <v>34.93</v>
      </c>
      <c r="S72">
        <v>1</v>
      </c>
    </row>
    <row r="73" spans="1:19" x14ac:dyDescent="0.3">
      <c r="A73" s="137" t="s">
        <v>0</v>
      </c>
      <c r="B73" s="137" t="s">
        <v>279</v>
      </c>
      <c r="C73" s="137" t="s">
        <v>280</v>
      </c>
      <c r="D73" s="137" t="s">
        <v>396</v>
      </c>
      <c r="E73" s="137" t="s">
        <v>395</v>
      </c>
      <c r="F73" s="137" t="s">
        <v>394</v>
      </c>
      <c r="G73" s="137" t="s">
        <v>393</v>
      </c>
      <c r="H73" s="137" t="s">
        <v>392</v>
      </c>
      <c r="L73" t="s">
        <v>53</v>
      </c>
      <c r="N73">
        <v>34.93</v>
      </c>
      <c r="O73">
        <v>0</v>
      </c>
      <c r="P73">
        <v>0</v>
      </c>
      <c r="Q73">
        <v>0</v>
      </c>
      <c r="R73">
        <v>34.93</v>
      </c>
      <c r="S73">
        <v>1</v>
      </c>
    </row>
    <row r="74" spans="1:19" x14ac:dyDescent="0.3">
      <c r="A74" s="134">
        <v>32695778</v>
      </c>
      <c r="B74" s="133" t="s">
        <v>28</v>
      </c>
      <c r="C74" s="133" t="s">
        <v>29</v>
      </c>
      <c r="D74" s="151">
        <v>44265</v>
      </c>
      <c r="E74">
        <v>5</v>
      </c>
      <c r="F74" s="118">
        <f t="shared" ref="F74:F100" si="7">D74+30</f>
        <v>44295</v>
      </c>
      <c r="G74" t="s">
        <v>390</v>
      </c>
      <c r="H74" s="150" cm="1">
        <f t="array" ref="H74:H100">IF(Returned2="N", Books2*4.99, 0)</f>
        <v>24.950000000000003</v>
      </c>
      <c r="M74" t="s">
        <v>54</v>
      </c>
      <c r="N74">
        <v>34.93</v>
      </c>
      <c r="O74">
        <v>0</v>
      </c>
      <c r="P74">
        <v>0</v>
      </c>
      <c r="Q74">
        <v>0</v>
      </c>
      <c r="R74">
        <v>34.93</v>
      </c>
      <c r="S74">
        <v>1</v>
      </c>
    </row>
    <row r="75" spans="1:19" x14ac:dyDescent="0.3">
      <c r="A75" s="136">
        <v>55677878</v>
      </c>
      <c r="B75" s="133" t="s">
        <v>30</v>
      </c>
      <c r="C75" s="133" t="s">
        <v>31</v>
      </c>
      <c r="D75" s="151">
        <v>44251</v>
      </c>
      <c r="E75">
        <v>3</v>
      </c>
      <c r="F75" s="118">
        <f t="shared" si="7"/>
        <v>44281</v>
      </c>
      <c r="G75" t="s">
        <v>390</v>
      </c>
      <c r="H75" s="150">
        <v>14.97</v>
      </c>
      <c r="K75">
        <v>23010569</v>
      </c>
      <c r="N75">
        <v>0</v>
      </c>
      <c r="O75">
        <v>0</v>
      </c>
      <c r="P75">
        <v>0</v>
      </c>
      <c r="Q75">
        <v>19.96</v>
      </c>
      <c r="R75">
        <v>19.96</v>
      </c>
      <c r="S75">
        <v>1</v>
      </c>
    </row>
    <row r="76" spans="1:19" x14ac:dyDescent="0.3">
      <c r="A76" s="134">
        <v>13692938</v>
      </c>
      <c r="B76" s="133" t="s">
        <v>32</v>
      </c>
      <c r="C76" s="133" t="s">
        <v>33</v>
      </c>
      <c r="D76" s="151">
        <v>44278</v>
      </c>
      <c r="E76">
        <v>10</v>
      </c>
      <c r="F76" s="118">
        <f t="shared" si="7"/>
        <v>44308</v>
      </c>
      <c r="G76" t="s">
        <v>390</v>
      </c>
      <c r="H76" s="150">
        <v>49.900000000000006</v>
      </c>
      <c r="L76" t="s">
        <v>74</v>
      </c>
      <c r="N76">
        <v>0</v>
      </c>
      <c r="O76">
        <v>0</v>
      </c>
      <c r="P76">
        <v>0</v>
      </c>
      <c r="Q76">
        <v>19.96</v>
      </c>
      <c r="R76">
        <v>19.96</v>
      </c>
      <c r="S76">
        <v>1</v>
      </c>
    </row>
    <row r="77" spans="1:19" x14ac:dyDescent="0.3">
      <c r="A77" s="136">
        <v>49461380</v>
      </c>
      <c r="B77" s="133" t="s">
        <v>34</v>
      </c>
      <c r="C77" s="133" t="s">
        <v>35</v>
      </c>
      <c r="D77" s="151">
        <v>44315</v>
      </c>
      <c r="E77">
        <v>1</v>
      </c>
      <c r="F77" s="118">
        <f t="shared" si="7"/>
        <v>44345</v>
      </c>
      <c r="G77" t="s">
        <v>390</v>
      </c>
      <c r="H77" s="150">
        <v>4.99</v>
      </c>
      <c r="M77" t="s">
        <v>75</v>
      </c>
      <c r="N77">
        <v>0</v>
      </c>
      <c r="O77">
        <v>0</v>
      </c>
      <c r="P77">
        <v>0</v>
      </c>
      <c r="Q77">
        <v>19.96</v>
      </c>
      <c r="R77">
        <v>19.96</v>
      </c>
      <c r="S77">
        <v>1</v>
      </c>
    </row>
    <row r="78" spans="1:19" x14ac:dyDescent="0.3">
      <c r="A78" s="134">
        <v>66065006</v>
      </c>
      <c r="B78" s="133" t="s">
        <v>36</v>
      </c>
      <c r="C78" s="133" t="s">
        <v>37</v>
      </c>
      <c r="D78" s="151">
        <v>44238</v>
      </c>
      <c r="E78">
        <v>1</v>
      </c>
      <c r="F78" s="118">
        <f t="shared" si="7"/>
        <v>44268</v>
      </c>
      <c r="G78" t="s">
        <v>391</v>
      </c>
      <c r="H78" s="150">
        <v>0</v>
      </c>
      <c r="K78">
        <v>27658150</v>
      </c>
      <c r="N78">
        <v>0</v>
      </c>
      <c r="O78">
        <v>34.93</v>
      </c>
      <c r="P78">
        <v>0</v>
      </c>
      <c r="Q78">
        <v>39.92</v>
      </c>
      <c r="R78">
        <v>74.849999999999994</v>
      </c>
      <c r="S78">
        <v>1</v>
      </c>
    </row>
    <row r="79" spans="1:19" x14ac:dyDescent="0.3">
      <c r="A79" s="136">
        <v>14185496</v>
      </c>
      <c r="B79" s="133" t="s">
        <v>38</v>
      </c>
      <c r="C79" s="133" t="s">
        <v>39</v>
      </c>
      <c r="D79" s="151">
        <v>44279</v>
      </c>
      <c r="E79">
        <v>7</v>
      </c>
      <c r="F79" s="118">
        <f t="shared" si="7"/>
        <v>44309</v>
      </c>
      <c r="G79" t="s">
        <v>391</v>
      </c>
      <c r="H79" s="150">
        <v>0</v>
      </c>
      <c r="L79" t="s">
        <v>44</v>
      </c>
      <c r="N79">
        <v>0</v>
      </c>
      <c r="O79">
        <v>34.93</v>
      </c>
      <c r="P79">
        <v>0</v>
      </c>
      <c r="Q79">
        <v>39.92</v>
      </c>
      <c r="R79">
        <v>74.849999999999994</v>
      </c>
      <c r="S79">
        <v>1</v>
      </c>
    </row>
    <row r="80" spans="1:19" x14ac:dyDescent="0.3">
      <c r="A80" s="134">
        <v>22222762</v>
      </c>
      <c r="B80" s="133" t="s">
        <v>40</v>
      </c>
      <c r="C80" s="133" t="s">
        <v>41</v>
      </c>
      <c r="D80" s="151">
        <v>44272</v>
      </c>
      <c r="E80">
        <v>7</v>
      </c>
      <c r="F80" s="118">
        <f t="shared" si="7"/>
        <v>44302</v>
      </c>
      <c r="G80" t="s">
        <v>391</v>
      </c>
      <c r="H80" s="150">
        <v>0</v>
      </c>
      <c r="M80" t="s">
        <v>45</v>
      </c>
      <c r="N80">
        <v>0</v>
      </c>
      <c r="O80">
        <v>34.93</v>
      </c>
      <c r="P80">
        <v>0</v>
      </c>
      <c r="Q80">
        <v>39.92</v>
      </c>
      <c r="R80">
        <v>74.849999999999994</v>
      </c>
      <c r="S80">
        <v>1</v>
      </c>
    </row>
    <row r="81" spans="1:19" x14ac:dyDescent="0.3">
      <c r="A81" s="136">
        <v>33006505</v>
      </c>
      <c r="B81" s="133" t="s">
        <v>42</v>
      </c>
      <c r="C81" s="133" t="s">
        <v>43</v>
      </c>
      <c r="D81" s="151">
        <v>44300</v>
      </c>
      <c r="E81">
        <v>6</v>
      </c>
      <c r="F81" s="118">
        <f t="shared" si="7"/>
        <v>44330</v>
      </c>
      <c r="G81" t="s">
        <v>390</v>
      </c>
      <c r="H81" s="150">
        <v>29.94</v>
      </c>
      <c r="K81">
        <v>32695778</v>
      </c>
      <c r="N81">
        <v>4.99</v>
      </c>
      <c r="O81">
        <v>24.950000000000003</v>
      </c>
      <c r="P81">
        <v>24.950000000000003</v>
      </c>
      <c r="Q81">
        <v>39.92</v>
      </c>
      <c r="R81">
        <v>94.81</v>
      </c>
      <c r="S81">
        <v>1</v>
      </c>
    </row>
    <row r="82" spans="1:19" x14ac:dyDescent="0.3">
      <c r="A82" s="134">
        <v>27658150</v>
      </c>
      <c r="B82" s="133" t="s">
        <v>44</v>
      </c>
      <c r="C82" s="133" t="s">
        <v>45</v>
      </c>
      <c r="D82" s="151">
        <v>44305</v>
      </c>
      <c r="E82">
        <v>7</v>
      </c>
      <c r="F82" s="118">
        <f t="shared" si="7"/>
        <v>44335</v>
      </c>
      <c r="G82" t="s">
        <v>390</v>
      </c>
      <c r="H82" s="150">
        <v>34.93</v>
      </c>
      <c r="L82" t="s">
        <v>28</v>
      </c>
      <c r="N82">
        <v>4.99</v>
      </c>
      <c r="O82">
        <v>24.950000000000003</v>
      </c>
      <c r="P82">
        <v>24.950000000000003</v>
      </c>
      <c r="Q82">
        <v>39.92</v>
      </c>
      <c r="R82">
        <v>94.81</v>
      </c>
      <c r="S82">
        <v>1</v>
      </c>
    </row>
    <row r="83" spans="1:19" x14ac:dyDescent="0.3">
      <c r="A83" s="136">
        <v>54116555</v>
      </c>
      <c r="B83" s="133" t="s">
        <v>46</v>
      </c>
      <c r="C83" s="133" t="s">
        <v>47</v>
      </c>
      <c r="D83" s="151">
        <v>44274</v>
      </c>
      <c r="E83">
        <v>8</v>
      </c>
      <c r="F83" s="118">
        <f t="shared" si="7"/>
        <v>44304</v>
      </c>
      <c r="G83" t="s">
        <v>390</v>
      </c>
      <c r="H83" s="150">
        <v>39.92</v>
      </c>
      <c r="M83" t="s">
        <v>29</v>
      </c>
      <c r="N83">
        <v>4.99</v>
      </c>
      <c r="O83">
        <v>24.950000000000003</v>
      </c>
      <c r="P83">
        <v>24.950000000000003</v>
      </c>
      <c r="Q83">
        <v>39.92</v>
      </c>
      <c r="R83">
        <v>94.81</v>
      </c>
      <c r="S83">
        <v>1</v>
      </c>
    </row>
    <row r="84" spans="1:19" x14ac:dyDescent="0.3">
      <c r="A84" s="134">
        <v>12255677</v>
      </c>
      <c r="B84" s="133" t="s">
        <v>48</v>
      </c>
      <c r="C84" s="133" t="s">
        <v>49</v>
      </c>
      <c r="D84" s="151">
        <v>44284</v>
      </c>
      <c r="E84">
        <v>2</v>
      </c>
      <c r="F84" s="118">
        <f t="shared" si="7"/>
        <v>44314</v>
      </c>
      <c r="G84" t="s">
        <v>390</v>
      </c>
      <c r="H84" s="150">
        <v>9.98</v>
      </c>
      <c r="K84">
        <v>33006505</v>
      </c>
      <c r="N84">
        <v>0</v>
      </c>
      <c r="O84">
        <v>29.94</v>
      </c>
      <c r="P84">
        <v>0</v>
      </c>
      <c r="Q84">
        <v>0</v>
      </c>
      <c r="R84">
        <v>29.94</v>
      </c>
      <c r="S84">
        <v>1</v>
      </c>
    </row>
    <row r="85" spans="1:19" x14ac:dyDescent="0.3">
      <c r="A85" s="136">
        <v>80079978</v>
      </c>
      <c r="B85" s="133" t="s">
        <v>50</v>
      </c>
      <c r="C85" s="133" t="s">
        <v>51</v>
      </c>
      <c r="D85" s="151">
        <v>44237</v>
      </c>
      <c r="E85">
        <v>5</v>
      </c>
      <c r="F85" s="118">
        <f t="shared" si="7"/>
        <v>44267</v>
      </c>
      <c r="G85" t="s">
        <v>391</v>
      </c>
      <c r="H85" s="150">
        <v>0</v>
      </c>
      <c r="L85" t="s">
        <v>42</v>
      </c>
      <c r="N85">
        <v>0</v>
      </c>
      <c r="O85">
        <v>29.94</v>
      </c>
      <c r="P85">
        <v>0</v>
      </c>
      <c r="Q85">
        <v>0</v>
      </c>
      <c r="R85">
        <v>29.94</v>
      </c>
      <c r="S85">
        <v>1</v>
      </c>
    </row>
    <row r="86" spans="1:19" x14ac:dyDescent="0.3">
      <c r="A86" s="134">
        <v>62672194</v>
      </c>
      <c r="B86" s="133" t="s">
        <v>20</v>
      </c>
      <c r="C86" s="133" t="s">
        <v>52</v>
      </c>
      <c r="D86" s="151">
        <v>44224</v>
      </c>
      <c r="E86">
        <v>2</v>
      </c>
      <c r="F86" s="118">
        <f t="shared" si="7"/>
        <v>44254</v>
      </c>
      <c r="G86" t="s">
        <v>390</v>
      </c>
      <c r="H86" s="150">
        <v>9.98</v>
      </c>
      <c r="M86" t="s">
        <v>43</v>
      </c>
      <c r="N86">
        <v>0</v>
      </c>
      <c r="O86">
        <v>29.94</v>
      </c>
      <c r="P86">
        <v>0</v>
      </c>
      <c r="Q86">
        <v>0</v>
      </c>
      <c r="R86">
        <v>29.94</v>
      </c>
      <c r="S86">
        <v>1</v>
      </c>
    </row>
    <row r="87" spans="1:19" x14ac:dyDescent="0.3">
      <c r="A87" s="136">
        <v>22975112</v>
      </c>
      <c r="B87" s="133" t="s">
        <v>53</v>
      </c>
      <c r="C87" s="133" t="s">
        <v>54</v>
      </c>
      <c r="D87" s="151">
        <v>44255</v>
      </c>
      <c r="E87">
        <v>4</v>
      </c>
      <c r="F87" s="118">
        <f t="shared" si="7"/>
        <v>44285</v>
      </c>
      <c r="G87" t="s">
        <v>391</v>
      </c>
      <c r="H87" s="150">
        <v>0</v>
      </c>
      <c r="K87">
        <v>33896032</v>
      </c>
      <c r="N87">
        <v>0</v>
      </c>
      <c r="O87">
        <v>4.99</v>
      </c>
      <c r="P87">
        <v>0</v>
      </c>
      <c r="Q87">
        <v>0</v>
      </c>
      <c r="R87">
        <v>4.99</v>
      </c>
      <c r="S87">
        <v>1</v>
      </c>
    </row>
    <row r="88" spans="1:19" x14ac:dyDescent="0.3">
      <c r="A88" s="134">
        <v>17117302</v>
      </c>
      <c r="B88" s="133" t="s">
        <v>55</v>
      </c>
      <c r="C88" s="133" t="s">
        <v>56</v>
      </c>
      <c r="D88" s="151">
        <v>44223</v>
      </c>
      <c r="E88">
        <v>3</v>
      </c>
      <c r="F88" s="118">
        <f t="shared" si="7"/>
        <v>44253</v>
      </c>
      <c r="G88" t="s">
        <v>391</v>
      </c>
      <c r="H88" s="150">
        <v>0</v>
      </c>
      <c r="L88" t="s">
        <v>70</v>
      </c>
      <c r="N88">
        <v>0</v>
      </c>
      <c r="O88">
        <v>4.99</v>
      </c>
      <c r="P88">
        <v>0</v>
      </c>
      <c r="Q88">
        <v>0</v>
      </c>
      <c r="R88">
        <v>4.99</v>
      </c>
      <c r="S88">
        <v>1</v>
      </c>
    </row>
    <row r="89" spans="1:19" x14ac:dyDescent="0.3">
      <c r="A89" s="136">
        <v>17175244</v>
      </c>
      <c r="B89" s="133" t="s">
        <v>57</v>
      </c>
      <c r="C89" s="133" t="s">
        <v>58</v>
      </c>
      <c r="D89" s="151">
        <v>44321</v>
      </c>
      <c r="E89">
        <v>6</v>
      </c>
      <c r="F89" s="118">
        <f t="shared" si="7"/>
        <v>44351</v>
      </c>
      <c r="G89" t="s">
        <v>391</v>
      </c>
      <c r="H89" s="150">
        <v>0</v>
      </c>
      <c r="M89" t="s">
        <v>71</v>
      </c>
      <c r="N89">
        <v>0</v>
      </c>
      <c r="O89">
        <v>4.99</v>
      </c>
      <c r="P89">
        <v>0</v>
      </c>
      <c r="Q89">
        <v>0</v>
      </c>
      <c r="R89">
        <v>4.99</v>
      </c>
      <c r="S89">
        <v>1</v>
      </c>
    </row>
    <row r="90" spans="1:19" x14ac:dyDescent="0.3">
      <c r="A90" s="134">
        <v>67176280</v>
      </c>
      <c r="B90" s="133" t="s">
        <v>20</v>
      </c>
      <c r="C90" s="133" t="s">
        <v>59</v>
      </c>
      <c r="D90" s="151">
        <v>44228</v>
      </c>
      <c r="E90">
        <v>8</v>
      </c>
      <c r="F90" s="118">
        <f t="shared" si="7"/>
        <v>44258</v>
      </c>
      <c r="G90" t="s">
        <v>391</v>
      </c>
      <c r="H90" s="150">
        <v>0</v>
      </c>
      <c r="K90">
        <v>37800314</v>
      </c>
      <c r="N90">
        <v>0</v>
      </c>
      <c r="O90">
        <v>0</v>
      </c>
      <c r="P90">
        <v>29.94</v>
      </c>
      <c r="Q90">
        <v>49.900000000000006</v>
      </c>
      <c r="R90">
        <v>79.84</v>
      </c>
      <c r="S90">
        <v>1</v>
      </c>
    </row>
    <row r="91" spans="1:19" x14ac:dyDescent="0.3">
      <c r="A91" s="136">
        <v>90908811</v>
      </c>
      <c r="B91" s="133" t="s">
        <v>60</v>
      </c>
      <c r="C91" s="133" t="s">
        <v>61</v>
      </c>
      <c r="D91" s="151">
        <v>44225</v>
      </c>
      <c r="E91">
        <v>6</v>
      </c>
      <c r="F91" s="118">
        <f t="shared" si="7"/>
        <v>44255</v>
      </c>
      <c r="G91" t="s">
        <v>390</v>
      </c>
      <c r="H91" s="150">
        <v>29.94</v>
      </c>
      <c r="L91" t="s">
        <v>62</v>
      </c>
      <c r="N91">
        <v>0</v>
      </c>
      <c r="O91">
        <v>0</v>
      </c>
      <c r="P91">
        <v>29.94</v>
      </c>
      <c r="Q91">
        <v>49.900000000000006</v>
      </c>
      <c r="R91">
        <v>79.84</v>
      </c>
      <c r="S91">
        <v>1</v>
      </c>
    </row>
    <row r="92" spans="1:19" x14ac:dyDescent="0.3">
      <c r="A92" s="134">
        <v>37800314</v>
      </c>
      <c r="B92" s="133" t="s">
        <v>62</v>
      </c>
      <c r="C92" s="133" t="s">
        <v>63</v>
      </c>
      <c r="D92" s="151">
        <v>44294</v>
      </c>
      <c r="E92">
        <v>8</v>
      </c>
      <c r="F92" s="118">
        <f t="shared" si="7"/>
        <v>44324</v>
      </c>
      <c r="G92" t="s">
        <v>391</v>
      </c>
      <c r="H92" s="150">
        <v>0</v>
      </c>
      <c r="M92" t="s">
        <v>63</v>
      </c>
      <c r="N92">
        <v>0</v>
      </c>
      <c r="O92">
        <v>0</v>
      </c>
      <c r="P92">
        <v>29.94</v>
      </c>
      <c r="Q92">
        <v>49.900000000000006</v>
      </c>
      <c r="R92">
        <v>79.84</v>
      </c>
      <c r="S92">
        <v>1</v>
      </c>
    </row>
    <row r="93" spans="1:19" x14ac:dyDescent="0.3">
      <c r="A93" s="136">
        <v>59343896</v>
      </c>
      <c r="B93" s="133" t="s">
        <v>64</v>
      </c>
      <c r="C93" s="133" t="s">
        <v>65</v>
      </c>
      <c r="D93" s="151">
        <v>44300</v>
      </c>
      <c r="E93">
        <v>5</v>
      </c>
      <c r="F93" s="118">
        <f t="shared" si="7"/>
        <v>44330</v>
      </c>
      <c r="G93" t="s">
        <v>391</v>
      </c>
      <c r="H93" s="150">
        <v>0</v>
      </c>
      <c r="K93">
        <v>40723551</v>
      </c>
      <c r="N93">
        <v>14.97</v>
      </c>
      <c r="O93">
        <v>49.900000000000006</v>
      </c>
      <c r="P93">
        <v>29.94</v>
      </c>
      <c r="Q93">
        <v>24.950000000000003</v>
      </c>
      <c r="R93">
        <v>119.76</v>
      </c>
      <c r="S93">
        <v>1</v>
      </c>
    </row>
    <row r="94" spans="1:19" x14ac:dyDescent="0.3">
      <c r="A94" s="134">
        <v>56278487</v>
      </c>
      <c r="B94" s="133" t="s">
        <v>66</v>
      </c>
      <c r="C94" s="133" t="s">
        <v>67</v>
      </c>
      <c r="D94" s="151">
        <v>44325</v>
      </c>
      <c r="E94">
        <v>1</v>
      </c>
      <c r="F94" s="118">
        <f t="shared" si="7"/>
        <v>44355</v>
      </c>
      <c r="G94" t="s">
        <v>390</v>
      </c>
      <c r="H94" s="150">
        <v>4.99</v>
      </c>
      <c r="L94" t="s">
        <v>72</v>
      </c>
      <c r="N94">
        <v>14.97</v>
      </c>
      <c r="O94">
        <v>49.900000000000006</v>
      </c>
      <c r="P94">
        <v>29.94</v>
      </c>
      <c r="Q94">
        <v>24.950000000000003</v>
      </c>
      <c r="R94">
        <v>119.76</v>
      </c>
      <c r="S94">
        <v>1</v>
      </c>
    </row>
    <row r="95" spans="1:19" x14ac:dyDescent="0.3">
      <c r="A95" s="136">
        <v>77890678</v>
      </c>
      <c r="B95" s="133" t="s">
        <v>68</v>
      </c>
      <c r="C95" s="133" t="s">
        <v>69</v>
      </c>
      <c r="D95" s="151">
        <v>44306</v>
      </c>
      <c r="E95">
        <v>4</v>
      </c>
      <c r="F95" s="118">
        <f t="shared" si="7"/>
        <v>44336</v>
      </c>
      <c r="G95" t="s">
        <v>390</v>
      </c>
      <c r="H95" s="150">
        <v>19.96</v>
      </c>
      <c r="M95" t="s">
        <v>73</v>
      </c>
      <c r="N95">
        <v>14.97</v>
      </c>
      <c r="O95">
        <v>49.900000000000006</v>
      </c>
      <c r="P95">
        <v>29.94</v>
      </c>
      <c r="Q95">
        <v>24.950000000000003</v>
      </c>
      <c r="R95">
        <v>119.76</v>
      </c>
      <c r="S95">
        <v>1</v>
      </c>
    </row>
    <row r="96" spans="1:19" x14ac:dyDescent="0.3">
      <c r="A96" s="134">
        <v>33896032</v>
      </c>
      <c r="B96" s="133" t="s">
        <v>70</v>
      </c>
      <c r="C96" s="133" t="s">
        <v>71</v>
      </c>
      <c r="D96" s="151">
        <v>44226</v>
      </c>
      <c r="E96">
        <v>1</v>
      </c>
      <c r="F96" s="118">
        <f t="shared" si="7"/>
        <v>44256</v>
      </c>
      <c r="G96" t="s">
        <v>390</v>
      </c>
      <c r="H96" s="150">
        <v>4.99</v>
      </c>
      <c r="K96">
        <v>42395721</v>
      </c>
      <c r="N96">
        <v>0</v>
      </c>
      <c r="O96">
        <v>0</v>
      </c>
      <c r="P96">
        <v>14.97</v>
      </c>
      <c r="Q96">
        <v>49.900000000000006</v>
      </c>
      <c r="R96">
        <v>64.87</v>
      </c>
      <c r="S96">
        <v>1</v>
      </c>
    </row>
    <row r="97" spans="1:19" x14ac:dyDescent="0.3">
      <c r="A97" s="136">
        <v>40723551</v>
      </c>
      <c r="B97" s="133" t="s">
        <v>72</v>
      </c>
      <c r="C97" s="133" t="s">
        <v>73</v>
      </c>
      <c r="D97" s="151">
        <v>44307</v>
      </c>
      <c r="E97">
        <v>10</v>
      </c>
      <c r="F97" s="118">
        <f t="shared" si="7"/>
        <v>44337</v>
      </c>
      <c r="G97" t="s">
        <v>390</v>
      </c>
      <c r="H97" s="150">
        <v>49.900000000000006</v>
      </c>
      <c r="L97" t="s">
        <v>78</v>
      </c>
      <c r="N97">
        <v>0</v>
      </c>
      <c r="O97">
        <v>0</v>
      </c>
      <c r="P97">
        <v>14.97</v>
      </c>
      <c r="Q97">
        <v>49.900000000000006</v>
      </c>
      <c r="R97">
        <v>64.87</v>
      </c>
      <c r="S97">
        <v>1</v>
      </c>
    </row>
    <row r="98" spans="1:19" x14ac:dyDescent="0.3">
      <c r="A98" s="134">
        <v>23010569</v>
      </c>
      <c r="B98" s="133" t="s">
        <v>74</v>
      </c>
      <c r="C98" s="133" t="s">
        <v>75</v>
      </c>
      <c r="D98" s="151">
        <v>44324</v>
      </c>
      <c r="E98">
        <v>9</v>
      </c>
      <c r="F98" s="118">
        <f t="shared" si="7"/>
        <v>44354</v>
      </c>
      <c r="G98" t="s">
        <v>391</v>
      </c>
      <c r="H98" s="150">
        <v>0</v>
      </c>
      <c r="M98" t="s">
        <v>79</v>
      </c>
      <c r="N98">
        <v>0</v>
      </c>
      <c r="O98">
        <v>0</v>
      </c>
      <c r="P98">
        <v>14.97</v>
      </c>
      <c r="Q98">
        <v>49.900000000000006</v>
      </c>
      <c r="R98">
        <v>64.87</v>
      </c>
      <c r="S98">
        <v>1</v>
      </c>
    </row>
    <row r="99" spans="1:19" x14ac:dyDescent="0.3">
      <c r="A99" s="136">
        <v>44900212</v>
      </c>
      <c r="B99" s="133" t="s">
        <v>76</v>
      </c>
      <c r="C99" s="133" t="s">
        <v>77</v>
      </c>
      <c r="D99" s="151">
        <v>44249</v>
      </c>
      <c r="E99">
        <v>3</v>
      </c>
      <c r="F99" s="118">
        <f t="shared" si="7"/>
        <v>44279</v>
      </c>
      <c r="G99" t="s">
        <v>390</v>
      </c>
      <c r="H99" s="150">
        <v>14.97</v>
      </c>
      <c r="K99">
        <v>44900212</v>
      </c>
      <c r="N99">
        <v>0</v>
      </c>
      <c r="O99">
        <v>14.97</v>
      </c>
      <c r="P99">
        <v>9.98</v>
      </c>
      <c r="Q99">
        <v>44.910000000000004</v>
      </c>
      <c r="R99">
        <v>69.860000000000014</v>
      </c>
      <c r="S99">
        <v>1</v>
      </c>
    </row>
    <row r="100" spans="1:19" x14ac:dyDescent="0.3">
      <c r="A100" s="134">
        <v>42395721</v>
      </c>
      <c r="B100" s="133" t="s">
        <v>78</v>
      </c>
      <c r="C100" s="133" t="s">
        <v>79</v>
      </c>
      <c r="D100" s="151">
        <v>44229</v>
      </c>
      <c r="E100">
        <v>10</v>
      </c>
      <c r="F100" s="118">
        <f t="shared" si="7"/>
        <v>44259</v>
      </c>
      <c r="G100" t="s">
        <v>391</v>
      </c>
      <c r="H100" s="150">
        <v>0</v>
      </c>
      <c r="L100" t="s">
        <v>76</v>
      </c>
      <c r="N100">
        <v>0</v>
      </c>
      <c r="O100">
        <v>14.97</v>
      </c>
      <c r="P100">
        <v>9.98</v>
      </c>
      <c r="Q100">
        <v>44.910000000000004</v>
      </c>
      <c r="R100">
        <v>69.860000000000014</v>
      </c>
      <c r="S100">
        <v>1</v>
      </c>
    </row>
    <row r="101" spans="1:19" x14ac:dyDescent="0.3">
      <c r="M101" t="s">
        <v>77</v>
      </c>
      <c r="N101">
        <v>0</v>
      </c>
      <c r="O101">
        <v>14.97</v>
      </c>
      <c r="P101">
        <v>9.98</v>
      </c>
      <c r="Q101">
        <v>44.910000000000004</v>
      </c>
      <c r="R101">
        <v>69.860000000000014</v>
      </c>
      <c r="S101">
        <v>1</v>
      </c>
    </row>
    <row r="102" spans="1:19" x14ac:dyDescent="0.3">
      <c r="K102">
        <v>49461380</v>
      </c>
      <c r="N102">
        <v>29.94</v>
      </c>
      <c r="O102">
        <v>4.99</v>
      </c>
      <c r="P102">
        <v>0</v>
      </c>
      <c r="Q102">
        <v>0</v>
      </c>
      <c r="R102">
        <v>34.93</v>
      </c>
      <c r="S102">
        <v>1</v>
      </c>
    </row>
    <row r="103" spans="1:19" x14ac:dyDescent="0.3">
      <c r="L103" t="s">
        <v>34</v>
      </c>
      <c r="N103">
        <v>29.94</v>
      </c>
      <c r="O103">
        <v>4.99</v>
      </c>
      <c r="P103">
        <v>0</v>
      </c>
      <c r="Q103">
        <v>0</v>
      </c>
      <c r="R103">
        <v>34.93</v>
      </c>
      <c r="S103">
        <v>1</v>
      </c>
    </row>
    <row r="104" spans="1:19" x14ac:dyDescent="0.3">
      <c r="M104" t="s">
        <v>35</v>
      </c>
      <c r="N104">
        <v>29.94</v>
      </c>
      <c r="O104">
        <v>4.99</v>
      </c>
      <c r="P104">
        <v>0</v>
      </c>
      <c r="Q104">
        <v>0</v>
      </c>
      <c r="R104">
        <v>34.93</v>
      </c>
      <c r="S104">
        <v>1</v>
      </c>
    </row>
    <row r="105" spans="1:19" x14ac:dyDescent="0.3">
      <c r="K105">
        <v>54116555</v>
      </c>
      <c r="N105">
        <v>19.96</v>
      </c>
      <c r="O105">
        <v>39.92</v>
      </c>
      <c r="P105">
        <v>0</v>
      </c>
      <c r="Q105">
        <v>34.93</v>
      </c>
      <c r="R105">
        <v>94.81</v>
      </c>
      <c r="S105">
        <v>1</v>
      </c>
    </row>
    <row r="106" spans="1:19" x14ac:dyDescent="0.3">
      <c r="A106" s="345" t="s">
        <v>203</v>
      </c>
      <c r="B106" s="346"/>
      <c r="C106" s="346"/>
      <c r="D106" s="346"/>
      <c r="E106" s="346"/>
      <c r="F106" s="346"/>
      <c r="G106" s="346"/>
      <c r="H106" s="347"/>
      <c r="L106" t="s">
        <v>46</v>
      </c>
      <c r="N106">
        <v>19.96</v>
      </c>
      <c r="O106">
        <v>39.92</v>
      </c>
      <c r="P106">
        <v>0</v>
      </c>
      <c r="Q106">
        <v>34.93</v>
      </c>
      <c r="R106">
        <v>94.81</v>
      </c>
      <c r="S106">
        <v>1</v>
      </c>
    </row>
    <row r="107" spans="1:19" x14ac:dyDescent="0.3">
      <c r="A107" s="137" t="s">
        <v>0</v>
      </c>
      <c r="B107" s="137" t="s">
        <v>279</v>
      </c>
      <c r="C107" s="137" t="s">
        <v>280</v>
      </c>
      <c r="D107" s="137" t="s">
        <v>396</v>
      </c>
      <c r="E107" s="137" t="s">
        <v>395</v>
      </c>
      <c r="F107" s="137" t="s">
        <v>394</v>
      </c>
      <c r="G107" s="137" t="s">
        <v>393</v>
      </c>
      <c r="H107" s="137" t="s">
        <v>392</v>
      </c>
      <c r="M107" t="s">
        <v>47</v>
      </c>
      <c r="N107">
        <v>19.96</v>
      </c>
      <c r="O107">
        <v>39.92</v>
      </c>
      <c r="P107">
        <v>0</v>
      </c>
      <c r="Q107">
        <v>34.93</v>
      </c>
      <c r="R107">
        <v>94.81</v>
      </c>
      <c r="S107">
        <v>1</v>
      </c>
    </row>
    <row r="108" spans="1:19" x14ac:dyDescent="0.3">
      <c r="A108" s="134">
        <v>32695778</v>
      </c>
      <c r="B108" s="133" t="s">
        <v>28</v>
      </c>
      <c r="C108" s="133" t="s">
        <v>29</v>
      </c>
      <c r="D108" s="151">
        <v>44502</v>
      </c>
      <c r="E108">
        <v>5</v>
      </c>
      <c r="F108" s="118">
        <f t="shared" ref="F108:F134" si="8">D108+30</f>
        <v>44532</v>
      </c>
      <c r="G108" t="s">
        <v>390</v>
      </c>
      <c r="H108" s="150" cm="1">
        <f t="array" ref="H108:H134">IF(Returned3="N", Books3*4.99, 0)</f>
        <v>24.950000000000003</v>
      </c>
      <c r="K108">
        <v>55677878</v>
      </c>
      <c r="N108">
        <v>0</v>
      </c>
      <c r="O108">
        <v>14.97</v>
      </c>
      <c r="P108">
        <v>14.97</v>
      </c>
      <c r="Q108">
        <v>24.950000000000003</v>
      </c>
      <c r="R108">
        <v>54.89</v>
      </c>
      <c r="S108">
        <v>1</v>
      </c>
    </row>
    <row r="109" spans="1:19" x14ac:dyDescent="0.3">
      <c r="A109" s="136">
        <v>55677878</v>
      </c>
      <c r="B109" s="133" t="s">
        <v>30</v>
      </c>
      <c r="C109" s="133" t="s">
        <v>31</v>
      </c>
      <c r="D109" s="151">
        <v>44454</v>
      </c>
      <c r="E109">
        <v>3</v>
      </c>
      <c r="F109" s="118">
        <f t="shared" si="8"/>
        <v>44484</v>
      </c>
      <c r="G109" t="s">
        <v>390</v>
      </c>
      <c r="H109" s="150">
        <v>14.97</v>
      </c>
      <c r="L109" t="s">
        <v>30</v>
      </c>
      <c r="N109">
        <v>0</v>
      </c>
      <c r="O109">
        <v>14.97</v>
      </c>
      <c r="P109">
        <v>14.97</v>
      </c>
      <c r="Q109">
        <v>24.950000000000003</v>
      </c>
      <c r="R109">
        <v>54.89</v>
      </c>
      <c r="S109">
        <v>1</v>
      </c>
    </row>
    <row r="110" spans="1:19" x14ac:dyDescent="0.3">
      <c r="A110" s="134">
        <v>13692938</v>
      </c>
      <c r="B110" s="133" t="s">
        <v>32</v>
      </c>
      <c r="C110" s="133" t="s">
        <v>33</v>
      </c>
      <c r="D110" s="151">
        <v>44510</v>
      </c>
      <c r="E110">
        <v>6</v>
      </c>
      <c r="F110" s="118">
        <f t="shared" si="8"/>
        <v>44540</v>
      </c>
      <c r="G110" t="s">
        <v>391</v>
      </c>
      <c r="H110" s="150">
        <v>0</v>
      </c>
      <c r="M110" t="s">
        <v>31</v>
      </c>
      <c r="N110">
        <v>0</v>
      </c>
      <c r="O110">
        <v>14.97</v>
      </c>
      <c r="P110">
        <v>14.97</v>
      </c>
      <c r="Q110">
        <v>24.950000000000003</v>
      </c>
      <c r="R110">
        <v>54.89</v>
      </c>
      <c r="S110">
        <v>1</v>
      </c>
    </row>
    <row r="111" spans="1:19" x14ac:dyDescent="0.3">
      <c r="A111" s="136">
        <v>49461380</v>
      </c>
      <c r="B111" s="133" t="s">
        <v>34</v>
      </c>
      <c r="C111" s="133" t="s">
        <v>35</v>
      </c>
      <c r="D111" s="151">
        <v>44494</v>
      </c>
      <c r="E111">
        <v>5</v>
      </c>
      <c r="F111" s="118">
        <f t="shared" si="8"/>
        <v>44524</v>
      </c>
      <c r="G111" t="s">
        <v>391</v>
      </c>
      <c r="H111" s="150">
        <v>0</v>
      </c>
      <c r="K111">
        <v>56278487</v>
      </c>
      <c r="N111">
        <v>0</v>
      </c>
      <c r="O111">
        <v>4.99</v>
      </c>
      <c r="P111">
        <v>19.96</v>
      </c>
      <c r="Q111">
        <v>49.900000000000006</v>
      </c>
      <c r="R111">
        <v>74.850000000000009</v>
      </c>
      <c r="S111">
        <v>1</v>
      </c>
    </row>
    <row r="112" spans="1:19" x14ac:dyDescent="0.3">
      <c r="A112" s="134">
        <v>66065006</v>
      </c>
      <c r="B112" s="133" t="s">
        <v>36</v>
      </c>
      <c r="C112" s="133" t="s">
        <v>37</v>
      </c>
      <c r="D112" s="151">
        <v>44493</v>
      </c>
      <c r="E112">
        <v>3</v>
      </c>
      <c r="F112" s="118">
        <f t="shared" si="8"/>
        <v>44523</v>
      </c>
      <c r="G112" t="s">
        <v>390</v>
      </c>
      <c r="H112" s="150">
        <v>14.97</v>
      </c>
      <c r="L112" t="s">
        <v>66</v>
      </c>
      <c r="N112">
        <v>0</v>
      </c>
      <c r="O112">
        <v>4.99</v>
      </c>
      <c r="P112">
        <v>19.96</v>
      </c>
      <c r="Q112">
        <v>49.900000000000006</v>
      </c>
      <c r="R112">
        <v>74.850000000000009</v>
      </c>
      <c r="S112">
        <v>1</v>
      </c>
    </row>
    <row r="113" spans="1:19" x14ac:dyDescent="0.3">
      <c r="A113" s="136">
        <v>14185496</v>
      </c>
      <c r="B113" s="133" t="s">
        <v>38</v>
      </c>
      <c r="C113" s="133" t="s">
        <v>39</v>
      </c>
      <c r="D113" s="151">
        <v>44491</v>
      </c>
      <c r="E113">
        <v>7</v>
      </c>
      <c r="F113" s="118">
        <f t="shared" si="8"/>
        <v>44521</v>
      </c>
      <c r="G113" t="s">
        <v>390</v>
      </c>
      <c r="H113" s="150">
        <v>34.93</v>
      </c>
      <c r="M113" t="s">
        <v>67</v>
      </c>
      <c r="N113">
        <v>0</v>
      </c>
      <c r="O113">
        <v>4.99</v>
      </c>
      <c r="P113">
        <v>19.96</v>
      </c>
      <c r="Q113">
        <v>49.900000000000006</v>
      </c>
      <c r="R113">
        <v>74.850000000000009</v>
      </c>
      <c r="S113">
        <v>1</v>
      </c>
    </row>
    <row r="114" spans="1:19" x14ac:dyDescent="0.3">
      <c r="A114" s="134">
        <v>22222762</v>
      </c>
      <c r="B114" s="133" t="s">
        <v>40</v>
      </c>
      <c r="C114" s="133" t="s">
        <v>41</v>
      </c>
      <c r="D114" s="151">
        <v>44530</v>
      </c>
      <c r="E114">
        <v>4</v>
      </c>
      <c r="F114" s="118">
        <f t="shared" si="8"/>
        <v>44560</v>
      </c>
      <c r="G114" t="s">
        <v>391</v>
      </c>
      <c r="H114" s="150">
        <v>0</v>
      </c>
      <c r="K114">
        <v>59343896</v>
      </c>
      <c r="N114">
        <v>4.99</v>
      </c>
      <c r="O114">
        <v>0</v>
      </c>
      <c r="P114">
        <v>14.97</v>
      </c>
      <c r="Q114">
        <v>0</v>
      </c>
      <c r="R114">
        <v>19.96</v>
      </c>
      <c r="S114">
        <v>1</v>
      </c>
    </row>
    <row r="115" spans="1:19" x14ac:dyDescent="0.3">
      <c r="A115" s="136">
        <v>33006505</v>
      </c>
      <c r="B115" s="133" t="s">
        <v>42</v>
      </c>
      <c r="C115" s="133" t="s">
        <v>43</v>
      </c>
      <c r="D115" s="151">
        <v>44436</v>
      </c>
      <c r="E115">
        <v>5</v>
      </c>
      <c r="F115" s="118">
        <f t="shared" si="8"/>
        <v>44466</v>
      </c>
      <c r="G115" t="s">
        <v>391</v>
      </c>
      <c r="H115" s="150">
        <v>0</v>
      </c>
      <c r="L115" t="s">
        <v>64</v>
      </c>
      <c r="N115">
        <v>4.99</v>
      </c>
      <c r="O115">
        <v>0</v>
      </c>
      <c r="P115">
        <v>14.97</v>
      </c>
      <c r="Q115">
        <v>0</v>
      </c>
      <c r="R115">
        <v>19.96</v>
      </c>
      <c r="S115">
        <v>1</v>
      </c>
    </row>
    <row r="116" spans="1:19" x14ac:dyDescent="0.3">
      <c r="A116" s="134">
        <v>27658150</v>
      </c>
      <c r="B116" s="133" t="s">
        <v>44</v>
      </c>
      <c r="C116" s="133" t="s">
        <v>45</v>
      </c>
      <c r="D116" s="151">
        <v>44520</v>
      </c>
      <c r="E116">
        <v>10</v>
      </c>
      <c r="F116" s="118">
        <f t="shared" si="8"/>
        <v>44550</v>
      </c>
      <c r="G116" t="s">
        <v>391</v>
      </c>
      <c r="H116" s="150">
        <v>0</v>
      </c>
      <c r="M116" t="s">
        <v>65</v>
      </c>
      <c r="N116">
        <v>4.99</v>
      </c>
      <c r="O116">
        <v>0</v>
      </c>
      <c r="P116">
        <v>14.97</v>
      </c>
      <c r="Q116">
        <v>0</v>
      </c>
      <c r="R116">
        <v>19.96</v>
      </c>
      <c r="S116">
        <v>1</v>
      </c>
    </row>
    <row r="117" spans="1:19" x14ac:dyDescent="0.3">
      <c r="A117" s="136">
        <v>54116555</v>
      </c>
      <c r="B117" s="133" t="s">
        <v>46</v>
      </c>
      <c r="C117" s="133" t="s">
        <v>47</v>
      </c>
      <c r="D117" s="151">
        <v>44452</v>
      </c>
      <c r="E117">
        <v>5</v>
      </c>
      <c r="F117" s="118">
        <f t="shared" si="8"/>
        <v>44482</v>
      </c>
      <c r="G117" t="s">
        <v>391</v>
      </c>
      <c r="H117" s="150">
        <v>0</v>
      </c>
      <c r="K117">
        <v>62672194</v>
      </c>
      <c r="N117">
        <v>9.98</v>
      </c>
      <c r="O117">
        <v>9.98</v>
      </c>
      <c r="P117">
        <v>0</v>
      </c>
      <c r="Q117">
        <v>9.98</v>
      </c>
      <c r="R117">
        <v>29.94</v>
      </c>
      <c r="S117">
        <v>1</v>
      </c>
    </row>
    <row r="118" spans="1:19" x14ac:dyDescent="0.3">
      <c r="A118" s="134">
        <v>12255677</v>
      </c>
      <c r="B118" s="133" t="s">
        <v>48</v>
      </c>
      <c r="C118" s="133" t="s">
        <v>49</v>
      </c>
      <c r="D118" s="151">
        <v>44526</v>
      </c>
      <c r="E118">
        <v>5</v>
      </c>
      <c r="F118" s="118">
        <f t="shared" si="8"/>
        <v>44556</v>
      </c>
      <c r="G118" t="s">
        <v>391</v>
      </c>
      <c r="H118" s="150">
        <v>0</v>
      </c>
      <c r="L118" t="s">
        <v>20</v>
      </c>
      <c r="N118">
        <v>9.98</v>
      </c>
      <c r="O118">
        <v>9.98</v>
      </c>
      <c r="P118">
        <v>0</v>
      </c>
      <c r="Q118">
        <v>9.98</v>
      </c>
      <c r="R118">
        <v>29.94</v>
      </c>
      <c r="S118">
        <v>1</v>
      </c>
    </row>
    <row r="119" spans="1:19" x14ac:dyDescent="0.3">
      <c r="A119" s="136">
        <v>80079978</v>
      </c>
      <c r="B119" s="133" t="s">
        <v>50</v>
      </c>
      <c r="C119" s="133" t="s">
        <v>51</v>
      </c>
      <c r="D119" s="151">
        <v>44441</v>
      </c>
      <c r="E119">
        <v>6</v>
      </c>
      <c r="F119" s="118">
        <f t="shared" si="8"/>
        <v>44471</v>
      </c>
      <c r="G119" t="s">
        <v>390</v>
      </c>
      <c r="H119" s="150">
        <v>29.94</v>
      </c>
      <c r="M119" t="s">
        <v>52</v>
      </c>
      <c r="N119">
        <v>9.98</v>
      </c>
      <c r="O119">
        <v>9.98</v>
      </c>
      <c r="P119">
        <v>0</v>
      </c>
      <c r="Q119">
        <v>9.98</v>
      </c>
      <c r="R119">
        <v>29.94</v>
      </c>
      <c r="S119">
        <v>1</v>
      </c>
    </row>
    <row r="120" spans="1:19" x14ac:dyDescent="0.3">
      <c r="A120" s="134">
        <v>62672194</v>
      </c>
      <c r="B120" s="133" t="s">
        <v>20</v>
      </c>
      <c r="C120" s="133" t="s">
        <v>52</v>
      </c>
      <c r="D120" s="151">
        <v>44478</v>
      </c>
      <c r="E120">
        <v>3</v>
      </c>
      <c r="F120" s="118">
        <f t="shared" si="8"/>
        <v>44508</v>
      </c>
      <c r="G120" t="s">
        <v>391</v>
      </c>
      <c r="H120" s="150">
        <v>0</v>
      </c>
      <c r="K120">
        <v>66065006</v>
      </c>
      <c r="N120">
        <v>29.94</v>
      </c>
      <c r="O120">
        <v>0</v>
      </c>
      <c r="P120">
        <v>14.97</v>
      </c>
      <c r="Q120">
        <v>34.93</v>
      </c>
      <c r="R120">
        <v>79.84</v>
      </c>
      <c r="S120">
        <v>1</v>
      </c>
    </row>
    <row r="121" spans="1:19" x14ac:dyDescent="0.3">
      <c r="A121" s="136">
        <v>22975112</v>
      </c>
      <c r="B121" s="133" t="s">
        <v>53</v>
      </c>
      <c r="C121" s="133" t="s">
        <v>54</v>
      </c>
      <c r="D121" s="151">
        <v>44529</v>
      </c>
      <c r="E121">
        <v>10</v>
      </c>
      <c r="F121" s="118">
        <f t="shared" si="8"/>
        <v>44559</v>
      </c>
      <c r="G121" t="s">
        <v>391</v>
      </c>
      <c r="H121" s="150">
        <v>0</v>
      </c>
      <c r="L121" t="s">
        <v>36</v>
      </c>
      <c r="N121">
        <v>29.94</v>
      </c>
      <c r="O121">
        <v>0</v>
      </c>
      <c r="P121">
        <v>14.97</v>
      </c>
      <c r="Q121">
        <v>34.93</v>
      </c>
      <c r="R121">
        <v>79.84</v>
      </c>
      <c r="S121">
        <v>1</v>
      </c>
    </row>
    <row r="122" spans="1:19" x14ac:dyDescent="0.3">
      <c r="A122" s="134">
        <v>17117302</v>
      </c>
      <c r="B122" s="133" t="s">
        <v>55</v>
      </c>
      <c r="C122" s="133" t="s">
        <v>56</v>
      </c>
      <c r="D122" s="151">
        <v>44470</v>
      </c>
      <c r="E122">
        <v>1</v>
      </c>
      <c r="F122" s="118">
        <f t="shared" si="8"/>
        <v>44500</v>
      </c>
      <c r="G122" t="s">
        <v>390</v>
      </c>
      <c r="H122" s="150">
        <v>4.99</v>
      </c>
      <c r="M122" t="s">
        <v>37</v>
      </c>
      <c r="N122">
        <v>29.94</v>
      </c>
      <c r="O122">
        <v>0</v>
      </c>
      <c r="P122">
        <v>14.97</v>
      </c>
      <c r="Q122">
        <v>34.93</v>
      </c>
      <c r="R122">
        <v>79.84</v>
      </c>
      <c r="S122">
        <v>1</v>
      </c>
    </row>
    <row r="123" spans="1:19" x14ac:dyDescent="0.3">
      <c r="A123" s="136">
        <v>17175244</v>
      </c>
      <c r="B123" s="133" t="s">
        <v>57</v>
      </c>
      <c r="C123" s="133" t="s">
        <v>58</v>
      </c>
      <c r="D123" s="151">
        <v>44520</v>
      </c>
      <c r="E123">
        <v>6</v>
      </c>
      <c r="F123" s="118">
        <f t="shared" si="8"/>
        <v>44550</v>
      </c>
      <c r="G123" t="s">
        <v>390</v>
      </c>
      <c r="H123" s="150">
        <v>29.94</v>
      </c>
      <c r="K123">
        <v>67176280</v>
      </c>
      <c r="N123">
        <v>0</v>
      </c>
      <c r="O123">
        <v>0</v>
      </c>
      <c r="P123">
        <v>44.910000000000004</v>
      </c>
      <c r="Q123">
        <v>49.900000000000006</v>
      </c>
      <c r="R123">
        <v>94.81</v>
      </c>
      <c r="S123">
        <v>1</v>
      </c>
    </row>
    <row r="124" spans="1:19" x14ac:dyDescent="0.3">
      <c r="A124" s="134">
        <v>67176280</v>
      </c>
      <c r="B124" s="133" t="s">
        <v>20</v>
      </c>
      <c r="C124" s="133" t="s">
        <v>59</v>
      </c>
      <c r="D124" s="151">
        <v>44534</v>
      </c>
      <c r="E124">
        <v>9</v>
      </c>
      <c r="F124" s="118">
        <f t="shared" si="8"/>
        <v>44564</v>
      </c>
      <c r="G124" t="s">
        <v>390</v>
      </c>
      <c r="H124" s="150">
        <v>44.910000000000004</v>
      </c>
      <c r="L124" t="s">
        <v>20</v>
      </c>
      <c r="N124">
        <v>0</v>
      </c>
      <c r="O124">
        <v>0</v>
      </c>
      <c r="P124">
        <v>44.910000000000004</v>
      </c>
      <c r="Q124">
        <v>49.900000000000006</v>
      </c>
      <c r="R124">
        <v>94.81</v>
      </c>
      <c r="S124">
        <v>1</v>
      </c>
    </row>
    <row r="125" spans="1:19" x14ac:dyDescent="0.3">
      <c r="A125" s="136">
        <v>90908811</v>
      </c>
      <c r="B125" s="133" t="s">
        <v>60</v>
      </c>
      <c r="C125" s="133" t="s">
        <v>61</v>
      </c>
      <c r="D125" s="151">
        <v>44509</v>
      </c>
      <c r="E125">
        <v>7</v>
      </c>
      <c r="F125" s="118">
        <f t="shared" si="8"/>
        <v>44539</v>
      </c>
      <c r="G125" t="s">
        <v>391</v>
      </c>
      <c r="H125" s="150">
        <v>0</v>
      </c>
      <c r="M125" t="s">
        <v>59</v>
      </c>
      <c r="N125">
        <v>0</v>
      </c>
      <c r="O125">
        <v>0</v>
      </c>
      <c r="P125">
        <v>44.910000000000004</v>
      </c>
      <c r="Q125">
        <v>49.900000000000006</v>
      </c>
      <c r="R125">
        <v>94.81</v>
      </c>
      <c r="S125">
        <v>1</v>
      </c>
    </row>
    <row r="126" spans="1:19" x14ac:dyDescent="0.3">
      <c r="A126" s="134">
        <v>37800314</v>
      </c>
      <c r="B126" s="133" t="s">
        <v>62</v>
      </c>
      <c r="C126" s="133" t="s">
        <v>63</v>
      </c>
      <c r="D126" s="151">
        <v>44455</v>
      </c>
      <c r="E126">
        <v>6</v>
      </c>
      <c r="F126" s="118">
        <f t="shared" si="8"/>
        <v>44485</v>
      </c>
      <c r="G126" t="s">
        <v>390</v>
      </c>
      <c r="H126" s="150">
        <v>29.94</v>
      </c>
      <c r="K126">
        <v>77890678</v>
      </c>
      <c r="N126">
        <v>19.96</v>
      </c>
      <c r="O126">
        <v>19.96</v>
      </c>
      <c r="P126">
        <v>4.99</v>
      </c>
      <c r="Q126">
        <v>49.900000000000006</v>
      </c>
      <c r="R126">
        <v>94.81</v>
      </c>
      <c r="S126">
        <v>1</v>
      </c>
    </row>
    <row r="127" spans="1:19" x14ac:dyDescent="0.3">
      <c r="A127" s="136">
        <v>59343896</v>
      </c>
      <c r="B127" s="133" t="s">
        <v>64</v>
      </c>
      <c r="C127" s="133" t="s">
        <v>65</v>
      </c>
      <c r="D127" s="151">
        <v>44487</v>
      </c>
      <c r="E127">
        <v>3</v>
      </c>
      <c r="F127" s="118">
        <f t="shared" si="8"/>
        <v>44517</v>
      </c>
      <c r="G127" t="s">
        <v>390</v>
      </c>
      <c r="H127" s="150">
        <v>14.97</v>
      </c>
      <c r="L127" t="s">
        <v>68</v>
      </c>
      <c r="N127">
        <v>19.96</v>
      </c>
      <c r="O127">
        <v>19.96</v>
      </c>
      <c r="P127">
        <v>4.99</v>
      </c>
      <c r="Q127">
        <v>49.900000000000006</v>
      </c>
      <c r="R127">
        <v>94.81</v>
      </c>
      <c r="S127">
        <v>1</v>
      </c>
    </row>
    <row r="128" spans="1:19" x14ac:dyDescent="0.3">
      <c r="A128" s="134">
        <v>56278487</v>
      </c>
      <c r="B128" s="133" t="s">
        <v>66</v>
      </c>
      <c r="C128" s="133" t="s">
        <v>67</v>
      </c>
      <c r="D128" s="151">
        <v>44523</v>
      </c>
      <c r="E128">
        <v>4</v>
      </c>
      <c r="F128" s="118">
        <f t="shared" si="8"/>
        <v>44553</v>
      </c>
      <c r="G128" t="s">
        <v>390</v>
      </c>
      <c r="H128" s="150">
        <v>19.96</v>
      </c>
      <c r="M128" t="s">
        <v>69</v>
      </c>
      <c r="N128">
        <v>19.96</v>
      </c>
      <c r="O128">
        <v>19.96</v>
      </c>
      <c r="P128">
        <v>4.99</v>
      </c>
      <c r="Q128">
        <v>49.900000000000006</v>
      </c>
      <c r="R128">
        <v>94.81</v>
      </c>
      <c r="S128">
        <v>1</v>
      </c>
    </row>
    <row r="129" spans="1:19" x14ac:dyDescent="0.3">
      <c r="A129" s="136">
        <v>77890678</v>
      </c>
      <c r="B129" s="133" t="s">
        <v>68</v>
      </c>
      <c r="C129" s="133" t="s">
        <v>69</v>
      </c>
      <c r="D129" s="151">
        <v>44484</v>
      </c>
      <c r="E129">
        <v>1</v>
      </c>
      <c r="F129" s="118">
        <f t="shared" si="8"/>
        <v>44514</v>
      </c>
      <c r="G129" t="s">
        <v>390</v>
      </c>
      <c r="H129" s="150">
        <v>4.99</v>
      </c>
      <c r="K129">
        <v>80079978</v>
      </c>
      <c r="N129">
        <v>14.97</v>
      </c>
      <c r="O129">
        <v>0</v>
      </c>
      <c r="P129">
        <v>29.94</v>
      </c>
      <c r="Q129">
        <v>34.93</v>
      </c>
      <c r="R129">
        <v>79.84</v>
      </c>
      <c r="S129">
        <v>1</v>
      </c>
    </row>
    <row r="130" spans="1:19" x14ac:dyDescent="0.3">
      <c r="A130" s="134">
        <v>33896032</v>
      </c>
      <c r="B130" s="133" t="s">
        <v>70</v>
      </c>
      <c r="C130" s="133" t="s">
        <v>71</v>
      </c>
      <c r="D130" s="151">
        <v>44446</v>
      </c>
      <c r="E130">
        <v>10</v>
      </c>
      <c r="F130" s="118">
        <f t="shared" si="8"/>
        <v>44476</v>
      </c>
      <c r="G130" t="s">
        <v>391</v>
      </c>
      <c r="H130" s="150">
        <v>0</v>
      </c>
      <c r="L130" t="s">
        <v>50</v>
      </c>
      <c r="N130">
        <v>14.97</v>
      </c>
      <c r="O130">
        <v>0</v>
      </c>
      <c r="P130">
        <v>29.94</v>
      </c>
      <c r="Q130">
        <v>34.93</v>
      </c>
      <c r="R130">
        <v>79.84</v>
      </c>
      <c r="S130">
        <v>1</v>
      </c>
    </row>
    <row r="131" spans="1:19" x14ac:dyDescent="0.3">
      <c r="A131" s="136">
        <v>40723551</v>
      </c>
      <c r="B131" s="133" t="s">
        <v>72</v>
      </c>
      <c r="C131" s="133" t="s">
        <v>73</v>
      </c>
      <c r="D131" s="151">
        <v>44459</v>
      </c>
      <c r="E131">
        <v>6</v>
      </c>
      <c r="F131" s="118">
        <f t="shared" si="8"/>
        <v>44489</v>
      </c>
      <c r="G131" t="s">
        <v>390</v>
      </c>
      <c r="H131" s="150">
        <v>29.94</v>
      </c>
      <c r="M131" t="s">
        <v>51</v>
      </c>
      <c r="N131">
        <v>14.97</v>
      </c>
      <c r="O131">
        <v>0</v>
      </c>
      <c r="P131">
        <v>29.94</v>
      </c>
      <c r="Q131">
        <v>34.93</v>
      </c>
      <c r="R131">
        <v>79.84</v>
      </c>
      <c r="S131">
        <v>1</v>
      </c>
    </row>
    <row r="132" spans="1:19" x14ac:dyDescent="0.3">
      <c r="A132" s="134">
        <v>23010569</v>
      </c>
      <c r="B132" s="133" t="s">
        <v>74</v>
      </c>
      <c r="C132" s="133" t="s">
        <v>75</v>
      </c>
      <c r="D132" s="151">
        <v>44460</v>
      </c>
      <c r="E132">
        <v>6</v>
      </c>
      <c r="F132" s="118">
        <f t="shared" si="8"/>
        <v>44490</v>
      </c>
      <c r="G132" t="s">
        <v>391</v>
      </c>
      <c r="H132" s="150">
        <v>0</v>
      </c>
      <c r="K132">
        <v>90908811</v>
      </c>
      <c r="N132">
        <v>0</v>
      </c>
      <c r="O132">
        <v>29.94</v>
      </c>
      <c r="P132">
        <v>0</v>
      </c>
      <c r="Q132">
        <v>0</v>
      </c>
      <c r="R132">
        <v>29.94</v>
      </c>
      <c r="S132">
        <v>1</v>
      </c>
    </row>
    <row r="133" spans="1:19" x14ac:dyDescent="0.3">
      <c r="A133" s="136">
        <v>44900212</v>
      </c>
      <c r="B133" s="133" t="s">
        <v>76</v>
      </c>
      <c r="C133" s="133" t="s">
        <v>77</v>
      </c>
      <c r="D133" s="151">
        <v>44487</v>
      </c>
      <c r="E133">
        <v>2</v>
      </c>
      <c r="F133" s="118">
        <f t="shared" si="8"/>
        <v>44517</v>
      </c>
      <c r="G133" t="s">
        <v>390</v>
      </c>
      <c r="H133" s="150">
        <v>9.98</v>
      </c>
      <c r="L133" t="s">
        <v>60</v>
      </c>
      <c r="N133">
        <v>0</v>
      </c>
      <c r="O133">
        <v>29.94</v>
      </c>
      <c r="P133">
        <v>0</v>
      </c>
      <c r="Q133">
        <v>0</v>
      </c>
      <c r="R133">
        <v>29.94</v>
      </c>
      <c r="S133">
        <v>1</v>
      </c>
    </row>
    <row r="134" spans="1:19" x14ac:dyDescent="0.3">
      <c r="A134" s="134">
        <v>42395721</v>
      </c>
      <c r="B134" s="133" t="s">
        <v>78</v>
      </c>
      <c r="C134" s="133" t="s">
        <v>79</v>
      </c>
      <c r="D134" s="151">
        <v>44500</v>
      </c>
      <c r="E134">
        <v>3</v>
      </c>
      <c r="F134" s="118">
        <f t="shared" si="8"/>
        <v>44530</v>
      </c>
      <c r="G134" t="s">
        <v>390</v>
      </c>
      <c r="H134" s="150">
        <v>14.97</v>
      </c>
      <c r="M134" t="s">
        <v>61</v>
      </c>
      <c r="N134">
        <v>0</v>
      </c>
      <c r="O134">
        <v>29.94</v>
      </c>
      <c r="P134">
        <v>0</v>
      </c>
      <c r="Q134">
        <v>0</v>
      </c>
      <c r="R134">
        <v>29.94</v>
      </c>
      <c r="S134">
        <v>1</v>
      </c>
    </row>
    <row r="140" spans="1:19" x14ac:dyDescent="0.3">
      <c r="A140" s="345" t="s">
        <v>204</v>
      </c>
      <c r="B140" s="346"/>
      <c r="C140" s="346"/>
      <c r="D140" s="346"/>
      <c r="E140" s="346"/>
      <c r="F140" s="346"/>
      <c r="G140" s="346"/>
      <c r="H140" s="347"/>
    </row>
    <row r="141" spans="1:19" x14ac:dyDescent="0.3">
      <c r="A141" s="137" t="s">
        <v>0</v>
      </c>
      <c r="B141" s="137" t="s">
        <v>279</v>
      </c>
      <c r="C141" s="137" t="s">
        <v>280</v>
      </c>
      <c r="D141" s="137" t="s">
        <v>396</v>
      </c>
      <c r="E141" s="137" t="s">
        <v>395</v>
      </c>
      <c r="F141" s="137" t="s">
        <v>394</v>
      </c>
      <c r="G141" s="137" t="s">
        <v>393</v>
      </c>
      <c r="H141" s="137" t="s">
        <v>392</v>
      </c>
    </row>
    <row r="142" spans="1:19" x14ac:dyDescent="0.3">
      <c r="A142" s="134">
        <v>32695778</v>
      </c>
      <c r="B142" s="133" t="s">
        <v>28</v>
      </c>
      <c r="C142" s="133" t="s">
        <v>29</v>
      </c>
      <c r="D142" s="151">
        <v>44598</v>
      </c>
      <c r="E142">
        <v>8</v>
      </c>
      <c r="F142" s="118">
        <f t="shared" ref="F142:F168" si="9">D142+30</f>
        <v>44628</v>
      </c>
      <c r="G142" t="s">
        <v>390</v>
      </c>
      <c r="H142" s="150" cm="1">
        <f t="array" ref="H142:H168">IF(Returned4="N", Books4*4.99, 0)</f>
        <v>39.92</v>
      </c>
    </row>
    <row r="143" spans="1:19" x14ac:dyDescent="0.3">
      <c r="A143" s="136">
        <v>55677878</v>
      </c>
      <c r="B143" s="133" t="s">
        <v>30</v>
      </c>
      <c r="C143" s="133" t="s">
        <v>31</v>
      </c>
      <c r="D143" s="151">
        <v>44662</v>
      </c>
      <c r="E143">
        <v>5</v>
      </c>
      <c r="F143" s="118">
        <f t="shared" si="9"/>
        <v>44692</v>
      </c>
      <c r="G143" t="s">
        <v>390</v>
      </c>
      <c r="H143" s="150">
        <v>24.950000000000003</v>
      </c>
    </row>
    <row r="144" spans="1:19" x14ac:dyDescent="0.3">
      <c r="A144" s="134">
        <v>13692938</v>
      </c>
      <c r="B144" s="133" t="s">
        <v>32</v>
      </c>
      <c r="C144" s="133" t="s">
        <v>33</v>
      </c>
      <c r="D144" s="151">
        <v>44614</v>
      </c>
      <c r="E144">
        <v>7</v>
      </c>
      <c r="F144" s="118">
        <f t="shared" si="9"/>
        <v>44644</v>
      </c>
      <c r="G144" t="s">
        <v>391</v>
      </c>
      <c r="H144" s="150">
        <v>0</v>
      </c>
    </row>
    <row r="145" spans="1:8" x14ac:dyDescent="0.3">
      <c r="A145" s="136">
        <v>49461380</v>
      </c>
      <c r="B145" s="133" t="s">
        <v>34</v>
      </c>
      <c r="C145" s="133" t="s">
        <v>35</v>
      </c>
      <c r="D145" s="151">
        <v>44692</v>
      </c>
      <c r="E145">
        <v>9</v>
      </c>
      <c r="F145" s="118">
        <f t="shared" si="9"/>
        <v>44722</v>
      </c>
      <c r="G145" t="s">
        <v>391</v>
      </c>
      <c r="H145" s="150">
        <v>0</v>
      </c>
    </row>
    <row r="146" spans="1:8" x14ac:dyDescent="0.3">
      <c r="A146" s="134">
        <v>66065006</v>
      </c>
      <c r="B146" s="133" t="s">
        <v>36</v>
      </c>
      <c r="C146" s="133" t="s">
        <v>37</v>
      </c>
      <c r="D146" s="151">
        <v>44599</v>
      </c>
      <c r="E146">
        <v>7</v>
      </c>
      <c r="F146" s="118">
        <f t="shared" si="9"/>
        <v>44629</v>
      </c>
      <c r="G146" t="s">
        <v>390</v>
      </c>
      <c r="H146" s="150">
        <v>34.93</v>
      </c>
    </row>
    <row r="147" spans="1:8" x14ac:dyDescent="0.3">
      <c r="A147" s="136">
        <v>14185496</v>
      </c>
      <c r="B147" s="133" t="s">
        <v>38</v>
      </c>
      <c r="C147" s="133" t="s">
        <v>39</v>
      </c>
      <c r="D147" s="151">
        <v>44605</v>
      </c>
      <c r="E147">
        <v>5</v>
      </c>
      <c r="F147" s="118">
        <f t="shared" si="9"/>
        <v>44635</v>
      </c>
      <c r="G147" t="s">
        <v>390</v>
      </c>
      <c r="H147" s="150">
        <v>24.950000000000003</v>
      </c>
    </row>
    <row r="148" spans="1:8" x14ac:dyDescent="0.3">
      <c r="A148" s="134">
        <v>22222762</v>
      </c>
      <c r="B148" s="133" t="s">
        <v>40</v>
      </c>
      <c r="C148" s="133" t="s">
        <v>41</v>
      </c>
      <c r="D148" s="151">
        <v>44684</v>
      </c>
      <c r="E148">
        <v>2</v>
      </c>
      <c r="F148" s="118">
        <f t="shared" si="9"/>
        <v>44714</v>
      </c>
      <c r="G148" t="s">
        <v>391</v>
      </c>
      <c r="H148" s="150">
        <v>0</v>
      </c>
    </row>
    <row r="149" spans="1:8" x14ac:dyDescent="0.3">
      <c r="A149" s="136">
        <v>33006505</v>
      </c>
      <c r="B149" s="133" t="s">
        <v>42</v>
      </c>
      <c r="C149" s="133" t="s">
        <v>43</v>
      </c>
      <c r="D149" s="151">
        <v>44672</v>
      </c>
      <c r="E149">
        <v>5</v>
      </c>
      <c r="F149" s="118">
        <f t="shared" si="9"/>
        <v>44702</v>
      </c>
      <c r="G149" t="s">
        <v>391</v>
      </c>
      <c r="H149" s="150">
        <v>0</v>
      </c>
    </row>
    <row r="150" spans="1:8" x14ac:dyDescent="0.3">
      <c r="A150" s="134">
        <v>27658150</v>
      </c>
      <c r="B150" s="133" t="s">
        <v>44</v>
      </c>
      <c r="C150" s="133" t="s">
        <v>45</v>
      </c>
      <c r="D150" s="151">
        <v>44648</v>
      </c>
      <c r="E150">
        <v>8</v>
      </c>
      <c r="F150" s="118">
        <f t="shared" si="9"/>
        <v>44678</v>
      </c>
      <c r="G150" t="s">
        <v>390</v>
      </c>
      <c r="H150" s="150">
        <v>39.92</v>
      </c>
    </row>
    <row r="151" spans="1:8" x14ac:dyDescent="0.3">
      <c r="A151" s="136">
        <v>54116555</v>
      </c>
      <c r="B151" s="133" t="s">
        <v>46</v>
      </c>
      <c r="C151" s="133" t="s">
        <v>47</v>
      </c>
      <c r="D151" s="151">
        <v>44589</v>
      </c>
      <c r="E151">
        <v>7</v>
      </c>
      <c r="F151" s="118">
        <f t="shared" si="9"/>
        <v>44619</v>
      </c>
      <c r="G151" t="s">
        <v>390</v>
      </c>
      <c r="H151" s="150">
        <v>34.93</v>
      </c>
    </row>
    <row r="152" spans="1:8" x14ac:dyDescent="0.3">
      <c r="A152" s="134">
        <v>12255677</v>
      </c>
      <c r="B152" s="133" t="s">
        <v>48</v>
      </c>
      <c r="C152" s="133" t="s">
        <v>49</v>
      </c>
      <c r="D152" s="151">
        <v>44659</v>
      </c>
      <c r="E152">
        <v>9</v>
      </c>
      <c r="F152" s="118">
        <f t="shared" si="9"/>
        <v>44689</v>
      </c>
      <c r="G152" t="s">
        <v>390</v>
      </c>
      <c r="H152" s="150">
        <v>44.910000000000004</v>
      </c>
    </row>
    <row r="153" spans="1:8" x14ac:dyDescent="0.3">
      <c r="A153" s="136">
        <v>80079978</v>
      </c>
      <c r="B153" s="133" t="s">
        <v>50</v>
      </c>
      <c r="C153" s="133" t="s">
        <v>51</v>
      </c>
      <c r="D153" s="151">
        <v>44667</v>
      </c>
      <c r="E153">
        <v>7</v>
      </c>
      <c r="F153" s="118">
        <f t="shared" si="9"/>
        <v>44697</v>
      </c>
      <c r="G153" t="s">
        <v>390</v>
      </c>
      <c r="H153" s="150">
        <v>34.93</v>
      </c>
    </row>
    <row r="154" spans="1:8" x14ac:dyDescent="0.3">
      <c r="A154" s="134">
        <v>62672194</v>
      </c>
      <c r="B154" s="133" t="s">
        <v>20</v>
      </c>
      <c r="C154" s="133" t="s">
        <v>52</v>
      </c>
      <c r="D154" s="151">
        <v>44601</v>
      </c>
      <c r="E154">
        <v>2</v>
      </c>
      <c r="F154" s="118">
        <f t="shared" si="9"/>
        <v>44631</v>
      </c>
      <c r="G154" t="s">
        <v>390</v>
      </c>
      <c r="H154" s="150">
        <v>9.98</v>
      </c>
    </row>
    <row r="155" spans="1:8" x14ac:dyDescent="0.3">
      <c r="A155" s="136">
        <v>22975112</v>
      </c>
      <c r="B155" s="133" t="s">
        <v>53</v>
      </c>
      <c r="C155" s="133" t="s">
        <v>54</v>
      </c>
      <c r="D155" s="151">
        <v>44698</v>
      </c>
      <c r="E155">
        <v>6</v>
      </c>
      <c r="F155" s="118">
        <f t="shared" si="9"/>
        <v>44728</v>
      </c>
      <c r="G155" t="s">
        <v>391</v>
      </c>
      <c r="H155" s="150">
        <v>0</v>
      </c>
    </row>
    <row r="156" spans="1:8" x14ac:dyDescent="0.3">
      <c r="A156" s="134">
        <v>17117302</v>
      </c>
      <c r="B156" s="133" t="s">
        <v>55</v>
      </c>
      <c r="C156" s="133" t="s">
        <v>56</v>
      </c>
      <c r="D156" s="151">
        <v>44703</v>
      </c>
      <c r="E156">
        <v>5</v>
      </c>
      <c r="F156" s="118">
        <f t="shared" si="9"/>
        <v>44733</v>
      </c>
      <c r="G156" t="s">
        <v>391</v>
      </c>
      <c r="H156" s="150">
        <v>0</v>
      </c>
    </row>
    <row r="157" spans="1:8" x14ac:dyDescent="0.3">
      <c r="A157" s="136">
        <v>17175244</v>
      </c>
      <c r="B157" s="133" t="s">
        <v>57</v>
      </c>
      <c r="C157" s="133" t="s">
        <v>58</v>
      </c>
      <c r="D157" s="151">
        <v>44705</v>
      </c>
      <c r="E157">
        <v>10</v>
      </c>
      <c r="F157" s="118">
        <f t="shared" si="9"/>
        <v>44735</v>
      </c>
      <c r="G157" t="s">
        <v>390</v>
      </c>
      <c r="H157" s="150">
        <v>49.900000000000006</v>
      </c>
    </row>
    <row r="158" spans="1:8" x14ac:dyDescent="0.3">
      <c r="A158" s="134">
        <v>67176280</v>
      </c>
      <c r="B158" s="133" t="s">
        <v>20</v>
      </c>
      <c r="C158" s="133" t="s">
        <v>59</v>
      </c>
      <c r="D158" s="151">
        <v>44697</v>
      </c>
      <c r="E158">
        <v>10</v>
      </c>
      <c r="F158" s="118">
        <f t="shared" si="9"/>
        <v>44727</v>
      </c>
      <c r="G158" t="s">
        <v>390</v>
      </c>
      <c r="H158" s="150">
        <v>49.900000000000006</v>
      </c>
    </row>
    <row r="159" spans="1:8" x14ac:dyDescent="0.3">
      <c r="A159" s="136">
        <v>90908811</v>
      </c>
      <c r="B159" s="133" t="s">
        <v>60</v>
      </c>
      <c r="C159" s="133" t="s">
        <v>61</v>
      </c>
      <c r="D159" s="151">
        <v>44608</v>
      </c>
      <c r="E159">
        <v>10</v>
      </c>
      <c r="F159" s="118">
        <f t="shared" si="9"/>
        <v>44638</v>
      </c>
      <c r="G159" t="s">
        <v>391</v>
      </c>
      <c r="H159" s="150">
        <v>0</v>
      </c>
    </row>
    <row r="160" spans="1:8" x14ac:dyDescent="0.3">
      <c r="A160" s="134">
        <v>37800314</v>
      </c>
      <c r="B160" s="133" t="s">
        <v>62</v>
      </c>
      <c r="C160" s="133" t="s">
        <v>63</v>
      </c>
      <c r="D160" s="151">
        <v>44659</v>
      </c>
      <c r="E160">
        <v>10</v>
      </c>
      <c r="F160" s="118">
        <f t="shared" si="9"/>
        <v>44689</v>
      </c>
      <c r="G160" t="s">
        <v>390</v>
      </c>
      <c r="H160" s="150">
        <v>49.900000000000006</v>
      </c>
    </row>
    <row r="161" spans="1:8" x14ac:dyDescent="0.3">
      <c r="A161" s="136">
        <v>59343896</v>
      </c>
      <c r="B161" s="133" t="s">
        <v>64</v>
      </c>
      <c r="C161" s="133" t="s">
        <v>65</v>
      </c>
      <c r="D161" s="151">
        <v>44678</v>
      </c>
      <c r="E161">
        <v>3</v>
      </c>
      <c r="F161" s="118">
        <f t="shared" si="9"/>
        <v>44708</v>
      </c>
      <c r="G161" t="s">
        <v>391</v>
      </c>
      <c r="H161" s="150">
        <v>0</v>
      </c>
    </row>
    <row r="162" spans="1:8" x14ac:dyDescent="0.3">
      <c r="A162" s="134">
        <v>56278487</v>
      </c>
      <c r="B162" s="133" t="s">
        <v>66</v>
      </c>
      <c r="C162" s="133" t="s">
        <v>67</v>
      </c>
      <c r="D162" s="151">
        <v>44604</v>
      </c>
      <c r="E162">
        <v>10</v>
      </c>
      <c r="F162" s="118">
        <f t="shared" si="9"/>
        <v>44634</v>
      </c>
      <c r="G162" t="s">
        <v>390</v>
      </c>
      <c r="H162" s="150">
        <v>49.900000000000006</v>
      </c>
    </row>
    <row r="163" spans="1:8" x14ac:dyDescent="0.3">
      <c r="A163" s="136">
        <v>77890678</v>
      </c>
      <c r="B163" s="133" t="s">
        <v>68</v>
      </c>
      <c r="C163" s="133" t="s">
        <v>69</v>
      </c>
      <c r="D163" s="151">
        <v>44633</v>
      </c>
      <c r="E163">
        <v>10</v>
      </c>
      <c r="F163" s="118">
        <f t="shared" si="9"/>
        <v>44663</v>
      </c>
      <c r="G163" t="s">
        <v>390</v>
      </c>
      <c r="H163" s="150">
        <v>49.900000000000006</v>
      </c>
    </row>
    <row r="164" spans="1:8" x14ac:dyDescent="0.3">
      <c r="A164" s="134">
        <v>33896032</v>
      </c>
      <c r="B164" s="133" t="s">
        <v>70</v>
      </c>
      <c r="C164" s="133" t="s">
        <v>71</v>
      </c>
      <c r="D164" s="151">
        <v>44645</v>
      </c>
      <c r="E164">
        <v>4</v>
      </c>
      <c r="F164" s="118">
        <f t="shared" si="9"/>
        <v>44675</v>
      </c>
      <c r="G164" t="s">
        <v>391</v>
      </c>
      <c r="H164" s="150">
        <v>0</v>
      </c>
    </row>
    <row r="165" spans="1:8" x14ac:dyDescent="0.3">
      <c r="A165" s="136">
        <v>40723551</v>
      </c>
      <c r="B165" s="133" t="s">
        <v>72</v>
      </c>
      <c r="C165" s="133" t="s">
        <v>73</v>
      </c>
      <c r="D165" s="151">
        <v>44594</v>
      </c>
      <c r="E165">
        <v>5</v>
      </c>
      <c r="F165" s="118">
        <f t="shared" si="9"/>
        <v>44624</v>
      </c>
      <c r="G165" t="s">
        <v>390</v>
      </c>
      <c r="H165" s="150">
        <v>24.950000000000003</v>
      </c>
    </row>
    <row r="166" spans="1:8" x14ac:dyDescent="0.3">
      <c r="A166" s="134">
        <v>23010569</v>
      </c>
      <c r="B166" s="133" t="s">
        <v>74</v>
      </c>
      <c r="C166" s="133" t="s">
        <v>75</v>
      </c>
      <c r="D166" s="151">
        <v>44643</v>
      </c>
      <c r="E166">
        <v>4</v>
      </c>
      <c r="F166" s="118">
        <f t="shared" si="9"/>
        <v>44673</v>
      </c>
      <c r="G166" t="s">
        <v>390</v>
      </c>
      <c r="H166" s="150">
        <v>19.96</v>
      </c>
    </row>
    <row r="167" spans="1:8" x14ac:dyDescent="0.3">
      <c r="A167" s="136">
        <v>44900212</v>
      </c>
      <c r="B167" s="133" t="s">
        <v>76</v>
      </c>
      <c r="C167" s="133" t="s">
        <v>77</v>
      </c>
      <c r="D167" s="151">
        <v>44673</v>
      </c>
      <c r="E167">
        <v>9</v>
      </c>
      <c r="F167" s="118">
        <f t="shared" si="9"/>
        <v>44703</v>
      </c>
      <c r="G167" t="s">
        <v>390</v>
      </c>
      <c r="H167" s="150">
        <v>44.910000000000004</v>
      </c>
    </row>
    <row r="168" spans="1:8" x14ac:dyDescent="0.3">
      <c r="A168" s="134">
        <v>42395721</v>
      </c>
      <c r="B168" s="133" t="s">
        <v>78</v>
      </c>
      <c r="C168" s="133" t="s">
        <v>79</v>
      </c>
      <c r="D168" s="151">
        <v>44617</v>
      </c>
      <c r="E168">
        <v>10</v>
      </c>
      <c r="F168" s="118">
        <f t="shared" si="9"/>
        <v>44647</v>
      </c>
      <c r="G168" t="s">
        <v>390</v>
      </c>
      <c r="H168" s="150">
        <v>49.900000000000006</v>
      </c>
    </row>
  </sheetData>
  <mergeCells count="8">
    <mergeCell ref="K17:O17"/>
    <mergeCell ref="L18:M18"/>
    <mergeCell ref="A4:I4"/>
    <mergeCell ref="A140:H140"/>
    <mergeCell ref="O6:P6"/>
    <mergeCell ref="A38:H38"/>
    <mergeCell ref="A72:H72"/>
    <mergeCell ref="A106:H106"/>
  </mergeCells>
  <conditionalFormatting sqref="A4">
    <cfRule type="colorScale" priority="18">
      <colorScale>
        <cfvo type="min"/>
        <cfvo type="max"/>
        <color rgb="FF63BE7B"/>
        <color rgb="FFFFEF9C"/>
      </colorScale>
    </cfRule>
  </conditionalFormatting>
  <conditionalFormatting sqref="A38">
    <cfRule type="colorScale" priority="13">
      <colorScale>
        <cfvo type="min"/>
        <cfvo type="max"/>
        <color rgb="FF63BE7B"/>
        <color rgb="FFFFEF9C"/>
      </colorScale>
    </cfRule>
  </conditionalFormatting>
  <conditionalFormatting sqref="A72">
    <cfRule type="colorScale" priority="9">
      <colorScale>
        <cfvo type="min"/>
        <cfvo type="max"/>
        <color rgb="FF63BE7B"/>
        <color rgb="FFFFEF9C"/>
      </colorScale>
    </cfRule>
  </conditionalFormatting>
  <conditionalFormatting sqref="A106">
    <cfRule type="colorScale" priority="5">
      <colorScale>
        <cfvo type="min"/>
        <cfvo type="max"/>
        <color rgb="FF63BE7B"/>
        <color rgb="FFFFEF9C"/>
      </colorScale>
    </cfRule>
  </conditionalFormatting>
  <conditionalFormatting sqref="A140">
    <cfRule type="colorScale" priority="1">
      <colorScale>
        <cfvo type="min"/>
        <cfvo type="max"/>
        <color rgb="FF63BE7B"/>
        <color rgb="FFFFEF9C"/>
      </colorScale>
    </cfRule>
  </conditionalFormatting>
  <conditionalFormatting sqref="A5:C32">
    <cfRule type="colorScale" priority="19">
      <colorScale>
        <cfvo type="min"/>
        <cfvo type="max"/>
        <color rgb="FF63BE7B"/>
        <color rgb="FFFFEF9C"/>
      </colorScale>
    </cfRule>
  </conditionalFormatting>
  <conditionalFormatting sqref="A39:C66">
    <cfRule type="colorScale" priority="16">
      <colorScale>
        <cfvo type="min"/>
        <cfvo type="max"/>
        <color rgb="FF63BE7B"/>
        <color rgb="FFFFEF9C"/>
      </colorScale>
    </cfRule>
  </conditionalFormatting>
  <conditionalFormatting sqref="A73:C100">
    <cfRule type="colorScale" priority="12">
      <colorScale>
        <cfvo type="min"/>
        <cfvo type="max"/>
        <color rgb="FF63BE7B"/>
        <color rgb="FFFFEF9C"/>
      </colorScale>
    </cfRule>
  </conditionalFormatting>
  <conditionalFormatting sqref="A107:C134">
    <cfRule type="colorScale" priority="8">
      <colorScale>
        <cfvo type="min"/>
        <cfvo type="max"/>
        <color rgb="FF63BE7B"/>
        <color rgb="FFFFEF9C"/>
      </colorScale>
    </cfRule>
  </conditionalFormatting>
  <conditionalFormatting sqref="A141:C168">
    <cfRule type="colorScale" priority="4">
      <colorScale>
        <cfvo type="min"/>
        <cfvo type="max"/>
        <color rgb="FF63BE7B"/>
        <color rgb="FFFFEF9C"/>
      </colorScale>
    </cfRule>
  </conditionalFormatting>
  <conditionalFormatting sqref="D40:D66">
    <cfRule type="colorScale" priority="14">
      <colorScale>
        <cfvo type="min"/>
        <cfvo type="max"/>
        <color rgb="FF63BE7B"/>
        <color rgb="FFFFEF9C"/>
      </colorScale>
    </cfRule>
  </conditionalFormatting>
  <conditionalFormatting sqref="D74:D100">
    <cfRule type="colorScale" priority="10">
      <colorScale>
        <cfvo type="min"/>
        <cfvo type="max"/>
        <color rgb="FF63BE7B"/>
        <color rgb="FFFFEF9C"/>
      </colorScale>
    </cfRule>
  </conditionalFormatting>
  <conditionalFormatting sqref="D108:D134">
    <cfRule type="colorScale" priority="6">
      <colorScale>
        <cfvo type="min"/>
        <cfvo type="max"/>
        <color rgb="FF63BE7B"/>
        <color rgb="FFFFEF9C"/>
      </colorScale>
    </cfRule>
  </conditionalFormatting>
  <conditionalFormatting sqref="D142:D168">
    <cfRule type="colorScale" priority="2">
      <colorScale>
        <cfvo type="min"/>
        <cfvo type="max"/>
        <color rgb="FF63BE7B"/>
        <color rgb="FFFFEF9C"/>
      </colorScale>
    </cfRule>
  </conditionalFormatting>
  <conditionalFormatting sqref="D39:H39">
    <cfRule type="colorScale" priority="15">
      <colorScale>
        <cfvo type="min"/>
        <cfvo type="max"/>
        <color rgb="FF63BE7B"/>
        <color rgb="FFFFEF9C"/>
      </colorScale>
    </cfRule>
  </conditionalFormatting>
  <conditionalFormatting sqref="D73:H73">
    <cfRule type="colorScale" priority="11">
      <colorScale>
        <cfvo type="min"/>
        <cfvo type="max"/>
        <color rgb="FF63BE7B"/>
        <color rgb="FFFFEF9C"/>
      </colorScale>
    </cfRule>
  </conditionalFormatting>
  <conditionalFormatting sqref="D107:H107">
    <cfRule type="colorScale" priority="7">
      <colorScale>
        <cfvo type="min"/>
        <cfvo type="max"/>
        <color rgb="FF63BE7B"/>
        <color rgb="FFFFEF9C"/>
      </colorScale>
    </cfRule>
  </conditionalFormatting>
  <conditionalFormatting sqref="D141:H141">
    <cfRule type="colorScale" priority="3">
      <colorScale>
        <cfvo type="min"/>
        <cfvo type="max"/>
        <color rgb="FF63BE7B"/>
        <color rgb="FFFFEF9C"/>
      </colorScale>
    </cfRule>
  </conditionalFormatting>
  <conditionalFormatting sqref="D5:I5">
    <cfRule type="colorScale" priority="20">
      <colorScale>
        <cfvo type="min"/>
        <cfvo type="max"/>
        <color rgb="FF63BE7B"/>
        <color rgb="FFFFEF9C"/>
      </colorScale>
    </cfRule>
  </conditionalFormatting>
  <conditionalFormatting sqref="O6">
    <cfRule type="colorScale" priority="17">
      <colorScale>
        <cfvo type="min"/>
        <cfvo type="max"/>
        <color rgb="FF63BE7B"/>
        <color rgb="FFFFEF9C"/>
      </colorScale>
    </cfRule>
  </conditionalFormatting>
  <pageMargins left="0.7" right="0.7" top="0.75" bottom="0.75" header="0.3" footer="0.3"/>
  <pageSetup orientation="portrait" r:id="rId2"/>
  <drawing r:id="rId3"/>
  <legacyDrawing r:id="rId4"/>
  <extLst>
    <ext xmlns:x14="http://schemas.microsoft.com/office/spreadsheetml/2009/9/main" uri="{A8765BA9-456A-4dab-B4F3-ACF838C121DE}">
      <x14:slicerList>
        <x14:slicer r:id="rId5"/>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F677C-3DF6-4DD8-AC8F-2647866E6264}">
  <sheetPr codeName="Sheet17">
    <tabColor rgb="FF00B050"/>
  </sheetPr>
  <dimension ref="A1:AB37"/>
  <sheetViews>
    <sheetView zoomScaleNormal="100" workbookViewId="0">
      <pane ySplit="1" topLeftCell="A2" activePane="bottomLeft" state="frozen"/>
      <selection pane="bottomLeft" activeCell="L5" sqref="L5"/>
    </sheetView>
  </sheetViews>
  <sheetFormatPr defaultColWidth="8.75" defaultRowHeight="13.2" x14ac:dyDescent="0.25"/>
  <cols>
    <col min="1" max="1" width="20.75" style="107" customWidth="1"/>
    <col min="2" max="2" width="11.75" style="107" customWidth="1"/>
    <col min="3" max="4" width="10.375" style="107" customWidth="1"/>
    <col min="5" max="5" width="8.75" style="107"/>
    <col min="6" max="6" width="9" style="107" customWidth="1"/>
    <col min="7" max="7" width="14.375" style="107" customWidth="1"/>
    <col min="8" max="9" width="8.75" style="107"/>
    <col min="10" max="10" width="10.375" style="107" customWidth="1"/>
    <col min="11" max="11" width="8.75" style="107"/>
    <col min="12" max="12" width="10.375" style="107" customWidth="1"/>
    <col min="13" max="13" width="18.25" style="107" customWidth="1"/>
    <col min="14" max="17" width="11.75" style="107" customWidth="1"/>
    <col min="18" max="18" width="8.75" style="107"/>
    <col min="19" max="19" width="8.25" style="107" customWidth="1"/>
    <col min="20" max="20" width="20.875" style="107" customWidth="1"/>
    <col min="21" max="21" width="9" style="107" customWidth="1"/>
    <col min="22" max="22" width="10.375" style="107" customWidth="1"/>
    <col min="23" max="23" width="8.75" style="107"/>
    <col min="24" max="24" width="9" style="107" customWidth="1"/>
    <col min="25" max="25" width="32.875" style="107" customWidth="1"/>
    <col min="26" max="27" width="11.75" style="107" customWidth="1"/>
    <col min="28" max="29" width="12.375" style="107" customWidth="1"/>
    <col min="30" max="30" width="8.75" style="107"/>
    <col min="31" max="31" width="9" style="107" bestFit="1" customWidth="1"/>
    <col min="32" max="34" width="11.125" style="107" bestFit="1" customWidth="1"/>
    <col min="35" max="16384" width="8.75" style="107"/>
  </cols>
  <sheetData>
    <row r="1" spans="1:28" ht="37.5" customHeight="1" x14ac:dyDescent="0.25"/>
    <row r="8" spans="1:28" s="30" customFormat="1" x14ac:dyDescent="0.25">
      <c r="B8" s="107"/>
      <c r="C8" s="107"/>
      <c r="D8" s="107"/>
      <c r="E8" s="107"/>
      <c r="F8" s="107"/>
      <c r="G8" s="107"/>
      <c r="H8" s="107"/>
      <c r="I8" s="107"/>
      <c r="J8" s="107"/>
      <c r="K8" s="107"/>
      <c r="L8" s="107"/>
      <c r="M8" s="107"/>
      <c r="N8" s="107"/>
      <c r="O8" s="107"/>
      <c r="P8" s="107"/>
      <c r="Q8" s="107"/>
      <c r="R8" s="107"/>
      <c r="S8" s="107"/>
      <c r="T8" s="107"/>
      <c r="U8" s="107"/>
      <c r="V8" s="107"/>
    </row>
    <row r="9" spans="1:28" s="30" customFormat="1" x14ac:dyDescent="0.25">
      <c r="B9" s="107"/>
      <c r="C9" s="107"/>
      <c r="D9" s="107"/>
      <c r="E9" s="107"/>
      <c r="F9" s="107"/>
      <c r="G9" s="107"/>
      <c r="H9" s="107"/>
      <c r="I9" s="107"/>
      <c r="J9" s="107"/>
      <c r="K9" s="107"/>
      <c r="L9" s="107"/>
      <c r="M9" s="107"/>
      <c r="N9" s="107"/>
      <c r="O9" s="107"/>
      <c r="P9" s="107"/>
      <c r="Q9" s="107"/>
      <c r="R9" s="107"/>
      <c r="S9" s="107"/>
      <c r="T9" s="107"/>
      <c r="U9" s="107"/>
      <c r="V9" s="107"/>
    </row>
    <row r="10" spans="1:28" s="30" customFormat="1" x14ac:dyDescent="0.25">
      <c r="B10" s="107"/>
      <c r="C10" s="107"/>
      <c r="D10" s="107"/>
      <c r="E10" s="107"/>
      <c r="F10" s="107"/>
      <c r="G10" s="107"/>
      <c r="H10" s="107"/>
      <c r="I10" s="107"/>
      <c r="J10" s="107"/>
      <c r="K10" s="107"/>
      <c r="L10" s="107"/>
      <c r="M10" s="107"/>
      <c r="N10" s="107"/>
      <c r="O10" s="107"/>
      <c r="P10" s="107"/>
      <c r="Q10" s="107"/>
      <c r="R10" s="107"/>
      <c r="S10" s="107"/>
      <c r="T10" s="107"/>
      <c r="U10" s="107"/>
      <c r="V10" s="107"/>
    </row>
    <row r="11" spans="1:28" ht="23.4" x14ac:dyDescent="0.45">
      <c r="A11" s="30"/>
      <c r="B11" s="30"/>
      <c r="C11" s="30"/>
      <c r="D11" s="30"/>
      <c r="E11" s="30"/>
      <c r="F11" s="30"/>
      <c r="J11" s="117" t="s">
        <v>371</v>
      </c>
      <c r="K11" s="51"/>
      <c r="L11" s="51"/>
      <c r="M11" s="51"/>
    </row>
    <row r="12" spans="1:28" ht="14.4" x14ac:dyDescent="0.3">
      <c r="J12" s="111" t="s">
        <v>370</v>
      </c>
    </row>
    <row r="14" spans="1:28" ht="17.399999999999999" x14ac:dyDescent="0.3">
      <c r="J14" s="106" t="s">
        <v>368</v>
      </c>
      <c r="K14" s="106"/>
      <c r="L14" s="106"/>
      <c r="N14" s="30"/>
      <c r="O14" s="106" t="s">
        <v>436</v>
      </c>
      <c r="P14" s="106"/>
      <c r="Q14" s="106"/>
      <c r="R14" s="110"/>
    </row>
    <row r="15" spans="1:28" ht="14.4" x14ac:dyDescent="0.3">
      <c r="A15" s="90" t="s">
        <v>358</v>
      </c>
      <c r="B15" s="95">
        <v>17770</v>
      </c>
      <c r="I15" s="103">
        <f>B36</f>
        <v>393.32699060006553</v>
      </c>
      <c r="J15" s="102">
        <v>17770</v>
      </c>
      <c r="K15" s="102">
        <v>35540</v>
      </c>
      <c r="L15" s="102">
        <v>53310</v>
      </c>
      <c r="N15" s="101">
        <f>B36</f>
        <v>393.32699060006553</v>
      </c>
      <c r="O15" s="100">
        <v>17770</v>
      </c>
      <c r="P15" s="100">
        <v>35540</v>
      </c>
      <c r="Q15" s="100">
        <v>53310</v>
      </c>
    </row>
    <row r="16" spans="1:28" ht="14.4" x14ac:dyDescent="0.3">
      <c r="A16" s="90" t="s">
        <v>357</v>
      </c>
      <c r="B16" s="91">
        <v>4</v>
      </c>
      <c r="I16" s="94">
        <v>0.03</v>
      </c>
      <c r="J16" s="83">
        <f t="dataTable" ref="J16:L28" dt2D="1" dtr="1" r1="T2" r2="T3"/>
        <v>393.32699060006553</v>
      </c>
      <c r="K16" s="83">
        <v>393.32699060006553</v>
      </c>
      <c r="L16" s="83">
        <v>393.32699060006553</v>
      </c>
      <c r="N16" s="93">
        <v>0.03</v>
      </c>
      <c r="O16" s="92">
        <f t="dataTable" ref="O16:Q28" dt2D="1" dtr="1" r1="T2" r2="T3"/>
        <v>393.32699060006553</v>
      </c>
      <c r="P16" s="92">
        <v>393.32699060006553</v>
      </c>
      <c r="Q16" s="92">
        <v>393.32699060006553</v>
      </c>
      <c r="Z16" s="108"/>
      <c r="AA16" s="108"/>
      <c r="AB16" s="108"/>
    </row>
    <row r="17" spans="1:28" ht="14.4" x14ac:dyDescent="0.3">
      <c r="A17" s="90" t="s">
        <v>356</v>
      </c>
      <c r="B17" s="89">
        <v>7.7000000000000002E-3</v>
      </c>
      <c r="I17" s="94">
        <v>3.2500000000000001E-2</v>
      </c>
      <c r="J17" s="83">
        <v>393.32699060006553</v>
      </c>
      <c r="K17" s="83">
        <v>393.32699060006553</v>
      </c>
      <c r="L17" s="83">
        <v>393.32699060006553</v>
      </c>
      <c r="N17" s="93">
        <v>3.2500000000000001E-2</v>
      </c>
      <c r="O17" s="92">
        <v>393.32699060006553</v>
      </c>
      <c r="P17" s="92">
        <v>393.32699060006553</v>
      </c>
      <c r="Q17" s="92">
        <v>393.32699060006553</v>
      </c>
      <c r="Z17" s="108"/>
      <c r="AA17" s="108"/>
      <c r="AB17" s="108"/>
    </row>
    <row r="18" spans="1:28" ht="17.399999999999999" x14ac:dyDescent="0.3">
      <c r="A18" s="30"/>
      <c r="B18" s="30"/>
      <c r="I18" s="94">
        <v>3.4999999999999996E-2</v>
      </c>
      <c r="J18" s="83">
        <v>393.32699060006553</v>
      </c>
      <c r="K18" s="83">
        <v>393.32699060006553</v>
      </c>
      <c r="L18" s="83">
        <v>393.32699060006553</v>
      </c>
      <c r="N18" s="93">
        <v>3.4999999999999996E-2</v>
      </c>
      <c r="O18" s="92">
        <v>393.32699060006553</v>
      </c>
      <c r="P18" s="92">
        <v>393.32699060006553</v>
      </c>
      <c r="Q18" s="92">
        <v>393.32699060006553</v>
      </c>
      <c r="AB18" s="110"/>
    </row>
    <row r="19" spans="1:28" ht="14.4" x14ac:dyDescent="0.3">
      <c r="A19" s="85" t="s">
        <v>355</v>
      </c>
      <c r="B19" s="88">
        <v>4</v>
      </c>
      <c r="C19" s="88">
        <v>8</v>
      </c>
      <c r="D19" s="88">
        <v>12</v>
      </c>
      <c r="I19" s="94">
        <v>3.7499999999999999E-2</v>
      </c>
      <c r="J19" s="83">
        <v>393.32699060006553</v>
      </c>
      <c r="K19" s="83">
        <v>393.32699060006553</v>
      </c>
      <c r="L19" s="83">
        <v>393.32699060006553</v>
      </c>
      <c r="N19" s="93">
        <v>3.7499999999999999E-2</v>
      </c>
      <c r="O19" s="92">
        <v>393.32699060006553</v>
      </c>
      <c r="P19" s="92">
        <v>393.32699060006553</v>
      </c>
      <c r="Q19" s="92">
        <v>393.32699060006553</v>
      </c>
    </row>
    <row r="20" spans="1:28" ht="14.4" x14ac:dyDescent="0.3">
      <c r="A20" s="87" t="s">
        <v>354</v>
      </c>
      <c r="B20" s="86">
        <v>43455</v>
      </c>
      <c r="C20" s="86">
        <v>43455</v>
      </c>
      <c r="D20" s="86">
        <v>43455</v>
      </c>
      <c r="G20" s="116">
        <f>B36</f>
        <v>393.32699060006553</v>
      </c>
      <c r="I20" s="94">
        <v>0.04</v>
      </c>
      <c r="J20" s="83">
        <v>393.32699060006553</v>
      </c>
      <c r="K20" s="83">
        <v>393.32699060006553</v>
      </c>
      <c r="L20" s="83">
        <v>393.32699060006553</v>
      </c>
      <c r="N20" s="93">
        <v>0.04</v>
      </c>
      <c r="O20" s="92">
        <v>393.32699060006553</v>
      </c>
      <c r="P20" s="92">
        <v>393.32699060006553</v>
      </c>
      <c r="Q20" s="92">
        <v>393.32699060006553</v>
      </c>
    </row>
    <row r="21" spans="1:28" ht="14.4" x14ac:dyDescent="0.3">
      <c r="A21" s="87" t="s">
        <v>353</v>
      </c>
      <c r="B21" s="86">
        <v>44916</v>
      </c>
      <c r="C21" s="86">
        <v>44916</v>
      </c>
      <c r="D21" s="86">
        <v>44916</v>
      </c>
      <c r="F21" s="94">
        <v>0.03</v>
      </c>
      <c r="G21" s="83">
        <f t="dataTable" ref="G21:G27" dt2D="0" dtr="0" r1="T3"/>
        <v>393.32699060006553</v>
      </c>
      <c r="I21" s="94">
        <v>4.2499999999999996E-2</v>
      </c>
      <c r="J21" s="83">
        <v>393.32699060006553</v>
      </c>
      <c r="K21" s="83">
        <v>393.32699060006553</v>
      </c>
      <c r="L21" s="83">
        <v>393.32699060006553</v>
      </c>
      <c r="N21" s="93">
        <v>4.2499999999999996E-2</v>
      </c>
      <c r="O21" s="92">
        <v>393.32699060006553</v>
      </c>
      <c r="P21" s="92">
        <v>393.32699060006553</v>
      </c>
      <c r="Q21" s="92">
        <v>393.32699060006553</v>
      </c>
    </row>
    <row r="22" spans="1:28" ht="14.4" x14ac:dyDescent="0.3">
      <c r="A22" s="85" t="s">
        <v>352</v>
      </c>
      <c r="B22" s="84">
        <v>0.03</v>
      </c>
      <c r="C22" s="84">
        <v>0.04</v>
      </c>
      <c r="D22" s="84">
        <v>0.05</v>
      </c>
      <c r="F22" s="94">
        <v>3.4999999999999996E-2</v>
      </c>
      <c r="G22" s="83">
        <v>393.32699060006553</v>
      </c>
      <c r="I22" s="94">
        <v>4.4999999999999998E-2</v>
      </c>
      <c r="J22" s="83">
        <v>393.32699060006553</v>
      </c>
      <c r="K22" s="83">
        <v>393.32699060006553</v>
      </c>
      <c r="L22" s="83">
        <v>393.32699060006553</v>
      </c>
      <c r="N22" s="93">
        <v>4.4999999999999998E-2</v>
      </c>
      <c r="O22" s="92">
        <v>393.32699060006553</v>
      </c>
      <c r="P22" s="92">
        <v>393.32699060006553</v>
      </c>
      <c r="Q22" s="92">
        <v>393.32699060006553</v>
      </c>
    </row>
    <row r="23" spans="1:28" ht="14.4" x14ac:dyDescent="0.3">
      <c r="F23" s="94">
        <v>0.04</v>
      </c>
      <c r="G23" s="83">
        <v>393.32699060006553</v>
      </c>
      <c r="I23" s="94">
        <v>4.7500000000000001E-2</v>
      </c>
      <c r="J23" s="83">
        <v>393.32699060006553</v>
      </c>
      <c r="K23" s="83">
        <v>393.32699060006553</v>
      </c>
      <c r="L23" s="83">
        <v>393.32699060006553</v>
      </c>
      <c r="N23" s="93">
        <v>4.7500000000000001E-2</v>
      </c>
      <c r="O23" s="92">
        <v>393.32699060006553</v>
      </c>
      <c r="P23" s="92">
        <v>393.32699060006553</v>
      </c>
      <c r="Q23" s="92">
        <v>393.32699060006553</v>
      </c>
    </row>
    <row r="24" spans="1:28" ht="14.4" x14ac:dyDescent="0.3">
      <c r="F24" s="94">
        <v>4.4999999999999998E-2</v>
      </c>
      <c r="G24" s="83">
        <v>393.32699060006553</v>
      </c>
      <c r="I24" s="94">
        <v>0.05</v>
      </c>
      <c r="J24" s="83">
        <v>393.32699060006553</v>
      </c>
      <c r="K24" s="83">
        <v>393.32699060006553</v>
      </c>
      <c r="L24" s="83">
        <v>393.32699060006553</v>
      </c>
      <c r="N24" s="93">
        <v>0.05</v>
      </c>
      <c r="O24" s="92">
        <v>393.32699060006553</v>
      </c>
      <c r="P24" s="92">
        <v>393.32699060006553</v>
      </c>
      <c r="Q24" s="92">
        <v>393.32699060006553</v>
      </c>
    </row>
    <row r="25" spans="1:28" ht="14.4" x14ac:dyDescent="0.3">
      <c r="A25" s="112" t="s">
        <v>368</v>
      </c>
      <c r="B25" s="113">
        <v>53310</v>
      </c>
      <c r="F25" s="94">
        <v>0.05</v>
      </c>
      <c r="G25" s="83">
        <v>393.32699060006553</v>
      </c>
      <c r="I25" s="94">
        <v>5.2499999999999998E-2</v>
      </c>
      <c r="J25" s="83">
        <v>393.32699060006553</v>
      </c>
      <c r="K25" s="83">
        <v>393.32699060006553</v>
      </c>
      <c r="L25" s="83">
        <v>393.32699060006553</v>
      </c>
      <c r="N25" s="93">
        <v>5.2499999999999998E-2</v>
      </c>
      <c r="O25" s="92">
        <v>393.32699060006553</v>
      </c>
      <c r="P25" s="92">
        <v>393.32699060006553</v>
      </c>
      <c r="Q25" s="92">
        <v>393.32699060006553</v>
      </c>
    </row>
    <row r="26" spans="1:28" ht="14.4" x14ac:dyDescent="0.3">
      <c r="A26" s="114" t="s">
        <v>366</v>
      </c>
      <c r="B26" s="115">
        <v>0.03</v>
      </c>
      <c r="F26" s="94">
        <v>5.5E-2</v>
      </c>
      <c r="G26" s="83">
        <v>393.32699060006553</v>
      </c>
      <c r="I26" s="94">
        <v>5.5E-2</v>
      </c>
      <c r="J26" s="83">
        <v>393.32699060006553</v>
      </c>
      <c r="K26" s="83">
        <v>393.32699060006553</v>
      </c>
      <c r="L26" s="83">
        <v>393.32699060006553</v>
      </c>
      <c r="N26" s="93">
        <v>5.5E-2</v>
      </c>
      <c r="O26" s="92">
        <v>393.32699060006553</v>
      </c>
      <c r="P26" s="92">
        <v>393.32699060006553</v>
      </c>
      <c r="Q26" s="92">
        <v>393.32699060006553</v>
      </c>
    </row>
    <row r="27" spans="1:28" ht="14.4" x14ac:dyDescent="0.3">
      <c r="A27" s="112" t="s">
        <v>364</v>
      </c>
      <c r="B27" s="112" t="s">
        <v>363</v>
      </c>
      <c r="F27" s="94">
        <v>0.06</v>
      </c>
      <c r="G27" s="83">
        <v>393.32699060006553</v>
      </c>
      <c r="I27" s="94">
        <v>5.7499999999999996E-2</v>
      </c>
      <c r="J27" s="83">
        <v>393.32699060006553</v>
      </c>
      <c r="K27" s="83">
        <v>393.32699060006553</v>
      </c>
      <c r="L27" s="83">
        <v>393.32699060006553</v>
      </c>
      <c r="N27" s="93">
        <v>5.7499999999999996E-2</v>
      </c>
      <c r="O27" s="92">
        <v>393.32699060006553</v>
      </c>
      <c r="P27" s="92">
        <v>393.32699060006553</v>
      </c>
      <c r="Q27" s="92">
        <v>393.32699060006553</v>
      </c>
    </row>
    <row r="28" spans="1:28" ht="14.4" x14ac:dyDescent="0.3">
      <c r="F28" s="30"/>
      <c r="G28" s="30"/>
      <c r="I28" s="94">
        <v>0.06</v>
      </c>
      <c r="J28" s="83">
        <v>393.32699060006553</v>
      </c>
      <c r="K28" s="83">
        <v>393.32699060006553</v>
      </c>
      <c r="L28" s="83">
        <v>393.32699060006553</v>
      </c>
      <c r="N28" s="93">
        <v>0.06</v>
      </c>
      <c r="O28" s="92">
        <v>393.32699060006553</v>
      </c>
      <c r="P28" s="92">
        <v>393.32699060006553</v>
      </c>
      <c r="Q28" s="92">
        <v>393.32699060006553</v>
      </c>
    </row>
    <row r="29" spans="1:28" ht="14.4" x14ac:dyDescent="0.3">
      <c r="A29" s="109"/>
      <c r="F29" s="30"/>
      <c r="G29" s="30"/>
      <c r="I29" s="30"/>
      <c r="J29" s="30"/>
      <c r="K29" s="30"/>
      <c r="L29" s="30"/>
      <c r="N29" s="30"/>
      <c r="O29" s="30"/>
      <c r="P29" s="30"/>
      <c r="Q29" s="30"/>
    </row>
    <row r="30" spans="1:28" ht="14.4" x14ac:dyDescent="0.3">
      <c r="A30" s="105" t="s">
        <v>369</v>
      </c>
      <c r="B30" s="104">
        <v>17770</v>
      </c>
    </row>
    <row r="31" spans="1:28" x14ac:dyDescent="0.25">
      <c r="A31" s="97" t="s">
        <v>366</v>
      </c>
      <c r="B31" s="99">
        <v>0.03</v>
      </c>
    </row>
    <row r="32" spans="1:28" x14ac:dyDescent="0.25">
      <c r="A32" s="97" t="s">
        <v>367</v>
      </c>
      <c r="B32" s="97">
        <v>12</v>
      </c>
    </row>
    <row r="33" spans="1:2" x14ac:dyDescent="0.25">
      <c r="A33" s="97" t="s">
        <v>365</v>
      </c>
      <c r="B33" s="97">
        <v>4</v>
      </c>
    </row>
    <row r="34" spans="1:2" x14ac:dyDescent="0.25">
      <c r="A34" s="97" t="s">
        <v>362</v>
      </c>
      <c r="B34" s="97">
        <f>B32*B33</f>
        <v>48</v>
      </c>
    </row>
    <row r="35" spans="1:2" x14ac:dyDescent="0.25">
      <c r="A35" s="97" t="s">
        <v>361</v>
      </c>
      <c r="B35" s="98">
        <f>B31/12</f>
        <v>2.5000000000000001E-3</v>
      </c>
    </row>
    <row r="36" spans="1:2" x14ac:dyDescent="0.25">
      <c r="A36" s="97" t="s">
        <v>360</v>
      </c>
      <c r="B36" s="96">
        <f>PMT(B35,B34,-B30)</f>
        <v>393.32699060006553</v>
      </c>
    </row>
    <row r="37" spans="1:2" x14ac:dyDescent="0.25">
      <c r="A37" s="97" t="s">
        <v>359</v>
      </c>
      <c r="B37" s="96">
        <f>FV(B35,B34,B36)</f>
        <v>-20032.618933879261</v>
      </c>
    </row>
  </sheetData>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B0D7D4-9851-418C-B226-EDC363E4A1B5}">
  <sheetPr codeName="Sheet8">
    <tabColor rgb="FFFFFF00"/>
  </sheetPr>
  <dimension ref="A1:I106"/>
  <sheetViews>
    <sheetView zoomScaleNormal="100" workbookViewId="0"/>
  </sheetViews>
  <sheetFormatPr defaultColWidth="15.75" defaultRowHeight="14.4" outlineLevelRow="1" x14ac:dyDescent="0.3"/>
  <cols>
    <col min="1" max="16384" width="15.75" style="1"/>
  </cols>
  <sheetData>
    <row r="1" spans="1:8" ht="18" x14ac:dyDescent="0.35">
      <c r="A1" s="321" t="s">
        <v>451</v>
      </c>
    </row>
    <row r="2" spans="1:8" ht="29.25" customHeight="1" x14ac:dyDescent="0.3">
      <c r="A2" s="254" t="s">
        <v>0</v>
      </c>
      <c r="B2" s="255" t="s">
        <v>193</v>
      </c>
      <c r="C2" s="255" t="s">
        <v>302</v>
      </c>
      <c r="D2" s="254" t="s">
        <v>426</v>
      </c>
      <c r="E2" s="256" t="s">
        <v>1</v>
      </c>
    </row>
    <row r="3" spans="1:8" x14ac:dyDescent="0.3">
      <c r="A3" s="322">
        <v>10287797</v>
      </c>
      <c r="B3" s="227" t="str">
        <f>VLOOKUP($A$3,$A$6:$E$105,2,FALSE)</f>
        <v>Cruise</v>
      </c>
      <c r="C3" s="227" t="str">
        <f>VLOOKUP($A$3,$A$6:$E$105,3,FALSE)</f>
        <v>Tom</v>
      </c>
      <c r="D3" s="227" t="str">
        <f>VLOOKUP($A$3,$A$6:$E$105,4,FALSE)</f>
        <v>F</v>
      </c>
      <c r="E3" s="248" t="str">
        <f>VLOOKUP($A$3,$A$6:$E$105,5,FALSE)</f>
        <v>B-</v>
      </c>
    </row>
    <row r="4" spans="1:8" x14ac:dyDescent="0.3">
      <c r="B4" s="228"/>
      <c r="C4" s="228"/>
      <c r="E4" s="249"/>
    </row>
    <row r="5" spans="1:8" x14ac:dyDescent="0.3">
      <c r="A5" s="26" t="s">
        <v>0</v>
      </c>
      <c r="B5" s="26" t="s">
        <v>193</v>
      </c>
      <c r="C5" s="26" t="s">
        <v>302</v>
      </c>
      <c r="D5" s="26" t="s">
        <v>426</v>
      </c>
      <c r="E5" s="251" t="s">
        <v>205</v>
      </c>
      <c r="H5" s="228"/>
    </row>
    <row r="6" spans="1:8" outlineLevel="1" x14ac:dyDescent="0.3">
      <c r="A6" s="226" cm="1">
        <f t="array" ref="A6:A105">Student_ID</f>
        <v>52069506</v>
      </c>
      <c r="B6" s="226" t="str" cm="1">
        <f t="array" ref="B6:B105">SLast_Name</f>
        <v>Wilson</v>
      </c>
      <c r="C6" s="226" t="str" cm="1">
        <f t="array" ref="C6:C105">SFirst_Names</f>
        <v>Misa</v>
      </c>
      <c r="D6" s="226" t="s">
        <v>307</v>
      </c>
      <c r="E6" s="247" t="str" cm="1">
        <f t="array" ref="E6:E15">ClassFLetter</f>
        <v>B</v>
      </c>
    </row>
    <row r="7" spans="1:8" outlineLevel="1" x14ac:dyDescent="0.3">
      <c r="A7" s="252">
        <v>14550989</v>
      </c>
      <c r="B7" s="252" t="str">
        <v>Elric</v>
      </c>
      <c r="C7" s="252" t="str">
        <v>Edward</v>
      </c>
      <c r="D7" s="252" t="s">
        <v>307</v>
      </c>
      <c r="E7" s="252" t="str">
        <v>B</v>
      </c>
    </row>
    <row r="8" spans="1:8" outlineLevel="1" x14ac:dyDescent="0.3">
      <c r="A8" s="226">
        <v>48862811</v>
      </c>
      <c r="B8" s="226" t="str">
        <v>McCarthy</v>
      </c>
      <c r="C8" s="226" t="str">
        <v>Sonny</v>
      </c>
      <c r="D8" s="226" t="s">
        <v>307</v>
      </c>
      <c r="E8" s="247" t="str">
        <v>B-</v>
      </c>
    </row>
    <row r="9" spans="1:8" outlineLevel="1" x14ac:dyDescent="0.3">
      <c r="A9" s="252">
        <v>10287797</v>
      </c>
      <c r="B9" s="252" t="str">
        <v>Cruise</v>
      </c>
      <c r="C9" s="252" t="str">
        <v>Tom</v>
      </c>
      <c r="D9" s="252" t="s">
        <v>307</v>
      </c>
      <c r="E9" s="252" t="str">
        <v>B-</v>
      </c>
    </row>
    <row r="10" spans="1:8" outlineLevel="1" x14ac:dyDescent="0.3">
      <c r="A10" s="226">
        <v>22355690</v>
      </c>
      <c r="B10" s="226" t="str">
        <v>Cromwell</v>
      </c>
      <c r="C10" s="226" t="str">
        <v>Jason</v>
      </c>
      <c r="D10" s="226" t="s">
        <v>307</v>
      </c>
      <c r="E10" s="247" t="str">
        <v>B</v>
      </c>
    </row>
    <row r="11" spans="1:8" outlineLevel="1" x14ac:dyDescent="0.3">
      <c r="A11" s="252">
        <v>59305766</v>
      </c>
      <c r="B11" s="252" t="str">
        <v>Richardson</v>
      </c>
      <c r="C11" s="252" t="str">
        <v>Lachlan</v>
      </c>
      <c r="D11" s="252" t="s">
        <v>307</v>
      </c>
      <c r="E11" s="252" t="str">
        <v>B</v>
      </c>
    </row>
    <row r="12" spans="1:8" outlineLevel="1" x14ac:dyDescent="0.3">
      <c r="A12" s="226">
        <v>28475996</v>
      </c>
      <c r="B12" s="226" t="str">
        <v>Khan</v>
      </c>
      <c r="C12" s="226" t="str">
        <v>Sakib</v>
      </c>
      <c r="D12" s="226" t="s">
        <v>307</v>
      </c>
      <c r="E12" s="250" t="str">
        <v>B</v>
      </c>
    </row>
    <row r="13" spans="1:8" outlineLevel="1" x14ac:dyDescent="0.3">
      <c r="A13" s="252">
        <v>64198194</v>
      </c>
      <c r="B13" s="252" t="str">
        <v>Oberoi</v>
      </c>
      <c r="C13" s="252" t="str">
        <v>Vivek</v>
      </c>
      <c r="D13" s="252" t="s">
        <v>307</v>
      </c>
      <c r="E13" s="252" t="str">
        <v>B</v>
      </c>
    </row>
    <row r="14" spans="1:8" outlineLevel="1" x14ac:dyDescent="0.3">
      <c r="A14" s="226">
        <v>29655035</v>
      </c>
      <c r="B14" s="226" t="str">
        <v>Burke</v>
      </c>
      <c r="C14" s="226" t="str">
        <v>Louis</v>
      </c>
      <c r="D14" s="226" t="s">
        <v>307</v>
      </c>
      <c r="E14" s="250" t="str">
        <v>B</v>
      </c>
    </row>
    <row r="15" spans="1:8" outlineLevel="1" x14ac:dyDescent="0.3">
      <c r="A15" s="252">
        <v>68339915</v>
      </c>
      <c r="B15" s="252" t="str">
        <v>Duke</v>
      </c>
      <c r="C15" s="252" t="str">
        <v>Zoe</v>
      </c>
      <c r="D15" s="252" t="s">
        <v>307</v>
      </c>
      <c r="E15" s="252" t="str">
        <v>B</v>
      </c>
    </row>
    <row r="16" spans="1:8" outlineLevel="1" x14ac:dyDescent="0.3">
      <c r="A16" s="226">
        <v>32695778</v>
      </c>
      <c r="B16" s="226" t="str">
        <v>Newton</v>
      </c>
      <c r="C16" s="226" t="str">
        <v>Flora</v>
      </c>
      <c r="D16" s="226" t="s">
        <v>308</v>
      </c>
      <c r="E16" s="247" t="str" cm="1">
        <f t="array" ref="E16:E42">ClassDLetter</f>
        <v>B</v>
      </c>
    </row>
    <row r="17" spans="1:9" outlineLevel="1" x14ac:dyDescent="0.3">
      <c r="A17" s="252">
        <v>55677878</v>
      </c>
      <c r="B17" s="252" t="str">
        <v>Gallen</v>
      </c>
      <c r="C17" s="252" t="str">
        <v>Zac</v>
      </c>
      <c r="D17" s="252" t="s">
        <v>308</v>
      </c>
      <c r="E17" s="252" t="str">
        <v>C</v>
      </c>
    </row>
    <row r="18" spans="1:9" outlineLevel="1" x14ac:dyDescent="0.3">
      <c r="A18" s="226">
        <v>13692938</v>
      </c>
      <c r="B18" s="226" t="str">
        <v>Kapoor</v>
      </c>
      <c r="C18" s="226" t="str">
        <v>Sanjay</v>
      </c>
      <c r="D18" s="226" t="s">
        <v>308</v>
      </c>
      <c r="E18" s="247" t="str">
        <v>C</v>
      </c>
      <c r="G18" s="226"/>
    </row>
    <row r="19" spans="1:9" outlineLevel="1" x14ac:dyDescent="0.3">
      <c r="A19" s="252">
        <v>49461380</v>
      </c>
      <c r="B19" s="252" t="str">
        <v>Singleton</v>
      </c>
      <c r="C19" s="252" t="str">
        <v>Perry</v>
      </c>
      <c r="D19" s="252" t="s">
        <v>308</v>
      </c>
      <c r="E19" s="252" t="str">
        <v>C</v>
      </c>
    </row>
    <row r="20" spans="1:9" outlineLevel="1" x14ac:dyDescent="0.3">
      <c r="A20" s="226">
        <v>66065006</v>
      </c>
      <c r="B20" s="226" t="str">
        <v>Walker</v>
      </c>
      <c r="C20" s="226" t="str">
        <v>Allen</v>
      </c>
      <c r="D20" s="226" t="s">
        <v>308</v>
      </c>
      <c r="E20" s="226" t="str">
        <v>C</v>
      </c>
      <c r="F20" s="226"/>
    </row>
    <row r="21" spans="1:9" outlineLevel="1" x14ac:dyDescent="0.3">
      <c r="A21" s="252">
        <v>14185496</v>
      </c>
      <c r="B21" s="252" t="str">
        <v>Scarlet</v>
      </c>
      <c r="C21" s="252" t="str">
        <v>Ezra</v>
      </c>
      <c r="D21" s="252" t="s">
        <v>308</v>
      </c>
      <c r="E21" s="252" t="str">
        <v>C</v>
      </c>
    </row>
    <row r="22" spans="1:9" outlineLevel="1" x14ac:dyDescent="0.3">
      <c r="A22" s="226">
        <v>22222762</v>
      </c>
      <c r="B22" s="226" t="str">
        <v>Forger</v>
      </c>
      <c r="C22" s="226" t="str">
        <v>Anya</v>
      </c>
      <c r="D22" s="226" t="s">
        <v>308</v>
      </c>
      <c r="E22" s="247" t="str">
        <v>C</v>
      </c>
    </row>
    <row r="23" spans="1:9" outlineLevel="1" x14ac:dyDescent="0.3">
      <c r="A23" s="252">
        <v>33006505</v>
      </c>
      <c r="B23" s="252" t="str">
        <v>Hunt</v>
      </c>
      <c r="C23" s="252" t="str">
        <v>Ethan</v>
      </c>
      <c r="D23" s="252" t="s">
        <v>308</v>
      </c>
      <c r="E23" s="252" t="str">
        <v>C</v>
      </c>
    </row>
    <row r="24" spans="1:9" outlineLevel="1" x14ac:dyDescent="0.3">
      <c r="A24" s="226">
        <v>27658150</v>
      </c>
      <c r="B24" s="226" t="str">
        <v>Kapur</v>
      </c>
      <c r="C24" s="226" t="str">
        <v>Aditya</v>
      </c>
      <c r="D24" s="226" t="s">
        <v>308</v>
      </c>
      <c r="E24" s="247" t="str">
        <v>B</v>
      </c>
    </row>
    <row r="25" spans="1:9" outlineLevel="1" x14ac:dyDescent="0.3">
      <c r="A25" s="252">
        <v>54116555</v>
      </c>
      <c r="B25" s="252" t="str">
        <v>Zimmerman</v>
      </c>
      <c r="C25" s="252" t="str">
        <v>Cory</v>
      </c>
      <c r="D25" s="252" t="s">
        <v>308</v>
      </c>
      <c r="E25" s="252" t="str">
        <v>C</v>
      </c>
    </row>
    <row r="26" spans="1:9" outlineLevel="1" x14ac:dyDescent="0.3">
      <c r="A26" s="226">
        <v>12255677</v>
      </c>
      <c r="B26" s="226" t="str">
        <v>Park</v>
      </c>
      <c r="C26" s="226" t="str">
        <v>John</v>
      </c>
      <c r="D26" s="226" t="s">
        <v>308</v>
      </c>
      <c r="E26" s="247" t="str">
        <v>C</v>
      </c>
    </row>
    <row r="27" spans="1:9" outlineLevel="1" x14ac:dyDescent="0.3">
      <c r="A27" s="252">
        <v>80079978</v>
      </c>
      <c r="B27" s="252" t="str">
        <v xml:space="preserve">Heyman </v>
      </c>
      <c r="C27" s="252" t="str">
        <v>Paul</v>
      </c>
      <c r="D27" s="252" t="s">
        <v>308</v>
      </c>
      <c r="E27" s="252" t="str">
        <v>B</v>
      </c>
    </row>
    <row r="28" spans="1:9" outlineLevel="1" x14ac:dyDescent="0.3">
      <c r="A28" s="226">
        <v>62672194</v>
      </c>
      <c r="B28" s="226" t="str">
        <v>Khan</v>
      </c>
      <c r="C28" s="226" t="str">
        <v>Salman</v>
      </c>
      <c r="D28" s="226" t="s">
        <v>308</v>
      </c>
      <c r="E28" s="247" t="str">
        <v>D</v>
      </c>
    </row>
    <row r="29" spans="1:9" outlineLevel="1" x14ac:dyDescent="0.3">
      <c r="A29" s="252">
        <v>22975112</v>
      </c>
      <c r="B29" s="252" t="str">
        <v>Best</v>
      </c>
      <c r="C29" s="252" t="str">
        <v>Sakura</v>
      </c>
      <c r="D29" s="252" t="s">
        <v>308</v>
      </c>
      <c r="E29" s="252" t="str">
        <v>B</v>
      </c>
      <c r="G29" s="14" t="s">
        <v>205</v>
      </c>
      <c r="H29" t="s">
        <v>435</v>
      </c>
      <c r="I29" s="264"/>
    </row>
    <row r="30" spans="1:9" outlineLevel="1" x14ac:dyDescent="0.3">
      <c r="A30" s="226">
        <v>17117302</v>
      </c>
      <c r="B30" s="226" t="str">
        <v>Reynolds</v>
      </c>
      <c r="C30" s="226" t="str">
        <v>Charlie</v>
      </c>
      <c r="D30" s="226" t="s">
        <v>308</v>
      </c>
      <c r="E30" s="247" t="str">
        <v>B</v>
      </c>
      <c r="G30" t="s">
        <v>311</v>
      </c>
      <c r="H30">
        <v>41</v>
      </c>
    </row>
    <row r="31" spans="1:9" outlineLevel="1" x14ac:dyDescent="0.3">
      <c r="A31" s="252">
        <v>17175244</v>
      </c>
      <c r="B31" s="252" t="str">
        <v>Watkins</v>
      </c>
      <c r="C31" s="252" t="str">
        <v>Demi</v>
      </c>
      <c r="D31" s="252" t="s">
        <v>308</v>
      </c>
      <c r="E31" s="252" t="str">
        <v>C</v>
      </c>
      <c r="G31" t="s">
        <v>310</v>
      </c>
      <c r="H31">
        <v>30</v>
      </c>
    </row>
    <row r="32" spans="1:9" outlineLevel="1" x14ac:dyDescent="0.3">
      <c r="A32" s="226">
        <v>67176280</v>
      </c>
      <c r="B32" s="226" t="str">
        <v>Khan</v>
      </c>
      <c r="C32" s="226" t="str">
        <v>Saif Ali</v>
      </c>
      <c r="D32" s="226" t="s">
        <v>308</v>
      </c>
      <c r="E32" s="247" t="str">
        <v>C</v>
      </c>
      <c r="G32" t="s">
        <v>328</v>
      </c>
      <c r="H32">
        <v>2</v>
      </c>
    </row>
    <row r="33" spans="1:8" outlineLevel="1" x14ac:dyDescent="0.3">
      <c r="A33" s="252">
        <v>90908811</v>
      </c>
      <c r="B33" s="252" t="str">
        <v>Frank</v>
      </c>
      <c r="C33" s="252" t="str">
        <v>Joesph</v>
      </c>
      <c r="D33" s="252" t="s">
        <v>308</v>
      </c>
      <c r="E33" s="252" t="str">
        <v>C</v>
      </c>
      <c r="G33" t="s">
        <v>326</v>
      </c>
      <c r="H33">
        <v>7</v>
      </c>
    </row>
    <row r="34" spans="1:8" outlineLevel="1" x14ac:dyDescent="0.3">
      <c r="A34" s="226">
        <v>37800314</v>
      </c>
      <c r="B34" s="226" t="str">
        <v>Thorne</v>
      </c>
      <c r="C34" s="226" t="str">
        <v>Alexia</v>
      </c>
      <c r="D34" s="226" t="s">
        <v>308</v>
      </c>
      <c r="E34" s="247" t="str">
        <v>C</v>
      </c>
      <c r="G34" t="s">
        <v>309</v>
      </c>
      <c r="H34">
        <v>18</v>
      </c>
    </row>
    <row r="35" spans="1:8" outlineLevel="1" x14ac:dyDescent="0.3">
      <c r="A35" s="252">
        <v>59343896</v>
      </c>
      <c r="B35" s="252" t="str">
        <v>Yeager</v>
      </c>
      <c r="C35" s="252" t="str">
        <v>Eren</v>
      </c>
      <c r="D35" s="252" t="s">
        <v>308</v>
      </c>
      <c r="E35" s="252" t="str">
        <v>B</v>
      </c>
      <c r="G35" t="s">
        <v>308</v>
      </c>
      <c r="H35">
        <v>2</v>
      </c>
    </row>
    <row r="36" spans="1:8" outlineLevel="1" x14ac:dyDescent="0.3">
      <c r="A36" s="226">
        <v>56278487</v>
      </c>
      <c r="B36" s="226" t="str">
        <v>Reid</v>
      </c>
      <c r="C36" s="226" t="str">
        <v>Ssammie</v>
      </c>
      <c r="D36" s="226" t="s">
        <v>308</v>
      </c>
      <c r="E36" s="247" t="str">
        <v>C</v>
      </c>
    </row>
    <row r="37" spans="1:8" outlineLevel="1" x14ac:dyDescent="0.3">
      <c r="A37" s="252">
        <v>77890678</v>
      </c>
      <c r="B37" s="252" t="str">
        <v>Lopez</v>
      </c>
      <c r="C37" s="252" t="str">
        <v>Omar</v>
      </c>
      <c r="D37" s="252" t="s">
        <v>308</v>
      </c>
      <c r="E37" s="252" t="str">
        <v>C</v>
      </c>
    </row>
    <row r="38" spans="1:8" outlineLevel="1" x14ac:dyDescent="0.3">
      <c r="A38" s="226">
        <v>33896032</v>
      </c>
      <c r="B38" s="226" t="str">
        <v>Townsend</v>
      </c>
      <c r="C38" s="226" t="str">
        <v>Solomon</v>
      </c>
      <c r="D38" s="226" t="s">
        <v>308</v>
      </c>
      <c r="E38" s="247" t="str">
        <v>C</v>
      </c>
    </row>
    <row r="39" spans="1:8" outlineLevel="1" x14ac:dyDescent="0.3">
      <c r="A39" s="252">
        <v>40723551</v>
      </c>
      <c r="B39" s="252" t="str">
        <v>Holmes</v>
      </c>
      <c r="C39" s="252" t="str">
        <v>Sherlock</v>
      </c>
      <c r="D39" s="252" t="s">
        <v>308</v>
      </c>
      <c r="E39" s="252" t="str">
        <v>B</v>
      </c>
    </row>
    <row r="40" spans="1:8" outlineLevel="1" x14ac:dyDescent="0.3">
      <c r="A40" s="226">
        <v>23010569</v>
      </c>
      <c r="B40" s="226" t="str">
        <v>Brady</v>
      </c>
      <c r="C40" s="226" t="str">
        <v>Matthew</v>
      </c>
      <c r="D40" s="226" t="s">
        <v>308</v>
      </c>
      <c r="E40" s="247" t="str">
        <v>C</v>
      </c>
    </row>
    <row r="41" spans="1:8" outlineLevel="1" x14ac:dyDescent="0.3">
      <c r="A41" s="252">
        <v>44900212</v>
      </c>
      <c r="B41" s="252" t="str">
        <v>Valentine</v>
      </c>
      <c r="C41" s="252" t="str">
        <v>Valentina</v>
      </c>
      <c r="D41" s="252" t="s">
        <v>308</v>
      </c>
      <c r="E41" s="252" t="str">
        <v>D</v>
      </c>
    </row>
    <row r="42" spans="1:8" x14ac:dyDescent="0.3">
      <c r="A42" s="226">
        <v>42395721</v>
      </c>
      <c r="B42" s="226" t="str">
        <v>Sherman</v>
      </c>
      <c r="C42" s="226" t="str">
        <v>Eddie</v>
      </c>
      <c r="D42" s="226" t="s">
        <v>308</v>
      </c>
      <c r="E42" s="247" t="str">
        <v>C</v>
      </c>
    </row>
    <row r="43" spans="1:8" outlineLevel="1" x14ac:dyDescent="0.3">
      <c r="A43" s="252">
        <v>28046284</v>
      </c>
      <c r="B43" s="252" t="str">
        <v>Stone</v>
      </c>
      <c r="C43" s="252" t="str">
        <v>Lukas</v>
      </c>
      <c r="D43" s="252" t="s">
        <v>309</v>
      </c>
      <c r="E43" s="253" t="str" cm="1">
        <f t="array" ref="E43:E80">ClassCLetter</f>
        <v>A</v>
      </c>
    </row>
    <row r="44" spans="1:8" outlineLevel="1" x14ac:dyDescent="0.3">
      <c r="A44" s="226">
        <v>49517726</v>
      </c>
      <c r="B44" s="226" t="str">
        <v>Bachchan</v>
      </c>
      <c r="C44" s="226" t="str">
        <v>Aishwaria</v>
      </c>
      <c r="D44" s="226" t="s">
        <v>309</v>
      </c>
      <c r="E44" s="247" t="str">
        <v>B</v>
      </c>
    </row>
    <row r="45" spans="1:8" outlineLevel="1" x14ac:dyDescent="0.3">
      <c r="A45" s="252">
        <v>11266789</v>
      </c>
      <c r="B45" s="252" t="str">
        <v>Bell</v>
      </c>
      <c r="C45" s="252" t="str">
        <v>Jack</v>
      </c>
      <c r="D45" s="252" t="s">
        <v>309</v>
      </c>
      <c r="E45" s="253" t="str">
        <v>A</v>
      </c>
    </row>
    <row r="46" spans="1:8" outlineLevel="1" x14ac:dyDescent="0.3">
      <c r="A46" s="226">
        <v>31207252</v>
      </c>
      <c r="B46" s="226" t="str">
        <v>Kurosaki</v>
      </c>
      <c r="C46" s="226" t="str">
        <v>Ichigo</v>
      </c>
      <c r="D46" s="226" t="s">
        <v>309</v>
      </c>
      <c r="E46" s="247" t="str">
        <v>B</v>
      </c>
    </row>
    <row r="47" spans="1:8" outlineLevel="1" x14ac:dyDescent="0.3">
      <c r="A47" s="252">
        <v>40941908</v>
      </c>
      <c r="B47" s="252" t="str">
        <v>Brown</v>
      </c>
      <c r="C47" s="252" t="str">
        <v>Gray</v>
      </c>
      <c r="D47" s="252" t="s">
        <v>309</v>
      </c>
      <c r="E47" s="253" t="str">
        <v>B</v>
      </c>
    </row>
    <row r="48" spans="1:8" outlineLevel="1" x14ac:dyDescent="0.3">
      <c r="A48" s="226">
        <v>28380069</v>
      </c>
      <c r="B48" s="226" t="str">
        <v>Weaver</v>
      </c>
      <c r="C48" s="226" t="str">
        <v>Prince</v>
      </c>
      <c r="D48" s="226" t="s">
        <v>309</v>
      </c>
      <c r="E48" s="247" t="str">
        <v>A</v>
      </c>
    </row>
    <row r="49" spans="1:5" outlineLevel="1" x14ac:dyDescent="0.3">
      <c r="A49" s="252">
        <v>33455570</v>
      </c>
      <c r="B49" s="252" t="str">
        <v>Cox</v>
      </c>
      <c r="C49" s="252" t="str">
        <v>Jennifer</v>
      </c>
      <c r="D49" s="252" t="s">
        <v>309</v>
      </c>
      <c r="E49" s="253" t="str">
        <v>B</v>
      </c>
    </row>
    <row r="50" spans="1:5" outlineLevel="1" x14ac:dyDescent="0.3">
      <c r="A50" s="226">
        <v>52775578</v>
      </c>
      <c r="B50" s="226" t="str">
        <v>Woods</v>
      </c>
      <c r="C50" s="226" t="str">
        <v>Melissa</v>
      </c>
      <c r="D50" s="226" t="s">
        <v>309</v>
      </c>
      <c r="E50" s="247" t="str">
        <v>B</v>
      </c>
    </row>
    <row r="51" spans="1:5" outlineLevel="1" x14ac:dyDescent="0.3">
      <c r="A51" s="252">
        <v>69512922</v>
      </c>
      <c r="B51" s="252" t="str">
        <v>Walsh</v>
      </c>
      <c r="C51" s="252" t="str">
        <v>Rhea</v>
      </c>
      <c r="D51" s="252" t="s">
        <v>309</v>
      </c>
      <c r="E51" s="253" t="str">
        <v>B</v>
      </c>
    </row>
    <row r="52" spans="1:5" outlineLevel="1" x14ac:dyDescent="0.3">
      <c r="A52" s="226">
        <v>20320994</v>
      </c>
      <c r="B52" s="226" t="str">
        <v>Smith</v>
      </c>
      <c r="C52" s="226" t="str">
        <v>Erwin</v>
      </c>
      <c r="D52" s="226" t="s">
        <v>309</v>
      </c>
      <c r="E52" s="247" t="str">
        <v>B</v>
      </c>
    </row>
    <row r="53" spans="1:5" outlineLevel="1" x14ac:dyDescent="0.3">
      <c r="A53" s="252">
        <v>51855406</v>
      </c>
      <c r="B53" s="252" t="str">
        <v>Betty</v>
      </c>
      <c r="C53" s="252" t="str">
        <v>James</v>
      </c>
      <c r="D53" s="252" t="s">
        <v>309</v>
      </c>
      <c r="E53" s="253" t="str">
        <v>B</v>
      </c>
    </row>
    <row r="54" spans="1:5" outlineLevel="1" x14ac:dyDescent="0.3">
      <c r="A54" s="226">
        <v>22312334</v>
      </c>
      <c r="B54" s="226" t="str">
        <v>Acosta</v>
      </c>
      <c r="C54" s="226" t="str">
        <v>Micheal</v>
      </c>
      <c r="D54" s="226" t="s">
        <v>309</v>
      </c>
      <c r="E54" s="247" t="str">
        <v>A</v>
      </c>
    </row>
    <row r="55" spans="1:5" outlineLevel="1" x14ac:dyDescent="0.3">
      <c r="A55" s="252">
        <v>66173853</v>
      </c>
      <c r="B55" s="252" t="str">
        <v>Holland</v>
      </c>
      <c r="C55" s="252" t="str">
        <v>Amelia</v>
      </c>
      <c r="D55" s="252"/>
      <c r="E55" s="252" t="str">
        <v>A</v>
      </c>
    </row>
    <row r="56" spans="1:5" outlineLevel="1" x14ac:dyDescent="0.3">
      <c r="A56" s="226">
        <v>46774911</v>
      </c>
      <c r="B56" s="226" t="str">
        <v>Khan</v>
      </c>
      <c r="C56" s="226" t="str">
        <v>Aamir</v>
      </c>
      <c r="D56" s="226" t="s">
        <v>309</v>
      </c>
      <c r="E56" s="247" t="str">
        <v>B</v>
      </c>
    </row>
    <row r="57" spans="1:5" outlineLevel="1" x14ac:dyDescent="0.3">
      <c r="A57" s="252">
        <v>88099789</v>
      </c>
      <c r="B57" s="252" t="str">
        <v>Hayes</v>
      </c>
      <c r="C57" s="252" t="str">
        <v>Carmelo</v>
      </c>
      <c r="D57" s="252" t="s">
        <v>309</v>
      </c>
      <c r="E57" s="253" t="str">
        <v>B</v>
      </c>
    </row>
    <row r="58" spans="1:5" outlineLevel="1" x14ac:dyDescent="0.3">
      <c r="A58" s="226">
        <v>21171011</v>
      </c>
      <c r="B58" s="226" t="str">
        <v>Strickland</v>
      </c>
      <c r="C58" s="226" t="str">
        <v>Kye</v>
      </c>
      <c r="D58" s="226" t="s">
        <v>309</v>
      </c>
      <c r="E58" s="247" t="str">
        <v>B</v>
      </c>
    </row>
    <row r="59" spans="1:5" outlineLevel="1" x14ac:dyDescent="0.3">
      <c r="A59" s="252">
        <v>56229618</v>
      </c>
      <c r="B59" s="252" t="str">
        <v>Barrera</v>
      </c>
      <c r="C59" s="252" t="str">
        <v>Blanche</v>
      </c>
      <c r="D59" s="252" t="s">
        <v>309</v>
      </c>
      <c r="E59" s="253" t="str">
        <v>B</v>
      </c>
    </row>
    <row r="60" spans="1:5" outlineLevel="1" x14ac:dyDescent="0.3">
      <c r="A60" s="226">
        <v>24895680</v>
      </c>
      <c r="B60" s="226" t="str">
        <v>Pineda</v>
      </c>
      <c r="C60" s="226" t="str">
        <v>Denis</v>
      </c>
      <c r="D60" s="226" t="s">
        <v>309</v>
      </c>
      <c r="E60" s="247" t="str">
        <v>B</v>
      </c>
    </row>
    <row r="61" spans="1:5" outlineLevel="1" x14ac:dyDescent="0.3">
      <c r="A61" s="252">
        <v>24074179</v>
      </c>
      <c r="B61" s="252" t="str">
        <v>Mann</v>
      </c>
      <c r="C61" s="252" t="str">
        <v>Glen</v>
      </c>
      <c r="D61" s="252" t="s">
        <v>309</v>
      </c>
      <c r="E61" s="253" t="str">
        <v>A</v>
      </c>
    </row>
    <row r="62" spans="1:5" outlineLevel="1" x14ac:dyDescent="0.3">
      <c r="A62" s="226">
        <v>14100297</v>
      </c>
      <c r="B62" s="226" t="str">
        <v>Meyers</v>
      </c>
      <c r="C62" s="226" t="str">
        <v>Wilber</v>
      </c>
      <c r="D62" s="226" t="s">
        <v>309</v>
      </c>
      <c r="E62" s="226" t="str">
        <v>A</v>
      </c>
    </row>
    <row r="63" spans="1:5" outlineLevel="1" x14ac:dyDescent="0.3">
      <c r="A63" s="252">
        <v>47953857</v>
      </c>
      <c r="B63" s="252" t="str">
        <v>Bachchan</v>
      </c>
      <c r="C63" s="252" t="str">
        <v>Amitabh</v>
      </c>
      <c r="D63" s="252" t="s">
        <v>309</v>
      </c>
      <c r="E63" s="253" t="str">
        <v>B</v>
      </c>
    </row>
    <row r="64" spans="1:5" outlineLevel="1" x14ac:dyDescent="0.3">
      <c r="A64" s="226">
        <v>61870635</v>
      </c>
      <c r="B64" s="226" t="str">
        <v>Long</v>
      </c>
      <c r="C64" s="226" t="str">
        <v>Josiah</v>
      </c>
      <c r="D64" s="226" t="s">
        <v>309</v>
      </c>
      <c r="E64" s="226" t="str">
        <v>A</v>
      </c>
    </row>
    <row r="65" spans="1:5" outlineLevel="1" x14ac:dyDescent="0.3">
      <c r="A65" s="252">
        <v>30476018</v>
      </c>
      <c r="B65" s="252" t="str">
        <v>Frederick</v>
      </c>
      <c r="C65" s="252" t="str">
        <v>Sylvia</v>
      </c>
      <c r="D65" s="252" t="s">
        <v>309</v>
      </c>
      <c r="E65" s="253" t="str">
        <v>A</v>
      </c>
    </row>
    <row r="66" spans="1:5" outlineLevel="1" x14ac:dyDescent="0.3">
      <c r="A66" s="226">
        <v>29169845</v>
      </c>
      <c r="B66" s="226" t="str">
        <v>Kumar</v>
      </c>
      <c r="C66" s="226" t="str">
        <v>Akshay</v>
      </c>
      <c r="D66" s="226" t="s">
        <v>309</v>
      </c>
      <c r="E66" s="226" t="str">
        <v>B</v>
      </c>
    </row>
    <row r="67" spans="1:5" outlineLevel="1" x14ac:dyDescent="0.3">
      <c r="A67" s="252">
        <v>31920733</v>
      </c>
      <c r="B67" s="252" t="str">
        <v>Campos</v>
      </c>
      <c r="C67" s="252" t="str">
        <v>Lee</v>
      </c>
      <c r="D67" s="252" t="s">
        <v>309</v>
      </c>
      <c r="E67" s="253" t="str">
        <v>A</v>
      </c>
    </row>
    <row r="68" spans="1:5" outlineLevel="1" x14ac:dyDescent="0.3">
      <c r="A68" s="226">
        <v>59135219</v>
      </c>
      <c r="B68" s="226" t="str">
        <v>Deol</v>
      </c>
      <c r="C68" s="226" t="str">
        <v>Sunny</v>
      </c>
      <c r="D68" s="226" t="s">
        <v>309</v>
      </c>
      <c r="E68" s="226" t="str">
        <v>A</v>
      </c>
    </row>
    <row r="69" spans="1:5" outlineLevel="1" x14ac:dyDescent="0.3">
      <c r="A69" s="252">
        <v>29617570</v>
      </c>
      <c r="B69" s="252" t="str">
        <v>Steven</v>
      </c>
      <c r="C69" s="252" t="str">
        <v>Christopher</v>
      </c>
      <c r="D69" s="252" t="s">
        <v>309</v>
      </c>
      <c r="E69" s="253" t="str">
        <v>A</v>
      </c>
    </row>
    <row r="70" spans="1:5" outlineLevel="1" x14ac:dyDescent="0.3">
      <c r="A70" s="226">
        <v>41604417</v>
      </c>
      <c r="B70" s="226" t="str">
        <v>Ramirez</v>
      </c>
      <c r="C70" s="226" t="str">
        <v>Mercy</v>
      </c>
      <c r="D70" s="226" t="s">
        <v>309</v>
      </c>
      <c r="E70" s="226" t="str">
        <v>A</v>
      </c>
    </row>
    <row r="71" spans="1:5" outlineLevel="1" x14ac:dyDescent="0.3">
      <c r="A71" s="252">
        <v>67642835</v>
      </c>
      <c r="B71" s="252" t="str">
        <v>Krtchum</v>
      </c>
      <c r="C71" s="252" t="str">
        <v>Ash</v>
      </c>
      <c r="D71" s="252" t="s">
        <v>309</v>
      </c>
      <c r="E71" s="253" t="str">
        <v>A</v>
      </c>
    </row>
    <row r="72" spans="1:5" outlineLevel="1" x14ac:dyDescent="0.3">
      <c r="A72" s="226">
        <v>65777672</v>
      </c>
      <c r="B72" s="226" t="str">
        <v>Mustang</v>
      </c>
      <c r="C72" s="226" t="str">
        <v>Roy</v>
      </c>
      <c r="D72" s="226" t="s">
        <v>309</v>
      </c>
      <c r="E72" s="226" t="str">
        <v>A</v>
      </c>
    </row>
    <row r="73" spans="1:5" outlineLevel="1" x14ac:dyDescent="0.3">
      <c r="A73" s="252">
        <v>57031215</v>
      </c>
      <c r="B73" s="252" t="str">
        <v>Villatteal</v>
      </c>
      <c r="C73" s="252" t="str">
        <v>Dory</v>
      </c>
      <c r="D73" s="252" t="s">
        <v>309</v>
      </c>
      <c r="E73" s="253" t="str">
        <v>A</v>
      </c>
    </row>
    <row r="74" spans="1:5" outlineLevel="1" x14ac:dyDescent="0.3">
      <c r="A74" s="226">
        <v>14679298</v>
      </c>
      <c r="B74" s="226" t="str">
        <v>Ferguson</v>
      </c>
      <c r="C74" s="226" t="str">
        <v>Claudia</v>
      </c>
      <c r="D74" s="226" t="s">
        <v>309</v>
      </c>
      <c r="E74" s="226" t="str">
        <v>A</v>
      </c>
    </row>
    <row r="75" spans="1:5" outlineLevel="1" x14ac:dyDescent="0.3">
      <c r="A75" s="252">
        <v>26610470</v>
      </c>
      <c r="B75" s="252" t="str">
        <v>Kapoor</v>
      </c>
      <c r="C75" s="252" t="str">
        <v>Anil</v>
      </c>
      <c r="D75" s="252" t="s">
        <v>309</v>
      </c>
      <c r="E75" s="253" t="str">
        <v>A</v>
      </c>
    </row>
    <row r="76" spans="1:5" outlineLevel="1" x14ac:dyDescent="0.3">
      <c r="A76" s="226">
        <v>39378097</v>
      </c>
      <c r="B76" s="226" t="str">
        <v>Griffith</v>
      </c>
      <c r="C76" s="226" t="str">
        <v>Allison</v>
      </c>
      <c r="D76" s="226" t="s">
        <v>309</v>
      </c>
      <c r="E76" s="226" t="str">
        <v>A</v>
      </c>
    </row>
    <row r="77" spans="1:5" outlineLevel="1" x14ac:dyDescent="0.3">
      <c r="A77" s="252">
        <v>12255678</v>
      </c>
      <c r="B77" s="252" t="str">
        <v>Theory</v>
      </c>
      <c r="C77" s="252" t="str">
        <v xml:space="preserve">Austin </v>
      </c>
      <c r="D77" s="252" t="s">
        <v>309</v>
      </c>
      <c r="E77" s="253" t="str">
        <v>A</v>
      </c>
    </row>
    <row r="78" spans="1:5" outlineLevel="1" x14ac:dyDescent="0.3">
      <c r="A78" s="226">
        <v>23300401</v>
      </c>
      <c r="B78" s="226" t="str">
        <v>O'Reilly</v>
      </c>
      <c r="C78" s="226" t="str">
        <v>Robin</v>
      </c>
      <c r="D78" s="226" t="s">
        <v>309</v>
      </c>
      <c r="E78" s="226" t="str">
        <v>A</v>
      </c>
    </row>
    <row r="79" spans="1:5" outlineLevel="1" x14ac:dyDescent="0.3">
      <c r="A79" s="252">
        <v>73797335</v>
      </c>
      <c r="B79" s="252" t="str">
        <v>Acosta</v>
      </c>
      <c r="C79" s="252" t="str">
        <v>Andreq</v>
      </c>
      <c r="D79" s="252" t="s">
        <v>309</v>
      </c>
      <c r="E79" s="253" t="str">
        <v>A</v>
      </c>
    </row>
    <row r="80" spans="1:5" outlineLevel="1" x14ac:dyDescent="0.3">
      <c r="A80" s="226">
        <v>96788908</v>
      </c>
      <c r="B80" s="226" t="str">
        <v>James</v>
      </c>
      <c r="C80" s="226" t="str">
        <v>Ashley</v>
      </c>
      <c r="D80" s="226" t="s">
        <v>309</v>
      </c>
      <c r="E80" s="226" t="str">
        <v>A</v>
      </c>
    </row>
    <row r="81" spans="1:5" outlineLevel="1" x14ac:dyDescent="0.3">
      <c r="A81" s="252">
        <v>16251330</v>
      </c>
      <c r="B81" s="252" t="str">
        <v>Cannon</v>
      </c>
      <c r="C81" s="252" t="str">
        <v>Shirley</v>
      </c>
      <c r="D81" s="252" t="s">
        <v>310</v>
      </c>
      <c r="E81" s="253" t="str" cm="1">
        <f t="array" ref="E81:E92">ClassBLetter</f>
        <v>A</v>
      </c>
    </row>
    <row r="82" spans="1:5" outlineLevel="1" x14ac:dyDescent="0.3">
      <c r="A82" s="226">
        <v>35471023</v>
      </c>
      <c r="B82" s="226" t="str">
        <v>Kapoor</v>
      </c>
      <c r="C82" s="226" t="str">
        <v>Shraddha</v>
      </c>
      <c r="D82" s="226" t="s">
        <v>310</v>
      </c>
      <c r="E82" s="226" t="str">
        <v>A</v>
      </c>
    </row>
    <row r="83" spans="1:5" outlineLevel="1" x14ac:dyDescent="0.3">
      <c r="A83" s="252">
        <v>50822121</v>
      </c>
      <c r="B83" s="252" t="str">
        <v>Crawford</v>
      </c>
      <c r="C83" s="252" t="str">
        <v>Esme</v>
      </c>
      <c r="D83" s="252" t="s">
        <v>310</v>
      </c>
      <c r="E83" s="253" t="str">
        <v>A</v>
      </c>
    </row>
    <row r="84" spans="1:5" outlineLevel="1" x14ac:dyDescent="0.3">
      <c r="A84" s="226">
        <v>45322100</v>
      </c>
      <c r="B84" s="226" t="str">
        <v>Ball</v>
      </c>
      <c r="C84" s="226" t="str">
        <v>Billie</v>
      </c>
      <c r="D84" s="226" t="s">
        <v>310</v>
      </c>
      <c r="E84" s="226" t="str">
        <v>A</v>
      </c>
    </row>
    <row r="85" spans="1:5" outlineLevel="1" x14ac:dyDescent="0.3">
      <c r="A85" s="252">
        <v>55251417</v>
      </c>
      <c r="B85" s="252" t="str">
        <v>Clements</v>
      </c>
      <c r="C85" s="252" t="str">
        <v>Mary</v>
      </c>
      <c r="D85" s="252" t="s">
        <v>310</v>
      </c>
      <c r="E85" s="253" t="str">
        <v>A</v>
      </c>
    </row>
    <row r="86" spans="1:5" outlineLevel="1" x14ac:dyDescent="0.3">
      <c r="A86" s="226">
        <v>14858103</v>
      </c>
      <c r="B86" s="226" t="str">
        <v>Stewart</v>
      </c>
      <c r="C86" s="226" t="str">
        <v>Robert</v>
      </c>
      <c r="D86" s="226" t="s">
        <v>310</v>
      </c>
      <c r="E86" s="226" t="str">
        <v>B+</v>
      </c>
    </row>
    <row r="87" spans="1:5" outlineLevel="1" x14ac:dyDescent="0.3">
      <c r="A87" s="252">
        <v>46271285</v>
      </c>
      <c r="B87" s="252" t="str">
        <v>Devgan</v>
      </c>
      <c r="C87" s="252" t="str">
        <v>Ajay</v>
      </c>
      <c r="D87" s="252" t="s">
        <v>310</v>
      </c>
      <c r="E87" s="253" t="str">
        <v>B+</v>
      </c>
    </row>
    <row r="88" spans="1:5" outlineLevel="1" x14ac:dyDescent="0.3">
      <c r="A88" s="226">
        <v>42393621</v>
      </c>
      <c r="B88" s="226" t="str">
        <v>Hawkins</v>
      </c>
      <c r="C88" s="226" t="str">
        <v>Owen</v>
      </c>
      <c r="D88" s="226" t="s">
        <v>310</v>
      </c>
      <c r="E88" s="226" t="str">
        <v>A</v>
      </c>
    </row>
    <row r="89" spans="1:5" outlineLevel="1" x14ac:dyDescent="0.3">
      <c r="A89" s="252">
        <v>88900987</v>
      </c>
      <c r="B89" s="252" t="str">
        <v>Gray</v>
      </c>
      <c r="C89" s="252" t="str">
        <v>Oliver</v>
      </c>
      <c r="D89" s="252" t="s">
        <v>310</v>
      </c>
      <c r="E89" s="253" t="str">
        <v>A</v>
      </c>
    </row>
    <row r="90" spans="1:5" outlineLevel="1" x14ac:dyDescent="0.3">
      <c r="A90" s="226">
        <v>61539595</v>
      </c>
      <c r="B90" s="226" t="str">
        <v>Bachchan</v>
      </c>
      <c r="C90" s="226" t="str">
        <v>Abishek</v>
      </c>
      <c r="D90" s="226" t="s">
        <v>310</v>
      </c>
      <c r="E90" s="226" t="str">
        <v>A</v>
      </c>
    </row>
    <row r="91" spans="1:5" outlineLevel="1" x14ac:dyDescent="0.3">
      <c r="A91" s="252">
        <v>99978671</v>
      </c>
      <c r="B91" s="252" t="str">
        <v>Ford</v>
      </c>
      <c r="C91" s="252" t="str">
        <v>Harrison</v>
      </c>
      <c r="D91" s="252" t="s">
        <v>310</v>
      </c>
      <c r="E91" s="253" t="str">
        <v>A</v>
      </c>
    </row>
    <row r="92" spans="1:5" outlineLevel="1" x14ac:dyDescent="0.3">
      <c r="A92" s="226">
        <v>66788007</v>
      </c>
      <c r="B92" s="226" t="str">
        <v>Wilson</v>
      </c>
      <c r="C92" s="226" t="str">
        <v xml:space="preserve">Josh </v>
      </c>
      <c r="D92" s="226" t="s">
        <v>310</v>
      </c>
      <c r="E92" s="226" t="str">
        <v>A</v>
      </c>
    </row>
    <row r="93" spans="1:5" x14ac:dyDescent="0.3">
      <c r="A93" s="252">
        <v>26430751</v>
      </c>
      <c r="B93" s="252" t="str">
        <v>Khan</v>
      </c>
      <c r="C93" s="252" t="str">
        <v xml:space="preserve">Shahrukh </v>
      </c>
      <c r="D93" s="252" t="s">
        <v>311</v>
      </c>
      <c r="E93" s="253" t="str" cm="1">
        <f t="array" ref="E93:E105">ClassALetter</f>
        <v>A</v>
      </c>
    </row>
    <row r="94" spans="1:5" x14ac:dyDescent="0.3">
      <c r="A94" s="226">
        <v>56566555</v>
      </c>
      <c r="B94" s="226" t="str">
        <v>Hinata</v>
      </c>
      <c r="C94" s="226" t="str">
        <v>Shoyo</v>
      </c>
      <c r="D94" s="226" t="s">
        <v>311</v>
      </c>
      <c r="E94" s="247" t="str">
        <v>A</v>
      </c>
    </row>
    <row r="95" spans="1:5" x14ac:dyDescent="0.3">
      <c r="A95" s="252">
        <v>54881230</v>
      </c>
      <c r="B95" s="252" t="str">
        <v>Akerman</v>
      </c>
      <c r="C95" s="252" t="str">
        <v>Levi</v>
      </c>
      <c r="D95" s="252" t="s">
        <v>311</v>
      </c>
      <c r="E95" s="253" t="str">
        <v>A</v>
      </c>
    </row>
    <row r="96" spans="1:5" x14ac:dyDescent="0.3">
      <c r="A96" s="226">
        <v>36326243</v>
      </c>
      <c r="B96" s="226" t="str">
        <v>Chaney</v>
      </c>
      <c r="C96" s="226" t="str">
        <v>Kevin</v>
      </c>
      <c r="D96" s="226" t="s">
        <v>311</v>
      </c>
      <c r="E96" s="247" t="str">
        <v>A</v>
      </c>
    </row>
    <row r="97" spans="1:5" x14ac:dyDescent="0.3">
      <c r="A97" s="252">
        <v>42567936</v>
      </c>
      <c r="B97" s="252" t="str">
        <v>Deol</v>
      </c>
      <c r="C97" s="252" t="str">
        <v>Bobby</v>
      </c>
      <c r="D97" s="252" t="s">
        <v>311</v>
      </c>
      <c r="E97" s="253" t="str">
        <v>A</v>
      </c>
    </row>
    <row r="98" spans="1:5" x14ac:dyDescent="0.3">
      <c r="A98" s="226">
        <v>30497977</v>
      </c>
      <c r="B98" s="226" t="str">
        <v>Carpenter</v>
      </c>
      <c r="C98" s="226" t="str">
        <v>Penelope</v>
      </c>
      <c r="D98" s="226" t="s">
        <v>311</v>
      </c>
      <c r="E98" s="247" t="str">
        <v>A</v>
      </c>
    </row>
    <row r="99" spans="1:5" x14ac:dyDescent="0.3">
      <c r="A99" s="252">
        <v>60161889</v>
      </c>
      <c r="B99" s="252" t="str">
        <v>Elric</v>
      </c>
      <c r="C99" s="252" t="str">
        <v>Alphonse</v>
      </c>
      <c r="D99" s="252" t="s">
        <v>311</v>
      </c>
      <c r="E99" s="253" t="str">
        <v>A</v>
      </c>
    </row>
    <row r="100" spans="1:5" x14ac:dyDescent="0.3">
      <c r="A100" s="226">
        <v>23970827</v>
      </c>
      <c r="B100" s="226" t="str">
        <v>Kento</v>
      </c>
      <c r="C100" s="226" t="str">
        <v>nanami</v>
      </c>
      <c r="D100" s="226" t="s">
        <v>311</v>
      </c>
      <c r="E100" s="247" t="str">
        <v>A</v>
      </c>
    </row>
    <row r="101" spans="1:5" x14ac:dyDescent="0.3">
      <c r="A101" s="252">
        <v>15767535</v>
      </c>
      <c r="B101" s="252" t="str">
        <v>Koirala</v>
      </c>
      <c r="C101" s="252" t="str">
        <v>Manisha</v>
      </c>
      <c r="D101" s="252" t="s">
        <v>311</v>
      </c>
      <c r="E101" s="253" t="str">
        <v>B+</v>
      </c>
    </row>
    <row r="102" spans="1:5" x14ac:dyDescent="0.3">
      <c r="A102" s="226">
        <v>10648455</v>
      </c>
      <c r="B102" s="226" t="str">
        <v>Kapoor</v>
      </c>
      <c r="C102" s="226" t="str">
        <v>Sonam</v>
      </c>
      <c r="D102" s="226" t="s">
        <v>311</v>
      </c>
      <c r="E102" s="247" t="str">
        <v>B+</v>
      </c>
    </row>
    <row r="103" spans="1:5" x14ac:dyDescent="0.3">
      <c r="A103" s="252">
        <v>31440459</v>
      </c>
      <c r="B103" s="252" t="str">
        <v>Nico</v>
      </c>
      <c r="C103" s="252" t="str">
        <v>Robin</v>
      </c>
      <c r="D103" s="252" t="s">
        <v>311</v>
      </c>
      <c r="E103" s="253" t="str">
        <v>B+</v>
      </c>
    </row>
    <row r="104" spans="1:5" x14ac:dyDescent="0.3">
      <c r="A104" s="226">
        <v>19259601</v>
      </c>
      <c r="B104" s="226" t="str">
        <v>Reyes</v>
      </c>
      <c r="C104" s="226" t="str">
        <v>Donald</v>
      </c>
      <c r="D104" s="226" t="s">
        <v>311</v>
      </c>
      <c r="E104" s="247" t="str">
        <v>B+</v>
      </c>
    </row>
    <row r="105" spans="1:5" x14ac:dyDescent="0.3">
      <c r="A105" s="252">
        <v>37849714</v>
      </c>
      <c r="B105" s="252" t="str">
        <v>Brando</v>
      </c>
      <c r="C105" s="252" t="str">
        <v>Dio</v>
      </c>
      <c r="D105" s="252" t="s">
        <v>311</v>
      </c>
      <c r="E105" s="253" t="str">
        <v>B+</v>
      </c>
    </row>
    <row r="106" spans="1:5" x14ac:dyDescent="0.3">
      <c r="E106" s="263"/>
    </row>
  </sheetData>
  <dataValidations count="2">
    <dataValidation type="list" allowBlank="1" showInputMessage="1" showErrorMessage="1" sqref="F5" xr:uid="{EC146CF8-18A4-4875-A71E-885F20BA1C71}">
      <formula1>$B$8:$B$107</formula1>
    </dataValidation>
    <dataValidation type="list" allowBlank="1" showInputMessage="1" showErrorMessage="1" sqref="A3" xr:uid="{F8405DE1-D244-42F9-909A-25430C0ECDB9}">
      <formula1>$A$6:$A$105</formula1>
    </dataValidation>
  </dataValidations>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FAFE9151ADB8478C5BE66A441C6BFD" ma:contentTypeVersion="8" ma:contentTypeDescription="Create a new document." ma:contentTypeScope="" ma:versionID="ccadbd906c7e1d6585f6d5092db027a7">
  <xsd:schema xmlns:xsd="http://www.w3.org/2001/XMLSchema" xmlns:xs="http://www.w3.org/2001/XMLSchema" xmlns:p="http://schemas.microsoft.com/office/2006/metadata/properties" xmlns:ns3="60484274-3ad2-4299-a530-d8a308b7e3af" targetNamespace="http://schemas.microsoft.com/office/2006/metadata/properties" ma:root="true" ma:fieldsID="5dc24860c9c814861198e5276947ae36" ns3:_="">
    <xsd:import namespace="60484274-3ad2-4299-a530-d8a308b7e3af"/>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3:MediaServiceSearchProperties" minOccurs="0"/>
                <xsd:element ref="ns3:MediaServiceObjectDetectorVersions" minOccurs="0"/>
                <xsd:element ref="ns3:MediaServiceDateTaken"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0484274-3ad2-4299-a530-d8a308b7e3a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_activity" ma:index="15"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_activity xmlns="60484274-3ad2-4299-a530-d8a308b7e3af" xsi:nil="true"/>
  </documentManagement>
</p:properties>
</file>

<file path=customXml/itemProps1.xml><?xml version="1.0" encoding="utf-8"?>
<ds:datastoreItem xmlns:ds="http://schemas.openxmlformats.org/officeDocument/2006/customXml" ds:itemID="{16CC9CEA-7C3D-41A9-904C-200922E7937C}">
  <ds:schemaRefs>
    <ds:schemaRef ds:uri="http://schemas.microsoft.com/office/2006/metadata/contentType"/>
    <ds:schemaRef ds:uri="http://schemas.microsoft.com/office/2006/metadata/properties/metaAttributes"/>
    <ds:schemaRef ds:uri="http://www.w3.org/2000/xmlns/"/>
    <ds:schemaRef ds:uri="http://www.w3.org/2001/XMLSchema"/>
    <ds:schemaRef ds:uri="60484274-3ad2-4299-a530-d8a308b7e3af"/>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EACE8B5-0392-4B91-B010-D7082123461F}">
  <ds:schemaRefs>
    <ds:schemaRef ds:uri="http://schemas.microsoft.com/sharepoint/v3/contenttype/forms"/>
  </ds:schemaRefs>
</ds:datastoreItem>
</file>

<file path=customXml/itemProps3.xml><?xml version="1.0" encoding="utf-8"?>
<ds:datastoreItem xmlns:ds="http://schemas.openxmlformats.org/officeDocument/2006/customXml" ds:itemID="{35719D0A-5249-4370-9F34-8741A097BC5C}">
  <ds:schemaRefs>
    <ds:schemaRef ds:uri="http://schemas.microsoft.com/DataMashup"/>
  </ds:schemaRefs>
</ds:datastoreItem>
</file>

<file path=customXml/itemProps4.xml><?xml version="1.0" encoding="utf-8"?>
<ds:datastoreItem xmlns:ds="http://schemas.openxmlformats.org/officeDocument/2006/customXml" ds:itemID="{F495BD6E-0932-474E-B5FE-B5C642B3CE64}">
  <ds:schemaRefs>
    <ds:schemaRef ds:uri="http://schemas.microsoft.com/office/2006/documentManagement/types"/>
    <ds:schemaRef ds:uri="http://purl.org/dc/elements/1.1/"/>
    <ds:schemaRef ds:uri="http://schemas.microsoft.com/office/2006/metadata/properties"/>
    <ds:schemaRef ds:uri="http://www.w3.org/XML/1998/namespace"/>
    <ds:schemaRef ds:uri="http://purl.org/dc/terms/"/>
    <ds:schemaRef ds:uri="http://schemas.openxmlformats.org/package/2006/metadata/core-properties"/>
    <ds:schemaRef ds:uri="http://schemas.microsoft.com/office/infopath/2007/PartnerControls"/>
    <ds:schemaRef ds:uri="60484274-3ad2-4299-a530-d8a308b7e3af"/>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72</vt:i4>
      </vt:variant>
    </vt:vector>
  </HeadingPairs>
  <TitlesOfParts>
    <vt:vector size="87" baseType="lpstr">
      <vt:lpstr>Cover Page</vt:lpstr>
      <vt:lpstr>Dash Board</vt:lpstr>
      <vt:lpstr>Academy student</vt:lpstr>
      <vt:lpstr>Placement score sclicer</vt:lpstr>
      <vt:lpstr>Class A</vt:lpstr>
      <vt:lpstr>Class  B</vt:lpstr>
      <vt:lpstr>Class C</vt:lpstr>
      <vt:lpstr>Class  D</vt:lpstr>
      <vt:lpstr>Class F </vt:lpstr>
      <vt:lpstr>Teacher Class assighnments</vt:lpstr>
      <vt:lpstr>Event Staffing</vt:lpstr>
      <vt:lpstr>Internship</vt:lpstr>
      <vt:lpstr>Library Fees</vt:lpstr>
      <vt:lpstr>Tuition</vt:lpstr>
      <vt:lpstr>End Year Report</vt:lpstr>
      <vt:lpstr>Aexclusive</vt:lpstr>
      <vt:lpstr>Annual_school_trip</vt:lpstr>
      <vt:lpstr>Bexclusive</vt:lpstr>
      <vt:lpstr>Books1</vt:lpstr>
      <vt:lpstr>Books2</vt:lpstr>
      <vt:lpstr>Books3</vt:lpstr>
      <vt:lpstr>Books4</vt:lpstr>
      <vt:lpstr>Cexclusive</vt:lpstr>
      <vt:lpstr>Class_A_FinalGPA</vt:lpstr>
      <vt:lpstr>Class_A_GPA1</vt:lpstr>
      <vt:lpstr>Class_A_GPA2</vt:lpstr>
      <vt:lpstr>Class_A_GPA3</vt:lpstr>
      <vt:lpstr>ClassA</vt:lpstr>
      <vt:lpstr>ClassAID</vt:lpstr>
      <vt:lpstr>ClassALetter</vt:lpstr>
      <vt:lpstr>ClassARank</vt:lpstr>
      <vt:lpstr>ClassAStudents</vt:lpstr>
      <vt:lpstr>ClassB</vt:lpstr>
      <vt:lpstr>CLASSBGPA1</vt:lpstr>
      <vt:lpstr>CLASSBGPA2</vt:lpstr>
      <vt:lpstr>CLASSBGPA3</vt:lpstr>
      <vt:lpstr>CLASSBGPA4</vt:lpstr>
      <vt:lpstr>ClassBLetter</vt:lpstr>
      <vt:lpstr>ClassBRank</vt:lpstr>
      <vt:lpstr>ClassBStudents</vt:lpstr>
      <vt:lpstr>ClassC</vt:lpstr>
      <vt:lpstr>ClassCGPA4</vt:lpstr>
      <vt:lpstr>ClassCLetter</vt:lpstr>
      <vt:lpstr>ClassCrank</vt:lpstr>
      <vt:lpstr>ClassD</vt:lpstr>
      <vt:lpstr>ClassD.0</vt:lpstr>
      <vt:lpstr>ClassDFinalGPA</vt:lpstr>
      <vt:lpstr>ClassDLetter</vt:lpstr>
      <vt:lpstr>ClassDRank</vt:lpstr>
      <vt:lpstr>Internship!Classes</vt:lpstr>
      <vt:lpstr>ClassF</vt:lpstr>
      <vt:lpstr>ClassFGPA4</vt:lpstr>
      <vt:lpstr>ClassFLetter</vt:lpstr>
      <vt:lpstr>ClassfRank</vt:lpstr>
      <vt:lpstr>ClassFStudents</vt:lpstr>
      <vt:lpstr>Classrank</vt:lpstr>
      <vt:lpstr>'Class  D'!Criteria</vt:lpstr>
      <vt:lpstr>'Event Staffing'!Criteria</vt:lpstr>
      <vt:lpstr>Employee_ID</vt:lpstr>
      <vt:lpstr>'Class  D'!Extract</vt:lpstr>
      <vt:lpstr>'Library Fees'!Fees</vt:lpstr>
      <vt:lpstr>Fexclusive</vt:lpstr>
      <vt:lpstr>'Class  D'!FinalGPA</vt:lpstr>
      <vt:lpstr>'Library Fees'!FinalGPA</vt:lpstr>
      <vt:lpstr>FinalGrade1</vt:lpstr>
      <vt:lpstr>Holloween_dance</vt:lpstr>
      <vt:lpstr>Internship!Internclasses</vt:lpstr>
      <vt:lpstr>Internship!Major</vt:lpstr>
      <vt:lpstr>PlacementExam_1</vt:lpstr>
      <vt:lpstr>PlacementExam_2</vt:lpstr>
      <vt:lpstr>PlacementScore</vt:lpstr>
      <vt:lpstr>Prom</vt:lpstr>
      <vt:lpstr>Returned1</vt:lpstr>
      <vt:lpstr>Returned2</vt:lpstr>
      <vt:lpstr>Returned3</vt:lpstr>
      <vt:lpstr>Returned4</vt:lpstr>
      <vt:lpstr>SFirst_Names</vt:lpstr>
      <vt:lpstr>SLast_Name</vt:lpstr>
      <vt:lpstr>Student_ID</vt:lpstr>
      <vt:lpstr>TeacherClassA</vt:lpstr>
      <vt:lpstr>TeacherClassb</vt:lpstr>
      <vt:lpstr>TeacherClassC</vt:lpstr>
      <vt:lpstr>TeacherClassD</vt:lpstr>
      <vt:lpstr>TeacherClassF</vt:lpstr>
      <vt:lpstr>TFirstName</vt:lpstr>
      <vt:lpstr>TLastName</vt:lpstr>
      <vt:lpstr>Valentines_day_dance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Joslyn Wilson</dc:creator>
  <cp:keywords/>
  <dc:description/>
  <cp:lastModifiedBy>Joslyn Wilson</cp:lastModifiedBy>
  <cp:revision/>
  <dcterms:created xsi:type="dcterms:W3CDTF">2024-07-28T02:52:18Z</dcterms:created>
  <dcterms:modified xsi:type="dcterms:W3CDTF">2024-08-18T05:08:44Z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0x010100A8FAFE9151ADB8478C5BE66A441C6BFD</vt:lpwstr>
  </property>
</Properties>
</file>