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ites\Dropbox\1_SAS WAO\0_tous le gites\s_site perso\"/>
    </mc:Choice>
  </mc:AlternateContent>
  <xr:revisionPtr revIDLastSave="0" documentId="13_ncr:1_{617CF2BB-CAE5-4A6B-9BFB-169F8C4B881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Facture" sheetId="1" r:id="rId1"/>
    <sheet name="acompte 1" sheetId="2" r:id="rId2"/>
    <sheet name="plateforme" sheetId="3" r:id="rId3"/>
    <sheet name="reçu" sheetId="4" r:id="rId4"/>
    <sheet name="Attestation Séjour" sheetId="5" r:id="rId5"/>
  </sheets>
  <externalReferences>
    <externalReference r:id="rId6"/>
  </externalReferences>
  <definedNames>
    <definedName name="adresse">'[1]M TDS 2,5%'!$T$1:$T$5</definedName>
    <definedName name="gite">'[1]M TDS 2,5%'!$S$1:$S$5</definedName>
    <definedName name="_xlnm.Print_Area" localSheetId="1">'acompte 1'!$A$1:$G$45</definedName>
    <definedName name="_xlnm.Print_Area" localSheetId="4">'Attestation Séjour'!$A$1:$E$31</definedName>
    <definedName name="_xlnm.Print_Area" localSheetId="0">Facture!$A$1:$G$46</definedName>
    <definedName name="_xlnm.Print_Area" localSheetId="2">plateforme!$A$1:$G$46</definedName>
    <definedName name="_xlnm.Print_Area" localSheetId="3">reçu!$A$1:$H$22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2" i="1" l="1"/>
  <c r="B17" i="5"/>
  <c r="B19" i="5" l="1"/>
  <c r="B17" i="1" l="1"/>
  <c r="A10" i="5" s="1"/>
  <c r="B22" i="5"/>
  <c r="D12" i="5"/>
  <c r="B12" i="5"/>
  <c r="B8" i="5"/>
  <c r="B7" i="5"/>
  <c r="B6" i="5"/>
  <c r="A11" i="5" l="1"/>
  <c r="I10" i="1" l="1"/>
  <c r="E13" i="4" l="1"/>
  <c r="C13" i="4"/>
  <c r="B8" i="4"/>
  <c r="B7" i="4"/>
  <c r="B6" i="4"/>
  <c r="E124" i="4"/>
  <c r="E119" i="4"/>
  <c r="A17" i="1" l="1"/>
  <c r="N38" i="1"/>
  <c r="N37" i="1"/>
  <c r="N39" i="1" l="1"/>
  <c r="E15" i="1"/>
  <c r="C19" i="1" l="1"/>
  <c r="I8" i="1" l="1"/>
  <c r="D1" i="2" l="1"/>
  <c r="B18" i="2"/>
  <c r="E30" i="1" l="1"/>
  <c r="I9" i="1" l="1"/>
  <c r="F21" i="1" s="1"/>
  <c r="I11" i="1"/>
  <c r="F25" i="1" s="1"/>
  <c r="I12" i="1"/>
  <c r="F36" i="1" l="1"/>
  <c r="G36" i="1"/>
  <c r="F23" i="1"/>
  <c r="C25" i="1"/>
  <c r="E25" i="1"/>
  <c r="F26" i="1"/>
  <c r="G26" i="1"/>
  <c r="B25" i="1"/>
  <c r="D26" i="1"/>
  <c r="B23" i="1"/>
  <c r="F24" i="1" l="1"/>
  <c r="G24" i="1"/>
  <c r="C23" i="1"/>
  <c r="E23" i="1"/>
  <c r="M38" i="1"/>
  <c r="M37" i="1"/>
  <c r="M39" i="1" l="1"/>
  <c r="B15" i="3"/>
  <c r="B14" i="3"/>
  <c r="F19" i="1" l="1"/>
  <c r="D3" i="2" l="1"/>
  <c r="I13" i="1"/>
  <c r="I14" i="1"/>
  <c r="I15" i="1"/>
  <c r="G35" i="1" l="1"/>
  <c r="F35" i="1"/>
  <c r="D3" i="1"/>
  <c r="E3" i="1"/>
  <c r="D24" i="1"/>
  <c r="G33" i="2"/>
  <c r="F33" i="2"/>
  <c r="C41" i="1" l="1"/>
  <c r="C17" i="4" s="1"/>
  <c r="K31" i="1"/>
  <c r="K30" i="1"/>
  <c r="D12" i="4" l="1"/>
  <c r="K34" i="1"/>
  <c r="G20" i="1"/>
  <c r="D20" i="1" s="1"/>
  <c r="D11" i="4" l="1"/>
  <c r="C10" i="4"/>
  <c r="G22" i="1"/>
  <c r="D22" i="1" s="1"/>
  <c r="E21" i="1"/>
  <c r="F22" i="1"/>
  <c r="C21" i="1"/>
  <c r="B21" i="1"/>
  <c r="A17" i="3" l="1"/>
  <c r="M20" i="1"/>
  <c r="K29" i="1" s="1"/>
  <c r="C9" i="4" l="1"/>
  <c r="K33" i="1"/>
  <c r="K35" i="1" s="1"/>
  <c r="K36" i="1" s="1"/>
  <c r="K29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K8" i="3"/>
  <c r="G35" i="3" s="1"/>
  <c r="L8" i="3"/>
  <c r="M8" i="3"/>
  <c r="D3" i="3" s="1"/>
  <c r="N8" i="3"/>
  <c r="J8" i="3"/>
  <c r="F35" i="3" s="1"/>
  <c r="K37" i="1" l="1"/>
  <c r="K38" i="1" s="1"/>
  <c r="K21" i="3"/>
  <c r="K22" i="3"/>
  <c r="K23" i="3"/>
  <c r="K24" i="3"/>
  <c r="K25" i="3"/>
  <c r="G18" i="3" s="1"/>
  <c r="K26" i="3"/>
  <c r="K27" i="3"/>
  <c r="K28" i="3"/>
  <c r="K20" i="3"/>
  <c r="G30" i="1" l="1"/>
  <c r="K39" i="1"/>
  <c r="G18" i="1" s="1"/>
  <c r="E3" i="3"/>
  <c r="B22" i="3"/>
  <c r="D37" i="3"/>
  <c r="M20" i="3"/>
  <c r="B17" i="3"/>
  <c r="J3" i="3"/>
  <c r="E18" i="3" l="1"/>
  <c r="K32" i="3" l="1"/>
  <c r="D18" i="3"/>
  <c r="B35" i="3" s="1"/>
  <c r="C35" i="3" s="1"/>
  <c r="D35" i="3" s="1"/>
  <c r="D39" i="3" s="1"/>
  <c r="G39" i="3" s="1"/>
  <c r="J23" i="2"/>
  <c r="G18" i="2" l="1"/>
  <c r="E3" i="2" l="1"/>
  <c r="J22" i="2"/>
  <c r="G21" i="2"/>
  <c r="F21" i="2"/>
  <c r="E21" i="2"/>
  <c r="D21" i="2"/>
  <c r="G20" i="2"/>
  <c r="F20" i="2"/>
  <c r="E20" i="2"/>
  <c r="D20" i="2"/>
  <c r="G19" i="2"/>
  <c r="F19" i="2"/>
  <c r="E19" i="2"/>
  <c r="D19" i="2"/>
  <c r="A17" i="2"/>
  <c r="B15" i="2"/>
  <c r="B14" i="2"/>
  <c r="J21" i="2" s="1"/>
  <c r="D10" i="2"/>
  <c r="D9" i="2"/>
  <c r="D8" i="2"/>
  <c r="J20" i="2" s="1"/>
  <c r="D37" i="1"/>
  <c r="C29" i="1"/>
  <c r="B29" i="1"/>
  <c r="B28" i="1"/>
  <c r="B27" i="1"/>
  <c r="D18" i="1"/>
  <c r="B35" i="1" s="1"/>
  <c r="E18" i="1"/>
  <c r="B17" i="2"/>
  <c r="J3" i="1"/>
  <c r="G3" i="1"/>
  <c r="C39" i="2" l="1"/>
  <c r="E15" i="2"/>
  <c r="D14" i="1"/>
  <c r="G3" i="3"/>
  <c r="G3" i="2"/>
  <c r="C35" i="1"/>
  <c r="D35" i="1" s="1"/>
  <c r="D39" i="1" s="1"/>
  <c r="G39" i="1" s="1"/>
  <c r="B20" i="2"/>
  <c r="E18" i="2" l="1"/>
  <c r="D18" i="2"/>
  <c r="B33" i="2" s="1"/>
  <c r="C33" i="2" l="1"/>
  <c r="D33" i="2" s="1"/>
  <c r="D37" i="2" s="1"/>
  <c r="G37" i="2" s="1"/>
</calcChain>
</file>

<file path=xl/sharedStrings.xml><?xml version="1.0" encoding="utf-8"?>
<sst xmlns="http://schemas.openxmlformats.org/spreadsheetml/2006/main" count="340" uniqueCount="160">
  <si>
    <t>Manola</t>
  </si>
  <si>
    <t>N° facture</t>
  </si>
  <si>
    <t>Date</t>
  </si>
  <si>
    <t>Code client</t>
  </si>
  <si>
    <t>Brinchette</t>
  </si>
  <si>
    <t>Prestations Gîte Brinchette</t>
  </si>
  <si>
    <t>1 Route de Nouart</t>
  </si>
  <si>
    <t>Lauberoye</t>
  </si>
  <si>
    <t>08240 Fossé</t>
  </si>
  <si>
    <t>Petit Nay</t>
  </si>
  <si>
    <t>Prestations Gîte Petit Nay</t>
  </si>
  <si>
    <t>Tél : 03.24.30.08.95</t>
  </si>
  <si>
    <t>type transaction</t>
  </si>
  <si>
    <t>montant</t>
  </si>
  <si>
    <t>date</t>
  </si>
  <si>
    <t>informations</t>
  </si>
  <si>
    <t xml:space="preserve">courriel : </t>
  </si>
  <si>
    <t xml:space="preserve">contact@gites-wao.fr  </t>
  </si>
  <si>
    <t>nom prénom</t>
  </si>
  <si>
    <t xml:space="preserve">site perso : </t>
  </si>
  <si>
    <t xml:space="preserve">www.gites-wao.fr </t>
  </si>
  <si>
    <t>adresse</t>
  </si>
  <si>
    <t>code postal ville</t>
  </si>
  <si>
    <t>N° d'identification : 522 577 063 RCS Sedan</t>
  </si>
  <si>
    <t>SIRET : 522 577 063 00012</t>
  </si>
  <si>
    <t>IBAN</t>
  </si>
  <si>
    <t>FR76 1020 6084 0362 5580 0011 266</t>
  </si>
  <si>
    <t>Séjour du</t>
  </si>
  <si>
    <t>BIC (Bank Identifier Code) : AGRIFRPP802</t>
  </si>
  <si>
    <t>au</t>
  </si>
  <si>
    <t xml:space="preserve">Prix unitaire
 HT </t>
  </si>
  <si>
    <t>unité</t>
  </si>
  <si>
    <t>Taux TVA</t>
  </si>
  <si>
    <t>Montant TTC</t>
  </si>
  <si>
    <t>Location</t>
  </si>
  <si>
    <t>tarif chien</t>
  </si>
  <si>
    <t>Forfait chien(s)</t>
  </si>
  <si>
    <t xml:space="preserve">Facture d'acompte réglée le </t>
  </si>
  <si>
    <t xml:space="preserve">N° </t>
  </si>
  <si>
    <t>Forfait ménage</t>
  </si>
  <si>
    <t>Forfait lits faits</t>
  </si>
  <si>
    <t>supplément</t>
  </si>
  <si>
    <t>loyer</t>
  </si>
  <si>
    <t>TS</t>
  </si>
  <si>
    <t>Taxes diverses</t>
  </si>
  <si>
    <t>Nbre Nuitée(s)</t>
  </si>
  <si>
    <t>Gîte</t>
  </si>
  <si>
    <t>Remise</t>
  </si>
  <si>
    <t>Acompte 30 % à la réservation</t>
  </si>
  <si>
    <t xml:space="preserve">Taux T.V.A. </t>
  </si>
  <si>
    <t>Base H.T.</t>
  </si>
  <si>
    <t>TVA</t>
  </si>
  <si>
    <t>TTC</t>
  </si>
  <si>
    <t>Règlement(s)</t>
  </si>
  <si>
    <t>Taxes</t>
  </si>
  <si>
    <t>N° facture en D3</t>
  </si>
  <si>
    <t>la date en F3</t>
  </si>
  <si>
    <t>mettre la date du paiement du solde</t>
  </si>
  <si>
    <t>Net à payer</t>
  </si>
  <si>
    <t>Solde à payer</t>
  </si>
  <si>
    <t>Le N° facture en F21</t>
  </si>
  <si>
    <t>Facture acquittée</t>
  </si>
  <si>
    <t>la date en C21</t>
  </si>
  <si>
    <t>date paiement acompte</t>
  </si>
  <si>
    <t>Nous vous remercions de votre confiance</t>
  </si>
  <si>
    <t>effacer les règlements d'acompte</t>
  </si>
  <si>
    <r>
      <rPr>
        <b/>
        <sz val="11"/>
        <color rgb="FF000000"/>
        <rFont val="Calibri"/>
        <family val="2"/>
        <charset val="1"/>
      </rPr>
      <t xml:space="preserve">                           IBAN :</t>
    </r>
    <r>
      <rPr>
        <sz val="11"/>
        <color rgb="FF000000"/>
        <rFont val="Calibri"/>
        <family val="2"/>
        <charset val="1"/>
      </rPr>
      <t xml:space="preserve">                                                  </t>
    </r>
    <r>
      <rPr>
        <b/>
        <sz val="11"/>
        <color rgb="FF000000"/>
        <rFont val="Calibri"/>
        <family val="2"/>
        <charset val="1"/>
      </rPr>
      <t>BIC :</t>
    </r>
    <r>
      <rPr>
        <sz val="11"/>
        <color rgb="FF000000"/>
        <rFont val="Calibri"/>
        <family val="2"/>
        <charset val="1"/>
      </rPr>
      <t xml:space="preserve">                   </t>
    </r>
    <r>
      <rPr>
        <b/>
        <sz val="11"/>
        <color rgb="FF000000"/>
        <rFont val="Calibri"/>
        <family val="2"/>
        <charset val="1"/>
      </rPr>
      <t>TITULAIRE :</t>
    </r>
    <r>
      <rPr>
        <sz val="11"/>
        <color rgb="FF000000"/>
        <rFont val="Calibri"/>
        <family val="2"/>
        <charset val="1"/>
      </rPr>
      <t xml:space="preserve">                                        </t>
    </r>
    <r>
      <rPr>
        <b/>
        <sz val="11"/>
        <color rgb="FF000000"/>
        <rFont val="Calibri"/>
        <family val="2"/>
        <charset val="1"/>
      </rPr>
      <t xml:space="preserve">BANQUE </t>
    </r>
    <r>
      <rPr>
        <sz val="11"/>
        <color rgb="FF000000"/>
        <rFont val="Calibri"/>
        <family val="2"/>
        <charset val="1"/>
      </rPr>
      <t xml:space="preserve">: </t>
    </r>
  </si>
  <si>
    <t>FR76 1020 6084 0398 3877 2925 093           AGRIFRPP802             SAS WAO                   CREDIT AGRICOLE DU NORD EST</t>
  </si>
  <si>
    <t>sur contrat de location</t>
  </si>
  <si>
    <t>référencé</t>
  </si>
  <si>
    <t xml:space="preserve">informations de paiements </t>
  </si>
  <si>
    <t>vérifier</t>
  </si>
  <si>
    <t>FACTURE de SOLDE</t>
  </si>
  <si>
    <t xml:space="preserve">Abritel Homeaway </t>
  </si>
  <si>
    <t>10 Place de la Joliette</t>
  </si>
  <si>
    <t>13002 Marseille</t>
  </si>
  <si>
    <t>gitewao/shared/app/ressources/excel/facture</t>
  </si>
  <si>
    <t>CA</t>
  </si>
  <si>
    <t>Nbr prersonnes taxées</t>
  </si>
  <si>
    <t>Nbr personnes exonérées</t>
  </si>
  <si>
    <t>type additionnel</t>
  </si>
  <si>
    <t>exercice</t>
  </si>
  <si>
    <t>Facture acquittée le</t>
  </si>
  <si>
    <t>SAS WAO - 1 ROUTE DE NOUART - 08240 FOSSE</t>
  </si>
  <si>
    <t>Société par Actions Simplifiées au capital de 50 000 € immatriculée au RCS de SEDAN 522 577 063 - APE 5520Z</t>
  </si>
  <si>
    <t xml:space="preserve">N° TVA : FR32 522 577 063 </t>
  </si>
  <si>
    <t xml:space="preserve">Tout retard de paiement entraînera des pénalités de retard égales à 3 fois le taux d'intérêt légal en vigueur </t>
  </si>
  <si>
    <t>ainsi qu'une indemnité forfaitaire pour frais de recouvrement de 40 €</t>
  </si>
  <si>
    <t>Aucun escompte pour paiement anticipé,</t>
  </si>
  <si>
    <t>Date d'échéance :</t>
  </si>
  <si>
    <t>Réf contrat :</t>
  </si>
  <si>
    <r>
      <rPr>
        <b/>
        <sz val="11"/>
        <color rgb="FF000000"/>
        <rFont val="Calibri"/>
        <family val="2"/>
      </rPr>
      <t>IBAN :</t>
    </r>
    <r>
      <rPr>
        <sz val="11"/>
        <color rgb="FF000000"/>
        <rFont val="Calibri"/>
        <family val="2"/>
        <charset val="1"/>
      </rPr>
      <t xml:space="preserve"> FR76 1020 6084 0398 3877 2925 093 </t>
    </r>
  </si>
  <si>
    <t>CREDIT AGRICOLE DU NORD EST</t>
  </si>
  <si>
    <r>
      <rPr>
        <b/>
        <sz val="11"/>
        <color rgb="FF000000"/>
        <rFont val="Calibri"/>
        <family val="2"/>
      </rPr>
      <t xml:space="preserve">BIC : </t>
    </r>
    <r>
      <rPr>
        <sz val="11"/>
        <color rgb="FF000000"/>
        <rFont val="Calibri"/>
        <family val="2"/>
        <charset val="1"/>
      </rPr>
      <t xml:space="preserve"> AGRIFRPP802</t>
    </r>
  </si>
  <si>
    <t>Prestations Gîte Manola</t>
  </si>
  <si>
    <t>Prestations Gîte Lauberoye</t>
  </si>
  <si>
    <t>report location Petit Nay</t>
  </si>
  <si>
    <t>report location Lauberoye</t>
  </si>
  <si>
    <t>report location Brinchette</t>
  </si>
  <si>
    <t>report location Manola</t>
  </si>
  <si>
    <t>annulation suite coronavirus</t>
  </si>
  <si>
    <t>AirBnb</t>
  </si>
  <si>
    <t>4 place de l'opéra</t>
  </si>
  <si>
    <t>75002 Paris</t>
  </si>
  <si>
    <t>Reçu</t>
  </si>
  <si>
    <t>Je soussignée Martine Lapierre gérante de la société SAS WAO</t>
  </si>
  <si>
    <t xml:space="preserve">Domiciliée 1 route de Nouart </t>
  </si>
  <si>
    <t>1_Manola</t>
  </si>
  <si>
    <t xml:space="preserve">                       08240 Fossé</t>
  </si>
  <si>
    <t xml:space="preserve">au </t>
  </si>
  <si>
    <t>4_Petit Nay</t>
  </si>
  <si>
    <t>Fait à Fossé</t>
  </si>
  <si>
    <t xml:space="preserve"> </t>
  </si>
  <si>
    <t>sur la commune de Fossé (08240)</t>
  </si>
  <si>
    <t>Atteste sur l’honneur avoir reçu de M. William Ancel</t>
  </si>
  <si>
    <t>La somme de 80  € en règlement de 2 nuitées</t>
  </si>
  <si>
    <t>pour 2 personnes dans le gîte Manola</t>
  </si>
  <si>
    <t xml:space="preserve">pour la période du </t>
  </si>
  <si>
    <t>ouvriers sommauthe</t>
  </si>
  <si>
    <t>3_Lauberoye</t>
  </si>
  <si>
    <t xml:space="preserve">Atteste sur l’honneur avoir reçu de </t>
  </si>
  <si>
    <t xml:space="preserve">La somme de </t>
  </si>
  <si>
    <t>du</t>
  </si>
  <si>
    <t>nombres de personnes :</t>
  </si>
  <si>
    <t>Fossé (08240)</t>
  </si>
  <si>
    <t>Buzancy (08240)</t>
  </si>
  <si>
    <t>Saint-Pierremont (08240)</t>
  </si>
  <si>
    <t>Nouart (08240)</t>
  </si>
  <si>
    <t xml:space="preserve">sur la commune de </t>
  </si>
  <si>
    <t>€</t>
  </si>
  <si>
    <t>Location du gîte</t>
  </si>
  <si>
    <t>Coût à la nuitée/personne</t>
  </si>
  <si>
    <t>Calcul du plafond (1,45 €/p/nuitée)</t>
  </si>
  <si>
    <t>Calcul de la taxe théorique</t>
  </si>
  <si>
    <t>taux taxe</t>
  </si>
  <si>
    <t>Montant de la taxe retenu</t>
  </si>
  <si>
    <t>taxe  10% additionnelle département</t>
  </si>
  <si>
    <t>total dû à la 2C2A</t>
  </si>
  <si>
    <t>taxe additionnelle</t>
  </si>
  <si>
    <t>différence de taxe</t>
  </si>
  <si>
    <t>cout par nuitée</t>
  </si>
  <si>
    <t>ATTESTATION DE SEJOUR</t>
  </si>
  <si>
    <t>Enfants</t>
  </si>
  <si>
    <t>Mille cent dix euros</t>
  </si>
  <si>
    <t xml:space="preserve">En foi de quoi la présente attestation a été délivrée en un seul exemplaire </t>
  </si>
  <si>
    <t>Pour servir et valoir ce que de droit.</t>
  </si>
  <si>
    <t xml:space="preserve">Atteste sur l’honneur que  </t>
  </si>
  <si>
    <t>Demeurant : ...............................</t>
  </si>
  <si>
    <t xml:space="preserve">a séjourné avec ses enfants dans le gîte </t>
  </si>
  <si>
    <t xml:space="preserve">Période du </t>
  </si>
  <si>
    <t>du Petit Nay</t>
  </si>
  <si>
    <t>Le montant total du séjour s'élève à</t>
  </si>
  <si>
    <t xml:space="preserve">Somme acquittée par </t>
  </si>
  <si>
    <t>à Fossé (08240)</t>
  </si>
  <si>
    <t>à Buzancy (08240)</t>
  </si>
  <si>
    <t>à Saint-Pierremont (08240)</t>
  </si>
  <si>
    <t>à Nouart (08240)</t>
  </si>
  <si>
    <r>
      <rPr>
        <b/>
        <sz val="11"/>
        <color rgb="FF000000"/>
        <rFont val="Calibri"/>
        <family val="2"/>
      </rPr>
      <t>IBAN :</t>
    </r>
    <r>
      <rPr>
        <sz val="11"/>
        <color rgb="FF000000"/>
        <rFont val="Calibri"/>
        <family val="2"/>
        <charset val="1"/>
      </rPr>
      <t xml:space="preserve"> FR76 3008 7337 5400 0202 9190 114</t>
    </r>
  </si>
  <si>
    <r>
      <rPr>
        <b/>
        <sz val="11"/>
        <color rgb="FF000000"/>
        <rFont val="Calibri"/>
        <family val="2"/>
      </rPr>
      <t xml:space="preserve">BIC : </t>
    </r>
    <r>
      <rPr>
        <sz val="11"/>
        <color rgb="FF000000"/>
        <rFont val="Calibri"/>
        <family val="2"/>
        <charset val="1"/>
      </rPr>
      <t xml:space="preserve"> CMCIFRPP</t>
    </r>
  </si>
  <si>
    <t>CIC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</si>
</sst>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;[Red]\-#,##0\ &quot;€&quot;"/>
    <numFmt numFmtId="43" formatCode="_-* #,##0.00_-;\-* #,##0.00_-;_-* &quot;-&quot;??_-;_-@_-"/>
    <numFmt numFmtId="164" formatCode="00"/>
    <numFmt numFmtId="165" formatCode="00000"/>
    <numFmt numFmtId="166" formatCode="0.00\ %"/>
    <numFmt numFmtId="167" formatCode="dd/mm/yy;@"/>
    <numFmt numFmtId="168" formatCode="0.000"/>
    <numFmt numFmtId="169" formatCode="_-* #,##0_-;\-* #,##0_-;_-* &quot;-&quot;??_-;_-@_-"/>
    <numFmt numFmtId="170" formatCode="d/m;@"/>
  </numFmts>
  <fonts count="36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2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Ravie"/>
      <family val="5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8.8000000000000007"/>
      <color theme="10"/>
      <name val="Calibri"/>
      <family val="2"/>
    </font>
    <font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C6EFCE"/>
      </patternFill>
    </fill>
    <fill>
      <patternFill patternType="solid">
        <fgColor rgb="FFFABF8F"/>
        <bgColor rgb="FFFAC090"/>
      </patternFill>
    </fill>
    <fill>
      <patternFill patternType="solid">
        <fgColor rgb="FF66CCFF"/>
        <bgColor rgb="FF95B3D7"/>
      </patternFill>
    </fill>
    <fill>
      <patternFill patternType="solid">
        <fgColor rgb="FF95B3D7"/>
        <bgColor rgb="FF9999FF"/>
      </patternFill>
    </fill>
    <fill>
      <patternFill patternType="solid">
        <fgColor rgb="FFE6B9B8"/>
        <bgColor rgb="FFFAC090"/>
      </patternFill>
    </fill>
    <fill>
      <patternFill patternType="solid">
        <fgColor rgb="FFC4BD97"/>
        <bgColor rgb="FFE6B9B8"/>
      </patternFill>
    </fill>
    <fill>
      <patternFill patternType="solid">
        <fgColor rgb="FFFAC090"/>
        <bgColor rgb="FFFABF8F"/>
      </patternFill>
    </fill>
    <fill>
      <patternFill patternType="solid">
        <fgColor rgb="FF00B0F0"/>
        <bgColor rgb="FF0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rgb="FF95B3D7"/>
      </patternFill>
    </fill>
    <fill>
      <patternFill patternType="solid">
        <fgColor rgb="FFBFBFBF"/>
        <bgColor rgb="FFDDDDDD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11" fillId="0" borderId="0" applyBorder="0" applyProtection="0"/>
    <xf numFmtId="0" fontId="5" fillId="2" borderId="0" applyBorder="0" applyProtection="0"/>
    <xf numFmtId="43" fontId="22" fillId="0" borderId="0" applyFont="0" applyFill="0" applyBorder="0" applyAlignment="0" applyProtection="0"/>
    <xf numFmtId="0" fontId="26" fillId="0" borderId="0"/>
    <xf numFmtId="0" fontId="26" fillId="0" borderId="0"/>
    <xf numFmtId="0" fontId="18" fillId="0" borderId="0"/>
    <xf numFmtId="0" fontId="4" fillId="0" borderId="0"/>
    <xf numFmtId="0" fontId="34" fillId="0" borderId="0" applyNumberFormat="0" applyFill="0" applyBorder="0" applyAlignment="0" applyProtection="0">
      <alignment vertical="top"/>
      <protection locked="0"/>
    </xf>
  </cellStyleXfs>
  <cellXfs count="24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8" fillId="3" borderId="0" xfId="0" applyNumberFormat="1" applyFont="1" applyFill="1" applyAlignment="1">
      <alignment vertical="center"/>
    </xf>
    <xf numFmtId="0" fontId="9" fillId="4" borderId="2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/>
    <xf numFmtId="3" fontId="0" fillId="0" borderId="0" xfId="0" applyNumberFormat="1" applyAlignment="1">
      <alignment horizontal="left"/>
    </xf>
    <xf numFmtId="0" fontId="0" fillId="4" borderId="2" xfId="0" applyFill="1" applyBorder="1" applyAlignment="1">
      <alignment vertical="center" wrapText="1"/>
    </xf>
    <xf numFmtId="0" fontId="9" fillId="4" borderId="2" xfId="0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9" fillId="0" borderId="0" xfId="0" applyFont="1"/>
    <xf numFmtId="2" fontId="0" fillId="0" borderId="0" xfId="0" applyNumberFormat="1" applyAlignment="1">
      <alignment horizontal="center"/>
    </xf>
    <xf numFmtId="2" fontId="10" fillId="0" borderId="3" xfId="0" applyNumberFormat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0" fillId="0" borderId="5" xfId="0" applyBorder="1"/>
    <xf numFmtId="164" fontId="9" fillId="0" borderId="0" xfId="0" applyNumberFormat="1" applyFont="1"/>
    <xf numFmtId="0" fontId="11" fillId="0" borderId="0" xfId="1" applyAlignment="1">
      <alignment vertical="center"/>
    </xf>
    <xf numFmtId="2" fontId="10" fillId="0" borderId="6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7" xfId="0" applyBorder="1"/>
    <xf numFmtId="0" fontId="0" fillId="6" borderId="0" xfId="0" applyFill="1"/>
    <xf numFmtId="2" fontId="10" fillId="0" borderId="6" xfId="0" applyNumberFormat="1" applyFont="1" applyBorder="1" applyAlignment="1">
      <alignment horizontal="left" vertical="center"/>
    </xf>
    <xf numFmtId="165" fontId="10" fillId="0" borderId="6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0" fillId="0" borderId="10" xfId="0" applyBorder="1"/>
    <xf numFmtId="0" fontId="8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/>
    </xf>
    <xf numFmtId="0" fontId="13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12" xfId="0" applyBorder="1" applyAlignment="1">
      <alignment vertical="center"/>
    </xf>
    <xf numFmtId="0" fontId="9" fillId="0" borderId="0" xfId="0" applyFont="1" applyAlignment="1">
      <alignment wrapText="1"/>
    </xf>
    <xf numFmtId="0" fontId="14" fillId="7" borderId="0" xfId="0" applyFont="1" applyFill="1"/>
    <xf numFmtId="0" fontId="0" fillId="0" borderId="0" xfId="0" applyAlignment="1">
      <alignment horizontal="left"/>
    </xf>
    <xf numFmtId="0" fontId="9" fillId="0" borderId="1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4" fillId="7" borderId="0" xfId="0" applyFont="1" applyFill="1" applyAlignment="1">
      <alignment horizontal="right" vertical="center"/>
    </xf>
    <xf numFmtId="0" fontId="9" fillId="0" borderId="1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7" borderId="0" xfId="0" applyFill="1"/>
    <xf numFmtId="0" fontId="0" fillId="0" borderId="16" xfId="0" applyBorder="1" applyAlignment="1">
      <alignment vertical="center"/>
    </xf>
    <xf numFmtId="2" fontId="0" fillId="0" borderId="16" xfId="0" applyNumberForma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8" fillId="8" borderId="20" xfId="0" applyFont="1" applyFill="1" applyBorder="1" applyAlignment="1">
      <alignment horizontal="center" vertical="center" wrapText="1"/>
    </xf>
    <xf numFmtId="2" fontId="13" fillId="0" borderId="2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13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3" xfId="0" applyFont="1" applyBorder="1" applyAlignment="1">
      <alignment horizontal="center" vertical="center"/>
    </xf>
    <xf numFmtId="0" fontId="9" fillId="0" borderId="14" xfId="0" applyFont="1" applyBorder="1"/>
    <xf numFmtId="0" fontId="9" fillId="0" borderId="17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9" fillId="0" borderId="19" xfId="0" applyFont="1" applyBorder="1"/>
    <xf numFmtId="14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left" wrapText="1"/>
    </xf>
    <xf numFmtId="164" fontId="0" fillId="0" borderId="0" xfId="0" applyNumberFormat="1"/>
    <xf numFmtId="166" fontId="9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4" fillId="0" borderId="0" xfId="0" applyFont="1"/>
    <xf numFmtId="14" fontId="0" fillId="0" borderId="12" xfId="0" applyNumberFormat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14" fillId="0" borderId="0" xfId="0" applyFont="1" applyAlignment="1">
      <alignment horizontal="right" vertical="center"/>
    </xf>
    <xf numFmtId="0" fontId="13" fillId="9" borderId="20" xfId="0" applyFont="1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0" fillId="11" borderId="1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1" fontId="0" fillId="0" borderId="0" xfId="0" applyNumberFormat="1"/>
    <xf numFmtId="0" fontId="5" fillId="5" borderId="1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168" fontId="9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Border="1" applyAlignment="1">
      <alignment horizontal="right"/>
    </xf>
    <xf numFmtId="167" fontId="9" fillId="0" borderId="11" xfId="0" applyNumberFormat="1" applyFont="1" applyBorder="1" applyAlignment="1">
      <alignment horizontal="left" vertical="center"/>
    </xf>
    <xf numFmtId="2" fontId="9" fillId="0" borderId="11" xfId="0" applyNumberFormat="1" applyFont="1" applyBorder="1" applyAlignment="1">
      <alignment horizontal="right" vertical="center"/>
    </xf>
    <xf numFmtId="3" fontId="0" fillId="0" borderId="11" xfId="0" applyNumberFormat="1" applyBorder="1" applyAlignment="1">
      <alignment horizontal="center" vertical="center"/>
    </xf>
    <xf numFmtId="0" fontId="9" fillId="0" borderId="11" xfId="0" applyFont="1" applyBorder="1"/>
    <xf numFmtId="0" fontId="0" fillId="0" borderId="11" xfId="0" applyBorder="1"/>
    <xf numFmtId="0" fontId="8" fillId="11" borderId="1" xfId="0" applyFont="1" applyFill="1" applyBorder="1" applyAlignment="1">
      <alignment vertical="center" wrapText="1"/>
    </xf>
    <xf numFmtId="0" fontId="8" fillId="11" borderId="15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168" fontId="0" fillId="0" borderId="25" xfId="0" applyNumberFormat="1" applyBorder="1" applyAlignment="1">
      <alignment horizontal="right" vertical="center"/>
    </xf>
    <xf numFmtId="168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166" fontId="0" fillId="0" borderId="25" xfId="0" applyNumberFormat="1" applyBorder="1" applyAlignment="1">
      <alignment vertical="center"/>
    </xf>
    <xf numFmtId="2" fontId="0" fillId="0" borderId="25" xfId="0" applyNumberFormat="1" applyBorder="1" applyAlignment="1">
      <alignment horizontal="right" vertical="center"/>
    </xf>
    <xf numFmtId="0" fontId="20" fillId="0" borderId="0" xfId="0" applyFont="1" applyAlignment="1">
      <alignment wrapText="1"/>
    </xf>
    <xf numFmtId="0" fontId="20" fillId="7" borderId="0" xfId="0" applyFont="1" applyFill="1"/>
    <xf numFmtId="0" fontId="18" fillId="0" borderId="0" xfId="0" applyFont="1"/>
    <xf numFmtId="0" fontId="21" fillId="0" borderId="0" xfId="0" applyFont="1" applyAlignment="1">
      <alignment vertical="center"/>
    </xf>
    <xf numFmtId="0" fontId="23" fillId="10" borderId="1" xfId="0" applyFont="1" applyFill="1" applyBorder="1" applyAlignment="1">
      <alignment horizontal="center" vertical="center" wrapText="1"/>
    </xf>
    <xf numFmtId="43" fontId="0" fillId="0" borderId="0" xfId="3" applyFont="1"/>
    <xf numFmtId="43" fontId="18" fillId="0" borderId="0" xfId="3" applyFont="1"/>
    <xf numFmtId="169" fontId="18" fillId="0" borderId="0" xfId="3" applyNumberFormat="1" applyFont="1"/>
    <xf numFmtId="169" fontId="0" fillId="0" borderId="0" xfId="3" applyNumberFormat="1" applyFont="1"/>
    <xf numFmtId="3" fontId="0" fillId="0" borderId="25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27" xfId="0" applyBorder="1" applyAlignment="1">
      <alignment vertical="center"/>
    </xf>
    <xf numFmtId="0" fontId="0" fillId="0" borderId="16" xfId="0" applyBorder="1"/>
    <xf numFmtId="2" fontId="0" fillId="0" borderId="27" xfId="0" applyNumberFormat="1" applyBorder="1" applyAlignment="1">
      <alignment horizontal="right" vertical="center"/>
    </xf>
    <xf numFmtId="0" fontId="0" fillId="0" borderId="12" xfId="0" applyBorder="1"/>
    <xf numFmtId="14" fontId="0" fillId="0" borderId="0" xfId="0" applyNumberFormat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23" fillId="0" borderId="0" xfId="0" applyFont="1"/>
    <xf numFmtId="0" fontId="23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/>
    <xf numFmtId="0" fontId="12" fillId="0" borderId="0" xfId="0" applyFont="1" applyAlignment="1"/>
    <xf numFmtId="0" fontId="18" fillId="0" borderId="16" xfId="0" applyFont="1" applyBorder="1" applyAlignment="1">
      <alignment horizontal="left" vertical="center"/>
    </xf>
    <xf numFmtId="0" fontId="24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25" fillId="0" borderId="16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26" fillId="0" borderId="0" xfId="4"/>
    <xf numFmtId="0" fontId="26" fillId="0" borderId="0" xfId="5"/>
    <xf numFmtId="0" fontId="4" fillId="0" borderId="0" xfId="7"/>
    <xf numFmtId="0" fontId="4" fillId="0" borderId="0" xfId="7" applyAlignment="1">
      <alignment vertical="center"/>
    </xf>
    <xf numFmtId="14" fontId="4" fillId="0" borderId="18" xfId="7" applyNumberFormat="1" applyBorder="1" applyProtection="1">
      <protection locked="0"/>
    </xf>
    <xf numFmtId="0" fontId="31" fillId="0" borderId="0" xfId="7" applyFont="1" applyAlignment="1">
      <alignment vertical="center"/>
    </xf>
    <xf numFmtId="14" fontId="4" fillId="0" borderId="0" xfId="7" applyNumberFormat="1" applyAlignment="1">
      <alignment vertical="center"/>
    </xf>
    <xf numFmtId="0" fontId="4" fillId="0" borderId="0" xfId="7" applyAlignment="1">
      <alignment horizontal="center" vertical="center"/>
    </xf>
    <xf numFmtId="14" fontId="4" fillId="0" borderId="0" xfId="7" applyNumberFormat="1"/>
    <xf numFmtId="0" fontId="32" fillId="0" borderId="0" xfId="7" applyFont="1" applyAlignment="1">
      <alignment vertical="center"/>
    </xf>
    <xf numFmtId="0" fontId="4" fillId="0" borderId="0" xfId="7" applyAlignment="1">
      <alignment horizontal="left"/>
    </xf>
    <xf numFmtId="14" fontId="4" fillId="0" borderId="0" xfId="7" applyNumberFormat="1" applyAlignment="1">
      <alignment horizontal="left"/>
    </xf>
    <xf numFmtId="0" fontId="4" fillId="0" borderId="0" xfId="7" applyAlignment="1">
      <alignment horizontal="center"/>
    </xf>
    <xf numFmtId="170" fontId="30" fillId="14" borderId="26" xfId="7" applyNumberFormat="1" applyFont="1" applyFill="1" applyBorder="1" applyProtection="1">
      <protection locked="0"/>
    </xf>
    <xf numFmtId="0" fontId="33" fillId="0" borderId="28" xfId="7" applyFont="1" applyBorder="1"/>
    <xf numFmtId="0" fontId="34" fillId="0" borderId="0" xfId="8" applyAlignment="1" applyProtection="1"/>
    <xf numFmtId="0" fontId="4" fillId="0" borderId="1" xfId="7" applyBorder="1" applyProtection="1">
      <protection locked="0"/>
    </xf>
    <xf numFmtId="0" fontId="33" fillId="0" borderId="0" xfId="7" applyFont="1"/>
    <xf numFmtId="0" fontId="4" fillId="0" borderId="0" xfId="7" applyFill="1" applyBorder="1"/>
    <xf numFmtId="14" fontId="4" fillId="0" borderId="0" xfId="7" applyNumberFormat="1" applyFill="1" applyBorder="1" applyProtection="1">
      <protection locked="0"/>
    </xf>
    <xf numFmtId="0" fontId="28" fillId="0" borderId="0" xfId="7" applyFont="1" applyFill="1" applyBorder="1" applyAlignment="1">
      <alignment horizontal="center" vertical="center"/>
    </xf>
    <xf numFmtId="0" fontId="29" fillId="0" borderId="0" xfId="7" applyFont="1" applyFill="1" applyBorder="1" applyAlignment="1">
      <alignment horizontal="center" vertical="center"/>
    </xf>
    <xf numFmtId="170" fontId="30" fillId="0" borderId="0" xfId="7" applyNumberFormat="1" applyFont="1" applyFill="1" applyBorder="1" applyProtection="1">
      <protection locked="0"/>
    </xf>
    <xf numFmtId="14" fontId="4" fillId="0" borderId="0" xfId="7" applyNumberFormat="1" applyFill="1" applyBorder="1"/>
    <xf numFmtId="14" fontId="4" fillId="0" borderId="0" xfId="7" applyNumberFormat="1" applyAlignment="1">
      <alignment horizontal="center" vertical="center"/>
    </xf>
    <xf numFmtId="0" fontId="4" fillId="0" borderId="0" xfId="7" applyAlignment="1">
      <alignment horizontal="right" vertical="center"/>
    </xf>
    <xf numFmtId="1" fontId="4" fillId="0" borderId="0" xfId="7" applyNumberFormat="1" applyAlignment="1">
      <alignment vertical="center"/>
    </xf>
    <xf numFmtId="0" fontId="27" fillId="0" borderId="0" xfId="7" applyFont="1" applyAlignment="1">
      <alignment horizontal="center" vertical="center"/>
    </xf>
    <xf numFmtId="0" fontId="3" fillId="0" borderId="0" xfId="7" applyFont="1" applyAlignment="1">
      <alignment vertical="center"/>
    </xf>
    <xf numFmtId="0" fontId="2" fillId="0" borderId="0" xfId="7" applyFont="1" applyAlignment="1">
      <alignment vertical="center"/>
    </xf>
    <xf numFmtId="10" fontId="0" fillId="0" borderId="0" xfId="0" applyNumberFormat="1"/>
    <xf numFmtId="0" fontId="18" fillId="0" borderId="0" xfId="0" applyFont="1" applyAlignment="1">
      <alignment horizontal="right"/>
    </xf>
    <xf numFmtId="9" fontId="0" fillId="0" borderId="0" xfId="0" applyNumberFormat="1"/>
    <xf numFmtId="2" fontId="18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  <xf numFmtId="166" fontId="0" fillId="13" borderId="25" xfId="0" applyNumberFormat="1" applyFill="1" applyBorder="1" applyAlignment="1">
      <alignment vertical="center"/>
    </xf>
    <xf numFmtId="0" fontId="0" fillId="13" borderId="16" xfId="0" applyFill="1" applyBorder="1" applyAlignment="1">
      <alignment horizontal="right" vertical="center"/>
    </xf>
    <xf numFmtId="167" fontId="0" fillId="13" borderId="29" xfId="0" applyNumberFormat="1" applyFill="1" applyBorder="1" applyAlignment="1">
      <alignment horizontal="left" vertical="center"/>
    </xf>
    <xf numFmtId="2" fontId="0" fillId="13" borderId="25" xfId="0" applyNumberFormat="1" applyFill="1" applyBorder="1" applyAlignment="1">
      <alignment horizontal="center" vertical="center"/>
    </xf>
    <xf numFmtId="2" fontId="0" fillId="13" borderId="30" xfId="0" applyNumberFormat="1" applyFill="1" applyBorder="1" applyAlignment="1">
      <alignment horizontal="right" vertical="center"/>
    </xf>
    <xf numFmtId="3" fontId="0" fillId="13" borderId="29" xfId="0" applyNumberFormat="1" applyFill="1" applyBorder="1" applyAlignment="1">
      <alignment horizontal="center" vertical="center"/>
    </xf>
    <xf numFmtId="2" fontId="0" fillId="13" borderId="29" xfId="0" applyNumberFormat="1" applyFill="1" applyBorder="1" applyAlignment="1">
      <alignment vertical="center"/>
    </xf>
    <xf numFmtId="0" fontId="0" fillId="13" borderId="16" xfId="0" applyFill="1" applyBorder="1"/>
    <xf numFmtId="168" fontId="0" fillId="13" borderId="25" xfId="0" applyNumberFormat="1" applyFill="1" applyBorder="1" applyAlignment="1">
      <alignment horizontal="center" vertical="center"/>
    </xf>
    <xf numFmtId="2" fontId="0" fillId="13" borderId="25" xfId="0" applyNumberForma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6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32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0" fillId="0" borderId="0" xfId="0" applyFill="1" applyAlignment="1">
      <alignment vertical="center"/>
    </xf>
    <xf numFmtId="0" fontId="1" fillId="0" borderId="0" xfId="7" applyFont="1" applyAlignment="1">
      <alignment vertical="center"/>
    </xf>
    <xf numFmtId="0" fontId="2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/>
    </xf>
    <xf numFmtId="0" fontId="27" fillId="0" borderId="0" xfId="7" applyFont="1" applyAlignment="1">
      <alignment horizontal="center" vertical="center"/>
    </xf>
    <xf numFmtId="0" fontId="32" fillId="0" borderId="0" xfId="0" applyFont="1" applyAlignment="1">
      <alignment horizontal="center" vertical="center"/>
    </xf>
  </cellXfs>
  <cellStyles count="9">
    <cellStyle name="Lien hypertexte" xfId="1" builtinId="8"/>
    <cellStyle name="Lien hypertexte 2" xfId="8" xr:uid="{904E25A5-ECE1-469C-90DD-FF440A4068E6}"/>
    <cellStyle name="Milliers" xfId="3" builtinId="3"/>
    <cellStyle name="Normal" xfId="0" builtinId="0"/>
    <cellStyle name="Normal 2" xfId="6" xr:uid="{E4C275D0-525E-40DC-8ED9-97F73467869B}"/>
    <cellStyle name="Normal 23" xfId="4" xr:uid="{0B69435F-ACE8-4574-A253-71B56E565AFE}"/>
    <cellStyle name="Normal 25" xfId="5" xr:uid="{45C73B30-E184-4726-B55A-85EFF6280FBC}"/>
    <cellStyle name="Normal 3" xfId="7" xr:uid="{8E2B0C70-4D1D-4575-B417-D7430C168A4D}"/>
    <cellStyle name="Texte explicatif" xfId="2" builtinId="53" customBuiltin="1"/>
  </cellStyles>
  <dxfs count="220"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ont>
        <strike val="0"/>
        <color rgb="FFFF0000"/>
      </font>
      <fill>
        <patternFill>
          <bgColor rgb="FF92D050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FF3333"/>
        </patternFill>
      </fill>
    </dxf>
    <dxf>
      <fill>
        <patternFill>
          <bgColor rgb="FF7ABC32"/>
        </patternFill>
      </fill>
    </dxf>
    <dxf>
      <fill>
        <patternFill>
          <bgColor rgb="FFFD67F2"/>
        </patternFill>
      </fill>
    </dxf>
    <dxf>
      <fill>
        <patternFill>
          <bgColor theme="5"/>
        </patternFill>
      </fill>
    </dxf>
    <dxf>
      <fill>
        <patternFill>
          <bgColor rgb="FFFF3333"/>
        </patternFill>
      </fill>
    </dxf>
    <dxf>
      <fill>
        <patternFill>
          <bgColor rgb="FF7ABC32"/>
        </patternFill>
      </fill>
    </dxf>
    <dxf>
      <fill>
        <patternFill>
          <bgColor rgb="FFFD67F2"/>
        </patternFill>
      </fill>
    </dxf>
    <dxf>
      <fill>
        <patternFill>
          <bgColor rgb="FFFBAF3F"/>
        </patternFill>
      </fill>
    </dxf>
    <dxf>
      <fill>
        <patternFill>
          <bgColor rgb="FFFF8181"/>
        </patternFill>
      </fill>
    </dxf>
    <dxf>
      <fill>
        <patternFill>
          <bgColor rgb="FFB6DF89"/>
        </patternFill>
      </fill>
    </dxf>
    <dxf>
      <fill>
        <patternFill>
          <bgColor rgb="FFFD87F5"/>
        </patternFill>
      </fill>
    </dxf>
    <dxf>
      <fill>
        <patternFill>
          <bgColor rgb="FFFBAF3F"/>
        </patternFill>
      </fill>
    </dxf>
    <dxf>
      <fill>
        <patternFill>
          <bgColor rgb="FFFF8181"/>
        </patternFill>
      </fill>
    </dxf>
    <dxf>
      <fill>
        <patternFill>
          <bgColor rgb="FFB6DF89"/>
        </patternFill>
      </fill>
    </dxf>
    <dxf>
      <fill>
        <patternFill>
          <bgColor rgb="FFFD87F5"/>
        </patternFill>
      </fill>
    </dxf>
    <dxf>
      <font>
        <color auto="1"/>
      </font>
      <fill>
        <patternFill>
          <bgColor rgb="FFFBAF3F"/>
        </patternFill>
      </fill>
    </dxf>
    <dxf>
      <fill>
        <patternFill>
          <bgColor rgb="FFFF9797"/>
        </patternFill>
      </fill>
    </dxf>
    <dxf>
      <fill>
        <patternFill>
          <bgColor rgb="FFB6DF89"/>
        </patternFill>
      </fill>
    </dxf>
    <dxf>
      <fill>
        <patternFill>
          <bgColor rgb="FFFD87F5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C4BD97"/>
      <rgbColor rgb="FF808080"/>
      <rgbColor rgb="FF9999FF"/>
      <rgbColor rgb="FF993366"/>
      <rgbColor rgb="FFFFFFCC"/>
      <rgbColor rgb="FFC6EFCE"/>
      <rgbColor rgb="FF660066"/>
      <rgbColor rgb="FFFFCCCC"/>
      <rgbColor rgb="FF0066CC"/>
      <rgbColor rgb="FFB9CDE5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B0F0"/>
      <rgbColor rgb="FFDDDDDD"/>
      <rgbColor rgb="FFCCFFCC"/>
      <rgbColor rgb="FFFFFF66"/>
      <rgbColor rgb="FF95B3D7"/>
      <rgbColor rgb="FFE6B9B8"/>
      <rgbColor rgb="FFFFC7CE"/>
      <rgbColor rgb="FFFAC090"/>
      <rgbColor rgb="FF3366FF"/>
      <rgbColor rgb="FF66CCFF"/>
      <rgbColor rgb="FF99CC00"/>
      <rgbColor rgb="FFFABF8F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4B4B"/>
      <color rgb="FFFF9933"/>
      <color rgb="FFFBAF3F"/>
      <color rgb="FFFFD03B"/>
      <color rgb="FFFD67F2"/>
      <color rgb="FFFD87F5"/>
      <color rgb="FF7ABC32"/>
      <color rgb="FFB6DF89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876210</xdr:colOff>
      <xdr:row>28</xdr:row>
      <xdr:rowOff>85665</xdr:rowOff>
    </xdr:from>
    <xdr:to>
      <xdr:col>11</xdr:col>
      <xdr:colOff>1618950</xdr:colOff>
      <xdr:row>31</xdr:row>
      <xdr:rowOff>190275</xdr:rowOff>
    </xdr:to>
    <xdr:pic>
      <xdr:nvPicPr>
        <xdr:cNvPr id="4" name="Imag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306210" y="5781615"/>
          <a:ext cx="742740" cy="6761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295276</xdr:colOff>
      <xdr:row>37</xdr:row>
      <xdr:rowOff>76201</xdr:rowOff>
    </xdr:from>
    <xdr:to>
      <xdr:col>1</xdr:col>
      <xdr:colOff>2124076</xdr:colOff>
      <xdr:row>39</xdr:row>
      <xdr:rowOff>128072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6" y="7962901"/>
          <a:ext cx="1828800" cy="69957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0</xdr:rowOff>
    </xdr:from>
    <xdr:to>
      <xdr:col>1</xdr:col>
      <xdr:colOff>410661</xdr:colOff>
      <xdr:row>1</xdr:row>
      <xdr:rowOff>188144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4B91B5D6-1B31-4A23-9E40-43912A17C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125036" cy="550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35</xdr:row>
      <xdr:rowOff>180975</xdr:rowOff>
    </xdr:from>
    <xdr:to>
      <xdr:col>1</xdr:col>
      <xdr:colOff>1533525</xdr:colOff>
      <xdr:row>37</xdr:row>
      <xdr:rowOff>223321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781925"/>
          <a:ext cx="1828800" cy="699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363036</xdr:colOff>
      <xdr:row>1</xdr:row>
      <xdr:rowOff>188144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E0CDA6-2462-43D9-AC5F-FF49136B7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5036" cy="5500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857160</xdr:colOff>
      <xdr:row>42</xdr:row>
      <xdr:rowOff>190440</xdr:rowOff>
    </xdr:from>
    <xdr:to>
      <xdr:col>9</xdr:col>
      <xdr:colOff>1599900</xdr:colOff>
      <xdr:row>45</xdr:row>
      <xdr:rowOff>199800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896260" y="9439215"/>
          <a:ext cx="742740" cy="6761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342901</xdr:colOff>
      <xdr:row>38</xdr:row>
      <xdr:rowOff>152401</xdr:rowOff>
    </xdr:from>
    <xdr:to>
      <xdr:col>1</xdr:col>
      <xdr:colOff>2171701</xdr:colOff>
      <xdr:row>40</xdr:row>
      <xdr:rowOff>261422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1" y="8277226"/>
          <a:ext cx="1828800" cy="699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410661</xdr:colOff>
      <xdr:row>1</xdr:row>
      <xdr:rowOff>188144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177412AC-5B21-4C4D-B19D-87DAB33CC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5036" cy="5500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17</xdr:row>
      <xdr:rowOff>114300</xdr:rowOff>
    </xdr:from>
    <xdr:to>
      <xdr:col>2</xdr:col>
      <xdr:colOff>728814</xdr:colOff>
      <xdr:row>21</xdr:row>
      <xdr:rowOff>26613</xdr:rowOff>
    </xdr:to>
    <xdr:pic>
      <xdr:nvPicPr>
        <xdr:cNvPr id="2" name="Image 1" descr="signature ML.jpg">
          <a:extLst>
            <a:ext uri="{FF2B5EF4-FFF2-40B4-BE49-F238E27FC236}">
              <a16:creationId xmlns:a16="http://schemas.microsoft.com/office/drawing/2014/main" id="{B83B5A32-B150-4ED7-81B9-0D85BDD50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6375" y="3762375"/>
          <a:ext cx="1005039" cy="67431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14</xdr:row>
      <xdr:rowOff>476251</xdr:rowOff>
    </xdr:from>
    <xdr:to>
      <xdr:col>6</xdr:col>
      <xdr:colOff>733425</xdr:colOff>
      <xdr:row>20</xdr:row>
      <xdr:rowOff>67709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4EF81FC-B0B1-41FE-B808-0BB615543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3267076"/>
          <a:ext cx="2667000" cy="1020208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57</xdr:row>
      <xdr:rowOff>0</xdr:rowOff>
    </xdr:from>
    <xdr:ext cx="1005039" cy="674313"/>
    <xdr:pic>
      <xdr:nvPicPr>
        <xdr:cNvPr id="10" name="Image 9" descr="signature ML.jpg">
          <a:extLst>
            <a:ext uri="{FF2B5EF4-FFF2-40B4-BE49-F238E27FC236}">
              <a16:creationId xmlns:a16="http://schemas.microsoft.com/office/drawing/2014/main" id="{7711F63A-FC5A-467C-A0E2-6FFF2CD41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1625" y="13392150"/>
          <a:ext cx="1005039" cy="674313"/>
        </a:xfrm>
        <a:prstGeom prst="rect">
          <a:avLst/>
        </a:prstGeom>
      </xdr:spPr>
    </xdr:pic>
    <xdr:clientData/>
  </xdr:oneCellAnchor>
  <xdr:oneCellAnchor>
    <xdr:from>
      <xdr:col>3</xdr:col>
      <xdr:colOff>352425</xdr:colOff>
      <xdr:row>54</xdr:row>
      <xdr:rowOff>476251</xdr:rowOff>
    </xdr:from>
    <xdr:ext cx="2667000" cy="1020208"/>
    <xdr:pic>
      <xdr:nvPicPr>
        <xdr:cNvPr id="11" name="Image 10">
          <a:extLst>
            <a:ext uri="{FF2B5EF4-FFF2-40B4-BE49-F238E27FC236}">
              <a16:creationId xmlns:a16="http://schemas.microsoft.com/office/drawing/2014/main" id="{998B475C-B23F-4E36-B0ED-F9B9E30F7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13011151"/>
          <a:ext cx="2667000" cy="1020208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58</xdr:row>
      <xdr:rowOff>0</xdr:rowOff>
    </xdr:from>
    <xdr:ext cx="1005039" cy="674313"/>
    <xdr:pic>
      <xdr:nvPicPr>
        <xdr:cNvPr id="14" name="Image 13" descr="signature ML.jpg">
          <a:extLst>
            <a:ext uri="{FF2B5EF4-FFF2-40B4-BE49-F238E27FC236}">
              <a16:creationId xmlns:a16="http://schemas.microsoft.com/office/drawing/2014/main" id="{2F2AD1C4-0367-465A-A753-C64A1D292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8050" y="13582650"/>
          <a:ext cx="1005039" cy="674313"/>
        </a:xfrm>
        <a:prstGeom prst="rect">
          <a:avLst/>
        </a:prstGeom>
      </xdr:spPr>
    </xdr:pic>
    <xdr:clientData/>
  </xdr:oneCellAnchor>
  <xdr:oneCellAnchor>
    <xdr:from>
      <xdr:col>10</xdr:col>
      <xdr:colOff>304800</xdr:colOff>
      <xdr:row>56</xdr:row>
      <xdr:rowOff>171451</xdr:rowOff>
    </xdr:from>
    <xdr:ext cx="2667000" cy="1020208"/>
    <xdr:pic>
      <xdr:nvPicPr>
        <xdr:cNvPr id="15" name="Image 14">
          <a:extLst>
            <a:ext uri="{FF2B5EF4-FFF2-40B4-BE49-F238E27FC236}">
              <a16:creationId xmlns:a16="http://schemas.microsoft.com/office/drawing/2014/main" id="{AA169223-DD8C-4D79-B612-3DD1B7E4C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13373101"/>
          <a:ext cx="2667000" cy="1020208"/>
        </a:xfrm>
        <a:prstGeom prst="rect">
          <a:avLst/>
        </a:prstGeom>
      </xdr:spPr>
    </xdr:pic>
    <xdr:clientData/>
  </xdr:oneCellAnchor>
  <xdr:oneCellAnchor>
    <xdr:from>
      <xdr:col>0</xdr:col>
      <xdr:colOff>466725</xdr:colOff>
      <xdr:row>65</xdr:row>
      <xdr:rowOff>171450</xdr:rowOff>
    </xdr:from>
    <xdr:ext cx="1349376" cy="628650"/>
    <xdr:pic>
      <xdr:nvPicPr>
        <xdr:cNvPr id="16" name="Image 15" descr="sas wao simple.jpg">
          <a:extLst>
            <a:ext uri="{FF2B5EF4-FFF2-40B4-BE49-F238E27FC236}">
              <a16:creationId xmlns:a16="http://schemas.microsoft.com/office/drawing/2014/main" id="{882E294E-DBC7-4D36-A619-3AAAD0532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6725" y="15087600"/>
          <a:ext cx="1349376" cy="6286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0</xdr:rowOff>
    </xdr:from>
    <xdr:ext cx="1005039" cy="674313"/>
    <xdr:pic>
      <xdr:nvPicPr>
        <xdr:cNvPr id="17" name="Image 16" descr="signature ML.jpg">
          <a:extLst>
            <a:ext uri="{FF2B5EF4-FFF2-40B4-BE49-F238E27FC236}">
              <a16:creationId xmlns:a16="http://schemas.microsoft.com/office/drawing/2014/main" id="{4DE7107C-024B-4C6A-A913-BD00BDB91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1625" y="18478500"/>
          <a:ext cx="1005039" cy="674313"/>
        </a:xfrm>
        <a:prstGeom prst="rect">
          <a:avLst/>
        </a:prstGeom>
      </xdr:spPr>
    </xdr:pic>
    <xdr:clientData/>
  </xdr:oneCellAnchor>
  <xdr:oneCellAnchor>
    <xdr:from>
      <xdr:col>3</xdr:col>
      <xdr:colOff>304800</xdr:colOff>
      <xdr:row>80</xdr:row>
      <xdr:rowOff>171451</xdr:rowOff>
    </xdr:from>
    <xdr:ext cx="2667000" cy="1020208"/>
    <xdr:pic>
      <xdr:nvPicPr>
        <xdr:cNvPr id="18" name="Image 17">
          <a:extLst>
            <a:ext uri="{FF2B5EF4-FFF2-40B4-BE49-F238E27FC236}">
              <a16:creationId xmlns:a16="http://schemas.microsoft.com/office/drawing/2014/main" id="{CED917C3-BBFD-447B-A7F7-B178D9F7F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18268951"/>
          <a:ext cx="2667000" cy="1020208"/>
        </a:xfrm>
        <a:prstGeom prst="rect">
          <a:avLst/>
        </a:prstGeom>
      </xdr:spPr>
    </xdr:pic>
    <xdr:clientData/>
  </xdr:oneCellAnchor>
  <xdr:twoCellAnchor editAs="oneCell">
    <xdr:from>
      <xdr:col>1</xdr:col>
      <xdr:colOff>13720</xdr:colOff>
      <xdr:row>0</xdr:row>
      <xdr:rowOff>76200</xdr:rowOff>
    </xdr:from>
    <xdr:to>
      <xdr:col>2</xdr:col>
      <xdr:colOff>57150</xdr:colOff>
      <xdr:row>1</xdr:row>
      <xdr:rowOff>19050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87D2DABD-B70E-460A-95BD-66F920665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20" y="76200"/>
          <a:ext cx="1034030" cy="514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22</xdr:row>
      <xdr:rowOff>200025</xdr:rowOff>
    </xdr:from>
    <xdr:to>
      <xdr:col>0</xdr:col>
      <xdr:colOff>1938489</xdr:colOff>
      <xdr:row>25</xdr:row>
      <xdr:rowOff>131388</xdr:rowOff>
    </xdr:to>
    <xdr:pic>
      <xdr:nvPicPr>
        <xdr:cNvPr id="2" name="Image 1" descr="signature ML.jpg">
          <a:extLst>
            <a:ext uri="{FF2B5EF4-FFF2-40B4-BE49-F238E27FC236}">
              <a16:creationId xmlns:a16="http://schemas.microsoft.com/office/drawing/2014/main" id="{FADFC1E6-5223-43A1-BCC6-01CF254B2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3450" y="5543550"/>
          <a:ext cx="1005039" cy="674313"/>
        </a:xfrm>
        <a:prstGeom prst="rect">
          <a:avLst/>
        </a:prstGeom>
      </xdr:spPr>
    </xdr:pic>
    <xdr:clientData/>
  </xdr:twoCellAnchor>
  <xdr:twoCellAnchor editAs="oneCell">
    <xdr:from>
      <xdr:col>0</xdr:col>
      <xdr:colOff>2486025</xdr:colOff>
      <xdr:row>23</xdr:row>
      <xdr:rowOff>57150</xdr:rowOff>
    </xdr:from>
    <xdr:to>
      <xdr:col>3</xdr:col>
      <xdr:colOff>704850</xdr:colOff>
      <xdr:row>26</xdr:row>
      <xdr:rowOff>195951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14388EA-7620-4F6E-8406-37DBC8289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5648325"/>
          <a:ext cx="2305050" cy="8817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1034030</xdr:colOff>
      <xdr:row>1</xdr:row>
      <xdr:rowOff>323850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3AF797B-D03A-4524-956A-C30B64749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4030" cy="5143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tes/Dropbox/1_SAS%20WAO/z_tableaux/r&#233;cap%20location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erte "/>
      <sheetName val="black"/>
      <sheetName val="gains sans black"/>
      <sheetName val="CA _ex_gite"/>
      <sheetName val="gains ex en cours"/>
      <sheetName val="location"/>
      <sheetName val="N° facture ex 20-21"/>
      <sheetName val="N° facture ex 19-20"/>
      <sheetName val="Bilan annuel 2020"/>
      <sheetName val="Bilan recettes"/>
      <sheetName val="feuil tri modif TS"/>
      <sheetName val="TDS Manola"/>
      <sheetName val="TDS Brinchette"/>
      <sheetName val="TDS Lauveroye"/>
      <sheetName val="TDS Petit Nay"/>
      <sheetName val="calcul etoile"/>
      <sheetName val="M TDS 2,5%"/>
      <sheetName val="B TDS 2,5%"/>
      <sheetName val="L TDS 2,5% "/>
      <sheetName val="PN TDS 2,5% "/>
      <sheetName val="comparaison taxe"/>
      <sheetName val="attestation séjour"/>
      <sheetName val="reç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S2" t="str">
            <v>Manola</v>
          </cell>
          <cell r="T2" t="str">
            <v>24 rue de la Vautée, 08240 Fossé</v>
          </cell>
        </row>
        <row r="3">
          <cell r="S3" t="str">
            <v>Brinchette</v>
          </cell>
          <cell r="T3" t="str">
            <v>24 rue de la Gare, 08240 Bar les buzancy</v>
          </cell>
        </row>
        <row r="4">
          <cell r="S4" t="str">
            <v>Lauberoye</v>
          </cell>
          <cell r="T4" t="str">
            <v>12 rue du Moulin, 08240 Fontenois</v>
          </cell>
        </row>
        <row r="5">
          <cell r="S5" t="str">
            <v>Petit Nay</v>
          </cell>
          <cell r="T5" t="str">
            <v>81 route de Stenay, 08240 Nouart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ites-wao.fr/" TargetMode="External"/><Relationship Id="rId1" Type="http://schemas.openxmlformats.org/officeDocument/2006/relationships/hyperlink" Target="mailto:contact@gites-wao.f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ites-wao.fr/" TargetMode="External"/><Relationship Id="rId1" Type="http://schemas.openxmlformats.org/officeDocument/2006/relationships/hyperlink" Target="mailto:contact@gites-wao.f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ites-wao.fr/" TargetMode="External"/><Relationship Id="rId1" Type="http://schemas.openxmlformats.org/officeDocument/2006/relationships/hyperlink" Target="mailto:contact@gites-wao.fr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zoomScaleNormal="100" workbookViewId="0">
      <selection activeCell="M32" sqref="M32:M34"/>
    </sheetView>
  </sheetViews>
  <sheetFormatPr baseColWidth="10" defaultColWidth="9.140625" defaultRowHeight="15" x14ac:dyDescent="0.25"/>
  <cols>
    <col min="1" max="1" width="11.42578125"/>
    <col min="2" max="2" width="33.28515625" customWidth="1"/>
    <col min="3" max="3" width="11.42578125" style="1"/>
    <col min="4" max="4" width="12.28515625" customWidth="1"/>
    <col min="5" max="5" width="5.42578125" style="1" customWidth="1"/>
    <col min="6" max="6" width="11" customWidth="1"/>
    <col min="7" max="7" width="12.85546875" customWidth="1"/>
    <col min="8" max="9" width="11.42578125"/>
    <col min="10" max="10" width="24" customWidth="1"/>
    <col min="11" max="11" width="26.85546875" customWidth="1"/>
    <col min="12" max="12" width="36.42578125" customWidth="1"/>
    <col min="13" max="13" width="26.42578125" customWidth="1"/>
    <col min="14" max="15" width="17" customWidth="1"/>
    <col min="16" max="1026" width="9.140625" customWidth="1"/>
  </cols>
  <sheetData>
    <row r="1" spans="1:16" ht="28.5" customHeight="1" x14ac:dyDescent="0.25">
      <c r="A1" s="137"/>
      <c r="B1" s="3"/>
      <c r="C1" s="4"/>
      <c r="D1" s="235" t="s">
        <v>72</v>
      </c>
      <c r="E1" s="235"/>
      <c r="F1" s="235"/>
      <c r="G1" s="235"/>
      <c r="K1" s="5" t="s">
        <v>0</v>
      </c>
      <c r="L1" s="6" t="s">
        <v>94</v>
      </c>
    </row>
    <row r="2" spans="1:16" x14ac:dyDescent="0.25">
      <c r="B2" s="3"/>
      <c r="C2" s="4"/>
      <c r="D2" s="7" t="s">
        <v>1</v>
      </c>
      <c r="E2" s="236" t="s">
        <v>2</v>
      </c>
      <c r="F2" s="236"/>
      <c r="G2" s="7" t="s">
        <v>3</v>
      </c>
      <c r="K2" s="5" t="s">
        <v>4</v>
      </c>
      <c r="L2" s="6" t="s">
        <v>5</v>
      </c>
    </row>
    <row r="3" spans="1:16" ht="17.25" customHeight="1" x14ac:dyDescent="0.25">
      <c r="A3" s="3" t="s">
        <v>11</v>
      </c>
      <c r="B3" s="3"/>
      <c r="C3" s="4"/>
      <c r="D3" s="9" t="e">
        <f>VLOOKUP("So",I8:O15,5,FALSE)</f>
        <v>#N/A</v>
      </c>
      <c r="E3" s="237" t="e">
        <f>VLOOKUP("So",I8:O15,4,FALSE)</f>
        <v>#N/A</v>
      </c>
      <c r="F3" s="238"/>
      <c r="G3" s="9">
        <f>J1</f>
        <v>0</v>
      </c>
      <c r="I3" s="10"/>
      <c r="J3" s="11" t="str">
        <f>UPPER(LEFT(K27,2))</f>
        <v/>
      </c>
      <c r="K3" s="5" t="s">
        <v>7</v>
      </c>
      <c r="L3" s="12" t="s">
        <v>95</v>
      </c>
    </row>
    <row r="4" spans="1:16" x14ac:dyDescent="0.25">
      <c r="A4" s="3" t="s">
        <v>16</v>
      </c>
      <c r="B4" s="23" t="s">
        <v>17</v>
      </c>
      <c r="C4" s="4"/>
      <c r="D4" s="3"/>
      <c r="E4" s="4"/>
      <c r="F4" s="3"/>
      <c r="K4" s="5" t="s">
        <v>9</v>
      </c>
      <c r="L4" s="13" t="s">
        <v>10</v>
      </c>
    </row>
    <row r="5" spans="1:16" ht="14.25" customHeight="1" x14ac:dyDescent="0.25">
      <c r="A5" s="3" t="s">
        <v>19</v>
      </c>
      <c r="B5" s="23" t="s">
        <v>20</v>
      </c>
      <c r="C5" s="14"/>
      <c r="D5" s="3"/>
      <c r="E5" s="4"/>
      <c r="F5" s="3"/>
    </row>
    <row r="6" spans="1:16" ht="13.5" customHeight="1" x14ac:dyDescent="0.25">
      <c r="B6" s="3"/>
      <c r="C6" s="4"/>
      <c r="D6" s="3"/>
      <c r="E6" s="4"/>
      <c r="F6" s="3"/>
      <c r="I6" s="1"/>
      <c r="J6" s="15" t="s">
        <v>70</v>
      </c>
      <c r="P6" s="16"/>
    </row>
    <row r="7" spans="1:16" ht="15.75" customHeight="1" x14ac:dyDescent="0.25">
      <c r="A7" s="3" t="s">
        <v>85</v>
      </c>
      <c r="B7" s="3"/>
      <c r="C7" s="17"/>
      <c r="D7" s="18"/>
      <c r="E7" s="19"/>
      <c r="F7" s="20"/>
      <c r="G7" s="21"/>
      <c r="J7" s="22" t="s">
        <v>12</v>
      </c>
      <c r="K7" s="15" t="s">
        <v>13</v>
      </c>
      <c r="L7" s="15" t="s">
        <v>14</v>
      </c>
      <c r="M7" s="15" t="s">
        <v>15</v>
      </c>
      <c r="N7" s="15" t="s">
        <v>80</v>
      </c>
      <c r="O7" s="15" t="s">
        <v>81</v>
      </c>
      <c r="P7" s="16"/>
    </row>
    <row r="8" spans="1:16" ht="15.75" customHeight="1" x14ac:dyDescent="0.25">
      <c r="A8" s="35" t="s">
        <v>24</v>
      </c>
      <c r="C8" s="24"/>
      <c r="D8" s="25" t="s">
        <v>18</v>
      </c>
      <c r="E8" s="26"/>
      <c r="F8" s="25"/>
      <c r="G8" s="27"/>
      <c r="I8" s="28" t="str">
        <f t="shared" ref="I8:I15" si="0">MID(N8,1,2)</f>
        <v/>
      </c>
      <c r="J8" s="105"/>
      <c r="K8" s="106"/>
      <c r="L8" s="28"/>
      <c r="M8" s="28"/>
      <c r="N8" s="28"/>
      <c r="O8" s="28"/>
    </row>
    <row r="9" spans="1:16" ht="15.75" customHeight="1" x14ac:dyDescent="0.25">
      <c r="C9" s="29"/>
      <c r="D9" s="25" t="s">
        <v>21</v>
      </c>
      <c r="E9" s="26"/>
      <c r="F9" s="25"/>
      <c r="G9" s="27"/>
      <c r="I9" s="28" t="str">
        <f t="shared" si="0"/>
        <v/>
      </c>
      <c r="J9" s="105"/>
      <c r="K9" s="106"/>
      <c r="L9" s="28"/>
      <c r="M9" s="28"/>
      <c r="N9" s="28"/>
      <c r="O9" s="28"/>
    </row>
    <row r="10" spans="1:16" ht="15.75" customHeight="1" x14ac:dyDescent="0.25">
      <c r="A10" s="154" t="s">
        <v>91</v>
      </c>
      <c r="B10" s="3"/>
      <c r="C10" s="30"/>
      <c r="D10" s="25" t="s">
        <v>22</v>
      </c>
      <c r="E10" s="26"/>
      <c r="F10" s="25"/>
      <c r="G10" s="27"/>
      <c r="I10" s="28" t="str">
        <f t="shared" si="0"/>
        <v/>
      </c>
      <c r="J10" s="105"/>
      <c r="K10" s="106"/>
      <c r="L10" s="28"/>
      <c r="M10" s="28"/>
      <c r="N10" s="28"/>
      <c r="O10" s="28"/>
    </row>
    <row r="11" spans="1:16" ht="15.75" customHeight="1" x14ac:dyDescent="0.25">
      <c r="A11" s="154" t="s">
        <v>93</v>
      </c>
      <c r="B11" s="3"/>
      <c r="C11" s="170"/>
      <c r="D11" s="171"/>
      <c r="E11" s="172"/>
      <c r="F11" s="171"/>
      <c r="G11" s="27"/>
      <c r="I11" s="28" t="str">
        <f t="shared" si="0"/>
        <v/>
      </c>
      <c r="J11" s="105"/>
      <c r="K11" s="106"/>
      <c r="L11" s="28"/>
      <c r="M11" s="28"/>
      <c r="N11" s="28"/>
      <c r="O11" s="28"/>
    </row>
    <row r="12" spans="1:16" ht="13.5" customHeight="1" x14ac:dyDescent="0.25">
      <c r="A12" s="169" t="s">
        <v>92</v>
      </c>
      <c r="B12" s="3"/>
      <c r="C12" s="173"/>
      <c r="D12" s="174"/>
      <c r="E12" s="175"/>
      <c r="F12" s="174"/>
      <c r="G12" s="34"/>
      <c r="I12" s="28" t="str">
        <f t="shared" si="0"/>
        <v/>
      </c>
      <c r="J12" s="105"/>
      <c r="K12" s="106"/>
      <c r="L12" s="28"/>
      <c r="M12" s="28"/>
      <c r="N12" s="28"/>
      <c r="O12" s="28"/>
    </row>
    <row r="13" spans="1:16" x14ac:dyDescent="0.25">
      <c r="C13" s="36"/>
      <c r="D13" s="37"/>
      <c r="I13" s="28" t="str">
        <f t="shared" si="0"/>
        <v/>
      </c>
      <c r="J13" s="105"/>
      <c r="K13" s="106"/>
      <c r="L13" s="28"/>
      <c r="M13" s="28"/>
      <c r="N13" s="28"/>
      <c r="O13" s="28"/>
    </row>
    <row r="14" spans="1:16" x14ac:dyDescent="0.25">
      <c r="A14" s="38" t="s">
        <v>27</v>
      </c>
      <c r="B14" s="39"/>
      <c r="C14" s="164" t="s">
        <v>90</v>
      </c>
      <c r="D14" s="165" t="str">
        <f>CONCATENATE('acompte 1'!J20," ",'acompte 1'!J21," ",K27)</f>
        <v xml:space="preserve">PRÉNOM 0 </v>
      </c>
      <c r="I14" s="28" t="str">
        <f t="shared" si="0"/>
        <v/>
      </c>
      <c r="J14" s="105"/>
      <c r="K14" s="106"/>
      <c r="L14" s="28"/>
      <c r="M14" s="28"/>
      <c r="N14" s="28"/>
      <c r="O14" s="28"/>
    </row>
    <row r="15" spans="1:16" x14ac:dyDescent="0.25">
      <c r="A15" s="40" t="s">
        <v>29</v>
      </c>
      <c r="B15" s="39"/>
      <c r="C15" s="107" t="s">
        <v>89</v>
      </c>
      <c r="E15" s="239">
        <f>B15+10</f>
        <v>10</v>
      </c>
      <c r="F15" s="240"/>
      <c r="I15" s="28" t="str">
        <f t="shared" si="0"/>
        <v/>
      </c>
      <c r="J15" s="105"/>
      <c r="K15" s="106"/>
      <c r="L15" s="28"/>
      <c r="M15" s="28"/>
      <c r="N15" s="28"/>
      <c r="O15" s="28"/>
    </row>
    <row r="16" spans="1:16" ht="7.5" customHeight="1" x14ac:dyDescent="0.25">
      <c r="A16" s="3"/>
      <c r="B16" s="41"/>
      <c r="C16" s="4"/>
      <c r="D16" s="3"/>
      <c r="E16" s="4"/>
      <c r="F16" s="3"/>
      <c r="P16" s="16"/>
    </row>
    <row r="17" spans="1:16" ht="30" customHeight="1" x14ac:dyDescent="0.25">
      <c r="A17" s="111" t="str">
        <f>IF(DAY($B$14)+(MONTH($B$14)*30)+(YEAR($B$14)*365)&lt;737601,"Exercice 2019-2020",IF(DAY($B$14)+(MONTH($B$14)*30)+(YEAR($B$14)*365)&lt;737966,"Exercice 2020-2021","Exercice  2021-2022"))</f>
        <v>Exercice 2019-2020</v>
      </c>
      <c r="B17" s="112" t="e">
        <f>VLOOKUP(K27,K1:L4,2,0)</f>
        <v>#N/A</v>
      </c>
      <c r="C17" s="7"/>
      <c r="D17" s="111" t="s">
        <v>30</v>
      </c>
      <c r="E17" s="7" t="s">
        <v>31</v>
      </c>
      <c r="F17" s="7" t="s">
        <v>32</v>
      </c>
      <c r="G17" s="7" t="s">
        <v>33</v>
      </c>
      <c r="J17" t="s">
        <v>76</v>
      </c>
      <c r="P17" s="16"/>
    </row>
    <row r="18" spans="1:16" ht="20.25" customHeight="1" x14ac:dyDescent="0.25">
      <c r="A18" s="126"/>
      <c r="B18" s="43" t="s">
        <v>34</v>
      </c>
      <c r="C18" s="44"/>
      <c r="D18" s="45" t="e">
        <f>G18/1.1</f>
        <v>#DIV/0!</v>
      </c>
      <c r="E18" s="45" t="e">
        <f>IF(G18=0," ","€")</f>
        <v>#DIV/0!</v>
      </c>
      <c r="F18" s="46">
        <v>0.1</v>
      </c>
      <c r="G18" s="47" t="e">
        <f>K29+K39</f>
        <v>#DIV/0!</v>
      </c>
      <c r="J18" s="48"/>
      <c r="P18" s="16"/>
    </row>
    <row r="19" spans="1:16" ht="15" customHeight="1" x14ac:dyDescent="0.25">
      <c r="A19" s="42"/>
      <c r="B19" s="212" t="s">
        <v>37</v>
      </c>
      <c r="C19" s="213">
        <f>L8</f>
        <v>0</v>
      </c>
      <c r="D19" s="214"/>
      <c r="E19" s="215" t="s">
        <v>38</v>
      </c>
      <c r="F19" s="216">
        <f>M8</f>
        <v>0</v>
      </c>
      <c r="G19" s="217"/>
      <c r="J19" s="48"/>
      <c r="L19" s="15" t="s">
        <v>35</v>
      </c>
      <c r="P19" s="16"/>
    </row>
    <row r="20" spans="1:16" ht="15" customHeight="1" x14ac:dyDescent="0.25">
      <c r="A20" s="42"/>
      <c r="B20" s="218"/>
      <c r="C20" s="219"/>
      <c r="D20" s="214">
        <f>G20/1.1</f>
        <v>0</v>
      </c>
      <c r="E20" s="214"/>
      <c r="F20" s="211">
        <v>0.1</v>
      </c>
      <c r="G20" s="220">
        <f>-K8</f>
        <v>0</v>
      </c>
      <c r="J20" s="50" t="s">
        <v>36</v>
      </c>
      <c r="K20" s="51"/>
      <c r="L20" s="52">
        <v>3</v>
      </c>
      <c r="M20">
        <f>L20*K20*K26</f>
        <v>0</v>
      </c>
      <c r="P20" s="16"/>
    </row>
    <row r="21" spans="1:16" x14ac:dyDescent="0.25">
      <c r="A21" s="42"/>
      <c r="B21" s="127" t="str">
        <f>IF(I9="ac","Facture d'acompte réglée le","")</f>
        <v/>
      </c>
      <c r="C21" s="128" t="str">
        <f>IF(I9="ac",L9,"")</f>
        <v/>
      </c>
      <c r="D21" s="129"/>
      <c r="E21" s="127" t="str">
        <f>IF(I9="ac","N°","")</f>
        <v/>
      </c>
      <c r="F21" s="143" t="str">
        <f>IF(I9="ac",M9,"")</f>
        <v/>
      </c>
      <c r="G21" s="130"/>
      <c r="J21" s="48" t="s">
        <v>39</v>
      </c>
      <c r="K21" s="51"/>
      <c r="P21" s="16"/>
    </row>
    <row r="22" spans="1:16" x14ac:dyDescent="0.25">
      <c r="A22" s="54"/>
      <c r="C22" s="128"/>
      <c r="D22" s="129" t="str">
        <f>IF(I9="ac",G22/1.1,"")</f>
        <v/>
      </c>
      <c r="E22" s="131"/>
      <c r="F22" s="132" t="str">
        <f>IF(I9="ac",F20,"")</f>
        <v/>
      </c>
      <c r="G22" s="133" t="str">
        <f>IF(I9="ac",-K9,"")</f>
        <v/>
      </c>
      <c r="J22" s="48" t="s">
        <v>40</v>
      </c>
      <c r="K22" s="51"/>
      <c r="L22" s="207" t="s">
        <v>134</v>
      </c>
      <c r="M22" s="206">
        <v>2.5000000000000001E-2</v>
      </c>
      <c r="O22" s="140"/>
      <c r="P22" s="16"/>
    </row>
    <row r="23" spans="1:16" x14ac:dyDescent="0.25">
      <c r="A23" s="54"/>
      <c r="B23" s="127" t="str">
        <f>IF(I10="ac","Facture d'acompte réglée le","")</f>
        <v/>
      </c>
      <c r="C23" s="128" t="str">
        <f>IF(I10="ac",L10,"")</f>
        <v/>
      </c>
      <c r="D23" s="129"/>
      <c r="E23" s="127" t="str">
        <f>IF(I10="ac","N°","")</f>
        <v/>
      </c>
      <c r="F23" s="143" t="str">
        <f>IF(I10="ac",M10,"")</f>
        <v/>
      </c>
      <c r="G23" s="147"/>
      <c r="H23" s="148"/>
      <c r="J23" s="14" t="s">
        <v>41</v>
      </c>
      <c r="K23" s="57"/>
      <c r="L23" s="4"/>
      <c r="M23" s="4"/>
      <c r="N23" s="4"/>
      <c r="O23" s="139"/>
      <c r="P23" s="16"/>
    </row>
    <row r="24" spans="1:16" x14ac:dyDescent="0.25">
      <c r="A24" s="42"/>
      <c r="C24" s="128"/>
      <c r="D24" s="129" t="str">
        <f>IF(I10="ac",G24/1.1,"")</f>
        <v/>
      </c>
      <c r="E24" s="131"/>
      <c r="F24" s="132" t="str">
        <f>IF(I10="ac",F20,"")</f>
        <v/>
      </c>
      <c r="G24" s="149" t="str">
        <f>IF(I10="ac",-K10,"")</f>
        <v/>
      </c>
      <c r="H24" s="148"/>
      <c r="J24" s="48" t="s">
        <v>42</v>
      </c>
      <c r="K24" s="51"/>
      <c r="L24" s="207" t="s">
        <v>138</v>
      </c>
      <c r="M24" s="208">
        <v>0.1</v>
      </c>
      <c r="P24" s="16"/>
    </row>
    <row r="25" spans="1:16" x14ac:dyDescent="0.25">
      <c r="A25" s="42"/>
      <c r="B25" s="127" t="str">
        <f>IF(I11="ac","Facture d'acompte réglée le","")</f>
        <v/>
      </c>
      <c r="C25" s="128" t="str">
        <f>IF(I11="ac",L11,"")</f>
        <v/>
      </c>
      <c r="D25" s="129"/>
      <c r="E25" s="127" t="str">
        <f>IF(I11="ac","N°","")</f>
        <v/>
      </c>
      <c r="F25" s="143" t="str">
        <f>IF(I11="ac",M11,"")</f>
        <v/>
      </c>
      <c r="G25" s="147"/>
      <c r="H25" s="148"/>
      <c r="J25" s="48" t="s">
        <v>43</v>
      </c>
      <c r="K25" s="51"/>
      <c r="P25" s="16"/>
    </row>
    <row r="26" spans="1:16" x14ac:dyDescent="0.25">
      <c r="A26" s="42"/>
      <c r="C26" s="128"/>
      <c r="D26" s="129" t="str">
        <f>IF(I11="ac",G26/1.1,"")</f>
        <v/>
      </c>
      <c r="E26" s="131"/>
      <c r="F26" s="132" t="str">
        <f>IF(I11="ac",F20,"")</f>
        <v/>
      </c>
      <c r="G26" s="149" t="str">
        <f>IF(I11="ac",-K11,"")</f>
        <v/>
      </c>
      <c r="H26" s="148"/>
      <c r="J26" s="50" t="s">
        <v>45</v>
      </c>
      <c r="K26" s="51"/>
      <c r="P26" s="16"/>
    </row>
    <row r="27" spans="1:16" x14ac:dyDescent="0.25">
      <c r="A27" s="42"/>
      <c r="B27" s="49" t="str">
        <f>IF(K25=0, "  ", "Nombre de personne(s) exonérée(s)")</f>
        <v xml:space="preserve">  </v>
      </c>
      <c r="C27" s="59"/>
      <c r="D27" s="45"/>
      <c r="E27" s="45"/>
      <c r="F27" s="46"/>
      <c r="G27" s="47"/>
      <c r="H27" s="148"/>
      <c r="J27" s="15" t="s">
        <v>46</v>
      </c>
      <c r="K27" s="51"/>
      <c r="M27" s="154" t="s">
        <v>91</v>
      </c>
      <c r="P27" s="16"/>
    </row>
    <row r="28" spans="1:16" x14ac:dyDescent="0.25">
      <c r="A28" s="42"/>
      <c r="B28" s="49" t="str">
        <f>IF(K25=0, "  ", "Nombre de personne(s) taxée(s)")</f>
        <v xml:space="preserve">  </v>
      </c>
      <c r="C28" s="59"/>
      <c r="D28" s="56"/>
      <c r="E28" s="42"/>
      <c r="F28" s="56"/>
      <c r="G28" s="56"/>
      <c r="H28" s="148"/>
      <c r="J28" t="s">
        <v>47</v>
      </c>
      <c r="K28" s="60"/>
      <c r="M28" s="154" t="s">
        <v>93</v>
      </c>
      <c r="P28" s="16"/>
    </row>
    <row r="29" spans="1:16" ht="18.75" x14ac:dyDescent="0.3">
      <c r="A29" s="42"/>
      <c r="B29" s="56" t="str">
        <f>IF(K25= 0, "  ","Taxe/personne ---&gt; nb nuit")</f>
        <v xml:space="preserve">  </v>
      </c>
      <c r="C29" s="144">
        <f>K26</f>
        <v>0</v>
      </c>
      <c r="D29" s="45"/>
      <c r="E29" s="42"/>
      <c r="F29" s="56"/>
      <c r="G29" s="150"/>
      <c r="H29" s="61"/>
      <c r="J29" s="134" t="s">
        <v>77</v>
      </c>
      <c r="K29" s="135">
        <f>M20+K21+K22+K23+K24+K28</f>
        <v>0</v>
      </c>
      <c r="M29" s="169" t="s">
        <v>92</v>
      </c>
      <c r="P29" s="16"/>
    </row>
    <row r="30" spans="1:16" x14ac:dyDescent="0.25">
      <c r="A30" s="42"/>
      <c r="B30" s="58" t="s">
        <v>44</v>
      </c>
      <c r="C30" s="144"/>
      <c r="D30" s="123"/>
      <c r="E30" s="42">
        <f>IF(C28= 0, 0,"€")</f>
        <v>0</v>
      </c>
      <c r="F30" s="123"/>
      <c r="G30" s="47" t="e">
        <f>K38</f>
        <v>#DIV/0!</v>
      </c>
      <c r="H30" s="62"/>
      <c r="J30" s="136" t="s">
        <v>79</v>
      </c>
      <c r="K30">
        <f>C27</f>
        <v>0</v>
      </c>
      <c r="L30" s="35"/>
      <c r="M30" s="63"/>
      <c r="N30" s="63"/>
      <c r="O30" s="63"/>
      <c r="P30" s="16"/>
    </row>
    <row r="31" spans="1:16" ht="11.25" customHeight="1" x14ac:dyDescent="0.25">
      <c r="A31" s="42"/>
      <c r="B31" s="123"/>
      <c r="C31" s="144"/>
      <c r="D31" s="123"/>
      <c r="E31" s="144"/>
      <c r="F31" s="123"/>
      <c r="G31" s="123"/>
      <c r="H31" s="61"/>
      <c r="J31" s="136" t="s">
        <v>78</v>
      </c>
      <c r="K31" s="35">
        <f>C28</f>
        <v>0</v>
      </c>
      <c r="L31" s="35"/>
      <c r="M31" s="35"/>
      <c r="N31" s="63"/>
      <c r="O31" s="63"/>
      <c r="P31" s="16"/>
    </row>
    <row r="32" spans="1:16" ht="21" customHeight="1" x14ac:dyDescent="0.25">
      <c r="A32" s="64"/>
      <c r="B32" s="145"/>
      <c r="C32" s="146"/>
      <c r="D32" s="145"/>
      <c r="E32" s="146"/>
      <c r="F32" s="145"/>
      <c r="G32" s="145"/>
      <c r="H32" s="61"/>
      <c r="J32" s="136" t="s">
        <v>140</v>
      </c>
      <c r="K32" s="209" t="e">
        <f>(K24+K28)/K26</f>
        <v>#DIV/0!</v>
      </c>
      <c r="M32" s="154" t="s">
        <v>157</v>
      </c>
    </row>
    <row r="33" spans="1:14" x14ac:dyDescent="0.25">
      <c r="A33" s="3"/>
      <c r="B33" s="3"/>
      <c r="C33" s="4"/>
      <c r="D33" s="3"/>
      <c r="E33" s="4"/>
      <c r="F33" s="3"/>
      <c r="G33" s="3"/>
      <c r="J33" s="136" t="s">
        <v>131</v>
      </c>
      <c r="K33" s="210" t="e">
        <f>(K32/(K30+K31))</f>
        <v>#DIV/0!</v>
      </c>
      <c r="M33" s="154" t="s">
        <v>158</v>
      </c>
    </row>
    <row r="34" spans="1:14" x14ac:dyDescent="0.25">
      <c r="A34" s="7" t="s">
        <v>49</v>
      </c>
      <c r="B34" s="7" t="s">
        <v>50</v>
      </c>
      <c r="C34" s="7" t="s">
        <v>51</v>
      </c>
      <c r="D34" s="7" t="s">
        <v>52</v>
      </c>
      <c r="E34" s="4"/>
      <c r="F34" s="3"/>
      <c r="G34" s="108" t="s">
        <v>53</v>
      </c>
      <c r="J34" s="136" t="s">
        <v>132</v>
      </c>
      <c r="K34" s="210">
        <f>K31*K26*1.45</f>
        <v>0</v>
      </c>
      <c r="M34" s="169" t="s">
        <v>159</v>
      </c>
    </row>
    <row r="35" spans="1:14" ht="25.5" customHeight="1" x14ac:dyDescent="0.25">
      <c r="A35" s="70">
        <v>0.1</v>
      </c>
      <c r="B35" s="71" t="e">
        <f>SUMIF(F18:F26,A35,D18:D26)</f>
        <v>#DIV/0!</v>
      </c>
      <c r="C35" s="71" t="e">
        <f>B35*A35</f>
        <v>#DIV/0!</v>
      </c>
      <c r="D35" s="71" t="e">
        <f>B35+C35</f>
        <v>#DIV/0!</v>
      </c>
      <c r="E35" s="4"/>
      <c r="F35" s="124" t="e">
        <f>VLOOKUP("So",I8:O15,2,FALSE)</f>
        <v>#N/A</v>
      </c>
      <c r="G35" s="72" t="e">
        <f>VLOOKUP("So",I8:O15,3,FALSE)</f>
        <v>#N/A</v>
      </c>
      <c r="J35" s="136" t="s">
        <v>133</v>
      </c>
      <c r="K35" s="210" t="e">
        <f>K33*K31*M22*K26</f>
        <v>#DIV/0!</v>
      </c>
    </row>
    <row r="36" spans="1:14" ht="25.5" customHeight="1" x14ac:dyDescent="0.25">
      <c r="A36" s="70"/>
      <c r="B36" s="71"/>
      <c r="C36" s="71"/>
      <c r="D36" s="71"/>
      <c r="E36" s="4"/>
      <c r="F36" s="124" t="str">
        <f>IF(I10="So",J10,"")</f>
        <v/>
      </c>
      <c r="G36" s="72" t="str">
        <f>IF(I10="So",K10,"")</f>
        <v/>
      </c>
      <c r="J36" s="136" t="s">
        <v>135</v>
      </c>
      <c r="K36" s="210" t="e">
        <f>IF(K35&gt;K34,K34,K35)</f>
        <v>#DIV/0!</v>
      </c>
      <c r="M36">
        <v>30</v>
      </c>
      <c r="N36">
        <v>30</v>
      </c>
    </row>
    <row r="37" spans="1:14" ht="25.5" customHeight="1" x14ac:dyDescent="0.25">
      <c r="A37" s="70" t="s">
        <v>54</v>
      </c>
      <c r="B37" s="71"/>
      <c r="C37" s="71"/>
      <c r="D37" s="71" t="e">
        <f>G30</f>
        <v>#DIV/0!</v>
      </c>
      <c r="E37" s="4"/>
      <c r="F37" s="124"/>
      <c r="G37" s="72"/>
      <c r="J37" s="136" t="s">
        <v>136</v>
      </c>
      <c r="K37" s="210" t="e">
        <f>K36*M24</f>
        <v>#DIV/0!</v>
      </c>
      <c r="M37" s="141">
        <f>30*9</f>
        <v>270</v>
      </c>
      <c r="N37" s="141">
        <f>30*9</f>
        <v>270</v>
      </c>
    </row>
    <row r="38" spans="1:14" ht="25.5" customHeight="1" x14ac:dyDescent="0.25">
      <c r="A38" s="3"/>
      <c r="B38" s="3"/>
      <c r="C38" s="4"/>
      <c r="D38" s="3"/>
      <c r="E38" s="4"/>
      <c r="F38" s="125"/>
      <c r="G38" s="73"/>
      <c r="J38" s="136" t="s">
        <v>137</v>
      </c>
      <c r="K38" s="210" t="e">
        <f>K36+K37</f>
        <v>#DIV/0!</v>
      </c>
      <c r="M38" s="142">
        <f>365*2020</f>
        <v>737300</v>
      </c>
      <c r="N38" s="142">
        <f>365*2021</f>
        <v>737665</v>
      </c>
    </row>
    <row r="39" spans="1:14" s="4" customFormat="1" ht="25.5" customHeight="1" x14ac:dyDescent="0.25">
      <c r="C39" s="110" t="s">
        <v>58</v>
      </c>
      <c r="D39" s="74" t="e">
        <f>D35+D36+D37</f>
        <v>#DIV/0!</v>
      </c>
      <c r="E39" s="75"/>
      <c r="F39" s="114" t="s">
        <v>59</v>
      </c>
      <c r="G39" s="74" t="e">
        <f>D39-SUM(G35:G38)</f>
        <v>#DIV/0!</v>
      </c>
      <c r="J39" s="221" t="s">
        <v>139</v>
      </c>
      <c r="K39" s="222" t="e">
        <f>K25-K38</f>
        <v>#DIV/0!</v>
      </c>
      <c r="M39" s="142">
        <f>SUM(M36:M38)</f>
        <v>737600</v>
      </c>
      <c r="N39" s="142">
        <f>SUM(N36:N38)</f>
        <v>737965</v>
      </c>
    </row>
    <row r="40" spans="1:14" ht="21" customHeight="1" x14ac:dyDescent="0.25">
      <c r="C40" s="78"/>
      <c r="D40" s="77"/>
      <c r="E40" s="241"/>
      <c r="F40" s="241"/>
      <c r="J40" s="15" t="s">
        <v>71</v>
      </c>
    </row>
    <row r="41" spans="1:14" ht="21" customHeight="1" x14ac:dyDescent="0.25">
      <c r="A41" s="151"/>
      <c r="B41" s="166" t="s">
        <v>82</v>
      </c>
      <c r="C41" s="167" t="e">
        <f>E3</f>
        <v>#N/A</v>
      </c>
      <c r="E41" s="79" t="s">
        <v>64</v>
      </c>
      <c r="F41" s="35"/>
      <c r="J41" s="15" t="s">
        <v>55</v>
      </c>
      <c r="K41" s="15"/>
    </row>
    <row r="42" spans="1:14" ht="21" customHeight="1" x14ac:dyDescent="0.25">
      <c r="A42" s="155" t="s">
        <v>86</v>
      </c>
      <c r="C42" s="78"/>
      <c r="D42" s="77"/>
      <c r="E42" s="35"/>
      <c r="F42" s="35"/>
      <c r="J42" s="15" t="s">
        <v>56</v>
      </c>
      <c r="K42" s="15" t="s">
        <v>57</v>
      </c>
    </row>
    <row r="43" spans="1:14" ht="15.75" customHeight="1" x14ac:dyDescent="0.25">
      <c r="A43" s="155" t="s">
        <v>87</v>
      </c>
      <c r="B43" s="152"/>
      <c r="C43" s="153"/>
      <c r="D43" s="152"/>
      <c r="E43" s="153"/>
      <c r="F43" s="152"/>
      <c r="G43" s="161"/>
      <c r="J43" s="76" t="s">
        <v>60</v>
      </c>
      <c r="K43" s="4"/>
    </row>
    <row r="44" spans="1:14" ht="15.75" customHeight="1" x14ac:dyDescent="0.25">
      <c r="A44" s="156" t="s">
        <v>88</v>
      </c>
      <c r="B44" s="152"/>
      <c r="C44" s="153"/>
      <c r="D44" s="152"/>
      <c r="E44" s="153"/>
      <c r="F44" s="152"/>
      <c r="G44" s="161"/>
      <c r="J44" s="15" t="s">
        <v>62</v>
      </c>
      <c r="K44" t="s">
        <v>63</v>
      </c>
    </row>
    <row r="45" spans="1:14" ht="21" customHeight="1" x14ac:dyDescent="0.25">
      <c r="A45" s="234" t="s">
        <v>83</v>
      </c>
      <c r="B45" s="234"/>
      <c r="C45" s="234"/>
      <c r="D45" s="234"/>
      <c r="E45" s="234"/>
      <c r="F45" s="234"/>
      <c r="G45" s="234"/>
    </row>
    <row r="46" spans="1:14" ht="18.75" customHeight="1" x14ac:dyDescent="0.25">
      <c r="A46" s="234" t="s">
        <v>84</v>
      </c>
      <c r="B46" s="234"/>
      <c r="C46" s="234"/>
      <c r="D46" s="234"/>
      <c r="E46" s="234"/>
      <c r="F46" s="234"/>
      <c r="G46" s="234"/>
      <c r="J46" t="s">
        <v>65</v>
      </c>
    </row>
    <row r="47" spans="1:14" ht="25.5" customHeight="1" x14ac:dyDescent="0.25"/>
    <row r="48" spans="1:14" ht="30" customHeight="1" x14ac:dyDescent="0.25"/>
    <row r="49" ht="30" customHeight="1" x14ac:dyDescent="0.25"/>
    <row r="58" ht="15.75" customHeight="1" x14ac:dyDescent="0.25"/>
    <row r="59" ht="15.75" customHeight="1" x14ac:dyDescent="0.25"/>
  </sheetData>
  <mergeCells count="7">
    <mergeCell ref="A45:G45"/>
    <mergeCell ref="A46:G46"/>
    <mergeCell ref="D1:G1"/>
    <mergeCell ref="E2:F2"/>
    <mergeCell ref="E3:F3"/>
    <mergeCell ref="E15:F15"/>
    <mergeCell ref="E40:F40"/>
  </mergeCells>
  <conditionalFormatting sqref="AE48">
    <cfRule type="containsText" dxfId="219" priority="32" operator="containsText" text="OK"/>
  </conditionalFormatting>
  <conditionalFormatting sqref="AE48">
    <cfRule type="containsText" dxfId="218" priority="33" operator="containsText" text="OK"/>
  </conditionalFormatting>
  <conditionalFormatting sqref="AF47">
    <cfRule type="containsText" dxfId="217" priority="34" operator="containsText" text="OK"/>
  </conditionalFormatting>
  <conditionalFormatting sqref="AF47">
    <cfRule type="containsText" dxfId="216" priority="35" operator="containsText" text="OK"/>
  </conditionalFormatting>
  <conditionalFormatting sqref="AF48">
    <cfRule type="containsText" dxfId="215" priority="36" operator="containsText" text="OK"/>
  </conditionalFormatting>
  <conditionalFormatting sqref="AF48">
    <cfRule type="containsText" dxfId="214" priority="37" operator="containsText" text="OK"/>
  </conditionalFormatting>
  <conditionalFormatting sqref="AF49">
    <cfRule type="containsText" dxfId="213" priority="38" operator="containsText" text="OK"/>
  </conditionalFormatting>
  <conditionalFormatting sqref="AF49">
    <cfRule type="containsText" dxfId="212" priority="39" operator="containsText" text="OK"/>
  </conditionalFormatting>
  <conditionalFormatting sqref="AF52">
    <cfRule type="containsText" dxfId="211" priority="40" operator="containsText" text="OK"/>
  </conditionalFormatting>
  <conditionalFormatting sqref="AF52">
    <cfRule type="containsText" dxfId="210" priority="41" operator="containsText" text="OK"/>
  </conditionalFormatting>
  <conditionalFormatting sqref="AK49">
    <cfRule type="containsText" dxfId="209" priority="42" operator="containsText" text="OK"/>
  </conditionalFormatting>
  <conditionalFormatting sqref="AK49">
    <cfRule type="containsText" dxfId="208" priority="43" operator="containsText" text="OK"/>
  </conditionalFormatting>
  <conditionalFormatting sqref="AK52">
    <cfRule type="containsText" dxfId="207" priority="44" operator="containsText" text="OK"/>
  </conditionalFormatting>
  <conditionalFormatting sqref="AK52">
    <cfRule type="containsText" dxfId="206" priority="45" operator="containsText" text="OK"/>
  </conditionalFormatting>
  <conditionalFormatting sqref="AL49">
    <cfRule type="containsText" dxfId="205" priority="46" operator="containsText" text="OK"/>
  </conditionalFormatting>
  <conditionalFormatting sqref="AL49">
    <cfRule type="containsText" dxfId="204" priority="47" operator="containsText" text="OK"/>
  </conditionalFormatting>
  <conditionalFormatting sqref="AL52">
    <cfRule type="containsText" dxfId="203" priority="48" operator="containsText" text="OK"/>
  </conditionalFormatting>
  <conditionalFormatting sqref="AL52">
    <cfRule type="containsText" dxfId="202" priority="49" operator="containsText" text="OK"/>
  </conditionalFormatting>
  <conditionalFormatting sqref="AM49">
    <cfRule type="containsText" dxfId="201" priority="50" operator="containsText" text="OK"/>
  </conditionalFormatting>
  <conditionalFormatting sqref="AM49">
    <cfRule type="containsText" dxfId="200" priority="51" operator="containsText" text="OK"/>
  </conditionalFormatting>
  <conditionalFormatting sqref="AM52">
    <cfRule type="containsText" dxfId="199" priority="52" operator="containsText" text="OK"/>
  </conditionalFormatting>
  <conditionalFormatting sqref="AM52">
    <cfRule type="containsText" dxfId="198" priority="53" operator="containsText" text="OK"/>
  </conditionalFormatting>
  <conditionalFormatting sqref="AN49">
    <cfRule type="containsText" dxfId="197" priority="54" operator="containsText" text="OK"/>
  </conditionalFormatting>
  <conditionalFormatting sqref="AN49">
    <cfRule type="containsText" dxfId="196" priority="55" operator="containsText" text="OK"/>
  </conditionalFormatting>
  <conditionalFormatting sqref="AN52">
    <cfRule type="containsText" dxfId="195" priority="56" operator="containsText" text="OK"/>
  </conditionalFormatting>
  <conditionalFormatting sqref="AN52">
    <cfRule type="containsText" dxfId="194" priority="57" operator="containsText" text="OK"/>
  </conditionalFormatting>
  <conditionalFormatting sqref="AO49">
    <cfRule type="containsText" dxfId="193" priority="58" operator="containsText" text="OK"/>
  </conditionalFormatting>
  <conditionalFormatting sqref="AO49">
    <cfRule type="containsText" dxfId="192" priority="59" operator="containsText" text="OK"/>
  </conditionalFormatting>
  <conditionalFormatting sqref="AO52">
    <cfRule type="containsText" dxfId="191" priority="60" operator="containsText" text="OK"/>
  </conditionalFormatting>
  <conditionalFormatting sqref="AO52">
    <cfRule type="containsText" dxfId="190" priority="61" operator="containsText" text="OK"/>
  </conditionalFormatting>
  <conditionalFormatting sqref="AP49">
    <cfRule type="containsText" dxfId="189" priority="62" operator="containsText" text="OK"/>
  </conditionalFormatting>
  <conditionalFormatting sqref="AP49">
    <cfRule type="containsText" dxfId="188" priority="63" operator="containsText" text="OK"/>
  </conditionalFormatting>
  <conditionalFormatting sqref="AP52">
    <cfRule type="containsText" dxfId="187" priority="64" operator="containsText" text="OK"/>
  </conditionalFormatting>
  <conditionalFormatting sqref="AP52">
    <cfRule type="containsText" dxfId="186" priority="65" operator="containsText" text="OK"/>
  </conditionalFormatting>
  <conditionalFormatting sqref="AQ49">
    <cfRule type="containsText" dxfId="185" priority="66" operator="containsText" text="OK"/>
  </conditionalFormatting>
  <conditionalFormatting sqref="AQ49">
    <cfRule type="containsText" dxfId="184" priority="67" operator="containsText" text="OK"/>
  </conditionalFormatting>
  <conditionalFormatting sqref="AQ52">
    <cfRule type="containsText" dxfId="183" priority="68" operator="containsText" text="OK"/>
  </conditionalFormatting>
  <conditionalFormatting sqref="AQ52">
    <cfRule type="containsText" dxfId="182" priority="69" operator="containsText" text="OK"/>
  </conditionalFormatting>
  <conditionalFormatting sqref="AR49">
    <cfRule type="containsText" dxfId="181" priority="70" operator="containsText" text="OK"/>
  </conditionalFormatting>
  <conditionalFormatting sqref="AR49">
    <cfRule type="containsText" dxfId="180" priority="71" operator="containsText" text="OK"/>
  </conditionalFormatting>
  <conditionalFormatting sqref="AR52">
    <cfRule type="containsText" dxfId="179" priority="72" operator="containsText" text="OK"/>
  </conditionalFormatting>
  <conditionalFormatting sqref="AR52">
    <cfRule type="containsText" dxfId="178" priority="73" operator="containsText" text="OK"/>
  </conditionalFormatting>
  <conditionalFormatting sqref="D2:G2">
    <cfRule type="expression" dxfId="177" priority="26">
      <formula>$K$27="Petit Nay"</formula>
    </cfRule>
    <cfRule type="expression" dxfId="176" priority="27">
      <formula>$K$27="Lauberoye"</formula>
    </cfRule>
    <cfRule type="expression" dxfId="175" priority="28">
      <formula>$K$27="Brinchette"</formula>
    </cfRule>
    <cfRule type="expression" dxfId="174" priority="30">
      <formula>$K$27="Manola"</formula>
    </cfRule>
  </conditionalFormatting>
  <conditionalFormatting sqref="A34:D34">
    <cfRule type="expression" dxfId="173" priority="21">
      <formula>$K$27="Petit Nay"</formula>
    </cfRule>
    <cfRule type="expression" dxfId="172" priority="22">
      <formula>$K$27="Lauberoye"</formula>
    </cfRule>
    <cfRule type="expression" dxfId="171" priority="23">
      <formula>$K$27="Brinchette"</formula>
    </cfRule>
    <cfRule type="expression" dxfId="170" priority="24">
      <formula>$K$27="Manola"</formula>
    </cfRule>
  </conditionalFormatting>
  <conditionalFormatting sqref="C39">
    <cfRule type="expression" dxfId="169" priority="17">
      <formula>$K$27="Petit Nay"</formula>
    </cfRule>
    <cfRule type="expression" dxfId="168" priority="18">
      <formula>$K$27="Lauberoye"</formula>
    </cfRule>
    <cfRule type="expression" dxfId="167" priority="19">
      <formula>$K$27="Brinchette"</formula>
    </cfRule>
    <cfRule type="expression" dxfId="166" priority="20">
      <formula>$K$27="Manola"</formula>
    </cfRule>
  </conditionalFormatting>
  <conditionalFormatting sqref="B17">
    <cfRule type="expression" dxfId="165" priority="13">
      <formula>$K$27="Petit Nay"</formula>
    </cfRule>
    <cfRule type="expression" dxfId="164" priority="14">
      <formula>$K$27="Lauberoye"</formula>
    </cfRule>
    <cfRule type="expression" dxfId="163" priority="15">
      <formula>$K$27="Brinchette"</formula>
    </cfRule>
    <cfRule type="expression" dxfId="162" priority="16">
      <formula>$K$27="Manola"</formula>
    </cfRule>
  </conditionalFormatting>
  <conditionalFormatting sqref="C17:G17">
    <cfRule type="expression" dxfId="161" priority="9">
      <formula>$K$27="Petit Nay"</formula>
    </cfRule>
    <cfRule type="expression" dxfId="160" priority="10">
      <formula>$K$27="Lauberoye"</formula>
    </cfRule>
    <cfRule type="expression" dxfId="159" priority="11">
      <formula>$K$27="Brinchette"</formula>
    </cfRule>
    <cfRule type="expression" dxfId="158" priority="12">
      <formula>$K$27="Manola"</formula>
    </cfRule>
  </conditionalFormatting>
  <conditionalFormatting sqref="A17">
    <cfRule type="expression" dxfId="157" priority="5">
      <formula>$K$27="Petit Nay"</formula>
    </cfRule>
    <cfRule type="expression" dxfId="156" priority="6">
      <formula>$K$27="Lauberoye"</formula>
    </cfRule>
    <cfRule type="expression" dxfId="155" priority="7">
      <formula>$K$27="Brinchette"</formula>
    </cfRule>
    <cfRule type="expression" dxfId="154" priority="8">
      <formula>$K$27="Manola"</formula>
    </cfRule>
  </conditionalFormatting>
  <conditionalFormatting sqref="F39">
    <cfRule type="expression" dxfId="153" priority="1">
      <formula>$K$27="Petit Nay"</formula>
    </cfRule>
    <cfRule type="expression" dxfId="152" priority="2">
      <formula>$K$27="Lauberoye"</formula>
    </cfRule>
    <cfRule type="expression" dxfId="151" priority="3">
      <formula>$K$27="Brinchette"</formula>
    </cfRule>
    <cfRule type="expression" dxfId="150" priority="4">
      <formula>$K$27="Manola"</formula>
    </cfRule>
  </conditionalFormatting>
  <dataValidations disablePrompts="1" count="1">
    <dataValidation type="list" allowBlank="1" showInputMessage="1" showErrorMessage="1" promptTitle="paiement" prompt="choisir le paiement" sqref="A15" xr:uid="{00000000-0002-0000-0000-000000000000}">
      <formula1>paiement</formula1>
      <formula2>0</formula2>
    </dataValidation>
  </dataValidations>
  <hyperlinks>
    <hyperlink ref="B4" r:id="rId1" xr:uid="{00000000-0004-0000-0000-000000000000}"/>
    <hyperlink ref="B5" r:id="rId2" xr:uid="{00000000-0004-0000-0000-000001000000}"/>
  </hyperlinks>
  <pageMargins left="0.23611111111111099" right="0.23611111111111099" top="0.35416666666666702" bottom="0.39374999999999999" header="0.51180555555555496" footer="0.51180555555555496"/>
  <pageSetup paperSize="9" firstPageNumber="0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zoomScaleNormal="100" workbookViewId="0">
      <selection activeCell="J8" sqref="J8:J15"/>
    </sheetView>
  </sheetViews>
  <sheetFormatPr baseColWidth="10" defaultColWidth="9.140625" defaultRowHeight="15" x14ac:dyDescent="0.25"/>
  <cols>
    <col min="1" max="1" width="11.42578125"/>
    <col min="2" max="2" width="33.28515625" customWidth="1"/>
    <col min="3" max="3" width="11.42578125" style="1"/>
    <col min="4" max="4" width="12.28515625" customWidth="1"/>
    <col min="5" max="5" width="5.42578125" style="1" customWidth="1"/>
    <col min="6" max="6" width="11" customWidth="1"/>
    <col min="7" max="7" width="12.85546875" customWidth="1"/>
    <col min="8" max="9" width="11.42578125"/>
    <col min="10" max="10" width="24" customWidth="1"/>
    <col min="11" max="11" width="31.28515625" customWidth="1"/>
    <col min="12" max="12" width="36.42578125" customWidth="1"/>
    <col min="13" max="13" width="11.42578125"/>
    <col min="14" max="1025" width="9.140625" customWidth="1"/>
  </cols>
  <sheetData>
    <row r="1" spans="1:15" ht="28.5" customHeight="1" x14ac:dyDescent="0.25">
      <c r="A1" s="137"/>
      <c r="B1" s="3"/>
      <c r="C1" s="4"/>
      <c r="D1" s="243" t="str">
        <f>IF(Facture!I8="Ac","FACTURE d'ACOMPTE","AVOIR")</f>
        <v>AVOIR</v>
      </c>
      <c r="E1" s="243"/>
      <c r="F1" s="243"/>
      <c r="G1" s="243"/>
      <c r="K1" s="88"/>
      <c r="L1" s="89"/>
    </row>
    <row r="2" spans="1:15" x14ac:dyDescent="0.25">
      <c r="B2" s="3"/>
      <c r="C2" s="4"/>
      <c r="D2" s="90" t="s">
        <v>1</v>
      </c>
      <c r="E2" s="244" t="s">
        <v>2</v>
      </c>
      <c r="F2" s="244"/>
      <c r="G2" s="90" t="s">
        <v>3</v>
      </c>
      <c r="K2" s="88"/>
      <c r="L2" s="89"/>
    </row>
    <row r="3" spans="1:15" ht="17.25" customHeight="1" x14ac:dyDescent="0.25">
      <c r="A3" s="3" t="s">
        <v>11</v>
      </c>
      <c r="B3" s="3"/>
      <c r="C3" s="4"/>
      <c r="D3" s="8">
        <f>Facture!M8</f>
        <v>0</v>
      </c>
      <c r="E3" s="245">
        <f>Facture!L8</f>
        <v>0</v>
      </c>
      <c r="F3" s="245"/>
      <c r="G3" s="9">
        <f>Facture!G3</f>
        <v>0</v>
      </c>
      <c r="I3" s="10"/>
      <c r="J3" s="11"/>
      <c r="K3" s="88"/>
      <c r="L3" s="91"/>
    </row>
    <row r="4" spans="1:15" x14ac:dyDescent="0.25">
      <c r="A4" s="3" t="s">
        <v>16</v>
      </c>
      <c r="B4" s="23" t="s">
        <v>17</v>
      </c>
      <c r="C4" s="4"/>
      <c r="D4" s="3"/>
      <c r="E4" s="4"/>
      <c r="F4" s="3"/>
      <c r="K4" s="88"/>
      <c r="L4" s="92"/>
    </row>
    <row r="5" spans="1:15" ht="12.75" customHeight="1" x14ac:dyDescent="0.25">
      <c r="A5" s="3" t="s">
        <v>19</v>
      </c>
      <c r="B5" s="23" t="s">
        <v>20</v>
      </c>
      <c r="C5" s="14"/>
      <c r="D5" s="3"/>
      <c r="E5" s="4"/>
      <c r="F5" s="3"/>
    </row>
    <row r="6" spans="1:15" ht="13.5" customHeight="1" x14ac:dyDescent="0.25">
      <c r="B6" s="3"/>
      <c r="C6" s="4"/>
      <c r="D6" s="3"/>
      <c r="E6" s="4"/>
      <c r="F6" s="3"/>
      <c r="I6" s="1"/>
      <c r="O6" s="16"/>
    </row>
    <row r="7" spans="1:15" ht="15.75" customHeight="1" x14ac:dyDescent="0.25">
      <c r="A7" s="3" t="s">
        <v>85</v>
      </c>
      <c r="B7" s="3"/>
      <c r="C7" s="17"/>
      <c r="D7" s="18"/>
      <c r="E7" s="19"/>
      <c r="F7" s="20"/>
      <c r="G7" s="21"/>
      <c r="J7" s="93"/>
      <c r="O7" s="16"/>
    </row>
    <row r="8" spans="1:15" ht="15.75" customHeight="1" x14ac:dyDescent="0.25">
      <c r="A8" s="35" t="s">
        <v>24</v>
      </c>
      <c r="C8" s="24"/>
      <c r="D8" s="25" t="str">
        <f>Facture!D8</f>
        <v>nom prénom</v>
      </c>
      <c r="E8" s="26"/>
      <c r="F8" s="25"/>
      <c r="G8" s="27"/>
      <c r="J8" s="154" t="s">
        <v>91</v>
      </c>
      <c r="O8" s="16"/>
    </row>
    <row r="9" spans="1:15" ht="15.75" customHeight="1" x14ac:dyDescent="0.25">
      <c r="A9" s="3"/>
      <c r="B9" s="23"/>
      <c r="C9" s="29"/>
      <c r="D9" s="25" t="str">
        <f>Facture!D9</f>
        <v>adresse</v>
      </c>
      <c r="E9" s="26"/>
      <c r="F9" s="25"/>
      <c r="G9" s="27"/>
      <c r="J9" s="154" t="s">
        <v>93</v>
      </c>
      <c r="O9" s="16"/>
    </row>
    <row r="10" spans="1:15" ht="15.75" customHeight="1" x14ac:dyDescent="0.25">
      <c r="A10" s="154" t="s">
        <v>91</v>
      </c>
      <c r="B10" s="3"/>
      <c r="C10" s="30"/>
      <c r="D10" s="25" t="str">
        <f>Facture!D10</f>
        <v>code postal ville</v>
      </c>
      <c r="E10" s="26"/>
      <c r="F10" s="25"/>
      <c r="G10" s="27"/>
      <c r="J10" s="169" t="s">
        <v>92</v>
      </c>
      <c r="O10" s="16"/>
    </row>
    <row r="11" spans="1:15" ht="15.75" customHeight="1" x14ac:dyDescent="0.25">
      <c r="A11" s="154" t="s">
        <v>93</v>
      </c>
      <c r="B11" s="3"/>
      <c r="C11" s="170"/>
      <c r="D11" s="171"/>
      <c r="E11" s="172"/>
      <c r="F11" s="171"/>
      <c r="G11" s="27"/>
      <c r="J11" s="63"/>
      <c r="K11" s="94"/>
      <c r="O11" s="16"/>
    </row>
    <row r="12" spans="1:15" ht="13.5" customHeight="1" x14ac:dyDescent="0.25">
      <c r="A12" s="169" t="s">
        <v>92</v>
      </c>
      <c r="B12" s="3"/>
      <c r="C12" s="173"/>
      <c r="D12" s="174"/>
      <c r="E12" s="175"/>
      <c r="F12" s="174"/>
      <c r="G12" s="34"/>
      <c r="J12" s="35"/>
      <c r="K12" s="95"/>
      <c r="O12" s="16"/>
    </row>
    <row r="13" spans="1:15" x14ac:dyDescent="0.25">
      <c r="A13" s="163"/>
      <c r="C13" s="162"/>
      <c r="D13" s="162"/>
      <c r="E13" s="162"/>
      <c r="F13" s="162"/>
      <c r="G13" s="162"/>
      <c r="J13" s="154" t="s">
        <v>157</v>
      </c>
      <c r="O13" s="16"/>
    </row>
    <row r="14" spans="1:15" x14ac:dyDescent="0.25">
      <c r="A14" s="38" t="s">
        <v>27</v>
      </c>
      <c r="B14" s="39">
        <f>Facture!B14</f>
        <v>0</v>
      </c>
      <c r="C14" s="36"/>
      <c r="D14" s="1"/>
      <c r="E14"/>
      <c r="J14" s="154" t="s">
        <v>158</v>
      </c>
      <c r="O14" s="16"/>
    </row>
    <row r="15" spans="1:15" x14ac:dyDescent="0.25">
      <c r="A15" s="40" t="s">
        <v>29</v>
      </c>
      <c r="B15" s="39">
        <f>Facture!B15</f>
        <v>0</v>
      </c>
      <c r="C15" s="107" t="s">
        <v>89</v>
      </c>
      <c r="E15" s="239">
        <f>E3+10</f>
        <v>10</v>
      </c>
      <c r="F15" s="240"/>
      <c r="J15" s="169" t="s">
        <v>159</v>
      </c>
      <c r="O15" s="16"/>
    </row>
    <row r="16" spans="1:15" ht="7.5" customHeight="1" x14ac:dyDescent="0.25">
      <c r="A16" s="3"/>
      <c r="B16" s="41"/>
      <c r="C16" s="4"/>
      <c r="D16" s="3"/>
      <c r="E16" s="4"/>
      <c r="F16" s="3"/>
      <c r="O16" s="16"/>
    </row>
    <row r="17" spans="1:15" ht="30" customHeight="1" x14ac:dyDescent="0.25">
      <c r="A17" s="96" t="str">
        <f>Facture!A17</f>
        <v>Exercice 2019-2020</v>
      </c>
      <c r="B17" s="12" t="e">
        <f>Facture!B17</f>
        <v>#N/A</v>
      </c>
      <c r="C17" s="96"/>
      <c r="D17" s="96" t="s">
        <v>30</v>
      </c>
      <c r="E17" s="96" t="s">
        <v>31</v>
      </c>
      <c r="F17" s="90" t="s">
        <v>32</v>
      </c>
      <c r="G17" s="90" t="s">
        <v>33</v>
      </c>
      <c r="O17" s="16"/>
    </row>
    <row r="18" spans="1:15" ht="20.25" customHeight="1" x14ac:dyDescent="0.25">
      <c r="A18" s="126"/>
      <c r="B18" s="97">
        <f>Facture!N8</f>
        <v>0</v>
      </c>
      <c r="C18" s="44"/>
      <c r="D18" s="45">
        <f>G18/1.1</f>
        <v>0</v>
      </c>
      <c r="E18" s="45" t="str">
        <f>IF(G18=0," ","€")</f>
        <v xml:space="preserve"> </v>
      </c>
      <c r="F18" s="46">
        <v>0.1</v>
      </c>
      <c r="G18" s="47">
        <f>Facture!K8</f>
        <v>0</v>
      </c>
      <c r="J18" s="48"/>
      <c r="O18" s="16"/>
    </row>
    <row r="19" spans="1:15" ht="14.25" customHeight="1" x14ac:dyDescent="0.25">
      <c r="A19" s="42"/>
      <c r="B19" s="98" t="s">
        <v>68</v>
      </c>
      <c r="C19" s="44"/>
      <c r="D19" s="45" t="str">
        <f>IF(K21=0," ",G19/1.1)</f>
        <v xml:space="preserve"> </v>
      </c>
      <c r="E19" s="45" t="str">
        <f>IF(K21=0," ","€")</f>
        <v xml:space="preserve"> </v>
      </c>
      <c r="F19" s="46" t="str">
        <f>IF(K21= 0, " ", 10%)</f>
        <v xml:space="preserve"> </v>
      </c>
      <c r="G19" s="47" t="str">
        <f>IF(K21= 0, " ", K21)</f>
        <v xml:space="preserve"> </v>
      </c>
      <c r="J19" s="48"/>
      <c r="L19" s="15"/>
      <c r="O19" s="16"/>
    </row>
    <row r="20" spans="1:15" x14ac:dyDescent="0.25">
      <c r="A20" s="54" t="s">
        <v>69</v>
      </c>
      <c r="B20" s="99" t="str">
        <f>CONCATENATE(J20," ",J21," ",J22)</f>
        <v xml:space="preserve">PRÉNOM 0 </v>
      </c>
      <c r="C20" s="44"/>
      <c r="D20" s="45" t="str">
        <f>IF(K22=0," ",G20/1.1)</f>
        <v xml:space="preserve"> </v>
      </c>
      <c r="E20" s="45" t="str">
        <f>IF(K22=0," ","€")</f>
        <v xml:space="preserve"> </v>
      </c>
      <c r="F20" s="46" t="str">
        <f>IF(K22= 0, " ", 10%)</f>
        <v xml:space="preserve"> </v>
      </c>
      <c r="G20" s="47" t="str">
        <f>IF(K22= 0, " ", K22)</f>
        <v xml:space="preserve"> </v>
      </c>
      <c r="J20" s="8" t="str">
        <f>UPPER(RIGHT(D8,LEN(D8)-SEARCH(" ",D8,1)))</f>
        <v>PRÉNOM</v>
      </c>
      <c r="K20" s="100"/>
      <c r="L20" s="52"/>
      <c r="O20" s="16"/>
    </row>
    <row r="21" spans="1:15" x14ac:dyDescent="0.25">
      <c r="A21" s="42"/>
      <c r="B21" s="101"/>
      <c r="C21" s="49"/>
      <c r="D21" s="45" t="str">
        <f>IF(K20=0," ",G21/1.1)</f>
        <v xml:space="preserve"> </v>
      </c>
      <c r="E21" s="45" t="str">
        <f>IF(K20=0," ","€")</f>
        <v xml:space="preserve"> </v>
      </c>
      <c r="F21" s="46" t="str">
        <f>IF(K20= 0, " ", 10%)</f>
        <v xml:space="preserve"> </v>
      </c>
      <c r="G21" s="47" t="str">
        <f>IF(K20= 0, " ", K20*L20)</f>
        <v xml:space="preserve"> </v>
      </c>
      <c r="J21" s="102">
        <f>B14</f>
        <v>0</v>
      </c>
      <c r="K21" s="100"/>
      <c r="O21" s="16"/>
    </row>
    <row r="22" spans="1:15" x14ac:dyDescent="0.25">
      <c r="A22" s="54"/>
      <c r="B22" s="52"/>
      <c r="C22" s="55"/>
      <c r="D22" s="45"/>
      <c r="E22" s="45"/>
      <c r="F22" s="46"/>
      <c r="G22" s="47"/>
      <c r="J22" s="52" t="str">
        <f>UPPER(Facture!K27)</f>
        <v/>
      </c>
      <c r="K22" s="100"/>
      <c r="O22" s="16"/>
    </row>
    <row r="23" spans="1:15" x14ac:dyDescent="0.25">
      <c r="A23" s="42"/>
      <c r="C23" s="55"/>
      <c r="D23" s="45"/>
      <c r="E23" s="42"/>
      <c r="F23" s="56"/>
      <c r="G23" s="56"/>
      <c r="J23" s="107">
        <f>Facture!K27</f>
        <v>0</v>
      </c>
      <c r="K23" s="103"/>
      <c r="L23" s="4"/>
      <c r="M23" s="4"/>
      <c r="N23" s="4"/>
      <c r="O23" s="16"/>
    </row>
    <row r="24" spans="1:15" x14ac:dyDescent="0.25">
      <c r="A24" s="42"/>
      <c r="C24" s="55"/>
      <c r="D24" s="45"/>
      <c r="E24" s="42"/>
      <c r="F24" s="56"/>
      <c r="G24" s="56"/>
      <c r="J24" s="48"/>
      <c r="K24" s="100"/>
      <c r="O24" s="16"/>
    </row>
    <row r="25" spans="1:15" x14ac:dyDescent="0.25">
      <c r="A25" s="42"/>
      <c r="C25" s="55"/>
      <c r="D25" s="45"/>
      <c r="E25" s="42"/>
      <c r="F25" s="56"/>
      <c r="G25" s="56"/>
      <c r="J25" s="48"/>
      <c r="K25" s="100"/>
      <c r="O25" s="16"/>
    </row>
    <row r="26" spans="1:15" x14ac:dyDescent="0.25">
      <c r="A26" s="42"/>
      <c r="B26" s="58"/>
      <c r="C26" s="55"/>
      <c r="D26" s="45"/>
      <c r="E26" s="45"/>
      <c r="F26" s="46"/>
      <c r="G26" s="47"/>
      <c r="J26" s="176" t="s">
        <v>96</v>
      </c>
      <c r="K26" s="100"/>
      <c r="O26" s="16"/>
    </row>
    <row r="27" spans="1:15" x14ac:dyDescent="0.25">
      <c r="A27" s="42"/>
      <c r="B27" s="49"/>
      <c r="D27" s="56"/>
      <c r="E27" s="42"/>
      <c r="F27" s="56"/>
      <c r="G27" s="56"/>
      <c r="H27" s="61"/>
      <c r="J27" s="176" t="s">
        <v>97</v>
      </c>
      <c r="O27" s="16"/>
    </row>
    <row r="28" spans="1:15" x14ac:dyDescent="0.25">
      <c r="A28" s="42"/>
      <c r="B28" s="49"/>
      <c r="D28" s="42"/>
      <c r="E28" s="42"/>
      <c r="F28" s="46"/>
      <c r="G28" s="47"/>
      <c r="H28" s="62"/>
      <c r="J28" s="176" t="s">
        <v>98</v>
      </c>
      <c r="L28" s="35"/>
      <c r="M28" s="63"/>
      <c r="N28" s="63"/>
      <c r="O28" s="16"/>
    </row>
    <row r="29" spans="1:15" ht="11.25" customHeight="1" x14ac:dyDescent="0.25">
      <c r="A29" s="42"/>
      <c r="B29" s="49"/>
      <c r="C29" s="42"/>
      <c r="D29" s="56"/>
      <c r="E29" s="42"/>
      <c r="F29" s="56"/>
      <c r="G29" s="56"/>
      <c r="H29" s="61"/>
      <c r="J29" s="176" t="s">
        <v>99</v>
      </c>
      <c r="K29" s="35"/>
      <c r="L29" s="35"/>
      <c r="M29" s="35"/>
      <c r="N29" s="63"/>
      <c r="O29" s="16"/>
    </row>
    <row r="30" spans="1:15" ht="25.5" customHeight="1" x14ac:dyDescent="0.25">
      <c r="A30" s="66"/>
      <c r="B30" s="65"/>
      <c r="C30" s="66"/>
      <c r="D30" s="67"/>
      <c r="E30" s="66"/>
      <c r="F30" s="67"/>
      <c r="G30" s="67"/>
      <c r="H30" s="61"/>
      <c r="J30" s="177" t="s">
        <v>100</v>
      </c>
    </row>
    <row r="31" spans="1:15" x14ac:dyDescent="0.25">
      <c r="A31" s="3"/>
      <c r="B31" s="3"/>
      <c r="C31" s="4"/>
      <c r="D31" s="3"/>
      <c r="E31" s="4"/>
      <c r="F31" s="3"/>
      <c r="G31" s="3"/>
    </row>
    <row r="32" spans="1:15" x14ac:dyDescent="0.25">
      <c r="A32" s="90" t="s">
        <v>49</v>
      </c>
      <c r="B32" s="90" t="s">
        <v>50</v>
      </c>
      <c r="C32" s="90" t="s">
        <v>51</v>
      </c>
      <c r="D32" s="90" t="s">
        <v>52</v>
      </c>
      <c r="E32" s="4"/>
      <c r="F32" s="3"/>
      <c r="G32" s="109" t="s">
        <v>53</v>
      </c>
    </row>
    <row r="33" spans="1:7" ht="28.5" customHeight="1" x14ac:dyDescent="0.25">
      <c r="A33" s="70">
        <v>0.1</v>
      </c>
      <c r="B33" s="71">
        <f>SUMIF(F18:F30,A33,D18:D30)</f>
        <v>0</v>
      </c>
      <c r="C33" s="71">
        <f>B33*A33</f>
        <v>0</v>
      </c>
      <c r="D33" s="71">
        <f>B33+C33</f>
        <v>0</v>
      </c>
      <c r="E33" s="4"/>
      <c r="F33" s="138">
        <f>Facture!J8</f>
        <v>0</v>
      </c>
      <c r="G33" s="72">
        <f>Facture!K8</f>
        <v>0</v>
      </c>
    </row>
    <row r="34" spans="1:7" ht="28.5" customHeight="1" x14ac:dyDescent="0.25">
      <c r="A34" s="70"/>
      <c r="B34" s="71"/>
      <c r="C34" s="71"/>
      <c r="D34" s="71"/>
      <c r="E34" s="4"/>
      <c r="F34" s="138"/>
      <c r="G34" s="72"/>
    </row>
    <row r="35" spans="1:7" ht="28.5" customHeight="1" x14ac:dyDescent="0.25">
      <c r="A35" s="70"/>
      <c r="B35" s="71"/>
      <c r="C35" s="71"/>
      <c r="D35" s="71"/>
      <c r="E35" s="4"/>
      <c r="F35" s="138"/>
      <c r="G35" s="72"/>
    </row>
    <row r="36" spans="1:7" ht="28.5" customHeight="1" x14ac:dyDescent="0.25">
      <c r="A36" s="3"/>
      <c r="B36" s="3"/>
      <c r="C36" s="4"/>
      <c r="D36" s="3"/>
      <c r="E36" s="4"/>
      <c r="F36" s="138"/>
      <c r="G36" s="73"/>
    </row>
    <row r="37" spans="1:7" s="4" customFormat="1" ht="23.25" customHeight="1" x14ac:dyDescent="0.25">
      <c r="C37" s="104" t="s">
        <v>58</v>
      </c>
      <c r="D37" s="74">
        <f>D33+D34+D35</f>
        <v>0</v>
      </c>
      <c r="E37" s="75"/>
      <c r="F37" s="115" t="s">
        <v>59</v>
      </c>
      <c r="G37" s="74">
        <f>D37-SUM(G33:G36)</f>
        <v>0</v>
      </c>
    </row>
    <row r="38" spans="1:7" ht="21" customHeight="1" x14ac:dyDescent="0.25">
      <c r="A38" s="4"/>
      <c r="B38" s="77"/>
      <c r="C38" s="78"/>
      <c r="D38" s="77"/>
      <c r="E38" s="241"/>
      <c r="F38" s="241"/>
    </row>
    <row r="39" spans="1:7" ht="21" customHeight="1" x14ac:dyDescent="0.25">
      <c r="B39" s="168" t="s">
        <v>82</v>
      </c>
      <c r="C39" s="246">
        <f>E3</f>
        <v>0</v>
      </c>
      <c r="D39" s="246"/>
      <c r="E39" s="79" t="s">
        <v>64</v>
      </c>
    </row>
    <row r="40" spans="1:7" ht="21" customHeight="1" x14ac:dyDescent="0.25">
      <c r="A40" s="151"/>
      <c r="C40" s="78"/>
      <c r="D40" s="77"/>
      <c r="E40" s="241"/>
      <c r="F40" s="241"/>
    </row>
    <row r="41" spans="1:7" ht="15.75" customHeight="1" x14ac:dyDescent="0.25">
      <c r="A41" s="156" t="s">
        <v>86</v>
      </c>
      <c r="B41" s="157"/>
      <c r="C41" s="158"/>
      <c r="D41" s="159"/>
      <c r="E41" s="160"/>
      <c r="F41" s="160"/>
      <c r="G41" s="157"/>
    </row>
    <row r="42" spans="1:7" ht="15.75" customHeight="1" x14ac:dyDescent="0.25">
      <c r="A42" s="156" t="s">
        <v>87</v>
      </c>
      <c r="B42" s="152"/>
      <c r="C42" s="153"/>
      <c r="D42" s="152"/>
      <c r="E42" s="153"/>
      <c r="F42" s="152"/>
      <c r="G42" s="161"/>
    </row>
    <row r="43" spans="1:7" ht="14.25" customHeight="1" x14ac:dyDescent="0.25">
      <c r="A43" s="156" t="s">
        <v>88</v>
      </c>
      <c r="B43" s="152"/>
      <c r="C43" s="153"/>
      <c r="D43" s="152"/>
      <c r="E43" s="153"/>
      <c r="F43" s="152"/>
      <c r="G43" s="161"/>
    </row>
    <row r="44" spans="1:7" ht="18.75" customHeight="1" x14ac:dyDescent="0.25">
      <c r="A44" s="242" t="s">
        <v>83</v>
      </c>
      <c r="B44" s="242"/>
      <c r="C44" s="242"/>
      <c r="D44" s="242"/>
      <c r="E44" s="242"/>
      <c r="F44" s="242"/>
      <c r="G44" s="242"/>
    </row>
    <row r="45" spans="1:7" ht="15" customHeight="1" x14ac:dyDescent="0.25">
      <c r="A45" s="242" t="s">
        <v>84</v>
      </c>
      <c r="B45" s="242"/>
      <c r="C45" s="242"/>
      <c r="D45" s="242"/>
      <c r="E45" s="242"/>
      <c r="F45" s="242"/>
      <c r="G45" s="242"/>
    </row>
    <row r="46" spans="1:7" ht="30" customHeight="1" x14ac:dyDescent="0.25"/>
    <row r="47" spans="1:7" ht="30" customHeight="1" x14ac:dyDescent="0.25"/>
    <row r="56" ht="15.75" customHeight="1" x14ac:dyDescent="0.25"/>
    <row r="57" ht="15.75" customHeight="1" x14ac:dyDescent="0.25"/>
  </sheetData>
  <mergeCells count="9">
    <mergeCell ref="A44:G44"/>
    <mergeCell ref="A45:G45"/>
    <mergeCell ref="E40:F40"/>
    <mergeCell ref="D1:G1"/>
    <mergeCell ref="E2:F2"/>
    <mergeCell ref="E3:F3"/>
    <mergeCell ref="E15:F15"/>
    <mergeCell ref="E38:F38"/>
    <mergeCell ref="C39:D39"/>
  </mergeCells>
  <conditionalFormatting sqref="AD46">
    <cfRule type="containsText" dxfId="149" priority="36" operator="containsText" text="OK"/>
  </conditionalFormatting>
  <conditionalFormatting sqref="AD46">
    <cfRule type="containsText" dxfId="148" priority="37" operator="containsText" text="OK"/>
  </conditionalFormatting>
  <conditionalFormatting sqref="AE45">
    <cfRule type="containsText" dxfId="147" priority="38" operator="containsText" text="OK"/>
  </conditionalFormatting>
  <conditionalFormatting sqref="AE45">
    <cfRule type="containsText" dxfId="146" priority="39" operator="containsText" text="OK"/>
  </conditionalFormatting>
  <conditionalFormatting sqref="AE46">
    <cfRule type="containsText" dxfId="145" priority="40" operator="containsText" text="OK"/>
  </conditionalFormatting>
  <conditionalFormatting sqref="AE46">
    <cfRule type="containsText" dxfId="144" priority="41" operator="containsText" text="OK"/>
  </conditionalFormatting>
  <conditionalFormatting sqref="AE47">
    <cfRule type="containsText" dxfId="143" priority="42" operator="containsText" text="OK"/>
  </conditionalFormatting>
  <conditionalFormatting sqref="AE47">
    <cfRule type="containsText" dxfId="142" priority="43" operator="containsText" text="OK"/>
  </conditionalFormatting>
  <conditionalFormatting sqref="AE50">
    <cfRule type="containsText" dxfId="141" priority="44" operator="containsText" text="OK"/>
  </conditionalFormatting>
  <conditionalFormatting sqref="AE50">
    <cfRule type="containsText" dxfId="140" priority="45" operator="containsText" text="OK"/>
  </conditionalFormatting>
  <conditionalFormatting sqref="AJ47">
    <cfRule type="containsText" dxfId="139" priority="46" operator="containsText" text="OK"/>
  </conditionalFormatting>
  <conditionalFormatting sqref="AJ47">
    <cfRule type="containsText" dxfId="138" priority="47" operator="containsText" text="OK"/>
  </conditionalFormatting>
  <conditionalFormatting sqref="AJ50">
    <cfRule type="containsText" dxfId="137" priority="48" operator="containsText" text="OK"/>
  </conditionalFormatting>
  <conditionalFormatting sqref="AJ50">
    <cfRule type="containsText" dxfId="136" priority="49" operator="containsText" text="OK"/>
  </conditionalFormatting>
  <conditionalFormatting sqref="AK47">
    <cfRule type="containsText" dxfId="135" priority="50" operator="containsText" text="OK"/>
  </conditionalFormatting>
  <conditionalFormatting sqref="AK47">
    <cfRule type="containsText" dxfId="134" priority="51" operator="containsText" text="OK"/>
  </conditionalFormatting>
  <conditionalFormatting sqref="AK50">
    <cfRule type="containsText" dxfId="133" priority="52" operator="containsText" text="OK"/>
  </conditionalFormatting>
  <conditionalFormatting sqref="AK50">
    <cfRule type="containsText" dxfId="132" priority="53" operator="containsText" text="OK"/>
  </conditionalFormatting>
  <conditionalFormatting sqref="AL47">
    <cfRule type="containsText" dxfId="131" priority="54" operator="containsText" text="OK"/>
  </conditionalFormatting>
  <conditionalFormatting sqref="AL47">
    <cfRule type="containsText" dxfId="130" priority="55" operator="containsText" text="OK"/>
  </conditionalFormatting>
  <conditionalFormatting sqref="AL50">
    <cfRule type="containsText" dxfId="129" priority="56" operator="containsText" text="OK"/>
  </conditionalFormatting>
  <conditionalFormatting sqref="AL50">
    <cfRule type="containsText" dxfId="128" priority="57" operator="containsText" text="OK"/>
  </conditionalFormatting>
  <conditionalFormatting sqref="AM47">
    <cfRule type="containsText" dxfId="127" priority="58" operator="containsText" text="OK"/>
  </conditionalFormatting>
  <conditionalFormatting sqref="AM47">
    <cfRule type="containsText" dxfId="126" priority="59" operator="containsText" text="OK"/>
  </conditionalFormatting>
  <conditionalFormatting sqref="AM50">
    <cfRule type="containsText" dxfId="125" priority="60" operator="containsText" text="OK"/>
  </conditionalFormatting>
  <conditionalFormatting sqref="AM50">
    <cfRule type="containsText" dxfId="124" priority="61" operator="containsText" text="OK"/>
  </conditionalFormatting>
  <conditionalFormatting sqref="AN47">
    <cfRule type="containsText" dxfId="123" priority="62" operator="containsText" text="OK"/>
  </conditionalFormatting>
  <conditionalFormatting sqref="AN47">
    <cfRule type="containsText" dxfId="122" priority="63" operator="containsText" text="OK"/>
  </conditionalFormatting>
  <conditionalFormatting sqref="AN50">
    <cfRule type="containsText" dxfId="121" priority="64" operator="containsText" text="OK"/>
  </conditionalFormatting>
  <conditionalFormatting sqref="AN50">
    <cfRule type="containsText" dxfId="120" priority="65" operator="containsText" text="OK"/>
  </conditionalFormatting>
  <conditionalFormatting sqref="AO47">
    <cfRule type="containsText" dxfId="119" priority="66" operator="containsText" text="OK"/>
  </conditionalFormatting>
  <conditionalFormatting sqref="AO47">
    <cfRule type="containsText" dxfId="118" priority="67" operator="containsText" text="OK"/>
  </conditionalFormatting>
  <conditionalFormatting sqref="AO50">
    <cfRule type="containsText" dxfId="117" priority="68" operator="containsText" text="OK"/>
  </conditionalFormatting>
  <conditionalFormatting sqref="AO50">
    <cfRule type="containsText" dxfId="116" priority="69" operator="containsText" text="OK"/>
  </conditionalFormatting>
  <conditionalFormatting sqref="AP47">
    <cfRule type="containsText" dxfId="115" priority="70" operator="containsText" text="OK"/>
  </conditionalFormatting>
  <conditionalFormatting sqref="AP47">
    <cfRule type="containsText" dxfId="114" priority="71" operator="containsText" text="OK"/>
  </conditionalFormatting>
  <conditionalFormatting sqref="AP50">
    <cfRule type="containsText" dxfId="113" priority="72" operator="containsText" text="OK"/>
  </conditionalFormatting>
  <conditionalFormatting sqref="AP50">
    <cfRule type="containsText" dxfId="112" priority="73" operator="containsText" text="OK"/>
  </conditionalFormatting>
  <conditionalFormatting sqref="AQ47">
    <cfRule type="containsText" dxfId="111" priority="74" operator="containsText" text="OK"/>
  </conditionalFormatting>
  <conditionalFormatting sqref="AQ47">
    <cfRule type="containsText" dxfId="110" priority="75" operator="containsText" text="OK"/>
  </conditionalFormatting>
  <conditionalFormatting sqref="AQ50">
    <cfRule type="containsText" dxfId="109" priority="76" operator="containsText" text="OK"/>
  </conditionalFormatting>
  <conditionalFormatting sqref="AQ50">
    <cfRule type="containsText" dxfId="108" priority="77" operator="containsText" text="OK"/>
  </conditionalFormatting>
  <conditionalFormatting sqref="D2:G2">
    <cfRule type="expression" dxfId="107" priority="20">
      <formula>$J$23="Petit Nay"</formula>
    </cfRule>
    <cfRule type="expression" dxfId="106" priority="24">
      <formula>$J$23="Lauberoye"</formula>
    </cfRule>
    <cfRule type="expression" dxfId="105" priority="28">
      <formula>$J$23="Brinchette"</formula>
    </cfRule>
    <cfRule type="expression" dxfId="104" priority="33">
      <formula>$J$23="Manola"</formula>
    </cfRule>
    <cfRule type="containsText" priority="34" operator="containsText" text="Manola">
      <formula>NOT(ISERROR(SEARCH("Manola",D2)))</formula>
    </cfRule>
  </conditionalFormatting>
  <conditionalFormatting sqref="A17:G17">
    <cfRule type="expression" dxfId="103" priority="19">
      <formula>$J$23="Petit Nay"</formula>
    </cfRule>
    <cfRule type="expression" dxfId="102" priority="23">
      <formula>$J$23="Lauberoye"</formula>
    </cfRule>
    <cfRule type="expression" dxfId="101" priority="27">
      <formula>$J$23="Brinchette"</formula>
    </cfRule>
    <cfRule type="expression" dxfId="100" priority="32">
      <formula>$J$23="Manola"</formula>
    </cfRule>
  </conditionalFormatting>
  <conditionalFormatting sqref="A32:D32">
    <cfRule type="expression" dxfId="99" priority="18">
      <formula>$J$23="Petit Nay"</formula>
    </cfRule>
    <cfRule type="expression" dxfId="98" priority="22">
      <formula>$J$23="Lauberoye"</formula>
    </cfRule>
    <cfRule type="expression" dxfId="97" priority="26">
      <formula>$J$23="Brinchette"</formula>
    </cfRule>
    <cfRule type="expression" dxfId="96" priority="31">
      <formula>$J$23="Manola"</formula>
    </cfRule>
  </conditionalFormatting>
  <conditionalFormatting sqref="C37">
    <cfRule type="expression" dxfId="95" priority="17">
      <formula>$J$23="Petit Nay"</formula>
    </cfRule>
    <cfRule type="expression" dxfId="94" priority="21">
      <formula>$J$23="Lauberoye"</formula>
    </cfRule>
    <cfRule type="expression" dxfId="93" priority="25">
      <formula>$J$23="Brinchette"</formula>
    </cfRule>
    <cfRule type="expression" dxfId="92" priority="30">
      <formula>$J$23="Manola"</formula>
    </cfRule>
  </conditionalFormatting>
  <conditionalFormatting sqref="F37">
    <cfRule type="expression" dxfId="91" priority="1">
      <formula>$J$23="Petit Nay"</formula>
    </cfRule>
    <cfRule type="expression" dxfId="90" priority="2">
      <formula>$J$23="Lauberoye"</formula>
    </cfRule>
    <cfRule type="expression" dxfId="89" priority="3">
      <formula>$J$23="Brinchette"</formula>
    </cfRule>
    <cfRule type="expression" dxfId="88" priority="4">
      <formula>$J$23="Manola"</formula>
    </cfRule>
  </conditionalFormatting>
  <dataValidations count="1">
    <dataValidation type="list" allowBlank="1" showInputMessage="1" showErrorMessage="1" promptTitle="paiement" prompt="choisir le paiement" sqref="A15" xr:uid="{00000000-0002-0000-0100-000000000000}">
      <formula1>paiement</formula1>
      <formula2>0</formula2>
    </dataValidation>
  </dataValidations>
  <hyperlinks>
    <hyperlink ref="B4" r:id="rId1" xr:uid="{D3EE3331-1401-4FD7-9E13-3E44AAF31F3C}"/>
    <hyperlink ref="B5" r:id="rId2" xr:uid="{8E423274-9AD5-4154-8328-4B207CD6E035}"/>
  </hyperlinks>
  <pageMargins left="0.23611111111111099" right="0.23611111111111099" top="0.35416666666666702" bottom="0.39374999999999999" header="0.51180555555555496" footer="0.51180555555555496"/>
  <pageSetup paperSize="9" firstPageNumber="0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"/>
  <sheetViews>
    <sheetView zoomScaleNormal="100" workbookViewId="0">
      <selection activeCell="D8" sqref="D8:D10"/>
    </sheetView>
  </sheetViews>
  <sheetFormatPr baseColWidth="10" defaultColWidth="9.140625" defaultRowHeight="15" x14ac:dyDescent="0.25"/>
  <cols>
    <col min="1" max="1" width="10.7109375" customWidth="1"/>
    <col min="2" max="2" width="33.28515625" customWidth="1"/>
    <col min="3" max="3" width="10.85546875" style="1" customWidth="1"/>
    <col min="4" max="4" width="12.28515625" customWidth="1"/>
    <col min="5" max="5" width="5.42578125" style="1" customWidth="1"/>
    <col min="6" max="6" width="11" customWidth="1"/>
    <col min="7" max="7" width="12.85546875" customWidth="1"/>
    <col min="10" max="10" width="24" customWidth="1"/>
    <col min="11" max="11" width="26.85546875" customWidth="1"/>
    <col min="12" max="12" width="36.42578125" customWidth="1"/>
    <col min="13" max="13" width="26.42578125" customWidth="1"/>
    <col min="14" max="1025" width="9.140625" customWidth="1"/>
  </cols>
  <sheetData>
    <row r="1" spans="1:15" ht="28.5" customHeight="1" x14ac:dyDescent="0.25">
      <c r="A1" s="2"/>
      <c r="B1" s="3"/>
      <c r="C1" s="4"/>
      <c r="D1" s="235" t="s">
        <v>72</v>
      </c>
      <c r="E1" s="235"/>
      <c r="F1" s="235"/>
      <c r="G1" s="235"/>
      <c r="K1" s="5" t="s">
        <v>0</v>
      </c>
      <c r="L1" s="6" t="s">
        <v>94</v>
      </c>
    </row>
    <row r="2" spans="1:15" ht="21.75" x14ac:dyDescent="0.25">
      <c r="A2" s="137"/>
      <c r="B2" s="3"/>
      <c r="C2" s="4"/>
      <c r="D2" s="7" t="s">
        <v>1</v>
      </c>
      <c r="E2" s="236" t="s">
        <v>2</v>
      </c>
      <c r="F2" s="236"/>
      <c r="G2" s="7" t="s">
        <v>3</v>
      </c>
      <c r="K2" s="5" t="s">
        <v>4</v>
      </c>
      <c r="L2" s="6" t="s">
        <v>5</v>
      </c>
    </row>
    <row r="3" spans="1:15" ht="17.25" customHeight="1" x14ac:dyDescent="0.25">
      <c r="A3" s="3" t="s">
        <v>6</v>
      </c>
      <c r="B3" s="3"/>
      <c r="C3" s="4"/>
      <c r="D3" s="9">
        <f>M8</f>
        <v>0</v>
      </c>
      <c r="E3" s="245">
        <f>L8</f>
        <v>0</v>
      </c>
      <c r="F3" s="245"/>
      <c r="G3" s="9">
        <f>Facture!G3</f>
        <v>0</v>
      </c>
      <c r="I3" s="10"/>
      <c r="J3" s="11" t="str">
        <f>UPPER(LEFT(K27,2))</f>
        <v>0</v>
      </c>
      <c r="K3" s="5" t="s">
        <v>7</v>
      </c>
      <c r="L3" s="12" t="s">
        <v>95</v>
      </c>
    </row>
    <row r="4" spans="1:15" x14ac:dyDescent="0.25">
      <c r="A4" s="3" t="s">
        <v>8</v>
      </c>
      <c r="B4" s="3"/>
      <c r="C4" s="4"/>
      <c r="D4" s="3"/>
      <c r="E4" s="4"/>
      <c r="F4" s="3"/>
      <c r="G4" s="113"/>
      <c r="K4" s="5" t="s">
        <v>9</v>
      </c>
      <c r="L4" s="13" t="s">
        <v>10</v>
      </c>
    </row>
    <row r="5" spans="1:15" ht="7.5" customHeight="1" x14ac:dyDescent="0.25">
      <c r="A5" s="3"/>
      <c r="B5" s="3"/>
      <c r="C5" s="14"/>
      <c r="D5" s="3"/>
      <c r="E5" s="4"/>
      <c r="F5" s="3"/>
    </row>
    <row r="6" spans="1:15" ht="13.5" customHeight="1" x14ac:dyDescent="0.25">
      <c r="A6" s="3" t="s">
        <v>11</v>
      </c>
      <c r="B6" s="3"/>
      <c r="C6" s="4"/>
      <c r="D6" s="3"/>
      <c r="E6" s="4"/>
      <c r="F6" s="3"/>
      <c r="I6" s="1"/>
      <c r="J6" s="15" t="s">
        <v>70</v>
      </c>
      <c r="O6" s="16"/>
    </row>
    <row r="7" spans="1:15" ht="15.75" customHeight="1" x14ac:dyDescent="0.25">
      <c r="A7" s="3"/>
      <c r="B7" s="3"/>
      <c r="C7" s="17"/>
      <c r="D7" s="18"/>
      <c r="E7" s="19"/>
      <c r="F7" s="20"/>
      <c r="G7" s="21"/>
      <c r="J7" s="22" t="s">
        <v>12</v>
      </c>
      <c r="K7" s="15" t="s">
        <v>13</v>
      </c>
      <c r="L7" s="15" t="s">
        <v>14</v>
      </c>
      <c r="M7" s="15" t="s">
        <v>15</v>
      </c>
      <c r="O7" s="16"/>
    </row>
    <row r="8" spans="1:15" ht="15.75" customHeight="1" x14ac:dyDescent="0.25">
      <c r="A8" s="3" t="s">
        <v>16</v>
      </c>
      <c r="B8" s="23" t="s">
        <v>17</v>
      </c>
      <c r="C8" s="24"/>
      <c r="D8" s="136" t="s">
        <v>101</v>
      </c>
      <c r="E8" s="26"/>
      <c r="F8" s="25"/>
      <c r="G8" s="27"/>
      <c r="J8" s="105">
        <f>Facture!J8</f>
        <v>0</v>
      </c>
      <c r="K8" s="105">
        <f>Facture!K8</f>
        <v>0</v>
      </c>
      <c r="L8" s="105">
        <f>Facture!L8</f>
        <v>0</v>
      </c>
      <c r="M8" s="105">
        <f>Facture!M8</f>
        <v>0</v>
      </c>
      <c r="N8" s="105" t="str">
        <f>Facture!I8</f>
        <v/>
      </c>
      <c r="O8" s="16"/>
    </row>
    <row r="9" spans="1:15" ht="15.75" customHeight="1" x14ac:dyDescent="0.25">
      <c r="A9" s="3" t="s">
        <v>19</v>
      </c>
      <c r="B9" s="23" t="s">
        <v>20</v>
      </c>
      <c r="C9" s="29"/>
      <c r="D9" s="136" t="s">
        <v>102</v>
      </c>
      <c r="E9" s="26"/>
      <c r="F9" s="25"/>
      <c r="G9" s="27"/>
      <c r="J9" s="105">
        <f>Facture!J9</f>
        <v>0</v>
      </c>
      <c r="K9" s="105">
        <f>Facture!K9</f>
        <v>0</v>
      </c>
      <c r="L9" s="105">
        <f>Facture!L9</f>
        <v>0</v>
      </c>
      <c r="M9" s="105">
        <f>Facture!M9</f>
        <v>0</v>
      </c>
      <c r="N9" s="105" t="str">
        <f>Facture!I9</f>
        <v/>
      </c>
      <c r="O9" s="16"/>
    </row>
    <row r="10" spans="1:15" ht="15.75" customHeight="1" x14ac:dyDescent="0.25">
      <c r="A10" s="3"/>
      <c r="B10" s="3"/>
      <c r="C10" s="30"/>
      <c r="D10" s="136" t="s">
        <v>103</v>
      </c>
      <c r="E10" s="26"/>
      <c r="F10" s="25"/>
      <c r="G10" s="27"/>
      <c r="J10" s="105">
        <f>Facture!J10</f>
        <v>0</v>
      </c>
      <c r="K10" s="105">
        <f>Facture!K10</f>
        <v>0</v>
      </c>
      <c r="L10" s="105">
        <f>Facture!L10</f>
        <v>0</v>
      </c>
      <c r="M10" s="105">
        <f>Facture!M10</f>
        <v>0</v>
      </c>
      <c r="N10" s="105" t="str">
        <f>Facture!I10</f>
        <v/>
      </c>
      <c r="O10" s="16"/>
    </row>
    <row r="11" spans="1:15" ht="15.75" customHeight="1" x14ac:dyDescent="0.25">
      <c r="A11" s="3" t="s">
        <v>23</v>
      </c>
      <c r="B11" s="3"/>
      <c r="C11" s="31"/>
      <c r="D11" s="32"/>
      <c r="E11" s="33"/>
      <c r="F11" s="32"/>
      <c r="G11" s="34"/>
      <c r="J11" s="105">
        <f>Facture!J11</f>
        <v>0</v>
      </c>
      <c r="K11" s="105">
        <f>Facture!K11</f>
        <v>0</v>
      </c>
      <c r="L11" s="105">
        <f>Facture!L11</f>
        <v>0</v>
      </c>
      <c r="M11" s="105">
        <f>Facture!M11</f>
        <v>0</v>
      </c>
      <c r="N11" s="105" t="str">
        <f>Facture!I11</f>
        <v/>
      </c>
      <c r="O11" s="16"/>
    </row>
    <row r="12" spans="1:15" ht="13.5" customHeight="1" x14ac:dyDescent="0.25">
      <c r="A12" s="35" t="s">
        <v>24</v>
      </c>
      <c r="B12" s="3"/>
      <c r="C12" s="4"/>
      <c r="D12" s="3"/>
      <c r="E12" s="4"/>
      <c r="F12" s="3"/>
      <c r="J12" s="105">
        <f>Facture!J12</f>
        <v>0</v>
      </c>
      <c r="K12" s="105">
        <f>Facture!K12</f>
        <v>0</v>
      </c>
      <c r="L12" s="105">
        <f>Facture!L12</f>
        <v>0</v>
      </c>
      <c r="M12" s="105">
        <f>Facture!M12</f>
        <v>0</v>
      </c>
      <c r="N12" s="105" t="str">
        <f>Facture!I12</f>
        <v/>
      </c>
      <c r="O12" s="16"/>
    </row>
    <row r="13" spans="1:15" x14ac:dyDescent="0.25">
      <c r="C13" s="36" t="s">
        <v>25</v>
      </c>
      <c r="D13" s="37" t="s">
        <v>26</v>
      </c>
      <c r="J13" s="105">
        <f>Facture!J13</f>
        <v>0</v>
      </c>
      <c r="K13" s="105">
        <f>Facture!K13</f>
        <v>0</v>
      </c>
      <c r="L13" s="105">
        <f>Facture!L13</f>
        <v>0</v>
      </c>
      <c r="M13" s="105">
        <f>Facture!M13</f>
        <v>0</v>
      </c>
      <c r="N13" s="105" t="str">
        <f>Facture!I13</f>
        <v/>
      </c>
      <c r="O13" s="16"/>
    </row>
    <row r="14" spans="1:15" x14ac:dyDescent="0.25">
      <c r="A14" s="38" t="s">
        <v>27</v>
      </c>
      <c r="B14" s="39">
        <f>Facture!B14</f>
        <v>0</v>
      </c>
      <c r="C14" s="36" t="s">
        <v>28</v>
      </c>
      <c r="D14" s="1"/>
      <c r="E14"/>
      <c r="J14" s="105">
        <f>Facture!J14</f>
        <v>0</v>
      </c>
      <c r="K14" s="105">
        <f>Facture!K14</f>
        <v>0</v>
      </c>
      <c r="L14" s="105">
        <f>Facture!L14</f>
        <v>0</v>
      </c>
      <c r="M14" s="105">
        <f>Facture!M14</f>
        <v>0</v>
      </c>
      <c r="N14" s="105" t="str">
        <f>Facture!I14</f>
        <v/>
      </c>
      <c r="O14" s="16"/>
    </row>
    <row r="15" spans="1:15" x14ac:dyDescent="0.25">
      <c r="A15" s="40" t="s">
        <v>29</v>
      </c>
      <c r="B15" s="39">
        <f>Facture!B15</f>
        <v>0</v>
      </c>
      <c r="C15" s="14"/>
      <c r="E15" s="240"/>
      <c r="F15" s="240"/>
      <c r="J15" s="105">
        <f>Facture!J15</f>
        <v>0</v>
      </c>
      <c r="K15" s="105">
        <f>Facture!K15</f>
        <v>0</v>
      </c>
      <c r="L15" s="105">
        <f>Facture!L15</f>
        <v>0</v>
      </c>
      <c r="M15" s="105">
        <f>Facture!M15</f>
        <v>0</v>
      </c>
      <c r="N15" s="105" t="str">
        <f>Facture!I15</f>
        <v/>
      </c>
      <c r="O15" s="16"/>
    </row>
    <row r="16" spans="1:15" ht="7.5" customHeight="1" x14ac:dyDescent="0.25">
      <c r="A16" s="3"/>
      <c r="B16" s="41"/>
      <c r="C16" s="4"/>
      <c r="D16" s="3"/>
      <c r="E16" s="4"/>
      <c r="F16" s="3"/>
      <c r="O16" s="16"/>
    </row>
    <row r="17" spans="1:15" ht="30" customHeight="1" x14ac:dyDescent="0.25">
      <c r="A17" s="111" t="str">
        <f>Facture!A17</f>
        <v>Exercice 2019-2020</v>
      </c>
      <c r="B17" s="112" t="e">
        <f>VLOOKUP(K27,K1:L4,2,0)</f>
        <v>#N/A</v>
      </c>
      <c r="C17" s="7"/>
      <c r="D17" s="111" t="s">
        <v>30</v>
      </c>
      <c r="E17" s="7" t="s">
        <v>31</v>
      </c>
      <c r="F17" s="7" t="s">
        <v>32</v>
      </c>
      <c r="G17" s="7" t="s">
        <v>33</v>
      </c>
      <c r="J17" s="113"/>
      <c r="O17" s="16"/>
    </row>
    <row r="18" spans="1:15" ht="20.25" customHeight="1" x14ac:dyDescent="0.25">
      <c r="A18" s="42"/>
      <c r="B18" s="43" t="s">
        <v>34</v>
      </c>
      <c r="C18" s="44"/>
      <c r="D18" s="45">
        <f>G18/1.1</f>
        <v>0</v>
      </c>
      <c r="E18" s="45" t="str">
        <f>IF(G18=0," ","€")</f>
        <v xml:space="preserve"> </v>
      </c>
      <c r="F18" s="46">
        <v>0.1</v>
      </c>
      <c r="G18" s="47">
        <f>K29+K25</f>
        <v>0</v>
      </c>
      <c r="J18" s="48"/>
      <c r="O18" s="16"/>
    </row>
    <row r="19" spans="1:15" ht="14.25" customHeight="1" x14ac:dyDescent="0.25">
      <c r="A19" s="42"/>
      <c r="B19" s="49"/>
      <c r="C19" s="44"/>
      <c r="D19" s="45"/>
      <c r="E19" s="45"/>
      <c r="F19" s="46"/>
      <c r="G19" s="47"/>
      <c r="J19" s="48"/>
      <c r="L19" s="15" t="s">
        <v>35</v>
      </c>
      <c r="O19" s="16"/>
    </row>
    <row r="20" spans="1:15" x14ac:dyDescent="0.25">
      <c r="A20" s="42"/>
      <c r="B20" s="56"/>
      <c r="C20" s="117"/>
      <c r="D20" s="45"/>
      <c r="E20" s="45"/>
      <c r="F20" s="46"/>
      <c r="G20" s="47"/>
      <c r="J20" s="50" t="s">
        <v>36</v>
      </c>
      <c r="K20" s="51">
        <f>Facture!K20</f>
        <v>0</v>
      </c>
      <c r="L20" s="52">
        <v>3</v>
      </c>
      <c r="M20">
        <f>L20*K20*K26</f>
        <v>0</v>
      </c>
      <c r="O20" s="16"/>
    </row>
    <row r="21" spans="1:15" x14ac:dyDescent="0.25">
      <c r="A21" s="42"/>
      <c r="B21" s="118"/>
      <c r="C21" s="119"/>
      <c r="D21" s="45"/>
      <c r="E21" s="120"/>
      <c r="F21" s="121"/>
      <c r="G21" s="47"/>
      <c r="J21" s="48" t="s">
        <v>39</v>
      </c>
      <c r="K21" s="51">
        <f>Facture!K21</f>
        <v>0</v>
      </c>
      <c r="O21" s="16"/>
    </row>
    <row r="22" spans="1:15" x14ac:dyDescent="0.25">
      <c r="A22" s="53"/>
      <c r="B22" s="122" t="str">
        <f>Facture!D8</f>
        <v>nom prénom</v>
      </c>
      <c r="C22" s="116"/>
      <c r="D22" s="45"/>
      <c r="E22" s="45"/>
      <c r="F22" s="46"/>
      <c r="G22" s="47"/>
      <c r="J22" s="48" t="s">
        <v>40</v>
      </c>
      <c r="K22" s="51">
        <f>Facture!K22</f>
        <v>0</v>
      </c>
      <c r="O22" s="16"/>
    </row>
    <row r="23" spans="1:15" x14ac:dyDescent="0.25">
      <c r="A23" s="54"/>
      <c r="B23" s="123"/>
      <c r="C23" s="55"/>
      <c r="D23" s="45"/>
      <c r="E23" s="42"/>
      <c r="F23" s="56"/>
      <c r="G23" s="56"/>
      <c r="J23" s="14" t="s">
        <v>41</v>
      </c>
      <c r="K23" s="51">
        <f>Facture!K23</f>
        <v>0</v>
      </c>
      <c r="L23" s="4"/>
      <c r="M23" s="4"/>
      <c r="N23" s="4"/>
      <c r="O23" s="16"/>
    </row>
    <row r="24" spans="1:15" x14ac:dyDescent="0.25">
      <c r="A24" s="42"/>
      <c r="C24" s="55"/>
      <c r="D24" s="45"/>
      <c r="E24" s="42"/>
      <c r="F24" s="56"/>
      <c r="G24" s="56"/>
      <c r="J24" s="48" t="s">
        <v>42</v>
      </c>
      <c r="K24" s="51">
        <f>Facture!K24</f>
        <v>0</v>
      </c>
      <c r="M24" s="136" t="s">
        <v>101</v>
      </c>
      <c r="O24" s="16"/>
    </row>
    <row r="25" spans="1:15" x14ac:dyDescent="0.25">
      <c r="A25" s="42"/>
      <c r="C25" s="55"/>
      <c r="D25" s="45"/>
      <c r="E25" s="42"/>
      <c r="F25" s="56"/>
      <c r="G25" s="56"/>
      <c r="J25" s="48" t="s">
        <v>43</v>
      </c>
      <c r="K25" s="51">
        <f>Facture!K25</f>
        <v>0</v>
      </c>
      <c r="M25" s="136" t="s">
        <v>102</v>
      </c>
      <c r="O25" s="16"/>
    </row>
    <row r="26" spans="1:15" x14ac:dyDescent="0.25">
      <c r="A26" s="42"/>
      <c r="B26" s="58"/>
      <c r="C26" s="55"/>
      <c r="D26" s="45"/>
      <c r="E26" s="45"/>
      <c r="F26" s="46"/>
      <c r="G26" s="47"/>
      <c r="J26" s="50" t="s">
        <v>45</v>
      </c>
      <c r="K26" s="51">
        <f>Facture!K26</f>
        <v>0</v>
      </c>
      <c r="M26" s="136" t="s">
        <v>103</v>
      </c>
      <c r="O26" s="16"/>
    </row>
    <row r="27" spans="1:15" x14ac:dyDescent="0.25">
      <c r="A27" s="42"/>
      <c r="B27" s="49"/>
      <c r="C27" s="59"/>
      <c r="D27" s="45"/>
      <c r="E27" s="45"/>
      <c r="F27" s="46"/>
      <c r="G27" s="47"/>
      <c r="J27" s="15" t="s">
        <v>46</v>
      </c>
      <c r="K27" s="51">
        <f>Facture!K27</f>
        <v>0</v>
      </c>
      <c r="O27" s="16"/>
    </row>
    <row r="28" spans="1:15" x14ac:dyDescent="0.25">
      <c r="A28" s="42"/>
      <c r="B28" s="49"/>
      <c r="C28" s="59"/>
      <c r="D28" s="56"/>
      <c r="E28" s="42"/>
      <c r="F28" s="56"/>
      <c r="G28" s="56"/>
      <c r="J28" t="s">
        <v>47</v>
      </c>
      <c r="K28" s="51">
        <f>Facture!K28</f>
        <v>0</v>
      </c>
      <c r="O28" s="16"/>
    </row>
    <row r="29" spans="1:15" ht="18.75" x14ac:dyDescent="0.3">
      <c r="A29" s="42"/>
      <c r="B29" s="49"/>
      <c r="D29" s="42"/>
      <c r="E29" s="42"/>
      <c r="F29" s="56"/>
      <c r="G29" s="47"/>
      <c r="H29" s="61"/>
      <c r="J29" s="134" t="s">
        <v>77</v>
      </c>
      <c r="K29" s="135">
        <f>Facture!K29</f>
        <v>0</v>
      </c>
      <c r="M29" s="25" t="s">
        <v>73</v>
      </c>
      <c r="O29" s="16"/>
    </row>
    <row r="30" spans="1:15" ht="15.75" x14ac:dyDescent="0.25">
      <c r="A30" s="42"/>
      <c r="C30" s="42"/>
      <c r="D30" s="42"/>
      <c r="F30" s="46"/>
      <c r="G30" s="47"/>
      <c r="H30" s="62"/>
      <c r="L30" s="35"/>
      <c r="M30" s="25" t="s">
        <v>74</v>
      </c>
      <c r="N30" s="63"/>
      <c r="O30" s="16"/>
    </row>
    <row r="31" spans="1:15" ht="11.25" customHeight="1" thickBot="1" x14ac:dyDescent="0.3">
      <c r="A31" s="42"/>
      <c r="B31" s="49"/>
      <c r="C31" s="42"/>
      <c r="D31" s="56"/>
      <c r="E31" s="42"/>
      <c r="F31" s="56"/>
      <c r="G31" s="56"/>
      <c r="H31" s="61"/>
      <c r="J31" s="35"/>
      <c r="K31" s="35"/>
      <c r="L31" s="35"/>
      <c r="M31" s="25" t="s">
        <v>75</v>
      </c>
      <c r="N31" s="63"/>
      <c r="O31" s="16"/>
    </row>
    <row r="32" spans="1:15" ht="25.5" customHeight="1" thickBot="1" x14ac:dyDescent="0.3">
      <c r="A32" s="64"/>
      <c r="B32" s="65"/>
      <c r="C32" s="66"/>
      <c r="D32" s="67"/>
      <c r="E32" s="66"/>
      <c r="F32" s="67"/>
      <c r="G32" s="67"/>
      <c r="H32" s="61"/>
      <c r="J32" s="68" t="s">
        <v>48</v>
      </c>
      <c r="K32" s="69">
        <f>G18*30%</f>
        <v>0</v>
      </c>
    </row>
    <row r="33" spans="1:13" x14ac:dyDescent="0.25">
      <c r="A33" s="3"/>
      <c r="B33" s="3"/>
      <c r="C33" s="4"/>
      <c r="D33" s="3"/>
      <c r="E33" s="4"/>
      <c r="F33" s="3"/>
      <c r="G33" s="3"/>
    </row>
    <row r="34" spans="1:13" x14ac:dyDescent="0.25">
      <c r="A34" s="7" t="s">
        <v>49</v>
      </c>
      <c r="B34" s="7" t="s">
        <v>50</v>
      </c>
      <c r="C34" s="7" t="s">
        <v>51</v>
      </c>
      <c r="D34" s="7" t="s">
        <v>52</v>
      </c>
      <c r="E34" s="4"/>
      <c r="F34" s="3"/>
      <c r="G34" s="108" t="s">
        <v>53</v>
      </c>
    </row>
    <row r="35" spans="1:13" ht="25.5" customHeight="1" x14ac:dyDescent="0.25">
      <c r="A35" s="70">
        <v>0.1</v>
      </c>
      <c r="B35" s="71">
        <f>SUMIF(F18:F25,A35,D18:D25)</f>
        <v>0</v>
      </c>
      <c r="C35" s="71">
        <f>B35*A35</f>
        <v>0</v>
      </c>
      <c r="D35" s="71">
        <f>B35+C35</f>
        <v>0</v>
      </c>
      <c r="E35" s="4"/>
      <c r="F35" s="124">
        <f>J8</f>
        <v>0</v>
      </c>
      <c r="G35" s="72">
        <f>K8</f>
        <v>0</v>
      </c>
    </row>
    <row r="36" spans="1:13" ht="25.5" customHeight="1" x14ac:dyDescent="0.25">
      <c r="A36" s="70"/>
      <c r="B36" s="71"/>
      <c r="C36" s="71"/>
      <c r="D36" s="71"/>
      <c r="E36" s="4"/>
      <c r="F36" s="124"/>
      <c r="G36" s="72"/>
      <c r="J36" s="15" t="s">
        <v>71</v>
      </c>
      <c r="M36" s="25" t="s">
        <v>73</v>
      </c>
    </row>
    <row r="37" spans="1:13" ht="25.5" customHeight="1" x14ac:dyDescent="0.25">
      <c r="A37" s="70" t="s">
        <v>54</v>
      </c>
      <c r="B37" s="71"/>
      <c r="C37" s="71"/>
      <c r="D37" s="71">
        <f>G29</f>
        <v>0</v>
      </c>
      <c r="E37" s="4"/>
      <c r="F37" s="124"/>
      <c r="G37" s="72"/>
      <c r="J37" s="15" t="s">
        <v>55</v>
      </c>
      <c r="K37" s="15"/>
      <c r="M37" s="25" t="s">
        <v>74</v>
      </c>
    </row>
    <row r="38" spans="1:13" ht="25.5" customHeight="1" thickBot="1" x14ac:dyDescent="0.3">
      <c r="A38" s="3"/>
      <c r="B38" s="3"/>
      <c r="C38" s="4"/>
      <c r="D38" s="3"/>
      <c r="E38" s="4"/>
      <c r="F38" s="125"/>
      <c r="G38" s="73"/>
      <c r="J38" s="15" t="s">
        <v>56</v>
      </c>
      <c r="K38" s="15" t="s">
        <v>57</v>
      </c>
      <c r="M38" s="25" t="s">
        <v>75</v>
      </c>
    </row>
    <row r="39" spans="1:13" s="4" customFormat="1" ht="25.5" customHeight="1" thickBot="1" x14ac:dyDescent="0.3">
      <c r="C39" s="110" t="s">
        <v>58</v>
      </c>
      <c r="D39" s="74">
        <f>D35+D36+D37</f>
        <v>0</v>
      </c>
      <c r="E39" s="75"/>
      <c r="F39" s="114" t="s">
        <v>59</v>
      </c>
      <c r="G39" s="74">
        <f>D39-SUM(G35:G38)</f>
        <v>0</v>
      </c>
      <c r="J39" s="76" t="s">
        <v>60</v>
      </c>
    </row>
    <row r="40" spans="1:13" ht="21" customHeight="1" x14ac:dyDescent="0.25">
      <c r="A40" t="s">
        <v>61</v>
      </c>
      <c r="B40" s="77"/>
      <c r="C40" s="78"/>
      <c r="D40" s="77"/>
      <c r="E40" s="241"/>
      <c r="F40" s="241"/>
      <c r="J40" s="15" t="s">
        <v>62</v>
      </c>
      <c r="K40" t="s">
        <v>63</v>
      </c>
    </row>
    <row r="41" spans="1:13" ht="21" customHeight="1" x14ac:dyDescent="0.25">
      <c r="C41"/>
      <c r="E41" s="241"/>
      <c r="F41" s="241"/>
    </row>
    <row r="42" spans="1:13" ht="21" customHeight="1" x14ac:dyDescent="0.25">
      <c r="A42" s="79" t="s">
        <v>64</v>
      </c>
      <c r="C42" s="78"/>
      <c r="D42" s="77"/>
      <c r="E42" s="241"/>
      <c r="F42" s="241"/>
      <c r="J42" t="s">
        <v>65</v>
      </c>
    </row>
    <row r="43" spans="1:13" ht="15.75" customHeight="1" x14ac:dyDescent="0.25">
      <c r="C43" s="4"/>
      <c r="D43" s="3"/>
      <c r="E43" s="241"/>
      <c r="F43" s="241"/>
    </row>
    <row r="44" spans="1:13" ht="15.75" customHeight="1" x14ac:dyDescent="0.25">
      <c r="C44" s="4"/>
      <c r="D44" s="14"/>
    </row>
    <row r="45" spans="1:13" ht="21" customHeight="1" x14ac:dyDescent="0.25">
      <c r="A45" s="80" t="s">
        <v>66</v>
      </c>
      <c r="B45" s="81"/>
      <c r="C45" s="82"/>
      <c r="D45" s="81"/>
      <c r="E45" s="82"/>
      <c r="F45" s="81"/>
      <c r="G45" s="83"/>
    </row>
    <row r="46" spans="1:13" ht="18.75" customHeight="1" x14ac:dyDescent="0.25">
      <c r="A46" s="84" t="s">
        <v>67</v>
      </c>
      <c r="B46" s="85"/>
      <c r="C46" s="86"/>
      <c r="D46" s="85"/>
      <c r="E46" s="86"/>
      <c r="F46" s="85"/>
      <c r="G46" s="87"/>
    </row>
    <row r="47" spans="1:13" ht="25.5" customHeight="1" x14ac:dyDescent="0.25"/>
    <row r="48" spans="1:13" ht="30" customHeight="1" x14ac:dyDescent="0.25"/>
    <row r="49" ht="30" customHeight="1" x14ac:dyDescent="0.25"/>
    <row r="58" ht="15.75" customHeight="1" x14ac:dyDescent="0.25"/>
    <row r="59" ht="15.75" customHeight="1" x14ac:dyDescent="0.25"/>
  </sheetData>
  <mergeCells count="8">
    <mergeCell ref="E42:F42"/>
    <mergeCell ref="E43:F43"/>
    <mergeCell ref="D1:G1"/>
    <mergeCell ref="E2:F2"/>
    <mergeCell ref="E3:F3"/>
    <mergeCell ref="E15:F15"/>
    <mergeCell ref="E40:F40"/>
    <mergeCell ref="E41:F41"/>
  </mergeCells>
  <conditionalFormatting sqref="AD48">
    <cfRule type="containsText" dxfId="87" priority="57" operator="containsText" text="OK"/>
  </conditionalFormatting>
  <conditionalFormatting sqref="AD48">
    <cfRule type="containsText" dxfId="86" priority="58" operator="containsText" text="OK"/>
  </conditionalFormatting>
  <conditionalFormatting sqref="AE47">
    <cfRule type="containsText" dxfId="85" priority="59" operator="containsText" text="OK"/>
  </conditionalFormatting>
  <conditionalFormatting sqref="AE47">
    <cfRule type="containsText" dxfId="84" priority="60" operator="containsText" text="OK"/>
  </conditionalFormatting>
  <conditionalFormatting sqref="AE48">
    <cfRule type="containsText" dxfId="83" priority="61" operator="containsText" text="OK"/>
  </conditionalFormatting>
  <conditionalFormatting sqref="AE48">
    <cfRule type="containsText" dxfId="82" priority="62" operator="containsText" text="OK"/>
  </conditionalFormatting>
  <conditionalFormatting sqref="AE49">
    <cfRule type="containsText" dxfId="81" priority="63" operator="containsText" text="OK"/>
  </conditionalFormatting>
  <conditionalFormatting sqref="AE49">
    <cfRule type="containsText" dxfId="80" priority="64" operator="containsText" text="OK"/>
  </conditionalFormatting>
  <conditionalFormatting sqref="AE52">
    <cfRule type="containsText" dxfId="79" priority="65" operator="containsText" text="OK"/>
  </conditionalFormatting>
  <conditionalFormatting sqref="AE52">
    <cfRule type="containsText" dxfId="78" priority="66" operator="containsText" text="OK"/>
  </conditionalFormatting>
  <conditionalFormatting sqref="AJ49">
    <cfRule type="containsText" dxfId="77" priority="67" operator="containsText" text="OK"/>
  </conditionalFormatting>
  <conditionalFormatting sqref="AJ49">
    <cfRule type="containsText" dxfId="76" priority="68" operator="containsText" text="OK"/>
  </conditionalFormatting>
  <conditionalFormatting sqref="AJ52">
    <cfRule type="containsText" dxfId="75" priority="69" operator="containsText" text="OK"/>
  </conditionalFormatting>
  <conditionalFormatting sqref="AJ52">
    <cfRule type="containsText" dxfId="74" priority="70" operator="containsText" text="OK"/>
  </conditionalFormatting>
  <conditionalFormatting sqref="AK49">
    <cfRule type="containsText" dxfId="73" priority="71" operator="containsText" text="OK"/>
  </conditionalFormatting>
  <conditionalFormatting sqref="AK49">
    <cfRule type="containsText" dxfId="72" priority="72" operator="containsText" text="OK"/>
  </conditionalFormatting>
  <conditionalFormatting sqref="AK52">
    <cfRule type="containsText" dxfId="71" priority="73" operator="containsText" text="OK"/>
  </conditionalFormatting>
  <conditionalFormatting sqref="AK52">
    <cfRule type="containsText" dxfId="70" priority="74" operator="containsText" text="OK"/>
  </conditionalFormatting>
  <conditionalFormatting sqref="AL49">
    <cfRule type="containsText" dxfId="69" priority="75" operator="containsText" text="OK"/>
  </conditionalFormatting>
  <conditionalFormatting sqref="AL49">
    <cfRule type="containsText" dxfId="68" priority="76" operator="containsText" text="OK"/>
  </conditionalFormatting>
  <conditionalFormatting sqref="AL52">
    <cfRule type="containsText" dxfId="67" priority="77" operator="containsText" text="OK"/>
  </conditionalFormatting>
  <conditionalFormatting sqref="AL52">
    <cfRule type="containsText" dxfId="66" priority="78" operator="containsText" text="OK"/>
  </conditionalFormatting>
  <conditionalFormatting sqref="AM49">
    <cfRule type="containsText" dxfId="65" priority="79" operator="containsText" text="OK"/>
  </conditionalFormatting>
  <conditionalFormatting sqref="AM49">
    <cfRule type="containsText" dxfId="64" priority="80" operator="containsText" text="OK"/>
  </conditionalFormatting>
  <conditionalFormatting sqref="AM52">
    <cfRule type="containsText" dxfId="63" priority="81" operator="containsText" text="OK"/>
  </conditionalFormatting>
  <conditionalFormatting sqref="AM52">
    <cfRule type="containsText" dxfId="62" priority="82" operator="containsText" text="OK"/>
  </conditionalFormatting>
  <conditionalFormatting sqref="AN49">
    <cfRule type="containsText" dxfId="61" priority="83" operator="containsText" text="OK"/>
  </conditionalFormatting>
  <conditionalFormatting sqref="AN49">
    <cfRule type="containsText" dxfId="60" priority="84" operator="containsText" text="OK"/>
  </conditionalFormatting>
  <conditionalFormatting sqref="AN52">
    <cfRule type="containsText" dxfId="59" priority="85" operator="containsText" text="OK"/>
  </conditionalFormatting>
  <conditionalFormatting sqref="AN52">
    <cfRule type="containsText" dxfId="58" priority="86" operator="containsText" text="OK"/>
  </conditionalFormatting>
  <conditionalFormatting sqref="AO49">
    <cfRule type="containsText" dxfId="57" priority="87" operator="containsText" text="OK"/>
  </conditionalFormatting>
  <conditionalFormatting sqref="AO49">
    <cfRule type="containsText" dxfId="56" priority="88" operator="containsText" text="OK"/>
  </conditionalFormatting>
  <conditionalFormatting sqref="AO52">
    <cfRule type="containsText" dxfId="55" priority="89" operator="containsText" text="OK"/>
  </conditionalFormatting>
  <conditionalFormatting sqref="AO52">
    <cfRule type="containsText" dxfId="54" priority="90" operator="containsText" text="OK"/>
  </conditionalFormatting>
  <conditionalFormatting sqref="AP49">
    <cfRule type="containsText" dxfId="53" priority="91" operator="containsText" text="OK"/>
  </conditionalFormatting>
  <conditionalFormatting sqref="AP49">
    <cfRule type="containsText" dxfId="52" priority="92" operator="containsText" text="OK"/>
  </conditionalFormatting>
  <conditionalFormatting sqref="AP52">
    <cfRule type="containsText" dxfId="51" priority="93" operator="containsText" text="OK"/>
  </conditionalFormatting>
  <conditionalFormatting sqref="AP52">
    <cfRule type="containsText" dxfId="50" priority="94" operator="containsText" text="OK"/>
  </conditionalFormatting>
  <conditionalFormatting sqref="AQ49">
    <cfRule type="containsText" dxfId="49" priority="95" operator="containsText" text="OK"/>
  </conditionalFormatting>
  <conditionalFormatting sqref="AQ49">
    <cfRule type="containsText" dxfId="48" priority="96" operator="containsText" text="OK"/>
  </conditionalFormatting>
  <conditionalFormatting sqref="AQ52">
    <cfRule type="containsText" dxfId="47" priority="97" operator="containsText" text="OK"/>
  </conditionalFormatting>
  <conditionalFormatting sqref="AQ52">
    <cfRule type="containsText" dxfId="46" priority="98" operator="containsText" text="OK"/>
  </conditionalFormatting>
  <conditionalFormatting sqref="D2:G2">
    <cfRule type="expression" dxfId="45" priority="25">
      <formula>$K$27="Petit Nay"</formula>
    </cfRule>
    <cfRule type="expression" dxfId="44" priority="26">
      <formula>$K$27="Lauberoye"</formula>
    </cfRule>
    <cfRule type="expression" dxfId="43" priority="27">
      <formula>$K$27="Brinchette"</formula>
    </cfRule>
    <cfRule type="expression" dxfId="42" priority="28">
      <formula>$K$27="Manola"</formula>
    </cfRule>
  </conditionalFormatting>
  <conditionalFormatting sqref="B17">
    <cfRule type="expression" dxfId="41" priority="21">
      <formula>$K$27="Petit Nay"</formula>
    </cfRule>
    <cfRule type="expression" dxfId="40" priority="22">
      <formula>$K$27="Lauberoye"</formula>
    </cfRule>
    <cfRule type="expression" dxfId="39" priority="23">
      <formula>$K$27="Brinchette"</formula>
    </cfRule>
    <cfRule type="expression" dxfId="38" priority="24">
      <formula>$K$27="Manola"</formula>
    </cfRule>
  </conditionalFormatting>
  <conditionalFormatting sqref="C17:G17">
    <cfRule type="expression" dxfId="37" priority="17">
      <formula>$K$27="Petit Nay"</formula>
    </cfRule>
    <cfRule type="expression" dxfId="36" priority="18">
      <formula>$K$27="Lauberoye"</formula>
    </cfRule>
    <cfRule type="expression" dxfId="35" priority="19">
      <formula>$K$27="Brinchette"</formula>
    </cfRule>
    <cfRule type="expression" dxfId="34" priority="20">
      <formula>$K$27="Manola"</formula>
    </cfRule>
  </conditionalFormatting>
  <conditionalFormatting sqref="A17">
    <cfRule type="expression" dxfId="33" priority="13">
      <formula>$K$27="Petit Nay"</formula>
    </cfRule>
    <cfRule type="expression" dxfId="32" priority="14">
      <formula>$K$27="Lauberoye"</formula>
    </cfRule>
    <cfRule type="expression" dxfId="31" priority="15">
      <formula>$K$27="Brinchette"</formula>
    </cfRule>
    <cfRule type="expression" dxfId="30" priority="16">
      <formula>$K$27="Manola"</formula>
    </cfRule>
  </conditionalFormatting>
  <conditionalFormatting sqref="A34:D34">
    <cfRule type="expression" dxfId="29" priority="9">
      <formula>$K$27="Petit Nay"</formula>
    </cfRule>
    <cfRule type="expression" dxfId="28" priority="10">
      <formula>$K$27="Lauberoye"</formula>
    </cfRule>
    <cfRule type="expression" dxfId="27" priority="11">
      <formula>$K$27="Brinchette"</formula>
    </cfRule>
    <cfRule type="expression" dxfId="26" priority="12">
      <formula>$K$27="Manola"</formula>
    </cfRule>
  </conditionalFormatting>
  <conditionalFormatting sqref="C39">
    <cfRule type="expression" dxfId="25" priority="5">
      <formula>$K$27="Petit Nay"</formula>
    </cfRule>
    <cfRule type="expression" dxfId="24" priority="6">
      <formula>$K$27="Lauberoye"</formula>
    </cfRule>
    <cfRule type="expression" dxfId="23" priority="7">
      <formula>$K$27="Brinchette"</formula>
    </cfRule>
    <cfRule type="expression" dxfId="22" priority="8">
      <formula>$K$27="Manola"</formula>
    </cfRule>
  </conditionalFormatting>
  <conditionalFormatting sqref="F39">
    <cfRule type="expression" dxfId="21" priority="1">
      <formula>$K$27="Petit Nay"</formula>
    </cfRule>
    <cfRule type="expression" dxfId="20" priority="2">
      <formula>$K$27="Lauberoye"</formula>
    </cfRule>
    <cfRule type="expression" dxfId="19" priority="3">
      <formula>$K$27="Brinchette"</formula>
    </cfRule>
    <cfRule type="expression" dxfId="18" priority="4">
      <formula>$K$27="Manola"</formula>
    </cfRule>
  </conditionalFormatting>
  <dataValidations count="1">
    <dataValidation type="list" allowBlank="1" showInputMessage="1" showErrorMessage="1" promptTitle="paiement" prompt="choisir le paiement" sqref="A15" xr:uid="{00000000-0002-0000-0200-000000000000}">
      <formula1>paiement</formula1>
      <formula2>0</formula2>
    </dataValidation>
  </dataValidations>
  <hyperlinks>
    <hyperlink ref="B8" r:id="rId1" xr:uid="{00000000-0004-0000-0200-000000000000}"/>
    <hyperlink ref="B9" r:id="rId2" xr:uid="{00000000-0004-0000-0200-000001000000}"/>
  </hyperlinks>
  <pageMargins left="0.23611111111111099" right="0.23611111111111099" top="0.35416666666666702" bottom="0.39374999999999999" header="0.51180555555555496" footer="0.51180555555555496"/>
  <pageSetup paperSize="9" firstPageNumber="0" orientation="portrait" horizontalDpi="300" verticalDpi="3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87B2-3DF0-40B9-9890-83334DE97124}">
  <sheetPr codeName="Feuil21"/>
  <dimension ref="A1:AH124"/>
  <sheetViews>
    <sheetView workbookViewId="0">
      <selection activeCell="C10" sqref="C10"/>
    </sheetView>
  </sheetViews>
  <sheetFormatPr baseColWidth="10" defaultRowHeight="15" x14ac:dyDescent="0.25"/>
  <cols>
    <col min="1" max="1" width="11.42578125" style="178"/>
    <col min="2" max="2" width="14.85546875" style="178" customWidth="1"/>
    <col min="3" max="7" width="11.42578125" style="178"/>
    <col min="8" max="8" width="8.42578125" style="178" customWidth="1"/>
    <col min="9" max="9" width="7.5703125" style="178" customWidth="1"/>
    <col min="10" max="10" width="12.140625" style="178" customWidth="1"/>
    <col min="11" max="11" width="28.7109375" style="178" customWidth="1"/>
    <col min="12" max="12" width="9.140625" style="178" customWidth="1"/>
    <col min="13" max="13" width="11.42578125" style="178" customWidth="1"/>
    <col min="14" max="16384" width="11.42578125" style="178"/>
  </cols>
  <sheetData>
    <row r="1" spans="2:34" ht="45" customHeight="1" x14ac:dyDescent="0.25">
      <c r="D1" s="247" t="s">
        <v>104</v>
      </c>
      <c r="E1" s="247"/>
      <c r="K1" s="203"/>
      <c r="M1" s="203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2:34" ht="20.25" customHeight="1" x14ac:dyDescent="0.25">
      <c r="B2" s="179" t="s">
        <v>105</v>
      </c>
      <c r="C2" s="179"/>
      <c r="D2" s="179"/>
      <c r="E2" s="179"/>
      <c r="F2" s="179"/>
      <c r="G2" s="179"/>
      <c r="H2" s="179"/>
      <c r="I2" s="179"/>
      <c r="J2" s="179"/>
      <c r="K2" s="6" t="s">
        <v>94</v>
      </c>
      <c r="L2" s="5" t="s">
        <v>0</v>
      </c>
      <c r="M2" s="179" t="s">
        <v>124</v>
      </c>
      <c r="N2" s="179"/>
      <c r="O2" s="179"/>
      <c r="P2" s="179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2:34" ht="20.25" customHeight="1" x14ac:dyDescent="0.25">
      <c r="B3" s="179" t="s">
        <v>106</v>
      </c>
      <c r="C3" s="179"/>
      <c r="D3" s="179"/>
      <c r="E3" s="179"/>
      <c r="F3" s="179"/>
      <c r="G3" s="179"/>
      <c r="H3" s="179"/>
      <c r="I3" s="179"/>
      <c r="J3" s="179"/>
      <c r="K3" s="6" t="s">
        <v>5</v>
      </c>
      <c r="L3" s="5" t="s">
        <v>4</v>
      </c>
      <c r="M3" s="179" t="s">
        <v>125</v>
      </c>
      <c r="N3" s="179"/>
      <c r="O3" s="179"/>
      <c r="P3" s="179"/>
      <c r="Q3" s="194"/>
      <c r="R3" s="194"/>
      <c r="S3" s="195"/>
      <c r="T3" s="196"/>
      <c r="U3" s="197"/>
      <c r="V3" s="196"/>
      <c r="W3" s="198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</row>
    <row r="4" spans="2:34" ht="20.25" customHeight="1" x14ac:dyDescent="0.25">
      <c r="B4" s="179" t="s">
        <v>108</v>
      </c>
      <c r="C4" s="179"/>
      <c r="D4" s="179"/>
      <c r="E4" s="179"/>
      <c r="F4" s="179"/>
      <c r="G4" s="179"/>
      <c r="H4" s="179"/>
      <c r="I4" s="179"/>
      <c r="J4" s="179"/>
      <c r="K4" s="12" t="s">
        <v>95</v>
      </c>
      <c r="L4" s="5" t="s">
        <v>7</v>
      </c>
      <c r="M4" s="179" t="s">
        <v>126</v>
      </c>
      <c r="N4" s="179"/>
      <c r="O4" s="179"/>
      <c r="P4" s="179"/>
      <c r="Q4" s="194"/>
      <c r="R4" s="194"/>
      <c r="S4" s="195"/>
      <c r="T4" s="196"/>
      <c r="U4" s="197"/>
      <c r="V4" s="196"/>
      <c r="W4" s="198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</row>
    <row r="5" spans="2:34" ht="20.25" customHeight="1" x14ac:dyDescent="0.25">
      <c r="B5" s="179" t="s">
        <v>120</v>
      </c>
      <c r="C5" s="179"/>
      <c r="D5" s="179"/>
      <c r="E5" s="179"/>
      <c r="F5" s="179"/>
      <c r="G5" s="179"/>
      <c r="H5" s="179"/>
      <c r="I5" s="179"/>
      <c r="J5" s="179"/>
      <c r="K5" s="13" t="s">
        <v>10</v>
      </c>
      <c r="L5" s="5" t="s">
        <v>9</v>
      </c>
      <c r="M5" s="179" t="s">
        <v>127</v>
      </c>
      <c r="N5" s="179"/>
      <c r="O5" s="179"/>
      <c r="P5" s="194"/>
      <c r="Q5" s="194"/>
      <c r="R5" s="195"/>
      <c r="S5" s="196"/>
      <c r="T5" s="197"/>
      <c r="U5" s="196"/>
      <c r="V5" s="198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</row>
    <row r="6" spans="2:34" ht="20.25" customHeight="1" x14ac:dyDescent="0.25">
      <c r="B6" s="179" t="str">
        <f>Facture!D8</f>
        <v>nom prénom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94"/>
      <c r="Q6" s="194"/>
      <c r="R6" s="195"/>
      <c r="S6" s="196"/>
      <c r="T6" s="197"/>
      <c r="U6" s="196"/>
      <c r="V6" s="198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</row>
    <row r="7" spans="2:34" ht="20.25" customHeight="1" x14ac:dyDescent="0.25">
      <c r="B7" s="179" t="str">
        <f>Facture!D9</f>
        <v>adresse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94"/>
      <c r="Q7" s="194"/>
      <c r="R7" s="195"/>
      <c r="S7" s="196"/>
      <c r="T7" s="197"/>
      <c r="U7" s="196"/>
      <c r="V7" s="198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</row>
    <row r="8" spans="2:34" ht="20.25" customHeight="1" x14ac:dyDescent="0.25">
      <c r="B8" s="179" t="str">
        <f>Facture!D10</f>
        <v>code postal ville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94"/>
      <c r="Q8" s="194"/>
      <c r="R8" s="195"/>
      <c r="S8" s="196"/>
      <c r="T8" s="197"/>
      <c r="U8" s="196"/>
      <c r="V8" s="198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</row>
    <row r="9" spans="2:34" ht="20.25" customHeight="1" x14ac:dyDescent="0.25">
      <c r="B9" s="179" t="s">
        <v>121</v>
      </c>
      <c r="C9" s="181">
        <f>Facture!K29+Facture!K25</f>
        <v>0</v>
      </c>
      <c r="D9" s="204" t="s">
        <v>129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94"/>
      <c r="Q9" s="194"/>
      <c r="R9" s="195"/>
      <c r="S9" s="196"/>
      <c r="T9" s="197"/>
      <c r="U9" s="196"/>
      <c r="V9" s="198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</row>
    <row r="10" spans="2:34" ht="18.75" customHeight="1" x14ac:dyDescent="0.25">
      <c r="B10" s="205" t="s">
        <v>130</v>
      </c>
      <c r="C10" s="179" t="e">
        <f>VLOOKUP(Facture!B17,reçu!K2:M5,2,FALSE)</f>
        <v>#N/A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94"/>
      <c r="Q10" s="194"/>
      <c r="R10" s="195"/>
      <c r="S10" s="196"/>
      <c r="T10" s="197"/>
      <c r="U10" s="196"/>
      <c r="V10" s="198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</row>
    <row r="11" spans="2:34" ht="18.75" customHeight="1" x14ac:dyDescent="0.25">
      <c r="B11" s="179" t="s">
        <v>128</v>
      </c>
      <c r="C11" s="179"/>
      <c r="D11" s="179" t="e">
        <f>VLOOKUP(Facture!B17,reçu!K2:M5,3,FALSE)</f>
        <v>#N/A</v>
      </c>
      <c r="E11" s="179"/>
      <c r="F11" s="179"/>
      <c r="G11" s="179"/>
      <c r="H11" s="179"/>
      <c r="I11" s="179"/>
      <c r="K11" s="179"/>
      <c r="L11" s="179"/>
      <c r="M11" s="179"/>
      <c r="N11" s="179"/>
      <c r="O11" s="179"/>
      <c r="P11" s="194"/>
      <c r="Q11" s="194"/>
      <c r="R11" s="195"/>
      <c r="S11" s="196"/>
      <c r="T11" s="197"/>
      <c r="U11" s="196"/>
      <c r="V11" s="198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2:34" ht="18.75" customHeight="1" x14ac:dyDescent="0.25">
      <c r="B12" s="179" t="s">
        <v>123</v>
      </c>
      <c r="C12" s="179"/>
      <c r="D12" s="202">
        <f>Facture!K31</f>
        <v>0</v>
      </c>
      <c r="E12" s="183"/>
      <c r="F12" s="182"/>
      <c r="G12" s="179"/>
      <c r="H12" s="179"/>
      <c r="I12" s="179"/>
      <c r="J12" s="179"/>
      <c r="K12" s="182"/>
      <c r="L12" s="183"/>
      <c r="M12" s="182"/>
      <c r="N12" s="183"/>
      <c r="O12" s="179"/>
      <c r="P12" s="194"/>
      <c r="Q12" s="194"/>
      <c r="R12" s="195"/>
      <c r="S12" s="196"/>
      <c r="T12" s="197"/>
      <c r="U12" s="196"/>
      <c r="V12" s="198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</row>
    <row r="13" spans="2:34" ht="18.75" customHeight="1" x14ac:dyDescent="0.25">
      <c r="B13" s="201" t="s">
        <v>122</v>
      </c>
      <c r="C13" s="182">
        <f>Facture!B14</f>
        <v>0</v>
      </c>
      <c r="D13" s="200" t="s">
        <v>29</v>
      </c>
      <c r="E13" s="200">
        <f>Facture!B15</f>
        <v>0</v>
      </c>
      <c r="F13" s="182"/>
      <c r="G13" s="179"/>
      <c r="H13" s="179"/>
      <c r="I13" s="179"/>
      <c r="J13" s="179"/>
      <c r="K13" s="182"/>
      <c r="L13" s="183"/>
      <c r="M13" s="182"/>
      <c r="N13" s="183"/>
      <c r="O13" s="179"/>
      <c r="P13" s="194"/>
      <c r="Q13" s="194"/>
      <c r="R13" s="195"/>
      <c r="S13" s="196"/>
      <c r="T13" s="197"/>
      <c r="U13" s="196"/>
      <c r="V13" s="198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</row>
    <row r="14" spans="2:34" ht="16.5" customHeight="1" x14ac:dyDescent="0.25">
      <c r="B14" s="179"/>
      <c r="C14" s="179"/>
      <c r="D14" s="182"/>
      <c r="E14" s="183"/>
      <c r="F14" s="182"/>
      <c r="G14" s="179"/>
      <c r="H14" s="179"/>
      <c r="I14" s="179"/>
      <c r="J14" s="179"/>
      <c r="K14" s="182"/>
      <c r="L14" s="183"/>
      <c r="M14" s="182"/>
      <c r="N14" s="183"/>
      <c r="O14" s="179"/>
      <c r="P14" s="194"/>
      <c r="Q14" s="194"/>
      <c r="R14" s="195"/>
      <c r="S14" s="196"/>
      <c r="T14" s="197"/>
      <c r="U14" s="196"/>
      <c r="V14" s="198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</row>
    <row r="15" spans="2:34" ht="18" customHeight="1" x14ac:dyDescent="0.25">
      <c r="B15" s="179"/>
      <c r="C15" s="179"/>
      <c r="D15" s="182"/>
      <c r="E15" s="183"/>
      <c r="F15" s="182"/>
      <c r="G15" s="179"/>
      <c r="H15" s="179"/>
      <c r="I15" s="179"/>
      <c r="J15" s="179"/>
      <c r="K15" s="182"/>
      <c r="L15" s="183"/>
      <c r="M15" s="182"/>
      <c r="N15" s="183"/>
      <c r="O15" s="179"/>
      <c r="P15" s="194"/>
      <c r="Q15" s="194"/>
      <c r="R15" s="195"/>
      <c r="S15" s="196"/>
      <c r="T15" s="197"/>
      <c r="U15" s="196"/>
      <c r="V15" s="198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</row>
    <row r="16" spans="2:34" x14ac:dyDescent="0.25"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94"/>
      <c r="Q16" s="194"/>
      <c r="R16" s="195"/>
      <c r="S16" s="196"/>
      <c r="T16" s="197"/>
      <c r="U16" s="196"/>
      <c r="V16" s="198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</row>
    <row r="17" spans="2:33" x14ac:dyDescent="0.25">
      <c r="B17" s="179" t="s">
        <v>111</v>
      </c>
      <c r="C17" s="182" t="e">
        <f>Facture!C41</f>
        <v>#N/A</v>
      </c>
      <c r="D17" s="179"/>
      <c r="E17" s="179"/>
      <c r="F17" s="179"/>
      <c r="G17" s="179"/>
      <c r="P17" s="194"/>
      <c r="Q17" s="194"/>
      <c r="R17" s="195"/>
      <c r="S17" s="196"/>
      <c r="T17" s="197"/>
      <c r="U17" s="196"/>
      <c r="V17" s="198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</row>
    <row r="18" spans="2:33" x14ac:dyDescent="0.25">
      <c r="B18" s="179"/>
      <c r="C18" s="179"/>
      <c r="D18" s="179"/>
      <c r="E18" s="179"/>
      <c r="F18" s="179"/>
      <c r="G18" s="179"/>
      <c r="P18" s="194"/>
      <c r="Q18" s="194"/>
      <c r="R18" s="195"/>
      <c r="S18" s="196"/>
      <c r="T18" s="197"/>
      <c r="U18" s="196"/>
      <c r="V18" s="198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</row>
    <row r="19" spans="2:33" x14ac:dyDescent="0.25">
      <c r="B19" s="179"/>
      <c r="C19" s="179"/>
      <c r="D19" s="179"/>
      <c r="E19" s="179"/>
      <c r="F19" s="179"/>
      <c r="G19" s="179"/>
      <c r="P19" s="194"/>
      <c r="Q19" s="194"/>
      <c r="R19" s="195"/>
      <c r="S19" s="196"/>
      <c r="T19" s="197"/>
      <c r="U19" s="196"/>
      <c r="V19" s="198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</row>
    <row r="20" spans="2:33" x14ac:dyDescent="0.25">
      <c r="B20" s="179"/>
      <c r="C20" s="179"/>
      <c r="D20" s="179"/>
      <c r="E20" s="179"/>
      <c r="F20" s="179"/>
      <c r="G20" s="179"/>
      <c r="P20" s="194"/>
      <c r="Q20" s="194"/>
      <c r="R20" s="195"/>
      <c r="S20" s="196"/>
      <c r="T20" s="197"/>
      <c r="U20" s="196"/>
      <c r="V20" s="198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</row>
    <row r="21" spans="2:33" x14ac:dyDescent="0.25">
      <c r="B21" s="179"/>
      <c r="C21" s="179"/>
      <c r="D21" s="179"/>
      <c r="E21" s="179"/>
      <c r="F21" s="179" t="s">
        <v>112</v>
      </c>
      <c r="G21" s="179"/>
      <c r="P21" s="194"/>
      <c r="Q21" s="194"/>
      <c r="R21" s="195"/>
      <c r="S21" s="196"/>
      <c r="T21" s="197"/>
      <c r="U21" s="196"/>
      <c r="V21" s="198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</row>
    <row r="22" spans="2:33" x14ac:dyDescent="0.25">
      <c r="P22" s="194"/>
      <c r="Q22" s="194"/>
      <c r="R22" s="195"/>
      <c r="S22" s="196"/>
      <c r="T22" s="197"/>
      <c r="U22" s="196"/>
      <c r="V22" s="198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</row>
    <row r="23" spans="2:33" x14ac:dyDescent="0.25">
      <c r="P23" s="194"/>
      <c r="Q23" s="194"/>
      <c r="R23" s="199"/>
      <c r="S23" s="194"/>
      <c r="T23" s="197"/>
      <c r="U23" s="194"/>
      <c r="V23" s="198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</row>
    <row r="24" spans="2:33" ht="53.25" customHeight="1" x14ac:dyDescent="0.25">
      <c r="B24" s="247"/>
      <c r="C24" s="247"/>
      <c r="D24" s="247"/>
      <c r="E24" s="247"/>
      <c r="F24" s="247"/>
      <c r="G24" s="247"/>
      <c r="J24" s="247"/>
      <c r="K24" s="247"/>
      <c r="L24" s="247"/>
      <c r="M24" s="247"/>
      <c r="N24" s="247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</row>
    <row r="25" spans="2:33" ht="34.5" customHeight="1" x14ac:dyDescent="0.25">
      <c r="B25" s="179"/>
      <c r="C25" s="179"/>
      <c r="D25" s="179"/>
      <c r="E25" s="179"/>
      <c r="F25" s="179"/>
      <c r="G25" s="179"/>
      <c r="H25" s="185"/>
      <c r="I25" s="179"/>
      <c r="J25" s="179"/>
      <c r="K25" s="179"/>
      <c r="L25" s="179"/>
      <c r="M25" s="179"/>
      <c r="N25" s="179"/>
      <c r="O25" s="185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</row>
    <row r="26" spans="2:33" ht="20.25" customHeight="1" x14ac:dyDescent="0.25"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</row>
    <row r="27" spans="2:33" ht="20.25" customHeight="1" x14ac:dyDescent="0.25"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94"/>
      <c r="Q27" s="194"/>
      <c r="R27" s="199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</row>
    <row r="28" spans="2:33" ht="20.25" customHeight="1" x14ac:dyDescent="0.25"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</row>
    <row r="29" spans="2:33" ht="20.25" customHeight="1" x14ac:dyDescent="0.25"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</row>
    <row r="30" spans="2:33" ht="20.25" customHeight="1" x14ac:dyDescent="0.25">
      <c r="B30" s="179"/>
      <c r="C30" s="181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</row>
    <row r="31" spans="2:33" ht="18.75" customHeight="1" x14ac:dyDescent="0.25">
      <c r="B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</row>
    <row r="32" spans="2:33" ht="18.75" customHeight="1" x14ac:dyDescent="0.25">
      <c r="D32" s="179"/>
      <c r="E32" s="179"/>
      <c r="F32" s="179"/>
      <c r="G32" s="179"/>
      <c r="H32" s="179"/>
      <c r="I32" s="179"/>
      <c r="K32" s="179"/>
      <c r="L32" s="179"/>
      <c r="M32" s="179"/>
      <c r="N32" s="179"/>
      <c r="O32" s="179"/>
    </row>
    <row r="33" spans="2:15" ht="18.75" customHeight="1" x14ac:dyDescent="0.25">
      <c r="B33" s="179"/>
      <c r="D33" s="182"/>
      <c r="E33" s="183"/>
      <c r="F33" s="182"/>
      <c r="G33" s="179"/>
      <c r="H33" s="179"/>
      <c r="I33" s="179"/>
      <c r="K33" s="182"/>
      <c r="L33" s="183"/>
      <c r="M33" s="182"/>
      <c r="N33" s="179"/>
      <c r="O33" s="179"/>
    </row>
    <row r="34" spans="2:15" ht="18.75" customHeight="1" x14ac:dyDescent="0.25">
      <c r="E34" s="183"/>
      <c r="F34" s="182"/>
      <c r="G34" s="179"/>
      <c r="H34" s="179"/>
      <c r="I34" s="179"/>
      <c r="J34" s="186"/>
      <c r="K34" s="182"/>
      <c r="L34" s="183"/>
      <c r="M34" s="182"/>
      <c r="N34" s="179"/>
      <c r="O34" s="179"/>
    </row>
    <row r="35" spans="2:15" ht="48.75" customHeight="1" x14ac:dyDescent="0.25">
      <c r="B35" s="186"/>
      <c r="C35" s="187"/>
      <c r="D35" s="182"/>
      <c r="E35" s="179"/>
      <c r="F35" s="179"/>
      <c r="G35" s="179"/>
      <c r="H35" s="179"/>
      <c r="I35" s="179"/>
      <c r="K35" s="179"/>
      <c r="L35" s="179"/>
      <c r="M35" s="179"/>
      <c r="N35" s="179"/>
      <c r="O35" s="179"/>
    </row>
    <row r="36" spans="2:15" x14ac:dyDescent="0.25"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</row>
    <row r="44" spans="2:15" ht="31.5" x14ac:dyDescent="0.25">
      <c r="J44" s="247"/>
      <c r="K44" s="247"/>
      <c r="L44" s="247"/>
      <c r="M44" s="247"/>
      <c r="N44" s="247"/>
    </row>
    <row r="45" spans="2:15" ht="31.5" x14ac:dyDescent="0.25">
      <c r="B45" s="247"/>
      <c r="C45" s="247"/>
      <c r="D45" s="247"/>
      <c r="E45" s="247"/>
      <c r="F45" s="247"/>
      <c r="G45" s="247"/>
      <c r="J45" s="179"/>
      <c r="K45" s="179"/>
      <c r="L45" s="179"/>
      <c r="M45" s="179"/>
      <c r="N45" s="179"/>
      <c r="O45" s="185"/>
    </row>
    <row r="46" spans="2:15" x14ac:dyDescent="0.25">
      <c r="B46" s="179"/>
      <c r="C46" s="179"/>
      <c r="D46" s="179"/>
      <c r="E46" s="179"/>
      <c r="F46" s="179"/>
      <c r="G46" s="179"/>
      <c r="J46" s="179"/>
      <c r="K46" s="179"/>
      <c r="L46" s="179"/>
      <c r="M46" s="179"/>
      <c r="N46" s="179"/>
      <c r="O46" s="179"/>
    </row>
    <row r="47" spans="2:15" x14ac:dyDescent="0.25">
      <c r="B47" s="179"/>
      <c r="C47" s="179"/>
      <c r="D47" s="179"/>
      <c r="E47" s="179"/>
      <c r="F47" s="179"/>
      <c r="G47" s="179"/>
      <c r="J47" s="179"/>
      <c r="K47" s="179"/>
      <c r="L47" s="179"/>
      <c r="M47" s="179"/>
      <c r="N47" s="179"/>
      <c r="O47" s="179"/>
    </row>
    <row r="48" spans="2:15" x14ac:dyDescent="0.25">
      <c r="B48" s="179"/>
      <c r="C48" s="179"/>
      <c r="D48" s="179"/>
      <c r="E48" s="179"/>
      <c r="F48" s="179"/>
      <c r="G48" s="179"/>
      <c r="J48" s="179"/>
      <c r="K48" s="179"/>
      <c r="L48" s="179"/>
      <c r="M48" s="179"/>
      <c r="N48" s="179"/>
      <c r="O48" s="179"/>
    </row>
    <row r="49" spans="2:15" x14ac:dyDescent="0.25">
      <c r="B49" s="179"/>
      <c r="C49" s="179"/>
      <c r="D49" s="179"/>
      <c r="E49" s="179"/>
      <c r="F49" s="179"/>
      <c r="G49" s="179"/>
      <c r="J49" s="179"/>
      <c r="K49" s="179"/>
      <c r="L49" s="179"/>
      <c r="M49" s="179"/>
      <c r="N49" s="179"/>
      <c r="O49" s="179"/>
    </row>
    <row r="50" spans="2:15" x14ac:dyDescent="0.25">
      <c r="B50" s="179"/>
      <c r="C50" s="179"/>
      <c r="D50" s="179"/>
      <c r="E50" s="179"/>
      <c r="F50" s="179"/>
      <c r="G50" s="179"/>
      <c r="J50" s="179"/>
      <c r="K50" s="179"/>
      <c r="L50" s="179"/>
      <c r="M50" s="179"/>
      <c r="N50" s="179"/>
      <c r="O50" s="179"/>
    </row>
    <row r="51" spans="2:15" ht="15.75" x14ac:dyDescent="0.25">
      <c r="B51" s="179"/>
      <c r="C51" s="181"/>
      <c r="D51" s="179"/>
      <c r="E51" s="179"/>
      <c r="F51" s="179"/>
      <c r="G51" s="179"/>
      <c r="J51" s="179"/>
      <c r="K51" s="179"/>
      <c r="L51" s="179"/>
      <c r="M51" s="179"/>
      <c r="N51" s="179"/>
      <c r="O51" s="179"/>
    </row>
    <row r="52" spans="2:15" x14ac:dyDescent="0.25">
      <c r="B52" s="179"/>
      <c r="D52" s="179"/>
      <c r="E52" s="179"/>
      <c r="F52" s="179"/>
      <c r="G52" s="179"/>
      <c r="K52" s="179"/>
      <c r="L52" s="179"/>
      <c r="M52" s="179"/>
      <c r="N52" s="179"/>
      <c r="O52" s="179"/>
    </row>
    <row r="53" spans="2:15" x14ac:dyDescent="0.25">
      <c r="D53" s="179"/>
      <c r="E53" s="179"/>
      <c r="F53" s="179"/>
      <c r="G53" s="179"/>
      <c r="J53" s="179"/>
      <c r="K53" s="182"/>
      <c r="L53" s="183"/>
      <c r="M53" s="182"/>
      <c r="N53" s="179"/>
      <c r="O53" s="179"/>
    </row>
    <row r="54" spans="2:15" x14ac:dyDescent="0.25">
      <c r="B54" s="179"/>
      <c r="D54" s="182"/>
      <c r="E54" s="183"/>
      <c r="F54" s="182"/>
      <c r="G54" s="179"/>
      <c r="J54" s="179"/>
      <c r="K54" s="184"/>
      <c r="L54" s="188"/>
      <c r="M54" s="184"/>
      <c r="O54" s="179"/>
    </row>
    <row r="55" spans="2:15" x14ac:dyDescent="0.25">
      <c r="B55" s="186"/>
      <c r="C55" s="186"/>
      <c r="D55" s="182"/>
      <c r="E55" s="183"/>
      <c r="F55" s="182"/>
      <c r="G55" s="179"/>
      <c r="O55" s="179"/>
    </row>
    <row r="56" spans="2:15" x14ac:dyDescent="0.25">
      <c r="D56" s="179"/>
      <c r="E56" s="179"/>
      <c r="F56" s="179"/>
      <c r="G56" s="179"/>
      <c r="J56" s="186"/>
      <c r="K56" s="182"/>
      <c r="L56" s="183"/>
      <c r="M56" s="182"/>
      <c r="N56" s="179"/>
      <c r="O56" s="179"/>
    </row>
    <row r="57" spans="2:15" x14ac:dyDescent="0.25">
      <c r="B57" s="179"/>
      <c r="C57" s="179"/>
      <c r="D57" s="179"/>
      <c r="E57" s="179"/>
      <c r="F57" s="179"/>
      <c r="G57" s="179"/>
      <c r="K57" s="179"/>
      <c r="L57" s="179"/>
      <c r="M57" s="179"/>
      <c r="N57" s="179"/>
    </row>
    <row r="58" spans="2:15" x14ac:dyDescent="0.25">
      <c r="J58" s="179"/>
      <c r="K58" s="179"/>
      <c r="L58" s="179"/>
      <c r="M58" s="179"/>
      <c r="N58" s="179"/>
    </row>
    <row r="61" spans="2:15" x14ac:dyDescent="0.25">
      <c r="F61" s="178" t="s">
        <v>112</v>
      </c>
    </row>
    <row r="62" spans="2:15" x14ac:dyDescent="0.25">
      <c r="M62" s="178" t="s">
        <v>112</v>
      </c>
    </row>
    <row r="68" spans="2:8" ht="31.5" x14ac:dyDescent="0.25">
      <c r="B68" s="247" t="s">
        <v>104</v>
      </c>
      <c r="C68" s="247"/>
      <c r="D68" s="247"/>
      <c r="E68" s="247"/>
      <c r="F68" s="247"/>
      <c r="G68" s="247"/>
    </row>
    <row r="69" spans="2:8" ht="23.25" x14ac:dyDescent="0.25">
      <c r="B69" s="179" t="s">
        <v>105</v>
      </c>
      <c r="C69" s="179"/>
      <c r="D69" s="179"/>
      <c r="E69" s="179"/>
      <c r="F69" s="179"/>
      <c r="G69" s="179"/>
      <c r="H69" s="185"/>
    </row>
    <row r="70" spans="2:8" x14ac:dyDescent="0.25">
      <c r="B70" s="179" t="s">
        <v>106</v>
      </c>
      <c r="C70" s="179"/>
      <c r="D70" s="179"/>
      <c r="E70" s="179"/>
      <c r="F70" s="179"/>
      <c r="G70" s="179"/>
      <c r="H70" s="179"/>
    </row>
    <row r="71" spans="2:8" x14ac:dyDescent="0.25">
      <c r="B71" s="179" t="s">
        <v>108</v>
      </c>
      <c r="C71" s="179"/>
      <c r="D71" s="179"/>
      <c r="E71" s="179"/>
      <c r="F71" s="179"/>
      <c r="G71" s="179"/>
      <c r="H71" s="179"/>
    </row>
    <row r="72" spans="2:8" x14ac:dyDescent="0.25">
      <c r="B72" s="179" t="s">
        <v>114</v>
      </c>
      <c r="C72" s="179"/>
      <c r="D72" s="179"/>
      <c r="E72" s="179"/>
      <c r="F72" s="179"/>
      <c r="G72" s="179"/>
      <c r="H72" s="179"/>
    </row>
    <row r="73" spans="2:8" x14ac:dyDescent="0.25">
      <c r="B73" s="179" t="s">
        <v>115</v>
      </c>
      <c r="C73" s="179"/>
      <c r="D73" s="179"/>
      <c r="E73" s="179"/>
      <c r="F73" s="179"/>
      <c r="G73" s="179"/>
      <c r="H73" s="179"/>
    </row>
    <row r="74" spans="2:8" ht="15.75" x14ac:dyDescent="0.25">
      <c r="B74" s="179" t="s">
        <v>116</v>
      </c>
      <c r="C74" s="181"/>
      <c r="D74" s="179"/>
      <c r="E74" s="179"/>
      <c r="F74" s="179"/>
      <c r="G74" s="179"/>
      <c r="H74" s="179"/>
    </row>
    <row r="75" spans="2:8" x14ac:dyDescent="0.25">
      <c r="B75" s="179" t="s">
        <v>113</v>
      </c>
      <c r="D75" s="179"/>
      <c r="E75" s="179"/>
      <c r="F75" s="179"/>
      <c r="G75" s="179"/>
      <c r="H75" s="179"/>
    </row>
    <row r="76" spans="2:8" x14ac:dyDescent="0.25">
      <c r="D76" s="179"/>
      <c r="E76" s="179"/>
      <c r="F76" s="179"/>
      <c r="G76" s="179"/>
      <c r="H76" s="179"/>
    </row>
    <row r="77" spans="2:8" x14ac:dyDescent="0.25">
      <c r="B77" s="179" t="s">
        <v>117</v>
      </c>
      <c r="D77" s="182">
        <v>43789</v>
      </c>
      <c r="E77" s="183" t="s">
        <v>109</v>
      </c>
      <c r="F77" s="182">
        <v>43791</v>
      </c>
      <c r="G77" s="179"/>
      <c r="H77" s="179"/>
    </row>
    <row r="78" spans="2:8" x14ac:dyDescent="0.25">
      <c r="B78" s="179"/>
      <c r="D78" s="184"/>
      <c r="E78" s="188"/>
      <c r="F78" s="184"/>
      <c r="H78" s="179"/>
    </row>
    <row r="79" spans="2:8" x14ac:dyDescent="0.25">
      <c r="H79" s="179"/>
    </row>
    <row r="80" spans="2:8" x14ac:dyDescent="0.25">
      <c r="B80" s="186" t="s">
        <v>111</v>
      </c>
      <c r="C80" s="187">
        <v>43789</v>
      </c>
      <c r="D80" s="182"/>
      <c r="E80" s="183"/>
      <c r="F80" s="182"/>
      <c r="G80" s="179"/>
      <c r="H80" s="179"/>
    </row>
    <row r="81" spans="1:7" x14ac:dyDescent="0.25">
      <c r="D81" s="179"/>
      <c r="E81" s="179"/>
      <c r="F81" s="179"/>
      <c r="G81" s="179"/>
    </row>
    <row r="82" spans="1:7" x14ac:dyDescent="0.25">
      <c r="B82" s="179"/>
      <c r="C82" s="179"/>
      <c r="D82" s="179"/>
      <c r="E82" s="179"/>
      <c r="F82" s="179"/>
      <c r="G82" s="179"/>
    </row>
    <row r="86" spans="1:7" x14ac:dyDescent="0.25">
      <c r="F86" s="178" t="s">
        <v>112</v>
      </c>
    </row>
    <row r="96" spans="1:7" x14ac:dyDescent="0.25">
      <c r="A96" s="189" t="s">
        <v>107</v>
      </c>
      <c r="B96" s="190" t="s">
        <v>118</v>
      </c>
      <c r="C96" s="191"/>
      <c r="D96" s="180">
        <v>43850</v>
      </c>
      <c r="E96" s="192">
        <v>320</v>
      </c>
    </row>
    <row r="97" spans="1:5" x14ac:dyDescent="0.25">
      <c r="A97" s="189" t="s">
        <v>107</v>
      </c>
      <c r="B97" s="190" t="s">
        <v>118</v>
      </c>
      <c r="C97" s="191"/>
      <c r="D97" s="180">
        <v>43857</v>
      </c>
      <c r="E97" s="192">
        <v>240</v>
      </c>
    </row>
    <row r="98" spans="1:5" x14ac:dyDescent="0.25">
      <c r="A98" s="189" t="s">
        <v>107</v>
      </c>
      <c r="B98" s="190" t="s">
        <v>118</v>
      </c>
      <c r="C98" s="191"/>
      <c r="D98" s="180">
        <v>43864</v>
      </c>
      <c r="E98" s="192">
        <v>240</v>
      </c>
    </row>
    <row r="99" spans="1:5" x14ac:dyDescent="0.25">
      <c r="A99" s="189" t="s">
        <v>107</v>
      </c>
      <c r="B99" s="190" t="s">
        <v>118</v>
      </c>
      <c r="C99" s="191"/>
      <c r="D99" s="180">
        <v>43894</v>
      </c>
      <c r="E99" s="192">
        <v>60</v>
      </c>
    </row>
    <row r="100" spans="1:5" x14ac:dyDescent="0.25">
      <c r="A100" s="189" t="s">
        <v>107</v>
      </c>
      <c r="B100" s="190" t="s">
        <v>118</v>
      </c>
      <c r="C100" s="191"/>
      <c r="D100" s="180">
        <v>43913</v>
      </c>
      <c r="E100" s="192">
        <v>300</v>
      </c>
    </row>
    <row r="101" spans="1:5" x14ac:dyDescent="0.25">
      <c r="A101" s="189" t="s">
        <v>107</v>
      </c>
      <c r="B101" s="190" t="s">
        <v>118</v>
      </c>
      <c r="C101" s="191"/>
      <c r="D101" s="180">
        <v>43920</v>
      </c>
      <c r="E101" s="192">
        <v>240</v>
      </c>
    </row>
    <row r="102" spans="1:5" x14ac:dyDescent="0.25">
      <c r="A102" s="189" t="s">
        <v>107</v>
      </c>
      <c r="B102" s="193" t="s">
        <v>118</v>
      </c>
      <c r="C102" s="191"/>
      <c r="D102" s="180">
        <v>43927</v>
      </c>
      <c r="E102" s="192">
        <v>240</v>
      </c>
    </row>
    <row r="103" spans="1:5" x14ac:dyDescent="0.25">
      <c r="A103" s="189" t="s">
        <v>107</v>
      </c>
      <c r="B103" s="190" t="s">
        <v>118</v>
      </c>
      <c r="C103" s="191"/>
      <c r="D103" s="180">
        <v>43935</v>
      </c>
      <c r="E103" s="192">
        <v>240</v>
      </c>
    </row>
    <row r="104" spans="1:5" x14ac:dyDescent="0.25">
      <c r="A104" s="189" t="s">
        <v>107</v>
      </c>
      <c r="B104" s="190" t="s">
        <v>118</v>
      </c>
      <c r="C104" s="191"/>
      <c r="D104" s="180">
        <v>43941</v>
      </c>
      <c r="E104" s="192">
        <v>400</v>
      </c>
    </row>
    <row r="105" spans="1:5" x14ac:dyDescent="0.25">
      <c r="A105" s="189" t="s">
        <v>107</v>
      </c>
      <c r="B105" s="190" t="s">
        <v>118</v>
      </c>
      <c r="C105" s="191"/>
      <c r="D105" s="180">
        <v>43948</v>
      </c>
      <c r="E105" s="192">
        <v>240</v>
      </c>
    </row>
    <row r="106" spans="1:5" x14ac:dyDescent="0.25">
      <c r="A106" s="189" t="s">
        <v>107</v>
      </c>
      <c r="B106" s="190" t="s">
        <v>118</v>
      </c>
      <c r="C106" s="191"/>
      <c r="D106" s="180">
        <v>43955</v>
      </c>
      <c r="E106" s="192">
        <v>180</v>
      </c>
    </row>
    <row r="107" spans="1:5" x14ac:dyDescent="0.25">
      <c r="A107" s="189" t="s">
        <v>107</v>
      </c>
      <c r="B107" s="190" t="s">
        <v>118</v>
      </c>
      <c r="C107" s="191"/>
      <c r="D107" s="180">
        <v>43955</v>
      </c>
      <c r="E107" s="192">
        <v>160</v>
      </c>
    </row>
    <row r="108" spans="1:5" x14ac:dyDescent="0.25">
      <c r="A108" s="189" t="s">
        <v>119</v>
      </c>
      <c r="B108" s="190" t="s">
        <v>118</v>
      </c>
      <c r="C108" s="191"/>
      <c r="D108" s="180">
        <v>43976</v>
      </c>
      <c r="E108" s="192">
        <v>220</v>
      </c>
    </row>
    <row r="109" spans="1:5" x14ac:dyDescent="0.25">
      <c r="A109" s="189" t="s">
        <v>107</v>
      </c>
      <c r="B109" s="190" t="s">
        <v>118</v>
      </c>
      <c r="C109" s="191"/>
      <c r="D109" s="180">
        <v>43984</v>
      </c>
      <c r="E109" s="192">
        <v>280</v>
      </c>
    </row>
    <row r="110" spans="1:5" x14ac:dyDescent="0.25">
      <c r="A110" s="189" t="s">
        <v>107</v>
      </c>
      <c r="B110" s="190" t="s">
        <v>118</v>
      </c>
      <c r="C110" s="191"/>
      <c r="D110" s="180">
        <v>43990</v>
      </c>
      <c r="E110" s="192">
        <v>340</v>
      </c>
    </row>
    <row r="111" spans="1:5" x14ac:dyDescent="0.25">
      <c r="A111" s="189" t="s">
        <v>110</v>
      </c>
      <c r="B111" s="190" t="s">
        <v>118</v>
      </c>
      <c r="C111" s="191"/>
      <c r="D111" s="180">
        <v>43997</v>
      </c>
      <c r="E111" s="192">
        <v>400</v>
      </c>
    </row>
    <row r="112" spans="1:5" x14ac:dyDescent="0.25">
      <c r="A112" s="189" t="s">
        <v>110</v>
      </c>
      <c r="B112" s="190" t="s">
        <v>118</v>
      </c>
      <c r="C112" s="191"/>
      <c r="D112" s="180">
        <v>44004</v>
      </c>
      <c r="E112" s="192">
        <v>460</v>
      </c>
    </row>
    <row r="113" spans="1:5" x14ac:dyDescent="0.25">
      <c r="A113" s="189" t="s">
        <v>110</v>
      </c>
      <c r="B113" s="190" t="s">
        <v>118</v>
      </c>
      <c r="C113" s="191"/>
      <c r="D113" s="180">
        <v>44011</v>
      </c>
      <c r="E113" s="192">
        <v>240</v>
      </c>
    </row>
    <row r="114" spans="1:5" x14ac:dyDescent="0.25">
      <c r="A114" s="189" t="s">
        <v>110</v>
      </c>
      <c r="B114" s="190" t="s">
        <v>118</v>
      </c>
      <c r="C114" s="191"/>
      <c r="D114" s="180">
        <v>44018</v>
      </c>
      <c r="E114" s="192">
        <v>280</v>
      </c>
    </row>
    <row r="115" spans="1:5" x14ac:dyDescent="0.25">
      <c r="A115" s="189" t="s">
        <v>110</v>
      </c>
      <c r="B115" s="190" t="s">
        <v>118</v>
      </c>
      <c r="C115" s="191"/>
      <c r="D115" s="180">
        <v>44025</v>
      </c>
      <c r="E115" s="192">
        <v>380</v>
      </c>
    </row>
    <row r="116" spans="1:5" x14ac:dyDescent="0.25">
      <c r="A116" s="189" t="s">
        <v>110</v>
      </c>
      <c r="B116" s="190" t="s">
        <v>118</v>
      </c>
      <c r="C116" s="191"/>
      <c r="D116" s="180">
        <v>44032</v>
      </c>
      <c r="E116" s="192">
        <v>310</v>
      </c>
    </row>
    <row r="117" spans="1:5" x14ac:dyDescent="0.25">
      <c r="A117" s="189" t="s">
        <v>110</v>
      </c>
      <c r="B117" s="190" t="s">
        <v>118</v>
      </c>
      <c r="C117" s="191"/>
      <c r="D117" s="180">
        <v>44039</v>
      </c>
      <c r="E117" s="192">
        <v>240</v>
      </c>
    </row>
    <row r="119" spans="1:5" x14ac:dyDescent="0.25">
      <c r="E119" s="178">
        <f>SUM(E96:E118)</f>
        <v>6010</v>
      </c>
    </row>
    <row r="121" spans="1:5" x14ac:dyDescent="0.25">
      <c r="A121" s="189" t="s">
        <v>107</v>
      </c>
      <c r="E121" s="178">
        <v>3480</v>
      </c>
    </row>
    <row r="122" spans="1:5" x14ac:dyDescent="0.25">
      <c r="A122" s="189" t="s">
        <v>119</v>
      </c>
      <c r="E122" s="178">
        <v>220</v>
      </c>
    </row>
    <row r="123" spans="1:5" x14ac:dyDescent="0.25">
      <c r="A123" s="189" t="s">
        <v>110</v>
      </c>
      <c r="E123" s="178">
        <v>2310</v>
      </c>
    </row>
    <row r="124" spans="1:5" x14ac:dyDescent="0.25">
      <c r="E124" s="178">
        <f>SUM(E121:E123)</f>
        <v>6010</v>
      </c>
    </row>
  </sheetData>
  <protectedRanges>
    <protectedRange sqref="S3" name="Coordonnées clients"/>
    <protectedRange sqref="S4" name="Coordonnées clients_1"/>
    <protectedRange sqref="R5" name="Coordonnées clients_2"/>
    <protectedRange sqref="R6:R8" name="Coordonnées clients_3"/>
    <protectedRange sqref="R9" name="Coordonnées clients_4"/>
    <protectedRange sqref="R10:R11" name="Coordonnées clients_5"/>
    <protectedRange sqref="R12:R13" name="Coordonnées clients_6"/>
    <protectedRange sqref="R14" name="Coordonnées clients_7"/>
    <protectedRange sqref="R15:R16" name="Coordonnées clients_8"/>
    <protectedRange sqref="R17:R20" name="Coordonnées clients_9"/>
    <protectedRange sqref="R21:R22" name="Coordonnées clients_10"/>
    <protectedRange sqref="V3" name="Coordonnées clients_11"/>
    <protectedRange sqref="V4" name="Coordonnées clients_12"/>
    <protectedRange sqref="U5" name="Coordonnées clients_13"/>
    <protectedRange sqref="U6:U8" name="Coordonnées clients_14"/>
    <protectedRange sqref="U9" name="Coordonnées clients_15"/>
    <protectedRange sqref="U10:U11" name="Coordonnées clients_16"/>
    <protectedRange sqref="U12:U13" name="Coordonnées clients_17"/>
    <protectedRange sqref="U14" name="Coordonnées clients_18"/>
    <protectedRange sqref="U15:U16" name="Coordonnées clients_19"/>
    <protectedRange sqref="U17:U20" name="Coordonnées clients_20"/>
    <protectedRange sqref="U21:U22" name="Coordonnées clients_21"/>
    <protectedRange sqref="W3" name="Coordonnées clients_7_2"/>
    <protectedRange sqref="W4" name="Coordonnées clients_7_2_1"/>
    <protectedRange sqref="V5" name="Coordonnées clients_7_2_2"/>
    <protectedRange sqref="V6:V8" name="Coordonnées clients_7_2_3"/>
    <protectedRange sqref="V9" name="Coordonnées clients_7_2_4"/>
    <protectedRange sqref="V10:V11" name="Coordonnées clients_7_2_5"/>
    <protectedRange sqref="V12:V13" name="Coordonnées clients_7_2_6"/>
    <protectedRange sqref="V14 V21" name="Coordonnées clients_7_2_7"/>
    <protectedRange sqref="V15:V16" name="Coordonnées clients_7_2_8"/>
    <protectedRange sqref="V17:V20" name="Coordonnées clients_7_2_9"/>
    <protectedRange sqref="V22:V23" name="Coordonnées clients_7_2_10"/>
    <protectedRange sqref="B96" name="Coordonnées clients_22"/>
    <protectedRange sqref="A96" name="Coordonnées clients_7_2_11"/>
    <protectedRange sqref="C96:D96" name="Coordonnées clients_23"/>
    <protectedRange sqref="E96" name="Coordonnées clients_24"/>
    <protectedRange sqref="B97" name="Coordonnées clients_25"/>
    <protectedRange sqref="A97" name="Coordonnées clients_7_2_12"/>
    <protectedRange sqref="C97:D97" name="Coordonnées clients_26"/>
    <protectedRange sqref="E97" name="Coordonnées clients_27"/>
    <protectedRange sqref="B98" name="Coordonnées clients_28"/>
    <protectedRange sqref="A98" name="Coordonnées clients_7_2_13"/>
    <protectedRange sqref="C98:D98" name="Coordonnées clients_29"/>
    <protectedRange sqref="E98" name="Coordonnées clients_30"/>
    <protectedRange sqref="B99" name="Coordonnées clients_31"/>
    <protectedRange sqref="A99" name="Coordonnées clients_7_2_14"/>
    <protectedRange sqref="C99:D99" name="Coordonnées clients_32"/>
    <protectedRange sqref="E99" name="Coordonnées clients_33"/>
    <protectedRange sqref="B100" name="Coordonnées clients_34"/>
    <protectedRange sqref="A100" name="Coordonnées clients_7_2_15"/>
    <protectedRange sqref="C100:D100" name="Coordonnées clients_35"/>
    <protectedRange sqref="E100" name="Coordonnées clients_36"/>
    <protectedRange sqref="B101" name="Coordonnées clients_37"/>
    <protectedRange sqref="A101" name="Coordonnées clients_7_2_16"/>
    <protectedRange sqref="C101:D101" name="Coordonnées clients_38"/>
    <protectedRange sqref="E101" name="Coordonnées clients_39"/>
    <protectedRange sqref="B102" name="Coordonnées clients_40"/>
    <protectedRange sqref="A102" name="Coordonnées clients_7_2_17"/>
    <protectedRange sqref="C102:D102" name="Coordonnées clients_41"/>
    <protectedRange sqref="E102" name="Coordonnées clients_42"/>
    <protectedRange sqref="B103" name="Coordonnées clients_43"/>
    <protectedRange sqref="A103" name="Coordonnées clients_7_2_18"/>
    <protectedRange sqref="C103:D103" name="Coordonnées clients_44"/>
    <protectedRange sqref="E103" name="Coordonnées clients_45"/>
    <protectedRange sqref="B104" name="Coordonnées clients_46"/>
    <protectedRange sqref="A104" name="Coordonnées clients_7_2_19"/>
    <protectedRange sqref="C104:D104" name="Coordonnées clients_47"/>
    <protectedRange sqref="E104" name="Coordonnées clients_48"/>
    <protectedRange sqref="B105" name="Coordonnées clients_49"/>
    <protectedRange sqref="A105" name="Coordonnées clients_7_2_20"/>
    <protectedRange sqref="C105:D105" name="Coordonnées clients_50"/>
    <protectedRange sqref="E105" name="Coordonnées clients_51"/>
    <protectedRange sqref="B106:B107" name="Coordonnées clients_52"/>
    <protectedRange sqref="A106:A107 A121" name="Coordonnées clients_7_2_21"/>
    <protectedRange sqref="C106:D107" name="Coordonnées clients_53"/>
    <protectedRange sqref="E106:E107" name="Coordonnées clients_54"/>
    <protectedRange sqref="B108" name="Coordonnées clients_55"/>
    <protectedRange sqref="A108 A122" name="Coordonnées clients_7_2_22"/>
    <protectedRange sqref="C108:D108" name="Coordonnées clients_56"/>
    <protectedRange sqref="E108" name="Coordonnées clients_57"/>
    <protectedRange sqref="B109" name="Coordonnées clients_58"/>
    <protectedRange sqref="A109" name="Coordonnées clients_7_2_23"/>
    <protectedRange sqref="C109:D109" name="Coordonnées clients_59"/>
    <protectedRange sqref="E109" name="Coordonnées clients_60"/>
    <protectedRange sqref="B110" name="Coordonnées clients_61"/>
    <protectedRange sqref="A110" name="Coordonnées clients_7_2_24"/>
    <protectedRange sqref="C110:D110" name="Coordonnées clients_62"/>
    <protectedRange sqref="E110" name="Coordonnées clients_63"/>
    <protectedRange sqref="B111" name="Coordonnées clients_64"/>
    <protectedRange sqref="A111 A123" name="Coordonnées clients_7_2_25"/>
    <protectedRange sqref="C111:D111" name="Coordonnées clients_65"/>
    <protectedRange sqref="E111" name="Coordonnées clients_66"/>
    <protectedRange sqref="B112" name="Coordonnées clients_67"/>
    <protectedRange sqref="A112" name="Coordonnées clients_7_2_26"/>
    <protectedRange sqref="C112:D112" name="Coordonnées clients_68"/>
    <protectedRange sqref="E112" name="Coordonnées clients_69"/>
    <protectedRange sqref="B113" name="Coordonnées clients_70"/>
    <protectedRange sqref="A113" name="Coordonnées clients_7_2_27"/>
    <protectedRange sqref="C113:D113" name="Coordonnées clients_71"/>
    <protectedRange sqref="E113" name="Coordonnées clients_72"/>
    <protectedRange sqref="B114" name="Coordonnées clients_73"/>
    <protectedRange sqref="A114" name="Coordonnées clients_7_2_28"/>
    <protectedRange sqref="C114:D114" name="Coordonnées clients_74"/>
    <protectedRange sqref="E114" name="Coordonnées clients_75"/>
    <protectedRange sqref="B115:B117" name="Coordonnées clients_76"/>
    <protectedRange sqref="A115:A117" name="Coordonnées clients_7_2_29"/>
    <protectedRange sqref="C115:D117" name="Coordonnées clients_77"/>
    <protectedRange sqref="E115:E117" name="Coordonnées clients_78"/>
  </protectedRanges>
  <mergeCells count="6">
    <mergeCell ref="B68:G68"/>
    <mergeCell ref="D1:E1"/>
    <mergeCell ref="B24:G24"/>
    <mergeCell ref="J24:N24"/>
    <mergeCell ref="J44:N44"/>
    <mergeCell ref="B45:G45"/>
  </mergeCells>
  <conditionalFormatting sqref="E108 E105 E102:E103 E96:E98">
    <cfRule type="cellIs" dxfId="17" priority="18" operator="greaterThan">
      <formula>1</formula>
    </cfRule>
  </conditionalFormatting>
  <conditionalFormatting sqref="E99">
    <cfRule type="cellIs" dxfId="16" priority="17" operator="greaterThan">
      <formula>1</formula>
    </cfRule>
  </conditionalFormatting>
  <conditionalFormatting sqref="E100">
    <cfRule type="cellIs" dxfId="15" priority="16" operator="greaterThan">
      <formula>1</formula>
    </cfRule>
  </conditionalFormatting>
  <conditionalFormatting sqref="E101">
    <cfRule type="cellIs" dxfId="14" priority="15" operator="greaterThan">
      <formula>1</formula>
    </cfRule>
  </conditionalFormatting>
  <conditionalFormatting sqref="E103">
    <cfRule type="cellIs" dxfId="13" priority="14" operator="greaterThan">
      <formula>1</formula>
    </cfRule>
  </conditionalFormatting>
  <conditionalFormatting sqref="E104">
    <cfRule type="cellIs" dxfId="12" priority="13" operator="greaterThan">
      <formula>1</formula>
    </cfRule>
  </conditionalFormatting>
  <conditionalFormatting sqref="E104">
    <cfRule type="cellIs" dxfId="11" priority="12" operator="greaterThan">
      <formula>1</formula>
    </cfRule>
  </conditionalFormatting>
  <conditionalFormatting sqref="E107">
    <cfRule type="cellIs" dxfId="10" priority="11" operator="greaterThan">
      <formula>1</formula>
    </cfRule>
  </conditionalFormatting>
  <conditionalFormatting sqref="E106">
    <cfRule type="cellIs" dxfId="9" priority="10" operator="greaterThan">
      <formula>1</formula>
    </cfRule>
  </conditionalFormatting>
  <conditionalFormatting sqref="E109">
    <cfRule type="cellIs" dxfId="8" priority="9" operator="greaterThan">
      <formula>1</formula>
    </cfRule>
  </conditionalFormatting>
  <conditionalFormatting sqref="E110">
    <cfRule type="cellIs" dxfId="7" priority="8" operator="greaterThan">
      <formula>1</formula>
    </cfRule>
  </conditionalFormatting>
  <conditionalFormatting sqref="E111">
    <cfRule type="cellIs" dxfId="6" priority="7" operator="greaterThan">
      <formula>1</formula>
    </cfRule>
  </conditionalFormatting>
  <conditionalFormatting sqref="E112">
    <cfRule type="cellIs" dxfId="5" priority="6" operator="greaterThan">
      <formula>1</formula>
    </cfRule>
  </conditionalFormatting>
  <conditionalFormatting sqref="E113">
    <cfRule type="cellIs" dxfId="4" priority="5" operator="greaterThan">
      <formula>1</formula>
    </cfRule>
  </conditionalFormatting>
  <conditionalFormatting sqref="E114">
    <cfRule type="cellIs" dxfId="3" priority="4" operator="greaterThan">
      <formula>1</formula>
    </cfRule>
  </conditionalFormatting>
  <conditionalFormatting sqref="E115">
    <cfRule type="cellIs" dxfId="2" priority="3" operator="greaterThan">
      <formula>1</formula>
    </cfRule>
  </conditionalFormatting>
  <conditionalFormatting sqref="E116">
    <cfRule type="cellIs" dxfId="1" priority="2" operator="greaterThan">
      <formula>1</formula>
    </cfRule>
  </conditionalFormatting>
  <conditionalFormatting sqref="E117">
    <cfRule type="cellIs" dxfId="0" priority="1" operator="greaterThan">
      <formula>1</formula>
    </cfRule>
  </conditionalFormatting>
  <dataValidations count="2">
    <dataValidation type="list" allowBlank="1" showInputMessage="1" showErrorMessage="1" sqref="A96:A117 A121:A123" xr:uid="{DA40A9A4-3628-4E9D-8966-333E2682E7E8}">
      <formula1>$D$1110:$D$1122</formula1>
    </dataValidation>
    <dataValidation type="list" allowBlank="1" showInputMessage="1" showErrorMessage="1" sqref="V5:V23 W3:W4" xr:uid="{8B698EB8-0411-4F18-B425-8F8CF4E222B2}">
      <formula1>$D$759:$D$771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13E8-9498-41F6-BA3F-ECCF92335116}">
  <dimension ref="A2:K28"/>
  <sheetViews>
    <sheetView workbookViewId="0">
      <selection activeCell="H14" sqref="H14"/>
    </sheetView>
  </sheetViews>
  <sheetFormatPr baseColWidth="10" defaultRowHeight="15" x14ac:dyDescent="0.25"/>
  <cols>
    <col min="1" max="1" width="33" customWidth="1"/>
    <col min="2" max="2" width="12.5703125" customWidth="1"/>
    <col min="8" max="8" width="28.140625" customWidth="1"/>
  </cols>
  <sheetData>
    <row r="2" spans="1:11" ht="35.25" customHeight="1" x14ac:dyDescent="0.25">
      <c r="A2" s="248" t="s">
        <v>141</v>
      </c>
      <c r="B2" s="248"/>
      <c r="C2" s="248"/>
      <c r="D2" s="248"/>
      <c r="E2" s="248"/>
      <c r="F2" s="230"/>
      <c r="G2" s="230"/>
      <c r="H2" s="6" t="s">
        <v>94</v>
      </c>
      <c r="I2" s="5" t="s">
        <v>0</v>
      </c>
      <c r="J2" s="233" t="s">
        <v>153</v>
      </c>
      <c r="K2" s="179"/>
    </row>
    <row r="3" spans="1:11" ht="19.5" customHeight="1" x14ac:dyDescent="0.25">
      <c r="A3" s="3" t="s">
        <v>105</v>
      </c>
      <c r="B3" s="3"/>
      <c r="C3" s="3"/>
      <c r="D3" s="3"/>
      <c r="E3" s="3"/>
      <c r="F3" s="3"/>
      <c r="G3" s="3"/>
      <c r="H3" s="6" t="s">
        <v>5</v>
      </c>
      <c r="I3" s="5" t="s">
        <v>4</v>
      </c>
      <c r="J3" s="233" t="s">
        <v>154</v>
      </c>
      <c r="K3" s="179"/>
    </row>
    <row r="4" spans="1:11" ht="19.5" customHeight="1" x14ac:dyDescent="0.25">
      <c r="A4" s="3" t="s">
        <v>106</v>
      </c>
      <c r="B4" s="3"/>
      <c r="C4" s="3"/>
      <c r="D4" s="3"/>
      <c r="E4" s="3"/>
      <c r="F4" s="3"/>
      <c r="G4" s="3"/>
      <c r="H4" s="12" t="s">
        <v>95</v>
      </c>
      <c r="I4" s="5" t="s">
        <v>7</v>
      </c>
      <c r="J4" s="233" t="s">
        <v>155</v>
      </c>
      <c r="K4" s="179"/>
    </row>
    <row r="5" spans="1:11" ht="19.5" customHeight="1" x14ac:dyDescent="0.25">
      <c r="A5" s="3" t="s">
        <v>108</v>
      </c>
      <c r="B5" s="3"/>
      <c r="C5" s="3"/>
      <c r="D5" s="3"/>
      <c r="E5" s="3"/>
      <c r="F5" s="3"/>
      <c r="G5" s="3"/>
      <c r="H5" s="13" t="s">
        <v>10</v>
      </c>
      <c r="I5" s="5" t="s">
        <v>150</v>
      </c>
      <c r="J5" s="233" t="s">
        <v>156</v>
      </c>
      <c r="K5" s="179"/>
    </row>
    <row r="6" spans="1:11" ht="19.5" customHeight="1" x14ac:dyDescent="0.25">
      <c r="A6" s="228" t="s">
        <v>146</v>
      </c>
      <c r="B6" s="3" t="str">
        <f>Facture!D8</f>
        <v>nom prénom</v>
      </c>
      <c r="C6" s="3"/>
      <c r="D6" s="3"/>
      <c r="E6" s="3"/>
      <c r="F6" s="3"/>
      <c r="G6" s="3"/>
    </row>
    <row r="7" spans="1:11" ht="19.5" customHeight="1" x14ac:dyDescent="0.25">
      <c r="A7" s="228" t="s">
        <v>147</v>
      </c>
      <c r="B7" s="225" t="str">
        <f>Facture!D9</f>
        <v>adresse</v>
      </c>
      <c r="C7" s="3"/>
      <c r="D7" s="3"/>
      <c r="E7" s="3"/>
      <c r="F7" s="3"/>
      <c r="G7" s="3"/>
    </row>
    <row r="8" spans="1:11" ht="19.5" customHeight="1" x14ac:dyDescent="0.25">
      <c r="A8" s="228"/>
      <c r="B8" s="225" t="str">
        <f>Facture!D10</f>
        <v>code postal ville</v>
      </c>
      <c r="C8" s="3"/>
      <c r="D8" s="3"/>
      <c r="E8" s="3"/>
      <c r="F8" s="3"/>
      <c r="G8" s="3"/>
    </row>
    <row r="9" spans="1:11" ht="19.5" customHeight="1" x14ac:dyDescent="0.25">
      <c r="A9" s="136" t="s">
        <v>148</v>
      </c>
      <c r="B9" s="3"/>
      <c r="C9" s="3"/>
      <c r="D9" s="3"/>
      <c r="E9" s="3"/>
      <c r="F9" s="3"/>
      <c r="G9" s="3"/>
    </row>
    <row r="10" spans="1:11" ht="19.5" customHeight="1" x14ac:dyDescent="0.25">
      <c r="A10" s="179" t="e">
        <f>VLOOKUP(Facture!B17,H2:J5,2,FALSE)</f>
        <v>#N/A</v>
      </c>
      <c r="C10" s="226"/>
      <c r="D10" s="3"/>
      <c r="E10" s="3"/>
      <c r="F10" s="3"/>
      <c r="G10" s="3"/>
    </row>
    <row r="11" spans="1:11" ht="19.5" customHeight="1" x14ac:dyDescent="0.25">
      <c r="A11" s="179" t="e">
        <f>VLOOKUP(Facture!B17,H2:J5,3,FALSE)</f>
        <v>#N/A</v>
      </c>
      <c r="C11" s="226"/>
      <c r="D11" s="3"/>
      <c r="E11" s="3"/>
      <c r="F11" s="3"/>
      <c r="G11" s="3"/>
    </row>
    <row r="12" spans="1:11" ht="19.5" customHeight="1" x14ac:dyDescent="0.25">
      <c r="A12" s="231" t="s">
        <v>149</v>
      </c>
      <c r="B12" s="223">
        <f>Facture!B14</f>
        <v>0</v>
      </c>
      <c r="C12" s="4" t="s">
        <v>109</v>
      </c>
      <c r="D12" s="41">
        <f>Facture!B15</f>
        <v>0</v>
      </c>
      <c r="E12" s="3"/>
      <c r="F12" s="3"/>
      <c r="G12" s="3"/>
    </row>
    <row r="13" spans="1:11" ht="19.5" customHeight="1" x14ac:dyDescent="0.25">
      <c r="A13" s="231" t="s">
        <v>142</v>
      </c>
      <c r="B13" s="3">
        <v>1</v>
      </c>
      <c r="C13" s="223"/>
      <c r="D13" s="4"/>
      <c r="E13" s="3"/>
      <c r="F13" s="3"/>
      <c r="G13" s="3"/>
    </row>
    <row r="14" spans="1:11" ht="19.5" customHeight="1" x14ac:dyDescent="0.25">
      <c r="A14" s="224"/>
      <c r="B14" s="3">
        <v>2</v>
      </c>
      <c r="C14" s="223"/>
      <c r="D14" s="4"/>
      <c r="F14" s="3"/>
      <c r="G14" s="3"/>
    </row>
    <row r="15" spans="1:11" ht="19.5" customHeight="1" x14ac:dyDescent="0.25">
      <c r="B15">
        <v>3</v>
      </c>
      <c r="E15" s="41"/>
      <c r="F15" s="3"/>
      <c r="G15" s="3"/>
    </row>
    <row r="16" spans="1:11" ht="19.5" customHeight="1" x14ac:dyDescent="0.25">
      <c r="B16">
        <v>4</v>
      </c>
      <c r="E16" s="41"/>
      <c r="F16" s="3"/>
      <c r="G16" s="3"/>
    </row>
    <row r="17" spans="1:7" ht="19.5" customHeight="1" x14ac:dyDescent="0.25">
      <c r="A17" s="228" t="s">
        <v>151</v>
      </c>
      <c r="B17" s="229">
        <f>SUM(Facture!K8:K14)</f>
        <v>0</v>
      </c>
      <c r="D17" s="3"/>
      <c r="F17" s="3"/>
      <c r="G17" s="3"/>
    </row>
    <row r="18" spans="1:7" ht="19.5" customHeight="1" x14ac:dyDescent="0.25">
      <c r="A18" s="232" t="s">
        <v>143</v>
      </c>
      <c r="C18" s="3"/>
      <c r="D18" s="227"/>
      <c r="E18" s="3"/>
      <c r="F18" s="3"/>
      <c r="G18" s="3"/>
    </row>
    <row r="19" spans="1:7" ht="19.5" customHeight="1" x14ac:dyDescent="0.25">
      <c r="A19" s="231" t="s">
        <v>152</v>
      </c>
      <c r="B19" s="3">
        <f>Facture!J8</f>
        <v>0</v>
      </c>
      <c r="C19" s="3"/>
      <c r="D19" s="227"/>
      <c r="E19" s="3"/>
      <c r="F19" s="3"/>
      <c r="G19" s="3"/>
    </row>
    <row r="20" spans="1:7" ht="19.5" customHeight="1" x14ac:dyDescent="0.25">
      <c r="A20" s="3" t="s">
        <v>144</v>
      </c>
      <c r="C20" s="3"/>
      <c r="D20" s="3"/>
      <c r="E20" s="3"/>
      <c r="F20" s="3"/>
      <c r="G20" s="3"/>
    </row>
    <row r="21" spans="1:7" ht="19.5" customHeight="1" x14ac:dyDescent="0.25">
      <c r="A21" s="3" t="s">
        <v>145</v>
      </c>
      <c r="C21" s="3"/>
      <c r="D21" s="3"/>
      <c r="E21" s="3"/>
      <c r="F21" s="3"/>
      <c r="G21" s="3"/>
    </row>
    <row r="22" spans="1:7" ht="19.5" customHeight="1" x14ac:dyDescent="0.25">
      <c r="A22" t="s">
        <v>111</v>
      </c>
      <c r="B22" s="151">
        <f ca="1">TODAY()</f>
        <v>44237</v>
      </c>
      <c r="C22" s="3"/>
      <c r="D22" s="3"/>
      <c r="E22" s="3"/>
      <c r="F22" s="3"/>
      <c r="G22" s="3"/>
    </row>
    <row r="23" spans="1:7" ht="19.5" customHeight="1" x14ac:dyDescent="0.25">
      <c r="A23" s="3"/>
      <c r="B23" s="3"/>
      <c r="C23" s="3"/>
      <c r="D23" s="3"/>
      <c r="E23" s="3"/>
      <c r="F23" s="3"/>
      <c r="G23" s="3"/>
    </row>
    <row r="24" spans="1:7" ht="19.5" customHeight="1" x14ac:dyDescent="0.25"/>
    <row r="25" spans="1:7" ht="19.5" customHeight="1" x14ac:dyDescent="0.25"/>
    <row r="26" spans="1:7" ht="19.5" customHeight="1" x14ac:dyDescent="0.25"/>
    <row r="27" spans="1:7" ht="19.5" customHeight="1" x14ac:dyDescent="0.25"/>
    <row r="28" spans="1:7" ht="19.5" customHeight="1" x14ac:dyDescent="0.25">
      <c r="E28" t="s">
        <v>112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Facture</vt:lpstr>
      <vt:lpstr>acompte 1</vt:lpstr>
      <vt:lpstr>plateforme</vt:lpstr>
      <vt:lpstr>reçu</vt:lpstr>
      <vt:lpstr>Attestation Séjour</vt:lpstr>
      <vt:lpstr>'acompte 1'!Zone_d_impression</vt:lpstr>
      <vt:lpstr>'Attestation Séjour'!Zone_d_impression</vt:lpstr>
      <vt:lpstr>Facture!Zone_d_impression</vt:lpstr>
      <vt:lpstr>plateforme!Zone_d_impression</vt:lpstr>
      <vt:lpstr>reçu!Zone_d_impression</vt:lpstr>
    </vt:vector>
  </TitlesOfParts>
  <Company>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LAPIERRE</dc:creator>
  <dc:description/>
  <cp:lastModifiedBy>Martine Lapierre</cp:lastModifiedBy>
  <cp:revision>1</cp:revision>
  <cp:lastPrinted>2020-12-23T16:20:45Z</cp:lastPrinted>
  <dcterms:created xsi:type="dcterms:W3CDTF">2008-04-07T06:10:24Z</dcterms:created>
  <dcterms:modified xsi:type="dcterms:W3CDTF">2021-02-10T09:33:31Z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