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\Desktop\"/>
    </mc:Choice>
  </mc:AlternateContent>
  <xr:revisionPtr revIDLastSave="0" documentId="13_ncr:1_{CB50534A-2B88-4977-B425-CB292475C833}" xr6:coauthVersionLast="47" xr6:coauthVersionMax="47" xr10:uidLastSave="{00000000-0000-0000-0000-000000000000}"/>
  <bookViews>
    <workbookView xWindow="-120" yWindow="-120" windowWidth="20730" windowHeight="11160" xr2:uid="{A53A0B94-BE62-40B7-A3A7-7DADEED0F1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5" i="1" l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R37" i="1"/>
  <c r="Q37" i="1"/>
  <c r="S36" i="1"/>
  <c r="R36" i="1"/>
  <c r="Q36" i="1"/>
  <c r="S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R29" i="1"/>
  <c r="Q29" i="1"/>
  <c r="S28" i="1"/>
  <c r="R28" i="1"/>
  <c r="Q28" i="1"/>
  <c r="R27" i="1"/>
  <c r="Q27" i="1"/>
  <c r="S26" i="1"/>
  <c r="R26" i="1"/>
  <c r="Q26" i="1"/>
  <c r="S25" i="1"/>
  <c r="R25" i="1"/>
  <c r="Q25" i="1"/>
  <c r="R24" i="1"/>
  <c r="Q24" i="1"/>
  <c r="R23" i="1"/>
  <c r="Q23" i="1"/>
  <c r="R22" i="1"/>
  <c r="Q22" i="1"/>
  <c r="S22" i="1"/>
  <c r="S21" i="1"/>
  <c r="R21" i="1"/>
  <c r="Q20" i="1"/>
  <c r="Q21" i="1"/>
  <c r="S20" i="1"/>
  <c r="R20" i="1"/>
  <c r="R19" i="1"/>
  <c r="Q19" i="1"/>
  <c r="S18" i="1"/>
  <c r="R18" i="1"/>
  <c r="Q18" i="1"/>
  <c r="R17" i="1"/>
  <c r="Q17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<sst xmlns="http://schemas.openxmlformats.org/spreadsheetml/2006/main" count="130" uniqueCount="77">
  <si>
    <t>IZA CODE</t>
  </si>
  <si>
    <t xml:space="preserve">FD </t>
  </si>
  <si>
    <t>TD</t>
  </si>
  <si>
    <t>Ring Sizes</t>
  </si>
  <si>
    <t>Oxidant I</t>
  </si>
  <si>
    <t>Number_of_channels</t>
  </si>
  <si>
    <t>Di</t>
  </si>
  <si>
    <t>Df</t>
  </si>
  <si>
    <t>Dif</t>
  </si>
  <si>
    <t>Unit_cell_V</t>
  </si>
  <si>
    <t>density</t>
  </si>
  <si>
    <t>ASA_A^2</t>
  </si>
  <si>
    <t>NASA_A^2</t>
  </si>
  <si>
    <t>NP</t>
  </si>
  <si>
    <t>CSA</t>
  </si>
  <si>
    <t>ABW</t>
  </si>
  <si>
    <t>AEI</t>
  </si>
  <si>
    <t>AFG</t>
  </si>
  <si>
    <t>AFN</t>
  </si>
  <si>
    <t>AFO</t>
  </si>
  <si>
    <t>AFT</t>
  </si>
  <si>
    <t>AFX</t>
  </si>
  <si>
    <t>APC</t>
  </si>
  <si>
    <t>ATN</t>
  </si>
  <si>
    <t>AWO</t>
  </si>
  <si>
    <t>AWW</t>
  </si>
  <si>
    <t>BIK</t>
  </si>
  <si>
    <t>BPH</t>
  </si>
  <si>
    <t>BRE</t>
  </si>
  <si>
    <t>CDO</t>
  </si>
  <si>
    <t>CGS</t>
  </si>
  <si>
    <t>CHA</t>
  </si>
  <si>
    <t>DAC</t>
  </si>
  <si>
    <t>DDR</t>
  </si>
  <si>
    <t>EPI</t>
  </si>
  <si>
    <t>ESV</t>
  </si>
  <si>
    <t>FAR</t>
  </si>
  <si>
    <t>FER</t>
  </si>
  <si>
    <t>HEU</t>
  </si>
  <si>
    <t>ITE</t>
  </si>
  <si>
    <t>ITH</t>
  </si>
  <si>
    <t>JBW</t>
  </si>
  <si>
    <t>KFI</t>
  </si>
  <si>
    <t>LOS</t>
  </si>
  <si>
    <t>MSO</t>
  </si>
  <si>
    <t>MTF</t>
  </si>
  <si>
    <t>MTT</t>
  </si>
  <si>
    <t>MWW</t>
  </si>
  <si>
    <t>NAT</t>
  </si>
  <si>
    <t>NES</t>
  </si>
  <si>
    <t>NON</t>
  </si>
  <si>
    <t>OWE</t>
  </si>
  <si>
    <t>PHI</t>
  </si>
  <si>
    <t>RRO</t>
  </si>
  <si>
    <t>RTE</t>
  </si>
  <si>
    <t>RTH</t>
  </si>
  <si>
    <t>SAS</t>
  </si>
  <si>
    <t>SAV</t>
  </si>
  <si>
    <t>SFF</t>
  </si>
  <si>
    <t>SGT</t>
  </si>
  <si>
    <t>SIV</t>
  </si>
  <si>
    <t>SOD</t>
  </si>
  <si>
    <t>STI</t>
  </si>
  <si>
    <t>SZR</t>
  </si>
  <si>
    <t>TER</t>
  </si>
  <si>
    <t>UEI</t>
  </si>
  <si>
    <t>UFI</t>
  </si>
  <si>
    <t>VNI</t>
  </si>
  <si>
    <t>MER</t>
  </si>
  <si>
    <t>O2</t>
  </si>
  <si>
    <t>Cu/Al</t>
  </si>
  <si>
    <t>Si/Al</t>
  </si>
  <si>
    <t>Cu-O-Cu</t>
  </si>
  <si>
    <t xml:space="preserve">Reaction </t>
  </si>
  <si>
    <t>Gf(eV)</t>
  </si>
  <si>
    <t>EH(eV)</t>
  </si>
  <si>
    <t>log(rate)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</si>
</sst>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ont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D4A3-F98F-49CF-B4E6-F1D51900D164}">
  <dimension ref="A1:V55"/>
  <sheetViews>
    <sheetView tabSelected="1" topLeftCell="I1" zoomScale="110" zoomScaleNormal="110" workbookViewId="0">
      <selection activeCell="S2" sqref="S2"/>
    </sheetView>
  </sheetViews>
  <sheetFormatPr baseColWidth="10"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70</v>
      </c>
      <c r="R1" s="1" t="s">
        <v>71</v>
      </c>
      <c r="S1" s="1" t="s">
        <v>72</v>
      </c>
      <c r="T1" s="1" t="s">
        <v>74</v>
      </c>
      <c r="U1" s="1" t="s">
        <v>75</v>
      </c>
      <c r="V1" s="1" t="s">
        <v>76</v>
      </c>
    </row>
    <row r="2" spans="1:22" x14ac:dyDescent="0.25">
      <c r="A2" t="s">
        <v>15</v>
      </c>
      <c r="B2">
        <v>17.600000000000001</v>
      </c>
      <c r="C2">
        <v>0.703704</v>
      </c>
      <c r="D2">
        <v>864</v>
      </c>
      <c r="E2" t="s">
        <v>69</v>
      </c>
      <c r="F2">
        <v>2</v>
      </c>
      <c r="G2">
        <v>423</v>
      </c>
      <c r="H2">
        <v>3.6116299999999999</v>
      </c>
      <c r="I2">
        <v>3.10046</v>
      </c>
      <c r="J2">
        <v>3.6116299999999999</v>
      </c>
      <c r="K2">
        <v>454.92399999999998</v>
      </c>
      <c r="L2">
        <v>1.7545200000000001</v>
      </c>
      <c r="M2">
        <v>61.8108</v>
      </c>
      <c r="N2">
        <v>0</v>
      </c>
      <c r="O2">
        <v>0</v>
      </c>
      <c r="P2">
        <v>32.208100000000002</v>
      </c>
      <c r="Q2">
        <v>1</v>
      </c>
      <c r="R2">
        <v>1</v>
      </c>
      <c r="S2">
        <v>89.53</v>
      </c>
      <c r="T2" s="3">
        <v>-6.3880999999999997</v>
      </c>
      <c r="U2" s="3">
        <v>-0.73012276249999974</v>
      </c>
      <c r="V2">
        <v>8.8137935152174354</v>
      </c>
    </row>
    <row r="3" spans="1:22" x14ac:dyDescent="0.25">
      <c r="A3" t="s">
        <v>16</v>
      </c>
      <c r="B3">
        <v>15.1</v>
      </c>
      <c r="C3">
        <v>0.58308099999999996</v>
      </c>
      <c r="D3">
        <v>864</v>
      </c>
      <c r="E3" t="s">
        <v>69</v>
      </c>
      <c r="F3">
        <v>1</v>
      </c>
      <c r="G3">
        <v>423</v>
      </c>
      <c r="H3">
        <v>6.9031900000000004</v>
      </c>
      <c r="I3">
        <v>3.4413100000000001</v>
      </c>
      <c r="J3">
        <v>6.9031900000000004</v>
      </c>
      <c r="K3">
        <v>3189.36</v>
      </c>
      <c r="L3">
        <v>1.5015700000000001</v>
      </c>
      <c r="M3">
        <v>645.84</v>
      </c>
      <c r="N3">
        <v>2.1947800000000002</v>
      </c>
      <c r="O3">
        <v>4</v>
      </c>
      <c r="P3">
        <v>645.84</v>
      </c>
      <c r="Q3">
        <f>2/5</f>
        <v>0.4</v>
      </c>
      <c r="R3">
        <f>19/5</f>
        <v>3.8</v>
      </c>
      <c r="S3">
        <f>87.88</f>
        <v>87.88</v>
      </c>
      <c r="T3" s="3">
        <v>-6.1624999999999996</v>
      </c>
      <c r="U3" s="3">
        <v>-1.1562227624999997</v>
      </c>
      <c r="V3">
        <v>12.621329504051012</v>
      </c>
    </row>
    <row r="4" spans="1:22" x14ac:dyDescent="0.25">
      <c r="A4" s="2" t="s">
        <v>17</v>
      </c>
      <c r="B4">
        <v>16.899999999999999</v>
      </c>
      <c r="C4">
        <v>0.69333299999999998</v>
      </c>
      <c r="D4">
        <v>64</v>
      </c>
      <c r="E4" t="s">
        <v>69</v>
      </c>
      <c r="F4">
        <v>0</v>
      </c>
      <c r="G4">
        <v>423</v>
      </c>
      <c r="H4">
        <v>5.8376599999999996</v>
      </c>
      <c r="I4">
        <v>2.1442899999999998</v>
      </c>
      <c r="J4">
        <v>5.8376599999999996</v>
      </c>
      <c r="K4">
        <v>2834.74</v>
      </c>
      <c r="L4">
        <v>2.0268000000000002</v>
      </c>
      <c r="M4">
        <v>0</v>
      </c>
      <c r="N4">
        <v>381.75299999999999</v>
      </c>
      <c r="O4">
        <v>8</v>
      </c>
      <c r="P4">
        <v>0</v>
      </c>
      <c r="Q4">
        <f>2/9</f>
        <v>0.22222222222222221</v>
      </c>
      <c r="R4">
        <f>39/9</f>
        <v>4.333333333333333</v>
      </c>
      <c r="S4">
        <f>136.48</f>
        <v>136.47999999999999</v>
      </c>
      <c r="T4" s="3">
        <v>-7.1345999999999998</v>
      </c>
      <c r="U4" s="3">
        <v>-0.86152276249999993</v>
      </c>
      <c r="V4">
        <v>9.9879550475636751</v>
      </c>
    </row>
    <row r="5" spans="1:22" x14ac:dyDescent="0.25">
      <c r="A5" s="2" t="s">
        <v>18</v>
      </c>
      <c r="B5">
        <v>17.399999999999999</v>
      </c>
      <c r="C5">
        <v>0.661111</v>
      </c>
      <c r="D5">
        <v>864</v>
      </c>
      <c r="E5" t="s">
        <v>69</v>
      </c>
      <c r="F5">
        <v>2</v>
      </c>
      <c r="G5">
        <v>423</v>
      </c>
      <c r="H5">
        <v>4.7530299999999999</v>
      </c>
      <c r="I5">
        <v>3.08413</v>
      </c>
      <c r="J5">
        <v>4.7530299999999999</v>
      </c>
      <c r="K5">
        <v>1839.54</v>
      </c>
      <c r="L5">
        <v>1.73559</v>
      </c>
      <c r="M5">
        <v>285.11099999999999</v>
      </c>
      <c r="N5">
        <v>0</v>
      </c>
      <c r="O5">
        <v>0</v>
      </c>
      <c r="P5">
        <v>140.55600000000001</v>
      </c>
      <c r="Q5">
        <f>2/6</f>
        <v>0.33333333333333331</v>
      </c>
      <c r="R5">
        <f>10/6</f>
        <v>1.6666666666666667</v>
      </c>
      <c r="S5">
        <v>138.9</v>
      </c>
      <c r="T5" s="3">
        <v>-6.7591999999999999</v>
      </c>
      <c r="U5" s="3">
        <v>-0.77092276249999969</v>
      </c>
      <c r="V5">
        <v>9.1783733517450337</v>
      </c>
    </row>
    <row r="6" spans="1:22" x14ac:dyDescent="0.25">
      <c r="A6" s="2" t="s">
        <v>19</v>
      </c>
      <c r="B6">
        <v>19.2</v>
      </c>
      <c r="C6">
        <v>0.76967600000000003</v>
      </c>
      <c r="D6">
        <v>1064</v>
      </c>
      <c r="E6" t="s">
        <v>69</v>
      </c>
      <c r="F6">
        <v>2</v>
      </c>
      <c r="G6">
        <v>423</v>
      </c>
      <c r="H6">
        <v>5.02827</v>
      </c>
      <c r="I6">
        <v>4.3344300000000002</v>
      </c>
      <c r="J6">
        <v>5.02827</v>
      </c>
      <c r="K6">
        <v>82.54</v>
      </c>
      <c r="L6">
        <v>1.91635</v>
      </c>
      <c r="M6">
        <v>204.24799999999999</v>
      </c>
      <c r="N6">
        <v>0</v>
      </c>
      <c r="O6">
        <v>0</v>
      </c>
      <c r="P6">
        <v>103.985</v>
      </c>
      <c r="Q6">
        <f>2/4</f>
        <v>0.5</v>
      </c>
      <c r="R6">
        <f>4</f>
        <v>4</v>
      </c>
      <c r="S6">
        <f>122.1</f>
        <v>122.1</v>
      </c>
      <c r="T6" s="3">
        <v>-6.3879000000000001</v>
      </c>
      <c r="U6" s="3">
        <v>-0.78392276249999959</v>
      </c>
      <c r="V6">
        <v>9.2945384957366706</v>
      </c>
    </row>
    <row r="7" spans="1:22" x14ac:dyDescent="0.25">
      <c r="A7" t="s">
        <v>20</v>
      </c>
      <c r="B7">
        <v>15.1</v>
      </c>
      <c r="C7">
        <v>0.58571399999999996</v>
      </c>
      <c r="D7">
        <v>864</v>
      </c>
      <c r="E7" t="s">
        <v>69</v>
      </c>
      <c r="F7">
        <v>1</v>
      </c>
      <c r="G7">
        <v>423</v>
      </c>
      <c r="H7">
        <v>7.1398700000000002</v>
      </c>
      <c r="I7">
        <v>3.2804500000000001</v>
      </c>
      <c r="J7">
        <v>6.7832299999999996</v>
      </c>
      <c r="K7">
        <v>4780.4799999999996</v>
      </c>
      <c r="L7">
        <v>1.6360699999999999</v>
      </c>
      <c r="M7">
        <v>65.399000000000001</v>
      </c>
      <c r="N7">
        <v>2.4737</v>
      </c>
      <c r="O7">
        <v>6</v>
      </c>
      <c r="P7">
        <v>65.399000000000001</v>
      </c>
      <c r="Q7">
        <f>2/7</f>
        <v>0.2857142857142857</v>
      </c>
      <c r="R7">
        <f>65/7</f>
        <v>9.2857142857142865</v>
      </c>
      <c r="S7">
        <f>129.54</f>
        <v>129.54</v>
      </c>
      <c r="T7" s="3">
        <v>-7.0904999999999996</v>
      </c>
      <c r="U7" s="3">
        <v>-0.44562276249999933</v>
      </c>
      <c r="V7">
        <v>6.2715640178619934</v>
      </c>
    </row>
    <row r="8" spans="1:22" x14ac:dyDescent="0.25">
      <c r="A8" t="s">
        <v>21</v>
      </c>
      <c r="B8">
        <v>15.1</v>
      </c>
      <c r="C8">
        <v>0.58571399999999996</v>
      </c>
      <c r="D8">
        <v>864</v>
      </c>
      <c r="E8" t="s">
        <v>69</v>
      </c>
      <c r="F8">
        <v>1</v>
      </c>
      <c r="G8">
        <v>423</v>
      </c>
      <c r="H8">
        <v>7.1165900000000004</v>
      </c>
      <c r="I8">
        <v>3.33392</v>
      </c>
      <c r="J8">
        <v>6.7915799999999997</v>
      </c>
      <c r="K8">
        <v>3189.17</v>
      </c>
      <c r="L8">
        <v>1.60162</v>
      </c>
      <c r="M8">
        <v>638.47199999999998</v>
      </c>
      <c r="N8">
        <v>2.5369000000000002</v>
      </c>
      <c r="O8">
        <v>4</v>
      </c>
      <c r="P8">
        <v>638.47199999999998</v>
      </c>
      <c r="Q8">
        <f>2/6</f>
        <v>0.33333333333333331</v>
      </c>
      <c r="R8">
        <f>42/6</f>
        <v>7</v>
      </c>
      <c r="S8">
        <f>131.32</f>
        <v>131.32</v>
      </c>
      <c r="T8" s="3">
        <v>-7.0713999999999997</v>
      </c>
      <c r="U8" s="3">
        <v>-0.57792276250000008</v>
      </c>
      <c r="V8">
        <v>7.4537677524845813</v>
      </c>
    </row>
    <row r="9" spans="1:22" x14ac:dyDescent="0.25">
      <c r="A9" s="2" t="s">
        <v>22</v>
      </c>
      <c r="B9">
        <v>17.7</v>
      </c>
      <c r="C9">
        <v>0.69629600000000003</v>
      </c>
      <c r="D9">
        <v>864</v>
      </c>
      <c r="E9" t="s">
        <v>69</v>
      </c>
      <c r="F9">
        <v>4</v>
      </c>
      <c r="G9">
        <v>423</v>
      </c>
      <c r="H9">
        <v>3.8254100000000002</v>
      </c>
      <c r="I9">
        <v>2.6902900000000001</v>
      </c>
      <c r="J9">
        <v>3.8254100000000002</v>
      </c>
      <c r="K9">
        <v>1808.72</v>
      </c>
      <c r="L9">
        <v>1.7651699999999999</v>
      </c>
      <c r="M9">
        <v>249.21700000000001</v>
      </c>
      <c r="N9">
        <v>0</v>
      </c>
      <c r="O9">
        <v>4</v>
      </c>
      <c r="P9">
        <v>64.987399999999994</v>
      </c>
      <c r="Q9">
        <f>2/3</f>
        <v>0.66666666666666663</v>
      </c>
      <c r="R9">
        <f>13/3</f>
        <v>4.333333333333333</v>
      </c>
      <c r="S9">
        <f>157.59</f>
        <v>157.59</v>
      </c>
      <c r="T9" s="3">
        <v>-6.2035999999999998</v>
      </c>
      <c r="U9" s="3">
        <v>0.26597723750000046</v>
      </c>
      <c r="V9">
        <v>-8.7137248634071629E-2</v>
      </c>
    </row>
    <row r="10" spans="1:22" x14ac:dyDescent="0.25">
      <c r="A10" s="2" t="s">
        <v>23</v>
      </c>
      <c r="B10">
        <v>17.8</v>
      </c>
      <c r="C10">
        <v>0.703704</v>
      </c>
      <c r="D10">
        <v>864</v>
      </c>
      <c r="E10" t="s">
        <v>69</v>
      </c>
      <c r="F10">
        <v>2</v>
      </c>
      <c r="G10">
        <v>423</v>
      </c>
      <c r="H10">
        <v>5.5128300000000001</v>
      </c>
      <c r="I10">
        <v>3.7072500000000002</v>
      </c>
      <c r="J10">
        <v>5.5128300000000001</v>
      </c>
      <c r="K10">
        <v>897.99300000000005</v>
      </c>
      <c r="L10">
        <v>1.77769</v>
      </c>
      <c r="M10">
        <v>103.051</v>
      </c>
      <c r="N10">
        <v>0</v>
      </c>
      <c r="O10">
        <v>0</v>
      </c>
      <c r="P10">
        <v>51.242199999999997</v>
      </c>
      <c r="Q10">
        <f>1</f>
        <v>1</v>
      </c>
      <c r="R10">
        <f>4</f>
        <v>4</v>
      </c>
      <c r="S10">
        <f>125.43</f>
        <v>125.43</v>
      </c>
      <c r="T10" s="3">
        <v>-6.2625000000000002</v>
      </c>
      <c r="U10" s="3">
        <v>-0.85682276249999934</v>
      </c>
      <c r="V10">
        <v>9.9459568801205389</v>
      </c>
    </row>
    <row r="11" spans="1:22" x14ac:dyDescent="0.25">
      <c r="A11" t="s">
        <v>24</v>
      </c>
      <c r="B11">
        <v>18.2</v>
      </c>
      <c r="C11">
        <v>0.708843</v>
      </c>
      <c r="D11">
        <v>864</v>
      </c>
      <c r="E11" t="s">
        <v>69</v>
      </c>
      <c r="F11">
        <v>2</v>
      </c>
      <c r="G11">
        <v>423</v>
      </c>
      <c r="H11">
        <v>4.4986699999999997</v>
      </c>
      <c r="I11">
        <v>3.2652899999999998</v>
      </c>
      <c r="J11">
        <v>4.4943200000000001</v>
      </c>
      <c r="K11">
        <v>2632.81</v>
      </c>
      <c r="L11">
        <v>1.81898</v>
      </c>
      <c r="M11">
        <v>305.00099999999998</v>
      </c>
      <c r="N11">
        <v>7.7529700000000004</v>
      </c>
      <c r="O11">
        <v>8</v>
      </c>
      <c r="P11">
        <v>155.214</v>
      </c>
      <c r="Q11">
        <f>2/6</f>
        <v>0.33333333333333331</v>
      </c>
      <c r="R11">
        <f>3</f>
        <v>3</v>
      </c>
      <c r="S11">
        <f>94.05</f>
        <v>94.05</v>
      </c>
      <c r="T11" s="3">
        <v>-6.6638999999999999</v>
      </c>
      <c r="U11" s="3">
        <v>-0.93442276249999967</v>
      </c>
      <c r="V11">
        <v>10.639373431947545</v>
      </c>
    </row>
    <row r="12" spans="1:22" x14ac:dyDescent="0.25">
      <c r="A12" s="2" t="s">
        <v>25</v>
      </c>
      <c r="B12">
        <v>16.899999999999999</v>
      </c>
      <c r="C12">
        <v>0.65608500000000003</v>
      </c>
      <c r="D12">
        <v>864</v>
      </c>
      <c r="E12" t="s">
        <v>69</v>
      </c>
      <c r="F12">
        <v>2</v>
      </c>
      <c r="G12">
        <v>423</v>
      </c>
      <c r="H12">
        <v>6.8935500000000003</v>
      </c>
      <c r="I12">
        <v>3.7660900000000002</v>
      </c>
      <c r="J12">
        <v>6.86456</v>
      </c>
      <c r="K12">
        <v>1417.75</v>
      </c>
      <c r="L12">
        <v>1.68896</v>
      </c>
      <c r="M12">
        <v>196.11600000000001</v>
      </c>
      <c r="N12">
        <v>36.829799999999999</v>
      </c>
      <c r="O12">
        <v>2</v>
      </c>
      <c r="P12">
        <v>99.291200000000003</v>
      </c>
      <c r="Q12">
        <f>2/4</f>
        <v>0.5</v>
      </c>
      <c r="R12">
        <f>5</f>
        <v>5</v>
      </c>
      <c r="S12">
        <f>123.74</f>
        <v>123.74</v>
      </c>
      <c r="T12" s="3">
        <v>-5.6199000000000003</v>
      </c>
      <c r="U12" s="3">
        <v>-0.72702276249999986</v>
      </c>
      <c r="V12">
        <v>8.7860925962655845</v>
      </c>
    </row>
    <row r="13" spans="1:22" x14ac:dyDescent="0.25">
      <c r="A13" t="s">
        <v>26</v>
      </c>
      <c r="B13">
        <v>18.7</v>
      </c>
      <c r="C13">
        <v>0.90740699999999996</v>
      </c>
      <c r="D13">
        <v>865</v>
      </c>
      <c r="E13" t="s">
        <v>69</v>
      </c>
      <c r="F13">
        <v>2</v>
      </c>
      <c r="G13">
        <v>423</v>
      </c>
      <c r="H13">
        <v>3.7640699999999998</v>
      </c>
      <c r="I13">
        <v>3.1463100000000002</v>
      </c>
      <c r="J13">
        <v>3.7640699999999998</v>
      </c>
      <c r="K13">
        <v>42.881999999999998</v>
      </c>
      <c r="L13">
        <v>1.8623400000000001</v>
      </c>
      <c r="M13">
        <v>61.940800000000003</v>
      </c>
      <c r="N13">
        <v>0</v>
      </c>
      <c r="O13">
        <v>2</v>
      </c>
      <c r="P13">
        <v>31.724399999999999</v>
      </c>
      <c r="Q13">
        <f>2/3</f>
        <v>0.66666666666666663</v>
      </c>
      <c r="R13">
        <f>1</f>
        <v>1</v>
      </c>
      <c r="S13">
        <f>67.09</f>
        <v>67.09</v>
      </c>
      <c r="T13" s="3">
        <v>-7.4817</v>
      </c>
      <c r="U13" s="3">
        <v>-0.51392276250000002</v>
      </c>
      <c r="V13">
        <v>6.8818778128334461</v>
      </c>
    </row>
    <row r="14" spans="1:22" x14ac:dyDescent="0.25">
      <c r="A14" t="s">
        <v>27</v>
      </c>
      <c r="B14">
        <v>14.6</v>
      </c>
      <c r="C14">
        <v>0.56874999999999998</v>
      </c>
      <c r="D14">
        <v>10864</v>
      </c>
      <c r="E14" t="s">
        <v>69</v>
      </c>
      <c r="F14">
        <v>1</v>
      </c>
      <c r="G14">
        <v>423</v>
      </c>
      <c r="H14">
        <v>9.10839</v>
      </c>
      <c r="I14">
        <v>5.6141800000000002</v>
      </c>
      <c r="J14">
        <v>9.10839</v>
      </c>
      <c r="K14">
        <v>1914.8</v>
      </c>
      <c r="L14">
        <v>1.7093100000000001</v>
      </c>
      <c r="M14">
        <v>363.267</v>
      </c>
      <c r="N14">
        <v>0</v>
      </c>
      <c r="O14">
        <v>1</v>
      </c>
      <c r="P14">
        <v>363.267</v>
      </c>
      <c r="Q14">
        <f>2/6</f>
        <v>0.33333333333333331</v>
      </c>
      <c r="R14">
        <f>22/6</f>
        <v>3.6666666666666665</v>
      </c>
      <c r="S14">
        <f>119.44</f>
        <v>119.44</v>
      </c>
      <c r="T14" s="3">
        <v>-7.1971999999999996</v>
      </c>
      <c r="U14" s="3">
        <v>-0.60592276249999966</v>
      </c>
      <c r="V14">
        <v>7.7039696010819494</v>
      </c>
    </row>
    <row r="15" spans="1:22" x14ac:dyDescent="0.25">
      <c r="A15" s="2" t="s">
        <v>28</v>
      </c>
      <c r="B15">
        <v>18.3</v>
      </c>
      <c r="C15">
        <v>0.77803100000000003</v>
      </c>
      <c r="D15">
        <v>8654</v>
      </c>
      <c r="E15" t="s">
        <v>69</v>
      </c>
      <c r="F15">
        <v>2</v>
      </c>
      <c r="G15">
        <v>423</v>
      </c>
      <c r="H15">
        <v>0.88310999999999995</v>
      </c>
      <c r="I15">
        <v>2.5575399999999999</v>
      </c>
      <c r="J15">
        <v>4.8823499999999997</v>
      </c>
      <c r="K15">
        <v>873.97699999999998</v>
      </c>
      <c r="L15">
        <v>1.82653</v>
      </c>
      <c r="M15">
        <v>119.95</v>
      </c>
      <c r="N15">
        <v>0</v>
      </c>
      <c r="O15">
        <v>0</v>
      </c>
      <c r="P15">
        <v>60.3476</v>
      </c>
      <c r="Q15">
        <f>2/4</f>
        <v>0.5</v>
      </c>
      <c r="R15">
        <f>3</f>
        <v>3</v>
      </c>
      <c r="S15">
        <f>136.44</f>
        <v>136.44</v>
      </c>
      <c r="T15" s="3">
        <v>-6.0716000000000001</v>
      </c>
      <c r="U15" s="3">
        <v>-0.87392276249999945</v>
      </c>
      <c r="V15">
        <v>10.098758723371079</v>
      </c>
    </row>
    <row r="16" spans="1:22" x14ac:dyDescent="0.25">
      <c r="A16" s="2" t="s">
        <v>29</v>
      </c>
      <c r="B16">
        <v>18.100000000000001</v>
      </c>
      <c r="C16">
        <v>0.93022700000000003</v>
      </c>
      <c r="D16">
        <v>85</v>
      </c>
      <c r="E16" t="s">
        <v>69</v>
      </c>
      <c r="F16">
        <v>2</v>
      </c>
      <c r="G16">
        <v>423</v>
      </c>
      <c r="H16">
        <v>4.9869500000000002</v>
      </c>
      <c r="I16">
        <v>3.0400499999999999</v>
      </c>
      <c r="J16">
        <v>4.7343000000000002</v>
      </c>
      <c r="K16">
        <v>1994.01</v>
      </c>
      <c r="L16">
        <v>1.8012900000000001</v>
      </c>
      <c r="M16">
        <v>300.67099999999999</v>
      </c>
      <c r="N16">
        <v>0</v>
      </c>
      <c r="O16">
        <v>0</v>
      </c>
      <c r="P16">
        <v>151.44399999999999</v>
      </c>
      <c r="Q16">
        <f>1/2</f>
        <v>0.5</v>
      </c>
      <c r="R16">
        <f>14/4</f>
        <v>3.5</v>
      </c>
      <c r="S16">
        <v>84.92</v>
      </c>
      <c r="T16" s="3">
        <v>-6.7214</v>
      </c>
      <c r="U16" s="3">
        <v>-0.97092276249999987</v>
      </c>
      <c r="V16">
        <v>10.965529413154835</v>
      </c>
    </row>
    <row r="17" spans="1:22" x14ac:dyDescent="0.25">
      <c r="A17" t="s">
        <v>30</v>
      </c>
      <c r="B17">
        <v>16.899999999999999</v>
      </c>
      <c r="C17">
        <v>0.61333300000000002</v>
      </c>
      <c r="D17">
        <v>10864</v>
      </c>
      <c r="E17" t="s">
        <v>69</v>
      </c>
      <c r="F17">
        <v>1</v>
      </c>
      <c r="G17">
        <v>423</v>
      </c>
      <c r="H17">
        <v>5.3172499999999996</v>
      </c>
      <c r="I17">
        <v>3.60812</v>
      </c>
      <c r="J17">
        <v>5.3030200000000001</v>
      </c>
      <c r="K17">
        <v>1894.23</v>
      </c>
      <c r="L17">
        <v>1.6854899999999999</v>
      </c>
      <c r="M17">
        <v>351.61</v>
      </c>
      <c r="N17">
        <v>0</v>
      </c>
      <c r="O17">
        <v>0</v>
      </c>
      <c r="P17">
        <v>351.61</v>
      </c>
      <c r="Q17">
        <f>2/9</f>
        <v>0.22222222222222221</v>
      </c>
      <c r="R17">
        <f>23/9</f>
        <v>2.5555555555555554</v>
      </c>
      <c r="S17">
        <v>102.85</v>
      </c>
      <c r="T17" s="3">
        <v>-7.2843</v>
      </c>
      <c r="U17" s="3">
        <v>-0.7966227624999993</v>
      </c>
      <c r="V17">
        <v>9.408022905636189</v>
      </c>
    </row>
    <row r="18" spans="1:22" x14ac:dyDescent="0.25">
      <c r="A18" t="s">
        <v>31</v>
      </c>
      <c r="B18">
        <v>15.1</v>
      </c>
      <c r="C18">
        <v>0.56666700000000003</v>
      </c>
      <c r="D18">
        <v>864</v>
      </c>
      <c r="E18" t="s">
        <v>69</v>
      </c>
      <c r="F18">
        <v>1</v>
      </c>
      <c r="G18">
        <v>423</v>
      </c>
      <c r="H18">
        <v>6.7374200000000002</v>
      </c>
      <c r="I18">
        <v>3.31914</v>
      </c>
      <c r="J18">
        <v>6.7368499999999996</v>
      </c>
      <c r="K18">
        <v>2391.54</v>
      </c>
      <c r="L18">
        <v>1.9017900000000001</v>
      </c>
      <c r="M18">
        <v>476.77300000000002</v>
      </c>
      <c r="N18">
        <v>1.41496</v>
      </c>
      <c r="O18">
        <v>3</v>
      </c>
      <c r="P18">
        <v>476.77300000000002</v>
      </c>
      <c r="Q18">
        <f>2/8</f>
        <v>0.25</v>
      </c>
      <c r="R18">
        <f>29/8</f>
        <v>3.625</v>
      </c>
      <c r="S18">
        <f>124.71</f>
        <v>124.71</v>
      </c>
      <c r="T18" s="3">
        <v>-7.1531000000000002</v>
      </c>
      <c r="U18" s="3">
        <v>-1.2122762499999773E-2</v>
      </c>
      <c r="V18">
        <v>2.3979032547562578</v>
      </c>
    </row>
    <row r="19" spans="1:22" x14ac:dyDescent="0.25">
      <c r="A19" t="s">
        <v>32</v>
      </c>
      <c r="B19">
        <v>17.5</v>
      </c>
      <c r="C19">
        <v>0.84118999999999999</v>
      </c>
      <c r="D19">
        <v>10854</v>
      </c>
      <c r="E19" t="s">
        <v>69</v>
      </c>
      <c r="F19">
        <v>2</v>
      </c>
      <c r="G19">
        <v>423</v>
      </c>
      <c r="H19">
        <v>4.7919799999999997</v>
      </c>
      <c r="I19">
        <v>3.4223599999999998</v>
      </c>
      <c r="J19">
        <v>4.7824200000000001</v>
      </c>
      <c r="K19">
        <v>1375.15</v>
      </c>
      <c r="L19">
        <v>1.7412799999999999</v>
      </c>
      <c r="M19">
        <v>232.23699999999999</v>
      </c>
      <c r="N19">
        <v>0</v>
      </c>
      <c r="O19">
        <v>0</v>
      </c>
      <c r="P19">
        <v>118.55800000000001</v>
      </c>
      <c r="Q19">
        <f>2/4</f>
        <v>0.5</v>
      </c>
      <c r="R19">
        <f>2</f>
        <v>2</v>
      </c>
      <c r="S19">
        <v>95.72</v>
      </c>
      <c r="T19" s="3">
        <v>-6.7862999999999998</v>
      </c>
      <c r="U19" s="3">
        <v>-0.76852276249999996</v>
      </c>
      <c r="V19">
        <v>9.1569274790081181</v>
      </c>
    </row>
    <row r="20" spans="1:22" x14ac:dyDescent="0.25">
      <c r="A20" t="s">
        <v>33</v>
      </c>
      <c r="B20">
        <v>17.899999999999999</v>
      </c>
      <c r="C20">
        <v>0.85080100000000003</v>
      </c>
      <c r="D20">
        <v>8654</v>
      </c>
      <c r="E20" t="s">
        <v>69</v>
      </c>
      <c r="F20">
        <v>3</v>
      </c>
      <c r="G20">
        <v>423</v>
      </c>
      <c r="H20">
        <v>7.0720299999999998</v>
      </c>
      <c r="I20">
        <v>3.2457199999999999</v>
      </c>
      <c r="J20">
        <v>7.0346799999999998</v>
      </c>
      <c r="K20">
        <v>6715.86</v>
      </c>
      <c r="L20">
        <v>2.1925599999999998</v>
      </c>
      <c r="M20">
        <v>730.21199999999999</v>
      </c>
      <c r="N20">
        <v>162.38200000000001</v>
      </c>
      <c r="O20">
        <v>15</v>
      </c>
      <c r="P20">
        <v>247.95599999999999</v>
      </c>
      <c r="Q20" s="4">
        <f>2/15</f>
        <v>0.13333333333333333</v>
      </c>
      <c r="R20">
        <f>105/15</f>
        <v>7</v>
      </c>
      <c r="S20">
        <f>171.13</f>
        <v>171.13</v>
      </c>
      <c r="T20" s="3">
        <v>-7.0475000000000003</v>
      </c>
      <c r="U20" s="3">
        <v>-0.68232276249999924</v>
      </c>
      <c r="V20">
        <v>8.3866632165404891</v>
      </c>
    </row>
    <row r="21" spans="1:22" x14ac:dyDescent="0.25">
      <c r="A21" t="s">
        <v>34</v>
      </c>
      <c r="B21">
        <v>17.7</v>
      </c>
      <c r="C21">
        <v>0.845059</v>
      </c>
      <c r="D21">
        <v>854</v>
      </c>
      <c r="E21" t="s">
        <v>69</v>
      </c>
      <c r="F21">
        <v>2</v>
      </c>
      <c r="G21">
        <v>423</v>
      </c>
      <c r="H21">
        <v>4.9257200000000001</v>
      </c>
      <c r="I21">
        <v>3.2249699999999999</v>
      </c>
      <c r="J21">
        <v>4.9028299999999998</v>
      </c>
      <c r="K21">
        <v>1357.15</v>
      </c>
      <c r="L21">
        <v>1.76437</v>
      </c>
      <c r="M21">
        <v>224.55500000000001</v>
      </c>
      <c r="N21">
        <v>0</v>
      </c>
      <c r="O21">
        <v>0</v>
      </c>
      <c r="P21">
        <v>115.09</v>
      </c>
      <c r="Q21">
        <f>2/4</f>
        <v>0.5</v>
      </c>
      <c r="R21">
        <f>2</f>
        <v>2</v>
      </c>
      <c r="S21">
        <f>131.07</f>
        <v>131.07</v>
      </c>
      <c r="T21" s="3">
        <v>-6.9162999999999997</v>
      </c>
      <c r="U21" s="3">
        <v>-0.79962276249999942</v>
      </c>
      <c r="V21">
        <v>9.4348302465573379</v>
      </c>
    </row>
    <row r="22" spans="1:22" x14ac:dyDescent="0.25">
      <c r="A22" t="s">
        <v>35</v>
      </c>
      <c r="B22">
        <v>17.7</v>
      </c>
      <c r="C22">
        <v>0.75499400000000005</v>
      </c>
      <c r="D22">
        <v>8654</v>
      </c>
      <c r="E22" t="s">
        <v>69</v>
      </c>
      <c r="F22">
        <v>2</v>
      </c>
      <c r="G22">
        <v>423</v>
      </c>
      <c r="H22">
        <v>5.67049</v>
      </c>
      <c r="I22">
        <v>3.2607699999999999</v>
      </c>
      <c r="J22">
        <v>5.6503699999999997</v>
      </c>
      <c r="K22">
        <v>2704.26</v>
      </c>
      <c r="L22">
        <v>1.7709299999999999</v>
      </c>
      <c r="M22">
        <v>317.048</v>
      </c>
      <c r="N22">
        <v>48.139299999999999</v>
      </c>
      <c r="O22">
        <v>4</v>
      </c>
      <c r="P22">
        <v>159.422</v>
      </c>
      <c r="Q22">
        <f>2/8</f>
        <v>0.25</v>
      </c>
      <c r="R22">
        <f>40/8</f>
        <v>5</v>
      </c>
      <c r="S22">
        <f>95.26</f>
        <v>95.26</v>
      </c>
      <c r="T22" s="3">
        <v>-6.8653000000000004</v>
      </c>
      <c r="U22" s="3">
        <v>-0.86462276249999981</v>
      </c>
      <c r="V22">
        <v>10.015655966515526</v>
      </c>
    </row>
    <row r="23" spans="1:22" x14ac:dyDescent="0.25">
      <c r="A23" s="2" t="s">
        <v>36</v>
      </c>
      <c r="B23">
        <v>17.100000000000001</v>
      </c>
      <c r="C23">
        <v>0.69299999999999995</v>
      </c>
      <c r="D23">
        <v>64</v>
      </c>
      <c r="E23" t="s">
        <v>69</v>
      </c>
      <c r="F23">
        <v>0</v>
      </c>
      <c r="G23">
        <v>423</v>
      </c>
      <c r="H23">
        <v>5.8937799999999996</v>
      </c>
      <c r="I23">
        <v>2.0699999999999998</v>
      </c>
      <c r="J23">
        <v>5.5511100000000004</v>
      </c>
      <c r="K23">
        <v>4915.09</v>
      </c>
      <c r="L23">
        <v>1.8672800000000001</v>
      </c>
      <c r="M23">
        <v>0</v>
      </c>
      <c r="N23">
        <v>664.66899999999998</v>
      </c>
      <c r="O23">
        <v>14</v>
      </c>
      <c r="P23">
        <v>0</v>
      </c>
      <c r="Q23">
        <f>2/11</f>
        <v>0.18181818181818182</v>
      </c>
      <c r="R23">
        <f>73/11</f>
        <v>6.6363636363636367</v>
      </c>
      <c r="S23">
        <v>117.76</v>
      </c>
      <c r="T23" s="3">
        <v>-6.7285000000000004</v>
      </c>
      <c r="U23" s="3">
        <v>-0.71592276249999998</v>
      </c>
      <c r="V23">
        <v>8.6869054348573407</v>
      </c>
    </row>
    <row r="24" spans="1:22" x14ac:dyDescent="0.25">
      <c r="A24" t="s">
        <v>37</v>
      </c>
      <c r="B24">
        <v>17.600000000000001</v>
      </c>
      <c r="C24">
        <v>0.88763499999999995</v>
      </c>
      <c r="D24">
        <v>10865</v>
      </c>
      <c r="E24" t="s">
        <v>69</v>
      </c>
      <c r="F24">
        <v>2</v>
      </c>
      <c r="G24">
        <v>423</v>
      </c>
      <c r="H24">
        <v>5.4230799999999997</v>
      </c>
      <c r="I24">
        <v>4.2892700000000001</v>
      </c>
      <c r="J24">
        <v>5.1424799999999999</v>
      </c>
      <c r="K24">
        <v>2051.2600000000002</v>
      </c>
      <c r="L24">
        <v>1.75101</v>
      </c>
      <c r="M24">
        <v>320.173</v>
      </c>
      <c r="N24">
        <v>0</v>
      </c>
      <c r="O24">
        <v>0</v>
      </c>
      <c r="P24">
        <v>163.78299999999999</v>
      </c>
      <c r="Q24">
        <f>2/5</f>
        <v>0.4</v>
      </c>
      <c r="R24">
        <f>13/5</f>
        <v>2.6</v>
      </c>
      <c r="S24">
        <v>127</v>
      </c>
      <c r="T24" s="3">
        <v>-6.8567999999999998</v>
      </c>
      <c r="U24" s="3">
        <v>-0.5997227624999999</v>
      </c>
      <c r="V24">
        <v>7.6485677631782476</v>
      </c>
    </row>
    <row r="25" spans="1:22" x14ac:dyDescent="0.25">
      <c r="A25" t="s">
        <v>38</v>
      </c>
      <c r="B25">
        <v>17.5</v>
      </c>
      <c r="C25">
        <v>0.778254</v>
      </c>
      <c r="D25">
        <v>10854</v>
      </c>
      <c r="E25" t="s">
        <v>69</v>
      </c>
      <c r="F25">
        <v>2</v>
      </c>
      <c r="G25">
        <v>423</v>
      </c>
      <c r="H25">
        <v>5.2241200000000001</v>
      </c>
      <c r="I25">
        <v>3.2691499999999998</v>
      </c>
      <c r="J25">
        <v>5.2241200000000001</v>
      </c>
      <c r="K25">
        <v>2054.81</v>
      </c>
      <c r="L25">
        <v>1.7479899999999999</v>
      </c>
      <c r="M25">
        <v>348.339</v>
      </c>
      <c r="N25">
        <v>0</v>
      </c>
      <c r="O25">
        <v>0</v>
      </c>
      <c r="P25">
        <v>174.69300000000001</v>
      </c>
      <c r="Q25">
        <f>2/4</f>
        <v>0.5</v>
      </c>
      <c r="R25">
        <f>14/4</f>
        <v>3.5</v>
      </c>
      <c r="S25">
        <f>120.59</f>
        <v>120.59</v>
      </c>
      <c r="T25" s="3">
        <v>-6.8213999999999997</v>
      </c>
      <c r="U25" s="3">
        <v>-0.84672276249999978</v>
      </c>
      <c r="V25">
        <v>9.8557054990193489</v>
      </c>
    </row>
    <row r="26" spans="1:22" x14ac:dyDescent="0.25">
      <c r="A26" s="2" t="s">
        <v>39</v>
      </c>
      <c r="B26">
        <v>15.7</v>
      </c>
      <c r="C26">
        <v>0.71180200000000005</v>
      </c>
      <c r="D26">
        <v>8654</v>
      </c>
      <c r="E26" t="s">
        <v>69</v>
      </c>
      <c r="F26">
        <v>4</v>
      </c>
      <c r="G26">
        <v>423</v>
      </c>
      <c r="H26">
        <v>7.7793900000000002</v>
      </c>
      <c r="I26">
        <v>3.8146499999999999</v>
      </c>
      <c r="J26">
        <v>7.7718999999999996</v>
      </c>
      <c r="K26">
        <v>4071.08</v>
      </c>
      <c r="L26">
        <v>1.5684800000000001</v>
      </c>
      <c r="M26">
        <v>70.724999999999994</v>
      </c>
      <c r="N26">
        <v>0</v>
      </c>
      <c r="O26">
        <v>0</v>
      </c>
      <c r="P26">
        <v>171.09700000000001</v>
      </c>
      <c r="Q26">
        <f>2/5</f>
        <v>0.4</v>
      </c>
      <c r="R26">
        <f>27/5</f>
        <v>5.4</v>
      </c>
      <c r="S26">
        <f>130.71</f>
        <v>130.71</v>
      </c>
      <c r="T26" s="3">
        <v>-7.1807999999999996</v>
      </c>
      <c r="U26" s="3">
        <v>-0.50252276249999994</v>
      </c>
      <c r="V26">
        <v>6.7800099173330866</v>
      </c>
    </row>
    <row r="27" spans="1:22" x14ac:dyDescent="0.25">
      <c r="A27" t="s">
        <v>40</v>
      </c>
      <c r="B27">
        <v>17.399999999999999</v>
      </c>
      <c r="C27">
        <v>0.79954599999999998</v>
      </c>
      <c r="D27">
        <v>109654</v>
      </c>
      <c r="E27" t="s">
        <v>69</v>
      </c>
      <c r="F27">
        <v>1</v>
      </c>
      <c r="G27">
        <v>423</v>
      </c>
      <c r="H27">
        <v>6.29582</v>
      </c>
      <c r="I27">
        <v>4.67509</v>
      </c>
      <c r="J27">
        <v>6.29582</v>
      </c>
      <c r="K27">
        <v>3213.73</v>
      </c>
      <c r="L27">
        <v>1.73855</v>
      </c>
      <c r="M27">
        <v>483.67200000000003</v>
      </c>
      <c r="N27">
        <v>0</v>
      </c>
      <c r="O27">
        <v>0</v>
      </c>
      <c r="P27">
        <v>483.67200000000003</v>
      </c>
      <c r="Q27">
        <f>2/6</f>
        <v>0.33333333333333331</v>
      </c>
      <c r="R27">
        <f>22/6</f>
        <v>3.6666666666666665</v>
      </c>
      <c r="S27">
        <v>133.30000000000001</v>
      </c>
      <c r="T27" s="3">
        <v>-6.6407999999999996</v>
      </c>
      <c r="U27" s="3">
        <v>-0.68132276249999979</v>
      </c>
      <c r="V27">
        <v>8.3777274362334442</v>
      </c>
    </row>
    <row r="28" spans="1:22" x14ac:dyDescent="0.25">
      <c r="A28" t="s">
        <v>41</v>
      </c>
      <c r="B28">
        <v>18.8</v>
      </c>
      <c r="C28">
        <v>0.75333300000000003</v>
      </c>
      <c r="D28">
        <v>864</v>
      </c>
      <c r="E28" t="s">
        <v>69</v>
      </c>
      <c r="F28">
        <v>1</v>
      </c>
      <c r="G28">
        <v>423</v>
      </c>
      <c r="H28">
        <v>3.8559899999999998</v>
      </c>
      <c r="I28">
        <v>3.3238400000000001</v>
      </c>
      <c r="J28">
        <v>3.6350099999999999</v>
      </c>
      <c r="K28">
        <v>319.48399999999998</v>
      </c>
      <c r="L28">
        <v>1.87375</v>
      </c>
      <c r="M28">
        <v>28.316800000000001</v>
      </c>
      <c r="N28">
        <v>0</v>
      </c>
      <c r="O28">
        <v>0</v>
      </c>
      <c r="P28">
        <v>28.316800000000001</v>
      </c>
      <c r="Q28">
        <f>1</f>
        <v>1</v>
      </c>
      <c r="R28">
        <f>2</f>
        <v>2</v>
      </c>
      <c r="S28">
        <f>89.14</f>
        <v>89.14</v>
      </c>
      <c r="T28" s="3">
        <v>-6.8761000000000001</v>
      </c>
      <c r="U28" s="3">
        <v>-0.44452276249999922</v>
      </c>
      <c r="V28">
        <v>6.2617346595242385</v>
      </c>
    </row>
    <row r="29" spans="1:22" x14ac:dyDescent="0.25">
      <c r="A29" t="s">
        <v>42</v>
      </c>
      <c r="B29">
        <v>15</v>
      </c>
      <c r="C29">
        <v>0.57142899999999996</v>
      </c>
      <c r="D29">
        <v>864</v>
      </c>
      <c r="E29" t="s">
        <v>69</v>
      </c>
      <c r="F29">
        <v>1</v>
      </c>
      <c r="G29">
        <v>423</v>
      </c>
      <c r="H29">
        <v>10.157450000000001</v>
      </c>
      <c r="I29">
        <v>3.6386599999999998</v>
      </c>
      <c r="J29">
        <v>10.157439999999999</v>
      </c>
      <c r="K29">
        <v>6412.05</v>
      </c>
      <c r="L29">
        <v>1.49376</v>
      </c>
      <c r="M29">
        <v>1273.98</v>
      </c>
      <c r="N29">
        <v>5.7773700000000003</v>
      </c>
      <c r="O29">
        <v>8</v>
      </c>
      <c r="P29">
        <v>1273.98</v>
      </c>
      <c r="Q29">
        <f>2/5</f>
        <v>0.4</v>
      </c>
      <c r="R29">
        <f>43/5</f>
        <v>8.6</v>
      </c>
      <c r="S29">
        <v>121.13</v>
      </c>
      <c r="T29" s="3">
        <v>-6.4794</v>
      </c>
      <c r="U29" s="3">
        <v>-0.63842276249999941</v>
      </c>
      <c r="V29">
        <v>7.994382461061039</v>
      </c>
    </row>
    <row r="30" spans="1:22" x14ac:dyDescent="0.25">
      <c r="A30" s="2" t="s">
        <v>43</v>
      </c>
      <c r="B30">
        <v>16.899999999999999</v>
      </c>
      <c r="C30">
        <v>0.69333299999999998</v>
      </c>
      <c r="D30">
        <v>64</v>
      </c>
      <c r="E30" t="s">
        <v>69</v>
      </c>
      <c r="F30">
        <v>0</v>
      </c>
      <c r="G30">
        <v>423</v>
      </c>
      <c r="H30">
        <v>5.8639099999999997</v>
      </c>
      <c r="I30">
        <v>2.16031</v>
      </c>
      <c r="J30">
        <v>5.8555799999999998</v>
      </c>
      <c r="K30">
        <v>1423.23</v>
      </c>
      <c r="L30">
        <v>1.90646</v>
      </c>
      <c r="M30">
        <v>0</v>
      </c>
      <c r="N30">
        <v>197.148</v>
      </c>
      <c r="O30">
        <v>4</v>
      </c>
      <c r="P30">
        <v>0</v>
      </c>
      <c r="Q30">
        <f>2/5</f>
        <v>0.4</v>
      </c>
      <c r="R30">
        <f>19/5</f>
        <v>3.8</v>
      </c>
      <c r="S30">
        <f>128.11</f>
        <v>128.11000000000001</v>
      </c>
      <c r="T30" s="3">
        <v>-6.4795999999999996</v>
      </c>
      <c r="U30" s="3">
        <v>-0.38272276249999937</v>
      </c>
      <c r="V30">
        <v>5.7095034365486113</v>
      </c>
    </row>
    <row r="31" spans="1:22" x14ac:dyDescent="0.25">
      <c r="A31" s="2" t="s">
        <v>44</v>
      </c>
      <c r="B31">
        <v>17.8</v>
      </c>
      <c r="C31">
        <v>0.69444399999999995</v>
      </c>
      <c r="D31">
        <v>64</v>
      </c>
      <c r="E31" t="s">
        <v>69</v>
      </c>
      <c r="F31">
        <v>0</v>
      </c>
      <c r="G31">
        <v>423</v>
      </c>
      <c r="H31">
        <v>6.8297400000000001</v>
      </c>
      <c r="I31">
        <v>1.64371</v>
      </c>
      <c r="J31">
        <v>6.8297400000000001</v>
      </c>
      <c r="K31">
        <v>5048.41</v>
      </c>
      <c r="L31">
        <v>1.8734</v>
      </c>
      <c r="M31">
        <v>0</v>
      </c>
      <c r="N31">
        <v>585.92200000000003</v>
      </c>
      <c r="O31">
        <v>12</v>
      </c>
      <c r="P31">
        <v>0</v>
      </c>
      <c r="Q31">
        <f>2/9</f>
        <v>0.22222222222222221</v>
      </c>
      <c r="R31">
        <f>81/9</f>
        <v>9</v>
      </c>
      <c r="S31">
        <f>116.98</f>
        <v>116.98</v>
      </c>
      <c r="T31" s="3">
        <v>-6.9806999999999997</v>
      </c>
      <c r="U31" s="3">
        <v>-0.74402276249999932</v>
      </c>
      <c r="V31">
        <v>8.9380008614854134</v>
      </c>
    </row>
    <row r="32" spans="1:22" x14ac:dyDescent="0.25">
      <c r="A32" s="2" t="s">
        <v>45</v>
      </c>
      <c r="B32">
        <v>20.7</v>
      </c>
      <c r="C32">
        <v>0.94211199999999995</v>
      </c>
      <c r="D32">
        <v>8654</v>
      </c>
      <c r="E32" t="s">
        <v>69</v>
      </c>
      <c r="F32">
        <v>2</v>
      </c>
      <c r="G32">
        <v>423</v>
      </c>
      <c r="H32">
        <v>5.5938400000000001</v>
      </c>
      <c r="I32">
        <v>3.6312500000000001</v>
      </c>
      <c r="J32">
        <v>5.5693299999999999</v>
      </c>
      <c r="K32">
        <v>2121.4499999999998</v>
      </c>
      <c r="L32">
        <v>2.0693199999999998</v>
      </c>
      <c r="M32">
        <v>184.471</v>
      </c>
      <c r="N32">
        <v>0</v>
      </c>
      <c r="O32">
        <v>0</v>
      </c>
      <c r="P32">
        <v>93.650700000000001</v>
      </c>
      <c r="Q32">
        <f>2/6</f>
        <v>0.33333333333333331</v>
      </c>
      <c r="R32">
        <f>16/6</f>
        <v>2.6666666666666665</v>
      </c>
      <c r="S32">
        <f>126.18</f>
        <v>126.18</v>
      </c>
      <c r="T32">
        <v>-7.2927999999999997</v>
      </c>
      <c r="U32">
        <v>-0.48702276249999965</v>
      </c>
      <c r="V32">
        <v>6.6415053225738241</v>
      </c>
    </row>
    <row r="33" spans="1:22" x14ac:dyDescent="0.25">
      <c r="A33" t="s">
        <v>46</v>
      </c>
      <c r="B33">
        <v>18.2</v>
      </c>
      <c r="C33">
        <v>0.88318099999999999</v>
      </c>
      <c r="D33">
        <v>1065</v>
      </c>
      <c r="E33" t="s">
        <v>69</v>
      </c>
      <c r="F33">
        <v>2</v>
      </c>
      <c r="G33">
        <v>423</v>
      </c>
      <c r="H33">
        <v>5.54495</v>
      </c>
      <c r="I33">
        <v>4.5581500000000004</v>
      </c>
      <c r="J33">
        <v>5.48367</v>
      </c>
      <c r="K33">
        <v>1318.21</v>
      </c>
      <c r="L33">
        <v>1.8165</v>
      </c>
      <c r="M33">
        <v>138.309</v>
      </c>
      <c r="N33">
        <v>0</v>
      </c>
      <c r="O33">
        <v>0</v>
      </c>
      <c r="P33">
        <v>70.697999999999993</v>
      </c>
      <c r="Q33">
        <f>2/5</f>
        <v>0.4</v>
      </c>
      <c r="R33">
        <f>19/5</f>
        <v>3.8</v>
      </c>
      <c r="S33">
        <f>107.71</f>
        <v>107.71</v>
      </c>
      <c r="T33">
        <v>-6.6996000000000002</v>
      </c>
      <c r="U33">
        <v>-0.63412276249999966</v>
      </c>
      <c r="V33">
        <v>7.9559586057407312</v>
      </c>
    </row>
    <row r="34" spans="1:22" x14ac:dyDescent="0.25">
      <c r="A34" t="s">
        <v>47</v>
      </c>
      <c r="B34">
        <v>15.9</v>
      </c>
      <c r="C34">
        <v>0.75212699999999999</v>
      </c>
      <c r="D34">
        <v>10654</v>
      </c>
      <c r="E34" t="s">
        <v>69</v>
      </c>
      <c r="F34">
        <v>2</v>
      </c>
      <c r="G34">
        <v>423</v>
      </c>
      <c r="H34">
        <v>9.2879100000000001</v>
      </c>
      <c r="I34">
        <v>4.1715</v>
      </c>
      <c r="J34">
        <v>5.7279400000000003</v>
      </c>
      <c r="K34">
        <v>4518.75</v>
      </c>
      <c r="L34">
        <v>2.0843600000000002</v>
      </c>
      <c r="M34">
        <v>766.20299999999997</v>
      </c>
      <c r="N34">
        <v>0.82108700000000001</v>
      </c>
      <c r="O34">
        <v>1</v>
      </c>
      <c r="P34">
        <v>518.78899999999999</v>
      </c>
      <c r="Q34">
        <f>2/7</f>
        <v>0.2857142857142857</v>
      </c>
      <c r="R34">
        <f>65/7</f>
        <v>9.2857142857142865</v>
      </c>
      <c r="S34">
        <f>150.85</f>
        <v>150.85</v>
      </c>
      <c r="T34">
        <v>-7.351</v>
      </c>
      <c r="U34">
        <v>-0.13472276250000004</v>
      </c>
      <c r="V34">
        <v>3.4934299204004668</v>
      </c>
    </row>
    <row r="35" spans="1:22" x14ac:dyDescent="0.25">
      <c r="A35" t="s">
        <v>48</v>
      </c>
      <c r="B35">
        <v>16.2</v>
      </c>
      <c r="C35">
        <v>0.74074099999999998</v>
      </c>
      <c r="D35">
        <v>984</v>
      </c>
      <c r="E35" t="s">
        <v>69</v>
      </c>
      <c r="F35">
        <v>1</v>
      </c>
      <c r="G35">
        <v>423</v>
      </c>
      <c r="H35">
        <v>3.94936</v>
      </c>
      <c r="I35">
        <v>3.84735</v>
      </c>
      <c r="J35">
        <v>3.9470700000000001</v>
      </c>
      <c r="K35">
        <v>1231.5</v>
      </c>
      <c r="L35">
        <v>1.62033</v>
      </c>
      <c r="M35">
        <v>264.05700000000002</v>
      </c>
      <c r="N35">
        <v>0</v>
      </c>
      <c r="O35">
        <v>0</v>
      </c>
      <c r="P35">
        <v>264.05700000000002</v>
      </c>
      <c r="Q35">
        <f>2/5</f>
        <v>0.4</v>
      </c>
      <c r="R35">
        <v>1</v>
      </c>
      <c r="S35">
        <f>143.76</f>
        <v>143.76</v>
      </c>
      <c r="T35">
        <v>-7.1441999999999997</v>
      </c>
      <c r="U35">
        <v>-0.63742276249999996</v>
      </c>
      <c r="V35">
        <v>7.9854466807539959</v>
      </c>
    </row>
    <row r="36" spans="1:22" x14ac:dyDescent="0.25">
      <c r="A36" t="s">
        <v>49</v>
      </c>
      <c r="B36">
        <v>16.399999999999999</v>
      </c>
      <c r="C36">
        <v>0.81868799999999997</v>
      </c>
      <c r="D36">
        <v>10654</v>
      </c>
      <c r="E36" t="s">
        <v>69</v>
      </c>
      <c r="F36">
        <v>2</v>
      </c>
      <c r="G36">
        <v>423</v>
      </c>
      <c r="H36">
        <v>6.1723800000000004</v>
      </c>
      <c r="I36">
        <v>4.6610100000000001</v>
      </c>
      <c r="J36">
        <v>6.1694800000000001</v>
      </c>
      <c r="K36">
        <v>8271.14</v>
      </c>
      <c r="L36">
        <v>1.64052</v>
      </c>
      <c r="M36">
        <v>1239.01</v>
      </c>
      <c r="N36">
        <v>0.34211900000000001</v>
      </c>
      <c r="O36">
        <v>8</v>
      </c>
      <c r="P36">
        <v>626.31500000000005</v>
      </c>
      <c r="Q36">
        <f>2/6</f>
        <v>0.33333333333333331</v>
      </c>
      <c r="R36">
        <f>28/6</f>
        <v>4.666666666666667</v>
      </c>
      <c r="S36">
        <f>128</f>
        <v>128</v>
      </c>
      <c r="T36">
        <v>-7.6260000000000003</v>
      </c>
      <c r="U36">
        <v>-0.66012276249999946</v>
      </c>
      <c r="V36">
        <v>8.1882888937240033</v>
      </c>
    </row>
    <row r="37" spans="1:22" x14ac:dyDescent="0.25">
      <c r="A37" s="2" t="s">
        <v>50</v>
      </c>
      <c r="B37">
        <v>17.600000000000001</v>
      </c>
      <c r="C37">
        <v>0.91531899999999999</v>
      </c>
      <c r="D37">
        <v>654</v>
      </c>
      <c r="E37" t="s">
        <v>69</v>
      </c>
      <c r="F37">
        <v>0</v>
      </c>
      <c r="G37">
        <v>423</v>
      </c>
      <c r="H37">
        <v>6.1003100000000003</v>
      </c>
      <c r="I37">
        <v>1.84836</v>
      </c>
      <c r="J37">
        <v>6.1003100000000003</v>
      </c>
      <c r="K37">
        <v>4987.72</v>
      </c>
      <c r="L37">
        <v>1.76031</v>
      </c>
      <c r="M37">
        <v>0</v>
      </c>
      <c r="N37">
        <v>508.15600000000001</v>
      </c>
      <c r="O37">
        <v>20</v>
      </c>
      <c r="P37">
        <v>0</v>
      </c>
      <c r="Q37">
        <f>2/5</f>
        <v>0.4</v>
      </c>
      <c r="R37">
        <f>17/5</f>
        <v>3.4</v>
      </c>
      <c r="S37">
        <v>125</v>
      </c>
      <c r="T37">
        <v>-7.0084</v>
      </c>
      <c r="U37">
        <v>-0.56232276250000002</v>
      </c>
      <c r="V37">
        <v>7.314369579694616</v>
      </c>
    </row>
    <row r="38" spans="1:22" x14ac:dyDescent="0.25">
      <c r="A38" t="s">
        <v>51</v>
      </c>
      <c r="B38">
        <v>17.100000000000001</v>
      </c>
      <c r="C38">
        <v>0.68571400000000005</v>
      </c>
      <c r="D38">
        <v>864</v>
      </c>
      <c r="E38" t="s">
        <v>69</v>
      </c>
      <c r="F38">
        <v>2</v>
      </c>
      <c r="G38">
        <v>423</v>
      </c>
      <c r="H38">
        <v>5.2152399999999997</v>
      </c>
      <c r="I38">
        <v>3.3854299999999999</v>
      </c>
      <c r="J38">
        <v>5.1834199999999999</v>
      </c>
      <c r="K38">
        <v>934.04100000000005</v>
      </c>
      <c r="L38">
        <v>1.7090799999999999</v>
      </c>
      <c r="M38">
        <v>168.78800000000001</v>
      </c>
      <c r="N38">
        <v>0</v>
      </c>
      <c r="O38">
        <v>0</v>
      </c>
      <c r="P38">
        <v>168.78800000000001</v>
      </c>
      <c r="Q38">
        <f>2/5</f>
        <v>0.4</v>
      </c>
      <c r="R38">
        <f>11/5</f>
        <v>2.2000000000000002</v>
      </c>
      <c r="S38">
        <f>117.42</f>
        <v>117.42</v>
      </c>
      <c r="T38">
        <v>-7.0708000000000002</v>
      </c>
      <c r="U38">
        <v>-0.86582276249999968</v>
      </c>
      <c r="V38">
        <v>10.026378902883984</v>
      </c>
    </row>
    <row r="39" spans="1:22" x14ac:dyDescent="0.25">
      <c r="A39" t="s">
        <v>52</v>
      </c>
      <c r="B39">
        <v>16.399999999999999</v>
      </c>
      <c r="C39">
        <v>0.63555600000000001</v>
      </c>
      <c r="D39">
        <v>84</v>
      </c>
      <c r="E39" t="s">
        <v>69</v>
      </c>
      <c r="F39">
        <v>3</v>
      </c>
      <c r="G39">
        <v>423</v>
      </c>
      <c r="H39">
        <v>5.00169</v>
      </c>
      <c r="I39">
        <v>3.2511000000000001</v>
      </c>
      <c r="J39">
        <v>5.00169</v>
      </c>
      <c r="K39">
        <v>1953.7</v>
      </c>
      <c r="L39">
        <v>1.63418</v>
      </c>
      <c r="M39">
        <v>409.84</v>
      </c>
      <c r="N39">
        <v>0</v>
      </c>
      <c r="O39">
        <v>0</v>
      </c>
      <c r="P39">
        <v>409.84</v>
      </c>
      <c r="Q39">
        <f>2/4</f>
        <v>0.5</v>
      </c>
      <c r="R39">
        <f>3</f>
        <v>3</v>
      </c>
      <c r="S39">
        <f>129.48</f>
        <v>129.47999999999999</v>
      </c>
      <c r="T39">
        <v>-7.5114000000000001</v>
      </c>
      <c r="U39">
        <v>-0.70682276249999987</v>
      </c>
      <c r="V39">
        <v>8.6055898340631938</v>
      </c>
    </row>
    <row r="40" spans="1:22" x14ac:dyDescent="0.25">
      <c r="A40" t="s">
        <v>53</v>
      </c>
      <c r="B40">
        <v>17.899999999999999</v>
      </c>
      <c r="C40">
        <v>0.80148799999999998</v>
      </c>
      <c r="D40">
        <v>10854</v>
      </c>
      <c r="E40" t="s">
        <v>69</v>
      </c>
      <c r="F40">
        <v>2</v>
      </c>
      <c r="G40">
        <v>423</v>
      </c>
      <c r="H40">
        <v>3.8686799999999999</v>
      </c>
      <c r="I40">
        <v>3.5227900000000001</v>
      </c>
      <c r="J40">
        <v>3.8686799999999999</v>
      </c>
      <c r="K40">
        <v>1007.7</v>
      </c>
      <c r="L40">
        <v>1.78217</v>
      </c>
      <c r="M40">
        <v>170.34</v>
      </c>
      <c r="N40">
        <v>0</v>
      </c>
      <c r="O40">
        <v>0</v>
      </c>
      <c r="P40">
        <v>170.34</v>
      </c>
      <c r="Q40">
        <f>2/5</f>
        <v>0.4</v>
      </c>
      <c r="R40">
        <f>13/5</f>
        <v>2.6</v>
      </c>
      <c r="S40">
        <f>131.21</f>
        <v>131.21</v>
      </c>
      <c r="T40">
        <v>-6.5593000000000004</v>
      </c>
      <c r="U40">
        <v>-0.92942276249999978</v>
      </c>
      <c r="V40">
        <v>10.594694530412301</v>
      </c>
    </row>
    <row r="41" spans="1:22" x14ac:dyDescent="0.25">
      <c r="A41" t="s">
        <v>54</v>
      </c>
      <c r="B41">
        <v>17.2</v>
      </c>
      <c r="C41">
        <v>0.71587299999999998</v>
      </c>
      <c r="D41">
        <v>8654</v>
      </c>
      <c r="E41" t="s">
        <v>69</v>
      </c>
      <c r="F41">
        <v>1</v>
      </c>
      <c r="G41">
        <v>423</v>
      </c>
      <c r="H41">
        <v>6.4241900000000003</v>
      </c>
      <c r="I41">
        <v>3.5798100000000002</v>
      </c>
      <c r="J41">
        <v>6.3582700000000001</v>
      </c>
      <c r="K41">
        <v>1398.58</v>
      </c>
      <c r="L41">
        <v>1.71211</v>
      </c>
      <c r="M41">
        <v>202.26599999999999</v>
      </c>
      <c r="N41">
        <v>1.26922</v>
      </c>
      <c r="O41">
        <v>2</v>
      </c>
      <c r="P41">
        <v>101.461</v>
      </c>
      <c r="Q41">
        <f>2/6</f>
        <v>0.33333333333333331</v>
      </c>
      <c r="R41">
        <f>1</f>
        <v>1</v>
      </c>
      <c r="S41">
        <f>69.6</f>
        <v>69.599999999999994</v>
      </c>
      <c r="T41">
        <v>-5.6454000000000004</v>
      </c>
      <c r="U41">
        <v>-0.90742276249999954</v>
      </c>
      <c r="V41">
        <v>10.398107363657221</v>
      </c>
    </row>
    <row r="42" spans="1:22" x14ac:dyDescent="0.25">
      <c r="A42" t="s">
        <v>55</v>
      </c>
      <c r="B42">
        <v>16.100000000000001</v>
      </c>
      <c r="C42">
        <v>0.69575699999999996</v>
      </c>
      <c r="D42">
        <v>8654</v>
      </c>
      <c r="E42" t="s">
        <v>69</v>
      </c>
      <c r="F42">
        <v>2</v>
      </c>
      <c r="G42">
        <v>423</v>
      </c>
      <c r="H42">
        <v>7.63706</v>
      </c>
      <c r="I42">
        <v>3.73943</v>
      </c>
      <c r="J42">
        <v>7.6347699999999996</v>
      </c>
      <c r="K42">
        <v>1988.84</v>
      </c>
      <c r="L42">
        <v>1.60531</v>
      </c>
      <c r="M42">
        <v>330.733</v>
      </c>
      <c r="N42">
        <v>0</v>
      </c>
      <c r="O42">
        <v>0</v>
      </c>
      <c r="P42">
        <v>165.86</v>
      </c>
      <c r="Q42">
        <f>2/4</f>
        <v>0.5</v>
      </c>
      <c r="R42">
        <f>3</f>
        <v>3</v>
      </c>
      <c r="S42">
        <f>118.94</f>
        <v>118.94</v>
      </c>
      <c r="T42">
        <v>-7.1593999999999998</v>
      </c>
      <c r="U42">
        <v>-0.76802276249999935</v>
      </c>
      <c r="V42">
        <v>9.1524595888545885</v>
      </c>
    </row>
    <row r="43" spans="1:22" x14ac:dyDescent="0.25">
      <c r="A43" t="s">
        <v>56</v>
      </c>
      <c r="B43">
        <v>14.9</v>
      </c>
      <c r="C43">
        <v>0.58666700000000005</v>
      </c>
      <c r="D43">
        <v>864</v>
      </c>
      <c r="E43" t="s">
        <v>69</v>
      </c>
      <c r="F43">
        <v>1</v>
      </c>
      <c r="G43">
        <v>423</v>
      </c>
      <c r="H43">
        <v>8.5476600000000005</v>
      </c>
      <c r="I43">
        <v>3.8186200000000001</v>
      </c>
      <c r="J43">
        <v>8.5472800000000007</v>
      </c>
      <c r="K43">
        <v>2140.88</v>
      </c>
      <c r="L43">
        <v>1.4913000000000001</v>
      </c>
      <c r="M43">
        <v>353.10300000000001</v>
      </c>
      <c r="N43">
        <v>1.07806</v>
      </c>
      <c r="O43">
        <v>4</v>
      </c>
      <c r="P43">
        <v>180.39500000000001</v>
      </c>
      <c r="Q43">
        <f>1/2</f>
        <v>0.5</v>
      </c>
      <c r="R43">
        <f>3</f>
        <v>3</v>
      </c>
      <c r="S43">
        <f>101.35</f>
        <v>101.35</v>
      </c>
      <c r="T43">
        <v>-6.5107999999999997</v>
      </c>
      <c r="U43">
        <v>-0.59793276249999927</v>
      </c>
      <c r="V43">
        <v>7.6325727164286246</v>
      </c>
    </row>
    <row r="44" spans="1:22" x14ac:dyDescent="0.25">
      <c r="A44" t="s">
        <v>57</v>
      </c>
      <c r="B44">
        <v>14.6</v>
      </c>
      <c r="C44">
        <v>0.58730199999999999</v>
      </c>
      <c r="D44">
        <v>864</v>
      </c>
      <c r="E44" t="s">
        <v>69</v>
      </c>
      <c r="F44">
        <v>3</v>
      </c>
      <c r="G44">
        <v>423</v>
      </c>
      <c r="H44">
        <v>8.2825100000000003</v>
      </c>
      <c r="I44">
        <v>3.70255</v>
      </c>
      <c r="J44">
        <v>8.22227</v>
      </c>
      <c r="K44">
        <v>3284.85</v>
      </c>
      <c r="L44">
        <v>1.4579200000000001</v>
      </c>
      <c r="M44">
        <v>663.61900000000003</v>
      </c>
      <c r="N44">
        <v>2.2386599999999999</v>
      </c>
      <c r="O44">
        <v>4</v>
      </c>
      <c r="P44">
        <v>63.619</v>
      </c>
      <c r="Q44">
        <f>0.5</f>
        <v>0.5</v>
      </c>
      <c r="R44">
        <v>11</v>
      </c>
      <c r="S44">
        <f>108.82</f>
        <v>108.82</v>
      </c>
      <c r="T44">
        <v>-6.9645999999999999</v>
      </c>
      <c r="U44">
        <v>-0.79432276249999934</v>
      </c>
      <c r="V44">
        <v>9.3874706109299773</v>
      </c>
    </row>
    <row r="45" spans="1:22" x14ac:dyDescent="0.25">
      <c r="A45" t="s">
        <v>58</v>
      </c>
      <c r="B45">
        <v>17.8</v>
      </c>
      <c r="C45">
        <v>0.765073</v>
      </c>
      <c r="D45">
        <v>10654</v>
      </c>
      <c r="E45" t="s">
        <v>69</v>
      </c>
      <c r="F45">
        <v>1</v>
      </c>
      <c r="G45">
        <v>423</v>
      </c>
      <c r="H45">
        <v>7.09171</v>
      </c>
      <c r="I45">
        <v>4.9381000000000004</v>
      </c>
      <c r="J45">
        <v>7.0383300000000002</v>
      </c>
      <c r="K45">
        <v>1793.15</v>
      </c>
      <c r="L45">
        <v>1.7805</v>
      </c>
      <c r="M45">
        <v>255.57599999999999</v>
      </c>
      <c r="N45">
        <v>0</v>
      </c>
      <c r="O45">
        <v>0</v>
      </c>
      <c r="P45">
        <v>126.428</v>
      </c>
      <c r="Q45">
        <f>0.5</f>
        <v>0.5</v>
      </c>
      <c r="R45">
        <f>7</f>
        <v>7</v>
      </c>
      <c r="S45">
        <f>125.45</f>
        <v>125.45</v>
      </c>
      <c r="T45">
        <v>-7.3764000000000003</v>
      </c>
      <c r="U45">
        <v>-0.58900276249999983</v>
      </c>
      <c r="V45">
        <v>7.5527761982866819</v>
      </c>
    </row>
    <row r="46" spans="1:22" x14ac:dyDescent="0.25">
      <c r="A46" t="s">
        <v>59</v>
      </c>
      <c r="B46">
        <v>17.5</v>
      </c>
      <c r="C46">
        <v>0.86290100000000003</v>
      </c>
      <c r="D46">
        <v>654</v>
      </c>
      <c r="E46" t="s">
        <v>69</v>
      </c>
      <c r="F46">
        <v>0</v>
      </c>
      <c r="G46">
        <v>423</v>
      </c>
      <c r="H46">
        <v>7.1992399999999996</v>
      </c>
      <c r="I46">
        <v>1.67401</v>
      </c>
      <c r="J46">
        <v>7.1140100000000004</v>
      </c>
      <c r="K46">
        <v>3666.23</v>
      </c>
      <c r="L46">
        <v>1.7416799999999999</v>
      </c>
      <c r="M46">
        <v>456.67200000000003</v>
      </c>
      <c r="O46">
        <v>0</v>
      </c>
      <c r="P46">
        <v>0</v>
      </c>
      <c r="Q46">
        <f>2/5</f>
        <v>0.4</v>
      </c>
      <c r="R46">
        <f>27/5</f>
        <v>5.4</v>
      </c>
      <c r="S46">
        <f>127.23</f>
        <v>127.23</v>
      </c>
      <c r="T46">
        <v>-7.0346000000000002</v>
      </c>
      <c r="U46">
        <v>-0.60432276249999983</v>
      </c>
      <c r="V46">
        <v>7.6896723525906729</v>
      </c>
    </row>
    <row r="47" spans="1:22" x14ac:dyDescent="0.25">
      <c r="A47" t="s">
        <v>60</v>
      </c>
      <c r="B47">
        <v>16.399999999999999</v>
      </c>
      <c r="C47">
        <v>0.63600000000000001</v>
      </c>
      <c r="D47">
        <v>84</v>
      </c>
      <c r="E47" t="s">
        <v>69</v>
      </c>
      <c r="F47">
        <v>3</v>
      </c>
      <c r="G47">
        <v>423</v>
      </c>
      <c r="H47">
        <v>4.9832799999999997</v>
      </c>
      <c r="I47">
        <v>3.29366</v>
      </c>
      <c r="J47">
        <v>4.6207399999999996</v>
      </c>
      <c r="K47">
        <v>3910.74</v>
      </c>
      <c r="L47">
        <v>1.63279</v>
      </c>
      <c r="M47">
        <v>823.12400000000002</v>
      </c>
      <c r="N47">
        <v>0</v>
      </c>
      <c r="O47">
        <v>0</v>
      </c>
      <c r="P47">
        <v>823.12400000000002</v>
      </c>
      <c r="Q47">
        <f>2/3</f>
        <v>0.66666666666666663</v>
      </c>
      <c r="R47">
        <f>29/3</f>
        <v>9.6666666666666661</v>
      </c>
      <c r="S47">
        <f>118.96</f>
        <v>118.96</v>
      </c>
      <c r="T47">
        <v>-7.0491999999999999</v>
      </c>
      <c r="U47">
        <v>-0.89822276249999966</v>
      </c>
      <c r="V47">
        <v>10.315898184832371</v>
      </c>
    </row>
    <row r="48" spans="1:22" x14ac:dyDescent="0.25">
      <c r="A48" t="s">
        <v>61</v>
      </c>
      <c r="B48">
        <v>16.7</v>
      </c>
      <c r="C48">
        <v>0.66666700000000001</v>
      </c>
      <c r="D48">
        <v>64</v>
      </c>
      <c r="E48" t="s">
        <v>69</v>
      </c>
      <c r="F48">
        <v>0</v>
      </c>
      <c r="G48">
        <v>423</v>
      </c>
      <c r="H48">
        <v>5.8204500000000001</v>
      </c>
      <c r="I48">
        <v>2.1322399999999999</v>
      </c>
      <c r="J48">
        <v>5.80124</v>
      </c>
      <c r="K48">
        <v>720.52800000000002</v>
      </c>
      <c r="L48">
        <v>1.6616500000000001</v>
      </c>
      <c r="M48">
        <v>0</v>
      </c>
      <c r="N48">
        <v>101.42</v>
      </c>
      <c r="O48">
        <v>0</v>
      </c>
      <c r="P48">
        <v>0</v>
      </c>
      <c r="Q48">
        <f>1</f>
        <v>1</v>
      </c>
      <c r="R48">
        <f>2</f>
        <v>2</v>
      </c>
      <c r="S48">
        <f>142.94</f>
        <v>142.94</v>
      </c>
      <c r="T48">
        <v>-7.0251000000000001</v>
      </c>
      <c r="U48">
        <v>-0.5449727624999996</v>
      </c>
      <c r="V48">
        <v>7.1593337913673123</v>
      </c>
    </row>
    <row r="49" spans="1:22" x14ac:dyDescent="0.25">
      <c r="A49" t="s">
        <v>62</v>
      </c>
      <c r="B49">
        <v>16.7</v>
      </c>
      <c r="C49">
        <v>0.72034200000000004</v>
      </c>
      <c r="D49">
        <v>108654</v>
      </c>
      <c r="E49" t="s">
        <v>69</v>
      </c>
      <c r="F49">
        <v>2</v>
      </c>
      <c r="G49">
        <v>423</v>
      </c>
      <c r="H49">
        <v>5.8226599999999999</v>
      </c>
      <c r="I49">
        <v>4.5418500000000002</v>
      </c>
      <c r="J49">
        <v>5.8172600000000001</v>
      </c>
      <c r="K49">
        <v>4312.59</v>
      </c>
      <c r="L49">
        <v>1.6657200000000001</v>
      </c>
      <c r="M49">
        <v>759.52700000000004</v>
      </c>
      <c r="N49">
        <v>0</v>
      </c>
      <c r="O49">
        <v>0</v>
      </c>
      <c r="P49">
        <v>384.68599999999998</v>
      </c>
      <c r="Q49">
        <f>2/5</f>
        <v>0.4</v>
      </c>
      <c r="R49">
        <f>14/5</f>
        <v>2.8</v>
      </c>
      <c r="S49">
        <f>153.49</f>
        <v>153.49</v>
      </c>
      <c r="T49">
        <v>-6.2977999999999996</v>
      </c>
      <c r="U49">
        <v>-0.71472276249999922</v>
      </c>
      <c r="V49">
        <v>8.6761824984888758</v>
      </c>
    </row>
    <row r="50" spans="1:22" x14ac:dyDescent="0.25">
      <c r="A50" t="s">
        <v>63</v>
      </c>
      <c r="B50">
        <v>17.600000000000001</v>
      </c>
      <c r="C50">
        <v>0.78</v>
      </c>
      <c r="D50">
        <v>108654</v>
      </c>
      <c r="E50" t="s">
        <v>69</v>
      </c>
      <c r="F50">
        <v>3</v>
      </c>
      <c r="G50">
        <v>423</v>
      </c>
      <c r="H50">
        <v>5.5936199999999996</v>
      </c>
      <c r="I50">
        <v>4.2916299999999996</v>
      </c>
      <c r="J50">
        <v>5.5935199999999998</v>
      </c>
      <c r="K50">
        <v>2041.91</v>
      </c>
      <c r="L50">
        <v>1.7590399999999999</v>
      </c>
      <c r="M50">
        <v>277.166</v>
      </c>
      <c r="N50">
        <v>4.2056399999999998</v>
      </c>
      <c r="O50">
        <v>2</v>
      </c>
      <c r="P50">
        <v>277.166</v>
      </c>
      <c r="Q50">
        <f>2/5</f>
        <v>0.4</v>
      </c>
      <c r="R50">
        <f>13/5</f>
        <v>2.6</v>
      </c>
      <c r="S50">
        <f>137.77</f>
        <v>137.77000000000001</v>
      </c>
      <c r="T50">
        <v>-7.2812999999999999</v>
      </c>
      <c r="U50">
        <v>-0.57496276249999934</v>
      </c>
      <c r="V50">
        <v>7.4273178427757101</v>
      </c>
    </row>
    <row r="51" spans="1:22" x14ac:dyDescent="0.25">
      <c r="A51" t="s">
        <v>64</v>
      </c>
      <c r="B51">
        <v>17</v>
      </c>
      <c r="C51">
        <v>0.73931599999999997</v>
      </c>
      <c r="D51">
        <v>10654</v>
      </c>
      <c r="E51" t="s">
        <v>69</v>
      </c>
      <c r="F51">
        <v>2</v>
      </c>
      <c r="G51">
        <v>423</v>
      </c>
      <c r="H51">
        <v>6.1822100000000004</v>
      </c>
      <c r="I51">
        <v>4.6905400000000004</v>
      </c>
      <c r="J51">
        <v>6.1789399999999999</v>
      </c>
      <c r="K51">
        <v>4694.05</v>
      </c>
      <c r="L51">
        <v>1.7003999999999999</v>
      </c>
      <c r="M51">
        <v>732.68600000000004</v>
      </c>
      <c r="N51">
        <v>0</v>
      </c>
      <c r="O51">
        <v>0</v>
      </c>
      <c r="P51">
        <v>69.822999999999993</v>
      </c>
      <c r="Q51">
        <f>2/5</f>
        <v>0.4</v>
      </c>
      <c r="R51">
        <f>7</f>
        <v>7</v>
      </c>
      <c r="S51">
        <f>122</f>
        <v>122</v>
      </c>
      <c r="T51">
        <v>-7.1955</v>
      </c>
      <c r="U51">
        <v>-0.51362276249999983</v>
      </c>
      <c r="V51">
        <v>6.8791970787413286</v>
      </c>
    </row>
    <row r="52" spans="1:22" x14ac:dyDescent="0.25">
      <c r="A52" t="s">
        <v>65</v>
      </c>
      <c r="B52">
        <v>17.5</v>
      </c>
      <c r="C52">
        <v>0.70884400000000003</v>
      </c>
      <c r="D52">
        <v>864</v>
      </c>
      <c r="E52" t="s">
        <v>69</v>
      </c>
      <c r="F52">
        <v>2</v>
      </c>
      <c r="G52">
        <v>423</v>
      </c>
      <c r="H52">
        <v>5.1176599999999999</v>
      </c>
      <c r="I52">
        <v>3.3637100000000002</v>
      </c>
      <c r="J52">
        <v>5.1176599999999999</v>
      </c>
      <c r="K52">
        <v>2749.03</v>
      </c>
      <c r="L52">
        <v>1.7420899999999999</v>
      </c>
      <c r="M52">
        <v>392.00299999999999</v>
      </c>
      <c r="N52">
        <v>0</v>
      </c>
      <c r="O52">
        <v>0</v>
      </c>
      <c r="P52">
        <v>199.00299999999999</v>
      </c>
      <c r="Q52">
        <f>0.5</f>
        <v>0.5</v>
      </c>
      <c r="R52">
        <f>2</f>
        <v>2</v>
      </c>
      <c r="S52">
        <f>117.14</f>
        <v>117.14</v>
      </c>
      <c r="T52">
        <v>-6.8353000000000002</v>
      </c>
      <c r="U52">
        <v>-0.65632276249999943</v>
      </c>
      <c r="V52">
        <v>8.154332928557217</v>
      </c>
    </row>
    <row r="53" spans="1:22" x14ac:dyDescent="0.25">
      <c r="A53" s="2" t="s">
        <v>66</v>
      </c>
      <c r="B53">
        <v>15.2</v>
      </c>
      <c r="C53">
        <v>0.64131700000000003</v>
      </c>
      <c r="D53">
        <v>864</v>
      </c>
      <c r="E53" t="s">
        <v>69</v>
      </c>
      <c r="F53">
        <v>2</v>
      </c>
      <c r="G53">
        <v>423</v>
      </c>
      <c r="H53">
        <v>9.6900399999999998</v>
      </c>
      <c r="I53">
        <v>3.4945300000000001</v>
      </c>
      <c r="J53">
        <v>9.6900399999999998</v>
      </c>
      <c r="K53">
        <v>4209.9399999999996</v>
      </c>
      <c r="L53">
        <v>1.51674</v>
      </c>
      <c r="M53">
        <v>737.19500000000005</v>
      </c>
      <c r="N53">
        <v>0</v>
      </c>
      <c r="O53">
        <v>0</v>
      </c>
      <c r="P53">
        <v>370.83199999999999</v>
      </c>
      <c r="Q53">
        <f>2/5</f>
        <v>0.4</v>
      </c>
      <c r="R53">
        <f>27/5</f>
        <v>5.4</v>
      </c>
      <c r="S53">
        <f>124.48</f>
        <v>124.48</v>
      </c>
      <c r="T53">
        <v>-5.8875999999999999</v>
      </c>
      <c r="U53">
        <v>-0.89172276249999971</v>
      </c>
      <c r="V53">
        <v>10.257815612836552</v>
      </c>
    </row>
    <row r="54" spans="1:22" x14ac:dyDescent="0.25">
      <c r="A54" t="s">
        <v>67</v>
      </c>
      <c r="B54">
        <v>17.600000000000001</v>
      </c>
      <c r="C54">
        <v>0.89660300000000004</v>
      </c>
      <c r="D54">
        <v>8543</v>
      </c>
      <c r="E54" t="s">
        <v>69</v>
      </c>
      <c r="F54">
        <v>3</v>
      </c>
      <c r="G54">
        <v>423</v>
      </c>
      <c r="H54">
        <v>4.4038399999999998</v>
      </c>
      <c r="I54">
        <v>2.6094200000000001</v>
      </c>
      <c r="J54">
        <v>4.4038399999999998</v>
      </c>
      <c r="K54">
        <v>3415.47</v>
      </c>
      <c r="L54">
        <v>1.75271</v>
      </c>
      <c r="M54">
        <v>447.72300000000001</v>
      </c>
      <c r="N54">
        <v>60.9422</v>
      </c>
      <c r="O54">
        <v>4</v>
      </c>
      <c r="P54">
        <v>224.68600000000001</v>
      </c>
      <c r="Q54">
        <f>1/3</f>
        <v>0.33333333333333331</v>
      </c>
      <c r="R54">
        <f>54/6</f>
        <v>9</v>
      </c>
      <c r="S54">
        <f>177.69</f>
        <v>177.69</v>
      </c>
      <c r="T54">
        <v>-7.1795999999999998</v>
      </c>
      <c r="U54">
        <v>-0.79472276249999929</v>
      </c>
      <c r="V54">
        <v>9.3910449230527959</v>
      </c>
    </row>
    <row r="55" spans="1:22" x14ac:dyDescent="0.25">
      <c r="A55" t="s">
        <v>68</v>
      </c>
      <c r="B55">
        <v>16.399999999999999</v>
      </c>
      <c r="C55">
        <v>0.62222200000000005</v>
      </c>
      <c r="D55">
        <v>84</v>
      </c>
      <c r="E55" t="s">
        <v>69</v>
      </c>
      <c r="F55">
        <v>3</v>
      </c>
      <c r="G55">
        <v>423</v>
      </c>
      <c r="H55">
        <v>6.2477299999999998</v>
      </c>
      <c r="I55">
        <v>3.8004699999999998</v>
      </c>
      <c r="J55">
        <v>6.2477299999999998</v>
      </c>
      <c r="K55">
        <v>1954.33</v>
      </c>
      <c r="L55">
        <v>1.63365</v>
      </c>
      <c r="M55">
        <v>387.10899999999998</v>
      </c>
      <c r="N55">
        <v>0</v>
      </c>
      <c r="O55">
        <v>0</v>
      </c>
      <c r="P55">
        <v>387.10899999999998</v>
      </c>
      <c r="Q55">
        <f>2/3</f>
        <v>0.66666666666666663</v>
      </c>
      <c r="R55">
        <f>13/3</f>
        <v>4.333333333333333</v>
      </c>
      <c r="S55">
        <f>114</f>
        <v>114</v>
      </c>
      <c r="T55">
        <v>-5.0194000000000001</v>
      </c>
      <c r="U55">
        <v>-2.0094227624999998</v>
      </c>
      <c r="V55">
        <v>20.245337262025217</v>
      </c>
    </row>
  </sheetData>
  <phoneticPr fontId="1" type="noConversion"/>
  <pageMargins left="0.7" right="0.7" top="0.75" bottom="0.75" header="0.3" footer="0.3"/>
  <pageSetup orientation="portrait" horizontalDpi="300" verticalDpi="300" r:id="rId1"/>
  <ignoredErrors>
    <ignoredError sqref="Q20:R20 Q25 Q34 Q36 Q39 Q5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josue</cp:lastModifiedBy>
  <dcterms:created xsi:type="dcterms:W3CDTF">2021-09-03T16:32:55Z</dcterms:created>
  <dcterms:modified xsi:type="dcterms:W3CDTF">2022-05-13T05:53:35Z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6fa1c7f7-ee8f-4ead-ad40-e615b46c2587</vt:lpwstr>
  </property>
</Properties>
</file>