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531"/>
  <workbookPr showInkAnnotation="0" codeName="ThisWorkbook" defaultThemeVersion="124226"/>
  <mc:AlternateContent xmlns:mc="http://schemas.openxmlformats.org/markup-compatibility/2006">
    <mc:Choice Requires="x15">
      <x15ac:absPath xmlns:x15ac="http://schemas.microsoft.com/office/spreadsheetml/2010/11/ac" url="D:\UNI\9no ciclo otra vez\ABASTO\"/>
    </mc:Choice>
  </mc:AlternateContent>
  <xr:revisionPtr revIDLastSave="0" documentId="8_{D351B20C-B402-4683-9D14-F1F5A8F55193}" xr6:coauthVersionLast="47" xr6:coauthVersionMax="47" xr10:uidLastSave="{00000000-0000-0000-0000-000000000000}"/>
  <bookViews>
    <workbookView xWindow="-108" yWindow="-108" windowWidth="23256" windowHeight="12456" xr2:uid="{00000000-000D-0000-FFFF-FFFF00000000}"/>
  </bookViews>
  <sheets>
    <sheet name="Memoria" sheetId="4" r:id="rId1"/>
    <sheet name="Datos" sheetId="5" state="hidden" r:id="rId2"/>
    <sheet name="Bibliografia" sheetId="6" state="hidden" r:id="rId3"/>
    <sheet name="METRADOS DE RESER" sheetId="7" state="hidden" r:id="rId4"/>
    <sheet name="CER PER" sheetId="9" state="hidden" r:id="rId5"/>
    <sheet name="ACERO" sheetId="8" state="hidden" r:id="rId6"/>
  </sheets>
  <externalReferences>
    <externalReference r:id="rId7"/>
  </externalReferences>
  <definedNames>
    <definedName name="_xlnm._FilterDatabase" localSheetId="0" hidden="1">Memoria!$E$363:$I$364</definedName>
    <definedName name="_xlnm.Print_Area" localSheetId="0">Memoria!$A$1:$K$383</definedName>
    <definedName name="CONEXION">Tabla2[Conexión]</definedName>
    <definedName name="MATRIZ">Datos!$B$3:$F$10</definedName>
    <definedName name="RESISCONCRETO">RESISTENCIA[Resistencia]</definedName>
    <definedName name="tabla">Memoria!$L$247:$M$251</definedName>
    <definedName name="_xlnm.Print_Titles" localSheetId="0">Memoria!$1:$3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7" i="4" l="1"/>
  <c r="E6" i="4"/>
  <c r="E11" i="4" l="1"/>
  <c r="G61" i="4" s="1"/>
  <c r="G34" i="9" l="1"/>
  <c r="H34" i="9" s="1"/>
  <c r="H33" i="9" s="1"/>
  <c r="F32" i="9"/>
  <c r="G32" i="9" s="1"/>
  <c r="H32" i="9" s="1"/>
  <c r="G31" i="9"/>
  <c r="H31" i="9" s="1"/>
  <c r="G28" i="9"/>
  <c r="H28" i="9" s="1"/>
  <c r="H27" i="9" s="1"/>
  <c r="C28" i="9"/>
  <c r="G22" i="9"/>
  <c r="H22" i="9" s="1"/>
  <c r="H21" i="9" s="1"/>
  <c r="E24" i="9" s="1"/>
  <c r="H23" i="9" s="1"/>
  <c r="G18" i="9"/>
  <c r="H18" i="9" s="1"/>
  <c r="G17" i="9"/>
  <c r="H17" i="9" s="1"/>
  <c r="H16" i="9" s="1"/>
  <c r="A14" i="9"/>
  <c r="A15" i="9" s="1"/>
  <c r="A20" i="9" s="1"/>
  <c r="G461" i="7"/>
  <c r="G462" i="7" s="1"/>
  <c r="Q69" i="8"/>
  <c r="Q70" i="8"/>
  <c r="E428" i="7"/>
  <c r="E441" i="7"/>
  <c r="E444" i="7" s="1"/>
  <c r="G430" i="7"/>
  <c r="G427" i="7"/>
  <c r="G439" i="7" s="1"/>
  <c r="G440" i="7" s="1"/>
  <c r="G441" i="7" s="1"/>
  <c r="G442" i="7" s="1"/>
  <c r="G457" i="7" s="1"/>
  <c r="G458" i="7" s="1"/>
  <c r="G472" i="7" s="1"/>
  <c r="F427" i="7"/>
  <c r="F428" i="7" s="1"/>
  <c r="E426" i="7"/>
  <c r="E463" i="7" s="1"/>
  <c r="F463" i="7" s="1"/>
  <c r="F475" i="7" s="1"/>
  <c r="F425" i="7"/>
  <c r="F445" i="7" s="1"/>
  <c r="E425" i="7"/>
  <c r="E427" i="7" s="1"/>
  <c r="F416" i="7"/>
  <c r="F430" i="7" s="1"/>
  <c r="E416" i="7"/>
  <c r="E430" i="7" s="1"/>
  <c r="H397" i="7"/>
  <c r="F396" i="7"/>
  <c r="E396" i="7"/>
  <c r="E379" i="7"/>
  <c r="B342" i="7"/>
  <c r="B343" i="7" s="1"/>
  <c r="H343" i="7"/>
  <c r="H342" i="7"/>
  <c r="H341" i="7"/>
  <c r="B340" i="7"/>
  <c r="B341" i="7" s="1"/>
  <c r="H340" i="7"/>
  <c r="D331" i="7"/>
  <c r="D330" i="7"/>
  <c r="D269" i="7"/>
  <c r="B272" i="7"/>
  <c r="B270" i="7"/>
  <c r="B269" i="7"/>
  <c r="H263" i="7"/>
  <c r="I262" i="7" s="1"/>
  <c r="I260" i="7" s="1"/>
  <c r="D244" i="7"/>
  <c r="D272" i="7" s="1"/>
  <c r="D242" i="7"/>
  <c r="D271" i="7" s="1"/>
  <c r="D241" i="7"/>
  <c r="D270" i="7" s="1"/>
  <c r="E201" i="7"/>
  <c r="F201" i="7" s="1"/>
  <c r="E243" i="7" s="1"/>
  <c r="F243" i="7" s="1"/>
  <c r="N13" i="8"/>
  <c r="U10" i="8"/>
  <c r="U16" i="8" s="1"/>
  <c r="U17" i="8" s="1"/>
  <c r="U18" i="8" s="1"/>
  <c r="U85" i="8"/>
  <c r="T85" i="8"/>
  <c r="S85" i="8"/>
  <c r="R85" i="8"/>
  <c r="Q85" i="8"/>
  <c r="P85" i="8"/>
  <c r="U84" i="8"/>
  <c r="T84" i="8"/>
  <c r="S84" i="8"/>
  <c r="R84" i="8"/>
  <c r="Q84" i="8"/>
  <c r="P84" i="8"/>
  <c r="U83" i="8"/>
  <c r="T83" i="8"/>
  <c r="S83" i="8"/>
  <c r="R83" i="8"/>
  <c r="Q83" i="8"/>
  <c r="P83" i="8"/>
  <c r="U82" i="8"/>
  <c r="T82" i="8"/>
  <c r="S82" i="8"/>
  <c r="R82" i="8"/>
  <c r="Q82" i="8"/>
  <c r="P82" i="8"/>
  <c r="U81" i="8"/>
  <c r="T81" i="8"/>
  <c r="S81" i="8"/>
  <c r="R81" i="8"/>
  <c r="Q81" i="8"/>
  <c r="P81" i="8"/>
  <c r="U80" i="8"/>
  <c r="T80" i="8"/>
  <c r="S80" i="8"/>
  <c r="R80" i="8"/>
  <c r="P80" i="8"/>
  <c r="U79" i="8"/>
  <c r="T79" i="8"/>
  <c r="S79" i="8"/>
  <c r="R79" i="8"/>
  <c r="Q79" i="8"/>
  <c r="P79" i="8"/>
  <c r="U78" i="8"/>
  <c r="T78" i="8"/>
  <c r="S78" i="8"/>
  <c r="R78" i="8"/>
  <c r="Q78" i="8"/>
  <c r="P78" i="8"/>
  <c r="U77" i="8"/>
  <c r="T77" i="8"/>
  <c r="S77" i="8"/>
  <c r="R77" i="8"/>
  <c r="Q77" i="8"/>
  <c r="P77" i="8"/>
  <c r="U76" i="8"/>
  <c r="T76" i="8"/>
  <c r="S76" i="8"/>
  <c r="R76" i="8"/>
  <c r="Q76" i="8"/>
  <c r="P76" i="8"/>
  <c r="U75" i="8"/>
  <c r="T75" i="8"/>
  <c r="S75" i="8"/>
  <c r="R75" i="8"/>
  <c r="Q75" i="8"/>
  <c r="P75" i="8"/>
  <c r="U74" i="8"/>
  <c r="T74" i="8"/>
  <c r="S74" i="8"/>
  <c r="R74" i="8"/>
  <c r="P74" i="8"/>
  <c r="U73" i="8"/>
  <c r="T73" i="8"/>
  <c r="S73" i="8"/>
  <c r="R73" i="8"/>
  <c r="Q73" i="8"/>
  <c r="P73" i="8"/>
  <c r="U72" i="8"/>
  <c r="T72" i="8"/>
  <c r="S72" i="8"/>
  <c r="R72" i="8"/>
  <c r="P72" i="8"/>
  <c r="U71" i="8"/>
  <c r="T71" i="8"/>
  <c r="S71" i="8"/>
  <c r="R71" i="8"/>
  <c r="Q71" i="8"/>
  <c r="P71" i="8"/>
  <c r="U68" i="8"/>
  <c r="T68" i="8"/>
  <c r="S68" i="8"/>
  <c r="R68" i="8"/>
  <c r="P68" i="8"/>
  <c r="Q68" i="8"/>
  <c r="U67" i="8"/>
  <c r="T67" i="8"/>
  <c r="S67" i="8"/>
  <c r="R67" i="8"/>
  <c r="Q67" i="8"/>
  <c r="P67" i="8"/>
  <c r="U65" i="8"/>
  <c r="U87" i="8" s="1"/>
  <c r="U88" i="8" s="1"/>
  <c r="U89" i="8" s="1"/>
  <c r="T65" i="8"/>
  <c r="T87" i="8" s="1"/>
  <c r="T88" i="8" s="1"/>
  <c r="T89" i="8" s="1"/>
  <c r="S65" i="8"/>
  <c r="S87" i="8" s="1"/>
  <c r="S88" i="8" s="1"/>
  <c r="S89" i="8" s="1"/>
  <c r="R65" i="8"/>
  <c r="R87" i="8" s="1"/>
  <c r="R88" i="8" s="1"/>
  <c r="R89" i="8" s="1"/>
  <c r="P65" i="8"/>
  <c r="Q63" i="8"/>
  <c r="B63" i="8"/>
  <c r="A63" i="8"/>
  <c r="U57" i="8"/>
  <c r="T57" i="8"/>
  <c r="S57" i="8"/>
  <c r="R57" i="8"/>
  <c r="P57" i="8"/>
  <c r="U55" i="8"/>
  <c r="T55" i="8"/>
  <c r="S55" i="8"/>
  <c r="R55" i="8"/>
  <c r="P55" i="8"/>
  <c r="N57" i="8"/>
  <c r="Q52" i="8"/>
  <c r="B52" i="8"/>
  <c r="A52" i="8"/>
  <c r="R46" i="8"/>
  <c r="R47" i="8" s="1"/>
  <c r="R48" i="8" s="1"/>
  <c r="U38" i="8"/>
  <c r="T38" i="8"/>
  <c r="S38" i="8"/>
  <c r="P38" i="8"/>
  <c r="U36" i="8"/>
  <c r="T36" i="8"/>
  <c r="S36" i="8"/>
  <c r="P36" i="8"/>
  <c r="Q35" i="8"/>
  <c r="B35" i="8"/>
  <c r="A35" i="8"/>
  <c r="R25" i="8"/>
  <c r="U24" i="8"/>
  <c r="T24" i="8"/>
  <c r="S24" i="8"/>
  <c r="S30" i="8" s="1"/>
  <c r="S31" i="8" s="1"/>
  <c r="S32" i="8" s="1"/>
  <c r="R24" i="8"/>
  <c r="P24" i="8"/>
  <c r="Q21" i="8"/>
  <c r="B21" i="8"/>
  <c r="A21" i="8"/>
  <c r="P13" i="8"/>
  <c r="Q13" i="8"/>
  <c r="Q12" i="8"/>
  <c r="P12" i="8"/>
  <c r="Q11" i="8"/>
  <c r="P11" i="8"/>
  <c r="Q6" i="8"/>
  <c r="B6" i="8"/>
  <c r="A6" i="8"/>
  <c r="E121" i="7"/>
  <c r="E127" i="7" s="1"/>
  <c r="H127" i="7" s="1"/>
  <c r="I126" i="7" s="1"/>
  <c r="I123" i="7" s="1"/>
  <c r="D113" i="7"/>
  <c r="G111" i="7"/>
  <c r="G112" i="7" s="1"/>
  <c r="G113" i="7" s="1"/>
  <c r="G114" i="7" s="1"/>
  <c r="D111" i="7"/>
  <c r="B113" i="7"/>
  <c r="B111" i="7"/>
  <c r="E105" i="7"/>
  <c r="E114" i="7" s="1"/>
  <c r="E104" i="7"/>
  <c r="E113" i="7" s="1"/>
  <c r="F102" i="7"/>
  <c r="F103" i="7" s="1"/>
  <c r="F104" i="7" s="1"/>
  <c r="G95" i="7"/>
  <c r="F86" i="7"/>
  <c r="G75" i="7"/>
  <c r="D75" i="7"/>
  <c r="B75" i="7"/>
  <c r="F53" i="7"/>
  <c r="F59" i="7" s="1"/>
  <c r="E53" i="7"/>
  <c r="I20" i="7"/>
  <c r="E283" i="7" s="1"/>
  <c r="E362" i="7" s="1"/>
  <c r="F20" i="7"/>
  <c r="I17" i="7"/>
  <c r="E280" i="7" s="1"/>
  <c r="I18" i="7"/>
  <c r="E282" i="7" s="1"/>
  <c r="I19" i="7"/>
  <c r="E281" i="7" s="1"/>
  <c r="G319" i="7" s="1"/>
  <c r="I16" i="7"/>
  <c r="E279" i="7" s="1"/>
  <c r="E319" i="7" s="1"/>
  <c r="F17" i="7"/>
  <c r="F18" i="7"/>
  <c r="F19" i="7"/>
  <c r="F16" i="7"/>
  <c r="D26" i="7"/>
  <c r="G174" i="7" s="1"/>
  <c r="D27" i="7"/>
  <c r="I21" i="7" s="1"/>
  <c r="E284" i="7" s="1"/>
  <c r="A27" i="7"/>
  <c r="A26" i="7"/>
  <c r="D21" i="7"/>
  <c r="D20" i="7"/>
  <c r="G165" i="7" s="1"/>
  <c r="A20" i="7"/>
  <c r="D17" i="7"/>
  <c r="A17" i="7"/>
  <c r="A21" i="7" s="1"/>
  <c r="D16" i="7"/>
  <c r="G67" i="7" s="1"/>
  <c r="A16" i="7"/>
  <c r="D13" i="7"/>
  <c r="F183" i="7" s="1"/>
  <c r="A13" i="7"/>
  <c r="A12" i="7"/>
  <c r="A11" i="7"/>
  <c r="A10" i="7"/>
  <c r="A9" i="7"/>
  <c r="D11" i="7"/>
  <c r="D10" i="7"/>
  <c r="D9" i="7"/>
  <c r="O38" i="8" s="1"/>
  <c r="I522" i="7"/>
  <c r="F484" i="7"/>
  <c r="F483" i="7"/>
  <c r="G474" i="7"/>
  <c r="H379" i="7"/>
  <c r="I378" i="7" s="1"/>
  <c r="I375" i="7" s="1"/>
  <c r="F369" i="7"/>
  <c r="G345" i="7"/>
  <c r="G347" i="7" s="1"/>
  <c r="H339" i="7"/>
  <c r="H338" i="7"/>
  <c r="D227" i="7"/>
  <c r="F225" i="7"/>
  <c r="D220" i="7"/>
  <c r="E219" i="7"/>
  <c r="E220" i="7" s="1"/>
  <c r="F218" i="7"/>
  <c r="F150" i="7"/>
  <c r="E150" i="7"/>
  <c r="H150" i="7" s="1"/>
  <c r="H142" i="7"/>
  <c r="I141" i="7" s="1"/>
  <c r="I138" i="7" s="1"/>
  <c r="H135" i="7"/>
  <c r="I134" i="7" s="1"/>
  <c r="I131" i="7" s="1"/>
  <c r="A48" i="7"/>
  <c r="A61" i="7" s="1"/>
  <c r="E439" i="7" l="1"/>
  <c r="E445" i="7" s="1"/>
  <c r="H30" i="9"/>
  <c r="F429" i="7"/>
  <c r="F426" i="7"/>
  <c r="H445" i="7"/>
  <c r="E458" i="7"/>
  <c r="E464" i="7"/>
  <c r="E460" i="7"/>
  <c r="H430" i="7"/>
  <c r="G428" i="7"/>
  <c r="E429" i="7"/>
  <c r="F440" i="7"/>
  <c r="F442" i="7" s="1"/>
  <c r="F444" i="7" s="1"/>
  <c r="E457" i="7" s="1"/>
  <c r="H345" i="7"/>
  <c r="G425" i="7"/>
  <c r="G426" i="7" s="1"/>
  <c r="G429" i="7" s="1"/>
  <c r="E320" i="7"/>
  <c r="E331" i="7" s="1"/>
  <c r="A26" i="9"/>
  <c r="A21" i="9"/>
  <c r="A23" i="9" s="1"/>
  <c r="A16" i="9"/>
  <c r="E330" i="7"/>
  <c r="G330" i="7"/>
  <c r="G320" i="7"/>
  <c r="G331" i="7" s="1"/>
  <c r="F319" i="7"/>
  <c r="H319" i="7" s="1"/>
  <c r="E328" i="7"/>
  <c r="E357" i="7"/>
  <c r="G360" i="7"/>
  <c r="G362" i="7"/>
  <c r="H362" i="7" s="1"/>
  <c r="G358" i="7"/>
  <c r="G357" i="7"/>
  <c r="G329" i="7"/>
  <c r="H329" i="7" s="1"/>
  <c r="G361" i="7"/>
  <c r="F321" i="7"/>
  <c r="F358" i="7"/>
  <c r="E359" i="7"/>
  <c r="G359" i="7"/>
  <c r="F328" i="7"/>
  <c r="F360" i="7"/>
  <c r="E329" i="7"/>
  <c r="F356" i="7"/>
  <c r="E356" i="7"/>
  <c r="E361" i="7"/>
  <c r="E321" i="7"/>
  <c r="E250" i="7"/>
  <c r="E208" i="7"/>
  <c r="G200" i="7"/>
  <c r="F209" i="7"/>
  <c r="F242" i="7" s="1"/>
  <c r="F271" i="7" s="1"/>
  <c r="E239" i="7"/>
  <c r="E200" i="7"/>
  <c r="R59" i="8"/>
  <c r="R60" i="8" s="1"/>
  <c r="R61" i="8" s="1"/>
  <c r="S59" i="8"/>
  <c r="S60" i="8" s="1"/>
  <c r="S61" i="8" s="1"/>
  <c r="F184" i="7"/>
  <c r="M36" i="8"/>
  <c r="E183" i="7"/>
  <c r="E190" i="7" s="1"/>
  <c r="E184" i="7"/>
  <c r="E191" i="7" s="1"/>
  <c r="P46" i="8"/>
  <c r="P47" i="8" s="1"/>
  <c r="P48" i="8" s="1"/>
  <c r="U59" i="8"/>
  <c r="U60" i="8" s="1"/>
  <c r="U61" i="8" s="1"/>
  <c r="H416" i="7"/>
  <c r="I415" i="7" s="1"/>
  <c r="I412" i="7" s="1"/>
  <c r="I149" i="7"/>
  <c r="I146" i="7" s="1"/>
  <c r="Q65" i="8"/>
  <c r="T46" i="8"/>
  <c r="T47" i="8" s="1"/>
  <c r="T48" i="8" s="1"/>
  <c r="Q80" i="8"/>
  <c r="T59" i="8"/>
  <c r="T60" i="8" s="1"/>
  <c r="T61" i="8" s="1"/>
  <c r="Q74" i="8"/>
  <c r="T30" i="8"/>
  <c r="T31" i="8" s="1"/>
  <c r="T32" i="8" s="1"/>
  <c r="P30" i="8"/>
  <c r="P31" i="8" s="1"/>
  <c r="P32" i="8" s="1"/>
  <c r="S46" i="8"/>
  <c r="S47" i="8" s="1"/>
  <c r="S48" i="8" s="1"/>
  <c r="R30" i="8"/>
  <c r="R31" i="8" s="1"/>
  <c r="R32" i="8" s="1"/>
  <c r="U46" i="8"/>
  <c r="U47" i="8" s="1"/>
  <c r="U48" i="8" s="1"/>
  <c r="P59" i="8"/>
  <c r="P60" i="8" s="1"/>
  <c r="P61" i="8" s="1"/>
  <c r="P87" i="8"/>
  <c r="P88" i="8" s="1"/>
  <c r="P89" i="8" s="1"/>
  <c r="Q72" i="8"/>
  <c r="U30" i="8"/>
  <c r="U31" i="8" s="1"/>
  <c r="U32" i="8" s="1"/>
  <c r="P10" i="8"/>
  <c r="P16" i="8" s="1"/>
  <c r="P17" i="8" s="1"/>
  <c r="S10" i="8"/>
  <c r="S16" i="8" s="1"/>
  <c r="S17" i="8" s="1"/>
  <c r="S18" i="8" s="1"/>
  <c r="T10" i="8"/>
  <c r="T16" i="8" s="1"/>
  <c r="T17" i="8" s="1"/>
  <c r="T18" i="8" s="1"/>
  <c r="Q10" i="8"/>
  <c r="Q16" i="8" s="1"/>
  <c r="Q17" i="8" s="1"/>
  <c r="Q18" i="8" s="1"/>
  <c r="E103" i="7"/>
  <c r="H103" i="7" s="1"/>
  <c r="E165" i="7"/>
  <c r="E174" i="7" s="1"/>
  <c r="H441" i="7"/>
  <c r="H104" i="7"/>
  <c r="F105" i="7"/>
  <c r="H105" i="7" s="1"/>
  <c r="H114" i="7"/>
  <c r="H113" i="7"/>
  <c r="E70" i="7"/>
  <c r="E86" i="7" s="1"/>
  <c r="G68" i="7"/>
  <c r="G159" i="7" s="1"/>
  <c r="E102" i="7"/>
  <c r="G70" i="7"/>
  <c r="G86" i="7" s="1"/>
  <c r="E67" i="7"/>
  <c r="E69" i="7" s="1"/>
  <c r="E95" i="7" s="1"/>
  <c r="F219" i="7"/>
  <c r="H428" i="7"/>
  <c r="E226" i="7"/>
  <c r="F226" i="7" s="1"/>
  <c r="F68" i="7"/>
  <c r="F159" i="7" s="1"/>
  <c r="E52" i="7"/>
  <c r="E68" i="7" s="1"/>
  <c r="E159" i="7" s="1"/>
  <c r="H347" i="7"/>
  <c r="G348" i="7" s="1"/>
  <c r="I334" i="7" s="1"/>
  <c r="H396" i="7"/>
  <c r="I395" i="7" s="1"/>
  <c r="I392" i="7" s="1"/>
  <c r="E410" i="7" s="1"/>
  <c r="H442" i="7"/>
  <c r="H463" i="7"/>
  <c r="H404" i="7"/>
  <c r="I403" i="7" s="1"/>
  <c r="I400" i="7" s="1"/>
  <c r="F410" i="7" s="1"/>
  <c r="A49" i="7"/>
  <c r="A55" i="7" s="1"/>
  <c r="H53" i="7"/>
  <c r="H427" i="7"/>
  <c r="H121" i="7"/>
  <c r="I120" i="7" s="1"/>
  <c r="I117" i="7" s="1"/>
  <c r="H439" i="7"/>
  <c r="H440" i="7"/>
  <c r="H444" i="7"/>
  <c r="E227" i="7"/>
  <c r="F227" i="7" s="1"/>
  <c r="H227" i="7" s="1"/>
  <c r="H228" i="7" s="1"/>
  <c r="F220" i="7"/>
  <c r="H220" i="7" s="1"/>
  <c r="H221" i="7" s="1"/>
  <c r="A232" i="7"/>
  <c r="A62" i="7"/>
  <c r="H458" i="7"/>
  <c r="E475" i="7"/>
  <c r="H475" i="7" s="1"/>
  <c r="E59" i="7"/>
  <c r="H59" i="7" s="1"/>
  <c r="H426" i="7" l="1"/>
  <c r="E461" i="7"/>
  <c r="H457" i="7"/>
  <c r="H429" i="7"/>
  <c r="E472" i="7"/>
  <c r="H472" i="7" s="1"/>
  <c r="E462" i="7"/>
  <c r="H462" i="7" s="1"/>
  <c r="F464" i="7"/>
  <c r="H464" i="7" s="1"/>
  <c r="F460" i="7"/>
  <c r="H460" i="7" s="1"/>
  <c r="H321" i="7"/>
  <c r="H425" i="7"/>
  <c r="I424" i="7" s="1"/>
  <c r="I420" i="7" s="1"/>
  <c r="H358" i="7"/>
  <c r="A29" i="9"/>
  <c r="A30" i="9" s="1"/>
  <c r="A33" i="9" s="1"/>
  <c r="A27" i="9"/>
  <c r="I437" i="7"/>
  <c r="I433" i="7" s="1"/>
  <c r="H331" i="7"/>
  <c r="H361" i="7"/>
  <c r="H330" i="7"/>
  <c r="H357" i="7"/>
  <c r="F320" i="7"/>
  <c r="F330" i="7"/>
  <c r="H359" i="7"/>
  <c r="H360" i="7"/>
  <c r="E269" i="7"/>
  <c r="H328" i="7"/>
  <c r="H356" i="7"/>
  <c r="F208" i="7"/>
  <c r="H208" i="7" s="1"/>
  <c r="O55" i="8"/>
  <c r="O57" i="8" s="1"/>
  <c r="E207" i="7"/>
  <c r="E244" i="7" s="1"/>
  <c r="E272" i="7" s="1"/>
  <c r="F200" i="7"/>
  <c r="F207" i="7" s="1"/>
  <c r="F244" i="7" s="1"/>
  <c r="F272" i="7" s="1"/>
  <c r="E240" i="7"/>
  <c r="E251" i="7" s="1"/>
  <c r="E258" i="7" s="1"/>
  <c r="F241" i="7"/>
  <c r="F270" i="7" s="1"/>
  <c r="F210" i="7"/>
  <c r="G201" i="7"/>
  <c r="H201" i="7" s="1"/>
  <c r="G207" i="7"/>
  <c r="Q87" i="8"/>
  <c r="Q88" i="8" s="1"/>
  <c r="Q89" i="8" s="1"/>
  <c r="M13" i="8"/>
  <c r="O10" i="8"/>
  <c r="R10" i="8" s="1"/>
  <c r="P18" i="8"/>
  <c r="H159" i="7"/>
  <c r="I158" i="7" s="1"/>
  <c r="I155" i="7" s="1"/>
  <c r="F165" i="7"/>
  <c r="H102" i="7"/>
  <c r="I101" i="7" s="1"/>
  <c r="I98" i="7" s="1"/>
  <c r="E111" i="7"/>
  <c r="H68" i="7"/>
  <c r="F67" i="7"/>
  <c r="F95" i="7" s="1"/>
  <c r="H95" i="7" s="1"/>
  <c r="I94" i="7" s="1"/>
  <c r="I91" i="7" s="1"/>
  <c r="H410" i="7"/>
  <c r="I409" i="7" s="1"/>
  <c r="I406" i="7" s="1"/>
  <c r="H70" i="7"/>
  <c r="H86" i="7" s="1"/>
  <c r="I85" i="7" s="1"/>
  <c r="I83" i="7" s="1"/>
  <c r="F81" i="7" s="1"/>
  <c r="E58" i="7"/>
  <c r="E75" i="7" s="1"/>
  <c r="F52" i="7"/>
  <c r="H52" i="7" s="1"/>
  <c r="I51" i="7" s="1"/>
  <c r="I49" i="7" s="1"/>
  <c r="A89" i="7"/>
  <c r="A63" i="7"/>
  <c r="A72" i="7" s="1"/>
  <c r="A78" i="7" s="1"/>
  <c r="A83" i="7" s="1"/>
  <c r="A233" i="7"/>
  <c r="A310" i="7"/>
  <c r="J380" i="4"/>
  <c r="E474" i="7" l="1"/>
  <c r="H474" i="7" s="1"/>
  <c r="I470" i="7" s="1"/>
  <c r="I467" i="7" s="1"/>
  <c r="H461" i="7"/>
  <c r="I455" i="7" s="1"/>
  <c r="I451" i="7" s="1"/>
  <c r="I327" i="7"/>
  <c r="I324" i="7" s="1"/>
  <c r="F331" i="7"/>
  <c r="H320" i="7"/>
  <c r="I318" i="7" s="1"/>
  <c r="I314" i="7" s="1"/>
  <c r="I355" i="7"/>
  <c r="I352" i="7" s="1"/>
  <c r="F258" i="7"/>
  <c r="H258" i="7" s="1"/>
  <c r="I257" i="7" s="1"/>
  <c r="I254" i="7" s="1"/>
  <c r="F240" i="7"/>
  <c r="E209" i="7"/>
  <c r="E242" i="7" s="1"/>
  <c r="H207" i="7"/>
  <c r="M55" i="8"/>
  <c r="H200" i="7"/>
  <c r="I199" i="7" s="1"/>
  <c r="I196" i="7" s="1"/>
  <c r="P90" i="8"/>
  <c r="I448" i="7" s="1"/>
  <c r="H165" i="7"/>
  <c r="I164" i="7" s="1"/>
  <c r="I161" i="7" s="1"/>
  <c r="F174" i="7"/>
  <c r="H174" i="7" s="1"/>
  <c r="I173" i="7" s="1"/>
  <c r="I170" i="7" s="1"/>
  <c r="O25" i="8"/>
  <c r="O26" i="8" s="1"/>
  <c r="O27" i="8" s="1"/>
  <c r="O24" i="8"/>
  <c r="R13" i="8"/>
  <c r="R16" i="8" s="1"/>
  <c r="R17" i="8" s="1"/>
  <c r="M24" i="8"/>
  <c r="E112" i="7"/>
  <c r="H112" i="7" s="1"/>
  <c r="H111" i="7"/>
  <c r="F69" i="7"/>
  <c r="H69" i="7" s="1"/>
  <c r="H67" i="7"/>
  <c r="F58" i="7"/>
  <c r="A312" i="7"/>
  <c r="A351" i="7" s="1"/>
  <c r="A390" i="7"/>
  <c r="A391" i="7" s="1"/>
  <c r="A265" i="7"/>
  <c r="A235" i="7"/>
  <c r="A246" i="7" s="1"/>
  <c r="A254" i="7" s="1"/>
  <c r="A260" i="7" s="1"/>
  <c r="A90" i="7"/>
  <c r="A153" i="7"/>
  <c r="A154" i="7" s="1"/>
  <c r="H242" i="7" l="1"/>
  <c r="E271" i="7"/>
  <c r="H244" i="7"/>
  <c r="H272" i="7" s="1"/>
  <c r="H240" i="7"/>
  <c r="F251" i="7"/>
  <c r="H251" i="7" s="1"/>
  <c r="M57" i="8"/>
  <c r="Q57" i="8" s="1"/>
  <c r="Q55" i="8"/>
  <c r="E210" i="7"/>
  <c r="H209" i="7"/>
  <c r="E241" i="7"/>
  <c r="I110" i="7"/>
  <c r="I107" i="7" s="1"/>
  <c r="R18" i="8"/>
  <c r="P19" i="8"/>
  <c r="I167" i="7" s="1"/>
  <c r="M25" i="8"/>
  <c r="Q24" i="8"/>
  <c r="H58" i="7"/>
  <c r="F75" i="7"/>
  <c r="A314" i="7"/>
  <c r="A324" i="7" s="1"/>
  <c r="A334" i="7" s="1"/>
  <c r="A91" i="7"/>
  <c r="A97" i="7"/>
  <c r="A155" i="7"/>
  <c r="A161" i="7" s="1"/>
  <c r="A167" i="7" s="1"/>
  <c r="A169" i="7"/>
  <c r="A275" i="7"/>
  <c r="A276" i="7" s="1"/>
  <c r="A266" i="7"/>
  <c r="A418" i="7"/>
  <c r="A392" i="7"/>
  <c r="A400" i="7" s="1"/>
  <c r="A406" i="7" s="1"/>
  <c r="A412" i="7" s="1"/>
  <c r="E343" i="4"/>
  <c r="G337" i="4"/>
  <c r="E27" i="4"/>
  <c r="E335" i="4" s="1"/>
  <c r="H271" i="7" l="1"/>
  <c r="E270" i="7"/>
  <c r="H210" i="7"/>
  <c r="Q59" i="8"/>
  <c r="Q60" i="8" s="1"/>
  <c r="M26" i="8"/>
  <c r="Q25" i="8"/>
  <c r="I57" i="7"/>
  <c r="H75" i="7"/>
  <c r="I74" i="7" s="1"/>
  <c r="I72" i="7" s="1"/>
  <c r="A170" i="7"/>
  <c r="A176" i="7" s="1"/>
  <c r="A178" i="7"/>
  <c r="A450" i="7"/>
  <c r="A420" i="7"/>
  <c r="A433" i="7" s="1"/>
  <c r="A448" i="7" s="1"/>
  <c r="A98" i="7"/>
  <c r="A107" i="7" s="1"/>
  <c r="A117" i="7" s="1"/>
  <c r="A123" i="7" s="1"/>
  <c r="A129" i="7"/>
  <c r="A131" i="7" s="1"/>
  <c r="A138" i="7" s="1"/>
  <c r="A146" i="7" s="1"/>
  <c r="E28" i="4"/>
  <c r="G304" i="4" s="1"/>
  <c r="G352" i="4"/>
  <c r="G351" i="4"/>
  <c r="H340" i="4"/>
  <c r="G338" i="4"/>
  <c r="I266" i="4"/>
  <c r="I268" i="4" s="1"/>
  <c r="I264" i="4"/>
  <c r="I265" i="4" s="1"/>
  <c r="I206" i="7" l="1"/>
  <c r="I203" i="7" s="1"/>
  <c r="H241" i="7" s="1"/>
  <c r="H270" i="7" s="1"/>
  <c r="H243" i="7"/>
  <c r="Q61" i="8"/>
  <c r="P62" i="8"/>
  <c r="I212" i="7" s="1"/>
  <c r="M27" i="8"/>
  <c r="Q27" i="8" s="1"/>
  <c r="Q26" i="8"/>
  <c r="E66" i="7"/>
  <c r="H66" i="7" s="1"/>
  <c r="I65" i="7" s="1"/>
  <c r="I63" i="7" s="1"/>
  <c r="E81" i="7" s="1"/>
  <c r="H81" i="7" s="1"/>
  <c r="I80" i="7" s="1"/>
  <c r="I78" i="7" s="1"/>
  <c r="I55" i="7"/>
  <c r="A364" i="7"/>
  <c r="A365" i="7" s="1"/>
  <c r="A375" i="7" s="1"/>
  <c r="A381" i="7" s="1"/>
  <c r="A388" i="7" s="1"/>
  <c r="A352" i="7"/>
  <c r="A451" i="7"/>
  <c r="A466" i="7"/>
  <c r="A195" i="7"/>
  <c r="A179" i="7"/>
  <c r="A186" i="7" s="1"/>
  <c r="A193" i="7" s="1"/>
  <c r="H71" i="4"/>
  <c r="Q30" i="8" l="1"/>
  <c r="Q31" i="8" s="1"/>
  <c r="Q32" i="8" s="1"/>
  <c r="A214" i="7"/>
  <c r="A215" i="7" s="1"/>
  <c r="A222" i="7" s="1"/>
  <c r="A230" i="7" s="1"/>
  <c r="A196" i="7"/>
  <c r="A203" i="7" s="1"/>
  <c r="A212" i="7" s="1"/>
  <c r="A478" i="7"/>
  <c r="A467" i="7"/>
  <c r="G68" i="4"/>
  <c r="I336" i="4"/>
  <c r="I338" i="4" s="1"/>
  <c r="P33" i="8" l="1"/>
  <c r="I176" i="7" s="1"/>
  <c r="A521" i="7"/>
  <c r="A522" i="7" s="1"/>
  <c r="A479" i="7"/>
  <c r="A494" i="7" s="1"/>
  <c r="A506" i="7" s="1"/>
  <c r="I358" i="4"/>
  <c r="I357" i="4"/>
  <c r="E42" i="4"/>
  <c r="E334" i="4" s="1"/>
  <c r="G70" i="4" l="1"/>
  <c r="H264" i="4"/>
  <c r="C168" i="4" l="1"/>
  <c r="G83" i="4" l="1"/>
  <c r="G117" i="4" s="1"/>
  <c r="G86" i="4"/>
  <c r="G119" i="4" s="1"/>
  <c r="C155" i="4" l="1"/>
  <c r="E36" i="4"/>
  <c r="E280" i="4" l="1"/>
  <c r="H280" i="4" s="1"/>
  <c r="H268" i="4"/>
  <c r="J270" i="4" s="1"/>
  <c r="E249" i="4"/>
  <c r="H249" i="4" s="1"/>
  <c r="E279" i="4"/>
  <c r="H279" i="4" s="1"/>
  <c r="E248" i="4"/>
  <c r="H248" i="4" s="1"/>
  <c r="E10" i="4" l="1"/>
  <c r="E373" i="4"/>
  <c r="E369" i="4"/>
  <c r="E325" i="4"/>
  <c r="E321" i="4"/>
  <c r="H321" i="4" s="1"/>
  <c r="E291" i="4"/>
  <c r="E290" i="4"/>
  <c r="E284" i="4"/>
  <c r="H284" i="4" s="1"/>
  <c r="H265" i="4"/>
  <c r="E259" i="4"/>
  <c r="E260" i="4"/>
  <c r="I369" i="4" l="1"/>
  <c r="E41" i="4"/>
  <c r="E333" i="4" s="1"/>
  <c r="E338" i="4" s="1"/>
  <c r="H342" i="4" s="1"/>
  <c r="D12" i="7"/>
  <c r="F291" i="4"/>
  <c r="F260" i="4"/>
  <c r="G77" i="4"/>
  <c r="C123" i="4"/>
  <c r="C127" i="4"/>
  <c r="G87" i="4"/>
  <c r="G85" i="4"/>
  <c r="G82" i="4"/>
  <c r="I354" i="4" l="1"/>
  <c r="G69" i="4"/>
  <c r="C196" i="4" s="1"/>
  <c r="H341" i="4"/>
  <c r="I341" i="4" s="1"/>
  <c r="G250" i="7"/>
  <c r="M38" i="8"/>
  <c r="Q38" i="8" s="1"/>
  <c r="G183" i="7"/>
  <c r="O36" i="8"/>
  <c r="Q36" i="8" s="1"/>
  <c r="G239" i="7"/>
  <c r="H239" i="7" s="1"/>
  <c r="I238" i="7" s="1"/>
  <c r="I235" i="7" s="1"/>
  <c r="I355" i="4"/>
  <c r="E363" i="4" s="1"/>
  <c r="E372" i="4"/>
  <c r="E374" i="4" s="1"/>
  <c r="I360" i="4"/>
  <c r="C58" i="4"/>
  <c r="Q46" i="8" l="1"/>
  <c r="Q47" i="8" s="1"/>
  <c r="Q48" i="8" s="1"/>
  <c r="G190" i="7"/>
  <c r="H190" i="7" s="1"/>
  <c r="H183" i="7"/>
  <c r="G184" i="7"/>
  <c r="G269" i="7"/>
  <c r="H250" i="7"/>
  <c r="D255" i="4"/>
  <c r="D254" i="4"/>
  <c r="P49" i="8" l="1"/>
  <c r="I193" i="7" s="1"/>
  <c r="H269" i="7"/>
  <c r="I268" i="7" s="1"/>
  <c r="I266" i="7" s="1"/>
  <c r="I249" i="7"/>
  <c r="I246" i="7" s="1"/>
  <c r="H382" i="4"/>
  <c r="J382" i="4" s="1"/>
  <c r="G191" i="7"/>
  <c r="H191" i="7" s="1"/>
  <c r="I189" i="7" s="1"/>
  <c r="I186" i="7" s="1"/>
  <c r="H184" i="7"/>
  <c r="I182" i="7" s="1"/>
  <c r="I179" i="7" s="1"/>
  <c r="H377" i="4"/>
  <c r="J377" i="4" s="1"/>
  <c r="H378" i="4"/>
  <c r="J378" i="4" s="1"/>
  <c r="G71" i="4"/>
  <c r="G78" i="4" s="1"/>
  <c r="H61" i="4" l="1"/>
  <c r="G72" i="4"/>
  <c r="H70" i="4" l="1"/>
  <c r="G79" i="4" l="1"/>
  <c r="G306" i="4"/>
  <c r="I311" i="4" s="1"/>
  <c r="G305" i="4"/>
  <c r="I310" i="4" s="1"/>
  <c r="G303" i="4"/>
  <c r="I313" i="4" l="1"/>
  <c r="I314" i="4"/>
  <c r="E324" i="4"/>
  <c r="E326" i="4" s="1"/>
  <c r="F326" i="4" s="1"/>
  <c r="D308" i="4"/>
  <c r="G89" i="4"/>
  <c r="E318" i="4" l="1"/>
  <c r="E319" i="4" s="1"/>
  <c r="C197" i="4"/>
  <c r="G73" i="4"/>
  <c r="G116" i="4"/>
  <c r="G118" i="4"/>
  <c r="G81" i="4"/>
  <c r="G84" i="4" s="1"/>
  <c r="G115" i="4"/>
  <c r="H319" i="4" l="1"/>
  <c r="H379" i="4" s="1"/>
  <c r="J379" i="4" s="1"/>
  <c r="G80" i="4"/>
  <c r="G76" i="4" s="1"/>
  <c r="C126" i="4"/>
  <c r="F155" i="4" s="1"/>
  <c r="G114" i="4"/>
  <c r="F374" i="4" l="1"/>
  <c r="I159" i="4"/>
  <c r="J170" i="4"/>
  <c r="I170" i="4"/>
  <c r="J159" i="4"/>
  <c r="G149" i="4"/>
  <c r="E364" i="4" l="1"/>
  <c r="L344" i="4"/>
  <c r="I361" i="4"/>
  <c r="E366" i="4" s="1"/>
  <c r="I364" i="4" l="1"/>
  <c r="H381" i="4" s="1"/>
  <c r="J381" i="4" s="1"/>
  <c r="E367" i="4"/>
  <c r="G88" i="4"/>
  <c r="I367" i="4" l="1"/>
  <c r="H383" i="4" s="1"/>
  <c r="J383" i="4" s="1"/>
  <c r="G104" i="4"/>
  <c r="G103" i="4"/>
  <c r="C130" i="4" l="1"/>
  <c r="C180" i="4" s="1"/>
  <c r="I161" i="4"/>
  <c r="I172" i="4" s="1"/>
  <c r="C136" i="4"/>
  <c r="C191" i="4" s="1"/>
  <c r="C188" i="4" l="1"/>
  <c r="J176" i="4"/>
  <c r="I176" i="4"/>
  <c r="J165" i="4"/>
  <c r="I165" i="4"/>
  <c r="C134" i="4"/>
  <c r="C190" i="4" s="1"/>
  <c r="C183" i="4"/>
  <c r="J174" i="4" l="1"/>
  <c r="I174" i="4"/>
  <c r="J163" i="4"/>
  <c r="I163" i="4"/>
  <c r="C132" i="4"/>
  <c r="C182" i="4"/>
  <c r="C138" i="4" l="1"/>
  <c r="C189" i="4"/>
  <c r="C192" i="4" s="1"/>
  <c r="C181" i="4"/>
  <c r="C184" i="4" s="1"/>
  <c r="E196" i="4" l="1"/>
  <c r="F196" i="4" s="1"/>
  <c r="E197" i="4"/>
  <c r="F197" i="4" s="1"/>
  <c r="C195"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TOSHIBA</author>
  </authors>
  <commentList>
    <comment ref="B4" authorId="0" shapeId="0" xr:uid="{00000000-0006-0000-0000-000001000000}">
      <text>
        <r>
          <rPr>
            <b/>
            <i/>
            <u/>
            <sz val="8"/>
            <color indexed="81"/>
            <rFont val="Century Gothic"/>
            <family val="2"/>
          </rPr>
          <t>Ingresar datos: Valores de color verde.</t>
        </r>
        <r>
          <rPr>
            <sz val="9"/>
            <color indexed="81"/>
            <rFont val="Tahoma"/>
            <family val="2"/>
          </rPr>
          <t xml:space="preserve">
</t>
        </r>
      </text>
    </comment>
  </commentList>
</comments>
</file>

<file path=xl/sharedStrings.xml><?xml version="1.0" encoding="utf-8"?>
<sst xmlns="http://schemas.openxmlformats.org/spreadsheetml/2006/main" count="1320" uniqueCount="624">
  <si>
    <t>ANÁLISIS Y DISENO ESTRUCTURAL DE RESERVORIO CUADRADO</t>
  </si>
  <si>
    <t>DATOS DE DISEÑO</t>
  </si>
  <si>
    <t>Capacidad Requerida</t>
  </si>
  <si>
    <t>Longitud</t>
  </si>
  <si>
    <t>Ancho</t>
  </si>
  <si>
    <t>Altura del Líquido (HL)</t>
  </si>
  <si>
    <t>Borde Libre (BL)</t>
  </si>
  <si>
    <t>Altura Total del Reservorio (HW)</t>
  </si>
  <si>
    <t>Volumen de líquido Total</t>
  </si>
  <si>
    <t>Espesor de Muro (tw)</t>
  </si>
  <si>
    <t>Espesor de Losa Techo (Hr)</t>
  </si>
  <si>
    <t>Alero de la losa de techo ( e )</t>
  </si>
  <si>
    <t>Sobrecarga en la tapa</t>
  </si>
  <si>
    <t>Espesor de la losa de fondo (Hs)</t>
  </si>
  <si>
    <t xml:space="preserve">Espesor de la zapata </t>
  </si>
  <si>
    <t>Alero de la Cimentacion (VF)</t>
  </si>
  <si>
    <t>Tipo de Conexión Pared-Base</t>
  </si>
  <si>
    <t>Flexible</t>
  </si>
  <si>
    <t>Largo del clorador</t>
  </si>
  <si>
    <t>Ancho del clorador</t>
  </si>
  <si>
    <t>Espesor de losa de clorador</t>
  </si>
  <si>
    <t>Altura de muro de clorador</t>
  </si>
  <si>
    <t>Espesor de muro de clorador</t>
  </si>
  <si>
    <t>Peso de Bidon de agua</t>
  </si>
  <si>
    <t xml:space="preserve">Peso de clorador   </t>
  </si>
  <si>
    <t>Peso de clorador por m2 de techo</t>
  </si>
  <si>
    <t>Peso Propio del suelo (gm):</t>
  </si>
  <si>
    <t>Profundidad de cimentacion (HE):</t>
  </si>
  <si>
    <t>Angulo de friccion interna (Ø):</t>
  </si>
  <si>
    <t>Presion admisible de terreno (st):</t>
  </si>
  <si>
    <t>Resistencia del Concreto (f'c)</t>
  </si>
  <si>
    <t>Ec del concreto</t>
  </si>
  <si>
    <t>Fy del Acero</t>
  </si>
  <si>
    <t>Peso especifico del concreto</t>
  </si>
  <si>
    <t>Peso especifico del líquido</t>
  </si>
  <si>
    <t>Aceleración de la Gravedad (g)</t>
  </si>
  <si>
    <t>Peso del muro</t>
  </si>
  <si>
    <t>Peso de la losa de techo</t>
  </si>
  <si>
    <t>Recubrimiento Muro</t>
  </si>
  <si>
    <t>Recubrimiento Losa de techo</t>
  </si>
  <si>
    <t>Recubrimiento Losa de fondo</t>
  </si>
  <si>
    <t>Recubrimiento en Zapata de muro</t>
  </si>
  <si>
    <r>
      <t>1.- PARÁMETROS SÍSMICOS: (</t>
    </r>
    <r>
      <rPr>
        <i/>
        <u/>
        <sz val="10"/>
        <color theme="1" tint="0.249977111117893"/>
        <rFont val="Arial Narrow"/>
        <family val="2"/>
      </rPr>
      <t>Reglamento Peruano E.030</t>
    </r>
    <r>
      <rPr>
        <b/>
        <i/>
        <u/>
        <sz val="10"/>
        <color theme="1" tint="0.249977111117893"/>
        <rFont val="Arial Narrow"/>
        <family val="2"/>
      </rPr>
      <t>)</t>
    </r>
  </si>
  <si>
    <t>Z =</t>
  </si>
  <si>
    <t>U =</t>
  </si>
  <si>
    <t>S =</t>
  </si>
  <si>
    <r>
      <t>2.- ANÁLISIS SÍSMICO ESTÁTICO:  (</t>
    </r>
    <r>
      <rPr>
        <i/>
        <u/>
        <sz val="10"/>
        <color theme="1" tint="0.249977111117893"/>
        <rFont val="Arial Narrow"/>
        <family val="2"/>
      </rPr>
      <t>ACI 350.3-06</t>
    </r>
    <r>
      <rPr>
        <b/>
        <i/>
        <u/>
        <sz val="10"/>
        <color theme="1" tint="0.249977111117893"/>
        <rFont val="Arial Narrow"/>
        <family val="2"/>
      </rPr>
      <t>)</t>
    </r>
  </si>
  <si>
    <t>2.1.- Coeficiente de masa efectiva (ε):</t>
  </si>
  <si>
    <t>Ecua. 9.34 (ACI 350.3-06)</t>
  </si>
  <si>
    <t>ε =</t>
  </si>
  <si>
    <t>2.2.- Masa equivalente de la aceleración del líquido:</t>
  </si>
  <si>
    <r>
      <t>Peso equivalente total del líquido almacenado (W</t>
    </r>
    <r>
      <rPr>
        <i/>
        <sz val="8"/>
        <color theme="1" tint="0.14999847407452621"/>
        <rFont val="Arial Narrow"/>
        <family val="2"/>
      </rPr>
      <t>L</t>
    </r>
    <r>
      <rPr>
        <i/>
        <sz val="10"/>
        <color theme="1" tint="0.14999847407452621"/>
        <rFont val="Arial Narrow"/>
        <family val="2"/>
      </rPr>
      <t>)=</t>
    </r>
  </si>
  <si>
    <t>Ecua. 9.1 (ACI 350.3-06)</t>
  </si>
  <si>
    <t>Ecua. 9.2 (ACI 350.3-06)</t>
  </si>
  <si>
    <t>Peso del líquido (WL) =</t>
  </si>
  <si>
    <t>Peso de la pared del reservorio (Ww1) =</t>
  </si>
  <si>
    <t>Peso de la losa de techo (Wr) =</t>
  </si>
  <si>
    <t>Peso Equivalente de la Componente Impulsiva (Wi) =</t>
  </si>
  <si>
    <t>Peso Equivalente de la Componente Convectiva (Wc) =</t>
  </si>
  <si>
    <t>Peso efectivo del depósito (We = ε * Ww + Wr) =</t>
  </si>
  <si>
    <t>2.3.- Propiedades dinámicas:</t>
  </si>
  <si>
    <t>Frecuencia de vibración natural componente Impulsiva (ωi):</t>
  </si>
  <si>
    <t>Masa del muro (mw):</t>
  </si>
  <si>
    <t>Masa impulsiva del líquido (mi):</t>
  </si>
  <si>
    <t>Masa total por unidad de ancho (m):</t>
  </si>
  <si>
    <t>Rigidez de la estructura (k):</t>
  </si>
  <si>
    <t>Altura sobre la base del muro al C.G. del muro (hw):</t>
  </si>
  <si>
    <t>Altura al C.G. de la componente impulsiva (hi):</t>
  </si>
  <si>
    <t>Altura al C.G. de la componente impulsiva IBP (h'i):</t>
  </si>
  <si>
    <t>Altura resultante (h):</t>
  </si>
  <si>
    <t>Altura al C.G. de la componente compulsiva (hc):</t>
  </si>
  <si>
    <t>Altura al C.G. de la componente compulsiva IBP (h'c):</t>
  </si>
  <si>
    <t>Frecuencia de vibración natural componente convectiva (ωc):</t>
  </si>
  <si>
    <t>Periodo natural de vibración correspondiente a Ti :</t>
  </si>
  <si>
    <t>Periodo natural de vibración correspondiente a Tc :</t>
  </si>
  <si>
    <t>Factor de amplificación espectral componente impulsiva Ci:</t>
  </si>
  <si>
    <t>Factor de amplificación espectral componente convectiva Cc:</t>
  </si>
  <si>
    <t>Altura del Centro de Gravedad del Muro de Reservorio   hw =</t>
  </si>
  <si>
    <t>Altura del Centro de Gravedad de la Losa de Cobertura  hr =</t>
  </si>
  <si>
    <t>Altura del Centro de Gravedad Componente Impulsiva    hi  =</t>
  </si>
  <si>
    <t>Altura del Centro de Gravedad Componente Impulsiva IBP  h'i  =</t>
  </si>
  <si>
    <t>Altura del Centro de Gravedad Componente Convectiva  hc =</t>
  </si>
  <si>
    <t>Altura del Centro de Gravedad Componente Convectiva IBP h'c =</t>
  </si>
  <si>
    <t>2.4.- Fuezas laterales dinámicas:</t>
  </si>
  <si>
    <t>I =</t>
  </si>
  <si>
    <t>Ri =</t>
  </si>
  <si>
    <t>Rc =</t>
  </si>
  <si>
    <t xml:space="preserve"> </t>
  </si>
  <si>
    <t>Pw =</t>
  </si>
  <si>
    <t xml:space="preserve">Fuerza Inercial Lateral por Aceleración del Muro </t>
  </si>
  <si>
    <t>Pr =</t>
  </si>
  <si>
    <t>Fuerza Inercial Lateral por Aceleración de la Losa</t>
  </si>
  <si>
    <t>Pi =</t>
  </si>
  <si>
    <t>Fuerza Lateral Impulsiva</t>
  </si>
  <si>
    <t>Pc =</t>
  </si>
  <si>
    <t xml:space="preserve">Fuerza Lateral Convectiva </t>
  </si>
  <si>
    <t>V =</t>
  </si>
  <si>
    <t>Corte basal total</t>
  </si>
  <si>
    <t>2.5.- Aceleración Vertical:</t>
  </si>
  <si>
    <t>La carga hidrostática qhy a una altura y:</t>
  </si>
  <si>
    <t>La presión hidrodinámica reultante Phy:</t>
  </si>
  <si>
    <t>Cv=1.0 (para depósitos rectangulares)</t>
  </si>
  <si>
    <t>b=2/3</t>
  </si>
  <si>
    <t>Ajuste a la presión hidróstatica debido a la aceleración vertical</t>
  </si>
  <si>
    <t>Presion hidroestatica</t>
  </si>
  <si>
    <t>Presion por efecto de sismo vertical</t>
  </si>
  <si>
    <t>qh(superior)=</t>
  </si>
  <si>
    <t>Ph(superior)=</t>
  </si>
  <si>
    <t>qh(fondo)=</t>
  </si>
  <si>
    <t>Ph(fondo)=</t>
  </si>
  <si>
    <t>2.6.- Distribución Horizontal de Cargas:</t>
  </si>
  <si>
    <t xml:space="preserve">Presión lateral por sismo vertical </t>
  </si>
  <si>
    <t>Distribución de carga inercial por Ww</t>
  </si>
  <si>
    <t>Distribución de carga impulsiva</t>
  </si>
  <si>
    <t>Distribución de carga convectiva</t>
  </si>
  <si>
    <t>2.7.- Presión Horizontal de Cargas:</t>
  </si>
  <si>
    <r>
      <t>y</t>
    </r>
    <r>
      <rPr>
        <i/>
        <sz val="8"/>
        <color theme="1" tint="0.14999847407452621"/>
        <rFont val="Arial Narrow"/>
        <family val="2"/>
      </rPr>
      <t>max</t>
    </r>
    <r>
      <rPr>
        <i/>
        <sz val="10"/>
        <color theme="1" tint="0.14999847407452621"/>
        <rFont val="Arial Narrow"/>
        <family val="2"/>
      </rPr>
      <t>=</t>
    </r>
  </si>
  <si>
    <t>P=Cz+D</t>
  </si>
  <si>
    <r>
      <t>y</t>
    </r>
    <r>
      <rPr>
        <i/>
        <sz val="8"/>
        <color theme="1" tint="0.14999847407452621"/>
        <rFont val="Arial Narrow"/>
        <family val="2"/>
      </rPr>
      <t>min</t>
    </r>
    <r>
      <rPr>
        <i/>
        <sz val="10"/>
        <color theme="1" tint="0.14999847407452621"/>
        <rFont val="Arial Narrow"/>
        <family val="2"/>
      </rPr>
      <t>=</t>
    </r>
  </si>
  <si>
    <t>Presión de carga inercial por Ww</t>
  </si>
  <si>
    <t>Presión de carga impulsiva</t>
  </si>
  <si>
    <t>Presión de carga convectiva</t>
  </si>
  <si>
    <t>2.8.- Momento Flexionante en la base del muro (Muro en voladizo):</t>
  </si>
  <si>
    <t>Mw =</t>
  </si>
  <si>
    <t>Mr =</t>
  </si>
  <si>
    <t>Mi =</t>
  </si>
  <si>
    <t>Mc =</t>
  </si>
  <si>
    <t>Mb =</t>
  </si>
  <si>
    <t>Momento de flexión en la base de toda la seccion</t>
  </si>
  <si>
    <t>2.9.- Momento en la base del muro:</t>
  </si>
  <si>
    <t>M'i =</t>
  </si>
  <si>
    <t>M'c =</t>
  </si>
  <si>
    <t>Mo =</t>
  </si>
  <si>
    <t>Momento de volteo en la base del reservorio</t>
  </si>
  <si>
    <t>Factor de Seguridad al Volteo (FSv):</t>
  </si>
  <si>
    <t>MB =</t>
  </si>
  <si>
    <t>ML =</t>
  </si>
  <si>
    <t>FS volteo mínimo =</t>
  </si>
  <si>
    <t>2.9.- Combinaciones Últimas para Diseño</t>
  </si>
  <si>
    <r>
      <t xml:space="preserve">El Modelamiento se efectuó en el programa de análisis de estructuras </t>
    </r>
    <r>
      <rPr>
        <b/>
        <i/>
        <sz val="10"/>
        <color theme="1" tint="0.14999847407452621"/>
        <rFont val="Arial Narrow"/>
        <family val="2"/>
      </rPr>
      <t>SAP2000(*)</t>
    </r>
    <r>
      <rPr>
        <i/>
        <sz val="10"/>
        <color theme="1" tint="0.14999847407452621"/>
        <rFont val="Arial Narrow"/>
        <family val="2"/>
      </rPr>
      <t>, para lo cual se consideró las siguientes</t>
    </r>
  </si>
  <si>
    <t>combinaciones de carga:</t>
  </si>
  <si>
    <t>U = 1.4D+1.7L+1.7F</t>
  </si>
  <si>
    <t>U = 1.25D+1.25L+1.25F+1.0E</t>
  </si>
  <si>
    <t>U = 0.9D+1.0E</t>
  </si>
  <si>
    <t>Donde: D (Carga Muerta), L (Carga Viva), F (Empuje de Líquido) y E (Carga por Sismo).</t>
  </si>
  <si>
    <r>
      <rPr>
        <b/>
        <i/>
        <sz val="10"/>
        <color theme="1" tint="0.14999847407452621"/>
        <rFont val="Arial Narrow"/>
        <family val="2"/>
      </rPr>
      <t>(*)</t>
    </r>
    <r>
      <rPr>
        <i/>
        <sz val="10"/>
        <color theme="1" tint="0.14999847407452621"/>
        <rFont val="Arial Narrow"/>
        <family val="2"/>
      </rPr>
      <t xml:space="preserve"> para el modelamiento de la estructura puede utilizarse el software que el ingeniero estructural considere pertinente.</t>
    </r>
  </si>
  <si>
    <t>3.-Modelamiento y resultados mediante Programa SAP2000</t>
  </si>
  <si>
    <t>Resultante del Diagrama de Momentos M22 – Max. (Envolvente) en la direccion X</t>
  </si>
  <si>
    <t>Fuerzas Laterales actuantes por Presión del Agua.</t>
  </si>
  <si>
    <t>4.-Diseño de la Estructura</t>
  </si>
  <si>
    <r>
      <t xml:space="preserve">El refuerzo de los elementos del reservorio en contacto con el agua se colocará en </t>
    </r>
    <r>
      <rPr>
        <b/>
        <i/>
        <sz val="10"/>
        <color theme="1" tint="0.14999847407452621"/>
        <rFont val="Arial Narrow"/>
        <family val="2"/>
      </rPr>
      <t>doble malla</t>
    </r>
    <r>
      <rPr>
        <i/>
        <sz val="10"/>
        <color theme="1" tint="0.14999847407452621"/>
        <rFont val="Arial Narrow"/>
        <family val="2"/>
      </rPr>
      <t>.</t>
    </r>
  </si>
  <si>
    <t>4.1.- Verificación y cálculo de refuerzo del muro</t>
  </si>
  <si>
    <r>
      <t>a. Acero de Refuerzo</t>
    </r>
    <r>
      <rPr>
        <b/>
        <i/>
        <u/>
        <sz val="10"/>
        <color theme="1" tint="0.14999847407452621"/>
        <rFont val="Arial Narrow"/>
        <family val="2"/>
      </rPr>
      <t xml:space="preserve"> Vertical </t>
    </r>
    <r>
      <rPr>
        <i/>
        <u/>
        <sz val="10"/>
        <color theme="1" tint="0.14999847407452621"/>
        <rFont val="Arial Narrow"/>
        <family val="2"/>
      </rPr>
      <t>por Flexión:</t>
    </r>
  </si>
  <si>
    <t xml:space="preserve">Momento máximo ultimo M22 (SAP) </t>
  </si>
  <si>
    <t>As =</t>
  </si>
  <si>
    <t>Usando</t>
  </si>
  <si>
    <t xml:space="preserve">Asmin = </t>
  </si>
  <si>
    <t>b. Control de agrietamiento</t>
  </si>
  <si>
    <t>w =</t>
  </si>
  <si>
    <t>(Rajadura Máxima para control de agrietamiento)</t>
  </si>
  <si>
    <t>S máx =</t>
  </si>
  <si>
    <t>c. Verificación del Cortante Vertical</t>
  </si>
  <si>
    <t>Fuerza Cortante Máxima (SAP) V23</t>
  </si>
  <si>
    <t xml:space="preserve">Resistencia del concreto a cortante </t>
  </si>
  <si>
    <t>Esfuerzo cortante último = V/(0.85bd)</t>
  </si>
  <si>
    <t>d.Verificación por contracción y temperatura</t>
  </si>
  <si>
    <t>L</t>
  </si>
  <si>
    <t>B</t>
  </si>
  <si>
    <t>Long. de muro entre juntas (m)</t>
  </si>
  <si>
    <t>Long. de muro entre juntas (pies)</t>
  </si>
  <si>
    <t>(ver figura)</t>
  </si>
  <si>
    <t>Cuantía de acero de temperatura</t>
  </si>
  <si>
    <t>Cuantía mínima de temperatura</t>
  </si>
  <si>
    <t>Área de acero por temperatura</t>
  </si>
  <si>
    <r>
      <t xml:space="preserve">e.Acero de Refuerzo </t>
    </r>
    <r>
      <rPr>
        <b/>
        <i/>
        <u/>
        <sz val="10"/>
        <color theme="1" tint="0.14999847407452621"/>
        <rFont val="Arial Narrow"/>
        <family val="2"/>
      </rPr>
      <t>Horizontal</t>
    </r>
    <r>
      <rPr>
        <i/>
        <u/>
        <sz val="10"/>
        <color theme="1" tint="0.14999847407452621"/>
        <rFont val="Arial Narrow"/>
        <family val="2"/>
      </rPr>
      <t xml:space="preserve"> por Flexión:</t>
    </r>
  </si>
  <si>
    <t xml:space="preserve">Momento máximo ultimo M11 (SAP) </t>
  </si>
  <si>
    <r>
      <t xml:space="preserve">f.Acero de Refuerzo </t>
    </r>
    <r>
      <rPr>
        <b/>
        <i/>
        <u/>
        <sz val="10"/>
        <color theme="1" tint="0.14999847407452621"/>
        <rFont val="Arial Narrow"/>
        <family val="2"/>
      </rPr>
      <t>Horizontal</t>
    </r>
    <r>
      <rPr>
        <i/>
        <u/>
        <sz val="10"/>
        <color theme="1" tint="0.14999847407452621"/>
        <rFont val="Arial Narrow"/>
        <family val="2"/>
      </rPr>
      <t xml:space="preserve"> por Tensión:</t>
    </r>
  </si>
  <si>
    <t xml:space="preserve">Tension máximo ultimo F11 (SAP) </t>
  </si>
  <si>
    <t>g.Verificación del Cortante Horizontal</t>
  </si>
  <si>
    <t>Fuerza Cortante Máxima (SAP) V13</t>
  </si>
  <si>
    <t>4.2 Cálculo de acero de refuerzo en losa de techo.</t>
  </si>
  <si>
    <t>La losa de cobertura será una losa maciza armada en dos direcciones, para su diseño se utilizará el Método de Coeficientes.</t>
  </si>
  <si>
    <r>
      <t>Mx = Cx Wu Lx</t>
    </r>
    <r>
      <rPr>
        <i/>
        <vertAlign val="superscript"/>
        <sz val="10"/>
        <color theme="1" tint="0.14999847407452621"/>
        <rFont val="Arial Narrow"/>
        <family val="2"/>
      </rPr>
      <t>2</t>
    </r>
  </si>
  <si>
    <t>Momento de flexión en la dirección x</t>
  </si>
  <si>
    <r>
      <t>My = Cy Wu Ly</t>
    </r>
    <r>
      <rPr>
        <i/>
        <vertAlign val="superscript"/>
        <sz val="10"/>
        <color theme="1" tint="0.14999847407452621"/>
        <rFont val="Arial Narrow"/>
        <family val="2"/>
      </rPr>
      <t>2</t>
    </r>
  </si>
  <si>
    <t>Momento de flexión en la dirección y</t>
  </si>
  <si>
    <t>Para el caso del Reservorio, se considerara que la losa se encuentra apoyada al muro en todo su perímetro, por lo cual se considera una condición de CASO 1</t>
  </si>
  <si>
    <t>Carga Viva Uniformente Repartida</t>
  </si>
  <si>
    <r>
      <t>W</t>
    </r>
    <r>
      <rPr>
        <i/>
        <vertAlign val="subscript"/>
        <sz val="10"/>
        <color theme="1" tint="0.14999847407452621"/>
        <rFont val="Arial Narrow"/>
        <family val="2"/>
      </rPr>
      <t>L</t>
    </r>
    <r>
      <rPr>
        <i/>
        <sz val="10"/>
        <color theme="1" tint="0.14999847407452621"/>
        <rFont val="Arial Narrow"/>
        <family val="2"/>
      </rPr>
      <t xml:space="preserve"> =</t>
    </r>
  </si>
  <si>
    <t>Carga Muerta Uniformente Repartida</t>
  </si>
  <si>
    <r>
      <t>W</t>
    </r>
    <r>
      <rPr>
        <i/>
        <vertAlign val="subscript"/>
        <sz val="10"/>
        <color theme="1" tint="0.14999847407452621"/>
        <rFont val="Arial Narrow"/>
        <family val="2"/>
      </rPr>
      <t>D</t>
    </r>
    <r>
      <rPr>
        <i/>
        <sz val="10"/>
        <color theme="1" tint="0.14999847407452621"/>
        <rFont val="Arial Narrow"/>
        <family val="2"/>
      </rPr>
      <t xml:space="preserve"> =</t>
    </r>
  </si>
  <si>
    <t>Luz Libre del tramo en la dirección corta</t>
  </si>
  <si>
    <t>Lx =</t>
  </si>
  <si>
    <t>Luz Libre del tramo en la dirección larga</t>
  </si>
  <si>
    <t>Ly =</t>
  </si>
  <si>
    <t>Muerta</t>
  </si>
  <si>
    <t>Viva</t>
  </si>
  <si>
    <t>Relación m=Lx/Ly</t>
  </si>
  <si>
    <t>Factor Amplificación</t>
  </si>
  <si>
    <t>Momento + por Carga Muerta Amplificada</t>
  </si>
  <si>
    <t>Cx =</t>
  </si>
  <si>
    <t>Mx =</t>
  </si>
  <si>
    <t>Cy =</t>
  </si>
  <si>
    <t>My =</t>
  </si>
  <si>
    <t>Momento + por Carga Viva Amplificada</t>
  </si>
  <si>
    <t>a. Cálculo del acero de refuerzo</t>
  </si>
  <si>
    <t>Momento máximo positivo (+)</t>
  </si>
  <si>
    <t>Area de acero positivo (inferior)</t>
  </si>
  <si>
    <t>Area de acero por temperatura</t>
  </si>
  <si>
    <t xml:space="preserve">b.Verificación del Cortante </t>
  </si>
  <si>
    <t xml:space="preserve">Fuerza Cortante Máxima </t>
  </si>
  <si>
    <t>4.3 Cálculo de Acero de Refuerzo en Losa de Fondo</t>
  </si>
  <si>
    <t>a. Cálculo de la Reacción Amplificada del Suelo</t>
  </si>
  <si>
    <t>Las Cargas que se trasmitirán al suelo son:</t>
  </si>
  <si>
    <t>Carga Muerta (Pd)</t>
  </si>
  <si>
    <r>
      <t>Carga Viva (P</t>
    </r>
    <r>
      <rPr>
        <i/>
        <vertAlign val="subscript"/>
        <sz val="10"/>
        <color theme="1" tint="0.14999847407452621"/>
        <rFont val="Arial Narrow"/>
        <family val="2"/>
      </rPr>
      <t>L</t>
    </r>
    <r>
      <rPr>
        <i/>
        <sz val="10"/>
        <color theme="1" tint="0.14999847407452621"/>
        <rFont val="Arial Narrow"/>
        <family val="2"/>
      </rPr>
      <t>)</t>
    </r>
  </si>
  <si>
    <r>
      <t>Carga Líquido (P</t>
    </r>
    <r>
      <rPr>
        <i/>
        <vertAlign val="subscript"/>
        <sz val="10"/>
        <color theme="1" tint="0.14999847407452621"/>
        <rFont val="Arial Narrow"/>
        <family val="2"/>
      </rPr>
      <t>H</t>
    </r>
    <r>
      <rPr>
        <i/>
        <sz val="10"/>
        <color theme="1" tint="0.14999847407452621"/>
        <rFont val="Arial Narrow"/>
        <family val="2"/>
      </rPr>
      <t>)</t>
    </r>
  </si>
  <si>
    <t>Peso Muro de Reservorio</t>
  </si>
  <si>
    <t>Kg</t>
  </si>
  <si>
    <t>----</t>
  </si>
  <si>
    <t>Peso de Losa de Techo + Piso</t>
  </si>
  <si>
    <t>Peso del Clorador</t>
  </si>
  <si>
    <t>Peso del líquido</t>
  </si>
  <si>
    <t>kg</t>
  </si>
  <si>
    <t>Sobrecarga de Techo</t>
  </si>
  <si>
    <t>Capacidad Portante Neta del Suelo</t>
  </si>
  <si>
    <r>
      <t>q</t>
    </r>
    <r>
      <rPr>
        <i/>
        <vertAlign val="subscript"/>
        <sz val="10"/>
        <color theme="1" tint="0.14999847407452621"/>
        <rFont val="Arial Narrow"/>
        <family val="2"/>
      </rPr>
      <t>sn</t>
    </r>
    <r>
      <rPr>
        <i/>
        <sz val="10"/>
        <color theme="1" tint="0.14999847407452621"/>
        <rFont val="Arial Narrow"/>
        <family val="2"/>
      </rPr>
      <t xml:space="preserve"> =  q</t>
    </r>
    <r>
      <rPr>
        <i/>
        <vertAlign val="subscript"/>
        <sz val="10"/>
        <color theme="1" tint="0.14999847407452621"/>
        <rFont val="Arial Narrow"/>
        <family val="2"/>
      </rPr>
      <t>s</t>
    </r>
    <r>
      <rPr>
        <i/>
        <sz val="10"/>
        <color theme="1" tint="0.14999847407452621"/>
        <rFont val="Arial Narrow"/>
        <family val="2"/>
      </rPr>
      <t xml:space="preserve"> - g</t>
    </r>
    <r>
      <rPr>
        <i/>
        <vertAlign val="subscript"/>
        <sz val="10"/>
        <color theme="1" tint="0.14999847407452621"/>
        <rFont val="Arial Narrow"/>
        <family val="2"/>
      </rPr>
      <t>s</t>
    </r>
    <r>
      <rPr>
        <i/>
        <sz val="10"/>
        <color theme="1" tint="0.14999847407452621"/>
        <rFont val="Arial Narrow"/>
        <family val="2"/>
      </rPr>
      <t xml:space="preserve"> h</t>
    </r>
    <r>
      <rPr>
        <i/>
        <vertAlign val="subscript"/>
        <sz val="10"/>
        <color theme="1" tint="0.14999847407452621"/>
        <rFont val="Arial Narrow"/>
        <family val="2"/>
      </rPr>
      <t>t</t>
    </r>
    <r>
      <rPr>
        <i/>
        <sz val="10"/>
        <color theme="1" tint="0.14999847407452621"/>
        <rFont val="Arial Narrow"/>
        <family val="2"/>
      </rPr>
      <t xml:space="preserve"> - g</t>
    </r>
    <r>
      <rPr>
        <i/>
        <vertAlign val="subscript"/>
        <sz val="10"/>
        <color theme="1" tint="0.14999847407452621"/>
        <rFont val="Arial Narrow"/>
        <family val="2"/>
      </rPr>
      <t>c</t>
    </r>
    <r>
      <rPr>
        <i/>
        <sz val="10"/>
        <color theme="1" tint="0.14999847407452621"/>
        <rFont val="Arial Narrow"/>
        <family val="2"/>
      </rPr>
      <t xml:space="preserve"> e</t>
    </r>
    <r>
      <rPr>
        <i/>
        <vertAlign val="subscript"/>
        <sz val="10"/>
        <color theme="1" tint="0.14999847407452621"/>
        <rFont val="Arial Narrow"/>
        <family val="2"/>
      </rPr>
      <t xml:space="preserve">L </t>
    </r>
    <r>
      <rPr>
        <i/>
        <sz val="10"/>
        <color theme="1" tint="0.14999847407452621"/>
        <rFont val="Arial Narrow"/>
        <family val="2"/>
      </rPr>
      <t>- S/C</t>
    </r>
  </si>
  <si>
    <t>Presión de la estructura sobre terreno</t>
  </si>
  <si>
    <r>
      <t>q</t>
    </r>
    <r>
      <rPr>
        <i/>
        <vertAlign val="subscript"/>
        <sz val="10"/>
        <color theme="1" tint="0.14999847407452621"/>
        <rFont val="Arial Narrow"/>
        <family val="2"/>
      </rPr>
      <t>T</t>
    </r>
    <r>
      <rPr>
        <i/>
        <sz val="10"/>
        <color theme="1" tint="0.14999847407452621"/>
        <rFont val="Arial Narrow"/>
        <family val="2"/>
      </rPr>
      <t xml:space="preserve"> = (Pd+P</t>
    </r>
    <r>
      <rPr>
        <i/>
        <vertAlign val="subscript"/>
        <sz val="10"/>
        <color theme="1" tint="0.14999847407452621"/>
        <rFont val="Arial Narrow"/>
        <family val="2"/>
      </rPr>
      <t>L</t>
    </r>
    <r>
      <rPr>
        <i/>
        <sz val="10"/>
        <color theme="1" tint="0.14999847407452621"/>
        <rFont val="Arial Narrow"/>
        <family val="2"/>
      </rPr>
      <t>)/(L*B)</t>
    </r>
  </si>
  <si>
    <t>Reacción Amplificada del Suelo</t>
  </si>
  <si>
    <r>
      <t>q</t>
    </r>
    <r>
      <rPr>
        <i/>
        <vertAlign val="subscript"/>
        <sz val="10"/>
        <color theme="1" tint="0.14999847407452621"/>
        <rFont val="Arial Narrow"/>
        <family val="2"/>
      </rPr>
      <t>snu</t>
    </r>
    <r>
      <rPr>
        <i/>
        <sz val="10"/>
        <color theme="1" tint="0.14999847407452621"/>
        <rFont val="Arial Narrow"/>
        <family val="2"/>
      </rPr>
      <t xml:space="preserve"> = (1.4*Pd+1.7*P</t>
    </r>
    <r>
      <rPr>
        <i/>
        <vertAlign val="subscript"/>
        <sz val="10"/>
        <color theme="1" tint="0.14999847407452621"/>
        <rFont val="Arial Narrow"/>
        <family val="2"/>
      </rPr>
      <t>L</t>
    </r>
    <r>
      <rPr>
        <i/>
        <sz val="10"/>
        <color theme="1" tint="0.14999847407452621"/>
        <rFont val="Arial Narrow"/>
        <family val="2"/>
      </rPr>
      <t>+1.7*Ph)/(L*B)</t>
    </r>
  </si>
  <si>
    <t>Area en contacto con terreno</t>
  </si>
  <si>
    <t>b. Cálculo del acero de refuerzo</t>
  </si>
  <si>
    <t>El análisis se efectuará considerando la losa de fondo armada en dos sentidos, siguiendo el criterio que la losa mantiene una continuidad con los muros, se tienen momentos finales siguientes por el Método de los Coeficientes:</t>
  </si>
  <si>
    <t>Momento - por Carga Total Amplificada</t>
  </si>
  <si>
    <t>Cantidad:</t>
  </si>
  <si>
    <t>Area de acero positivo (Superior)</t>
  </si>
  <si>
    <t>Momento máximo negativo (-)</t>
  </si>
  <si>
    <t>Área de acero negativo (Inf. zapata)</t>
  </si>
  <si>
    <t xml:space="preserve">c. Verificación del Cortante </t>
  </si>
  <si>
    <t>RESUMEN</t>
  </si>
  <si>
    <t>Teórico</t>
  </si>
  <si>
    <t>Asumido</t>
  </si>
  <si>
    <t>Acero de Refuerzo en Pantalla Vertical.</t>
  </si>
  <si>
    <t>Ø</t>
  </si>
  <si>
    <t>3/8''</t>
  </si>
  <si>
    <t>Acero de Refuerzo en Pantalla Horizontal</t>
  </si>
  <si>
    <t>Acero en Losa de Techo (inferior)</t>
  </si>
  <si>
    <t>Acero en Losa de Techo (superior)</t>
  </si>
  <si>
    <t>Ninguna</t>
  </si>
  <si>
    <t>Acero en Losa de Piso (superior)</t>
  </si>
  <si>
    <t>Acero en Losa de Piso (inferior)</t>
  </si>
  <si>
    <t>Acero en zapata (inferior)</t>
  </si>
  <si>
    <t>1/2''</t>
  </si>
  <si>
    <t>Datos de Acero de Refuerzo</t>
  </si>
  <si>
    <t>Nro</t>
  </si>
  <si>
    <t>#</t>
  </si>
  <si>
    <t>db (in)</t>
  </si>
  <si>
    <t>db (cm)</t>
  </si>
  <si>
    <t>As (cm2)</t>
  </si>
  <si>
    <t>Conexión</t>
  </si>
  <si>
    <t>Resistencia</t>
  </si>
  <si>
    <t>1/4"</t>
  </si>
  <si>
    <t>Rigida</t>
  </si>
  <si>
    <t>3/8"</t>
  </si>
  <si>
    <t>1/2"</t>
  </si>
  <si>
    <t>5/8"</t>
  </si>
  <si>
    <t>3/4"</t>
  </si>
  <si>
    <t>1"</t>
  </si>
  <si>
    <t>1 3/8"</t>
  </si>
  <si>
    <t>Normativa aplicable</t>
  </si>
  <si>
    <r>
      <t xml:space="preserve">Norma Técnica de Edificación E.030: </t>
    </r>
    <r>
      <rPr>
        <i/>
        <sz val="12"/>
        <color theme="1"/>
        <rFont val="Arial Narrow"/>
        <family val="2"/>
      </rPr>
      <t>Diseño Sismo resistente</t>
    </r>
    <r>
      <rPr>
        <sz val="12"/>
        <color theme="1"/>
        <rFont val="Arial Narrow"/>
        <family val="2"/>
      </rPr>
      <t>.</t>
    </r>
  </si>
  <si>
    <t>Reglamento Nacional de Edificaciones (RNE)</t>
  </si>
  <si>
    <r>
      <t xml:space="preserve">Norma Técnica de Edificación E.060: </t>
    </r>
    <r>
      <rPr>
        <i/>
        <sz val="12"/>
        <color theme="1"/>
        <rFont val="Arial Narrow"/>
        <family val="2"/>
      </rPr>
      <t>Concreto Armado</t>
    </r>
    <r>
      <rPr>
        <sz val="12"/>
        <color theme="1"/>
        <rFont val="Arial Narrow"/>
        <family val="2"/>
      </rPr>
      <t>.</t>
    </r>
  </si>
  <si>
    <t>Seismic Design of Liquid-Containing Concrete Structures and Commentary (ACI 350.3-06)</t>
  </si>
  <si>
    <t>Guide for the analysis, Design and Construction of Elevated Concrete and Composite Steel-Concrete Water Storage Tanks (ACI 371)</t>
  </si>
  <si>
    <t>PLANILLA AUXILIAR DE METRADOS - CERCO PERIMÉTRICO DE RESERVORIO 5 M3</t>
  </si>
  <si>
    <t>PROYECTO:</t>
  </si>
  <si>
    <t>MEJORAMIENTO Y AMPLIACION DEL SERVICIO DE AGUA POTABLE Y SANEAMIENTO RURAL EN LOS SECTORES AMARU Y HUANGABAL DEL CASERIO MARCAHUAMACHUCO, DISTRITO DE HUAMACHUCO, PROVINCIA DE SANCHEZ CARRION - LA LIBERTAD</t>
  </si>
  <si>
    <t>DATOS:</t>
  </si>
  <si>
    <t>LARGO DE RESERVORIO</t>
  </si>
  <si>
    <t>VEREDA</t>
  </si>
  <si>
    <t>Ancho de Vereda</t>
  </si>
  <si>
    <t>Espesor de Vereda</t>
  </si>
  <si>
    <t>Fondo de Aclaje</t>
  </si>
  <si>
    <t>altura de anclaje</t>
  </si>
  <si>
    <t>angulo de inclinacion</t>
  </si>
  <si>
    <t>LOSA DE CIMENTACION</t>
  </si>
  <si>
    <t>CASETA DE CLORADOR</t>
  </si>
  <si>
    <t>ZAPATA</t>
  </si>
  <si>
    <t>Alero de Techo de clorador</t>
  </si>
  <si>
    <t>Angulo de inclinacion zapata</t>
  </si>
  <si>
    <t>Ancho de Fondo de Zapata</t>
  </si>
  <si>
    <t>CASETA DE VALVULAS</t>
  </si>
  <si>
    <t>Largo de caseta de clorador</t>
  </si>
  <si>
    <t>TECHO</t>
  </si>
  <si>
    <t>Ancho de caseta de clorador</t>
  </si>
  <si>
    <t>Espesor de muro</t>
  </si>
  <si>
    <t>altura</t>
  </si>
  <si>
    <t>Tapa metalica</t>
  </si>
  <si>
    <t>Espesor de Losa de Fondo</t>
  </si>
  <si>
    <t>Espesor de Techo</t>
  </si>
  <si>
    <t>RESERVORIO APOYADO DE 5 M3</t>
  </si>
  <si>
    <t>TRABAJOS PRELIMINARES</t>
  </si>
  <si>
    <t>LIMPIEZA DE TERRENO MANUAL</t>
  </si>
  <si>
    <r>
      <t>m</t>
    </r>
    <r>
      <rPr>
        <vertAlign val="superscript"/>
        <sz val="11"/>
        <rFont val="Arial Narrow"/>
        <family val="2"/>
      </rPr>
      <t>2</t>
    </r>
  </si>
  <si>
    <t>DESCRIPCION</t>
  </si>
  <si>
    <t>N° VECES</t>
  </si>
  <si>
    <t>LARGO</t>
  </si>
  <si>
    <t>ANCHO</t>
  </si>
  <si>
    <t>ALTO</t>
  </si>
  <si>
    <t>PARCIAL</t>
  </si>
  <si>
    <t>TOTAL</t>
  </si>
  <si>
    <t>UNIDAD</t>
  </si>
  <si>
    <t>m2</t>
  </si>
  <si>
    <t>RESERVORIO + VEREDA</t>
  </si>
  <si>
    <t>TRAZO Y REPLANTEO PRELIMINAR</t>
  </si>
  <si>
    <t>ESTRUCTURAS</t>
  </si>
  <si>
    <t>MOVIMIENTO DE TIERRAS</t>
  </si>
  <si>
    <t>EXCAVACION MANUAL DE TERRENO</t>
  </si>
  <si>
    <r>
      <t>m</t>
    </r>
    <r>
      <rPr>
        <vertAlign val="superscript"/>
        <sz val="11"/>
        <rFont val="Arial Narrow"/>
        <family val="2"/>
      </rPr>
      <t>3</t>
    </r>
  </si>
  <si>
    <t>m3</t>
  </si>
  <si>
    <t>Explanación</t>
  </si>
  <si>
    <t>Losa de Fondo</t>
  </si>
  <si>
    <t>Zapata</t>
  </si>
  <si>
    <t>solado</t>
  </si>
  <si>
    <t>extra para el encofrado</t>
  </si>
  <si>
    <t>NIVELACION Y COMPACTACION</t>
  </si>
  <si>
    <t>ALTURA</t>
  </si>
  <si>
    <t>ELIMINACION DE MATERIAL EXCEDENTE DP=30m.</t>
  </si>
  <si>
    <t>EXC.</t>
  </si>
  <si>
    <t>RELLENO</t>
  </si>
  <si>
    <t>Volumen descontado</t>
  </si>
  <si>
    <t>RELLENO CON MATERIAL PROPIO</t>
  </si>
  <si>
    <t>AREA</t>
  </si>
  <si>
    <t>FACTOR</t>
  </si>
  <si>
    <t>f=</t>
  </si>
  <si>
    <t>Extra por encofrado de cimiento</t>
  </si>
  <si>
    <t>OBRAS DE CONCRETO SIMPLE</t>
  </si>
  <si>
    <t>SOLADO</t>
  </si>
  <si>
    <t>CONCRETO f`c=100 KG/CM2-SOLADO, E=10CM</t>
  </si>
  <si>
    <t>Reservorio</t>
  </si>
  <si>
    <t>CONCRETO EN VEREDA f'c=175 kg/cm2</t>
  </si>
  <si>
    <t>Vereda en reservorio</t>
  </si>
  <si>
    <t>Vereda en caja de valvulas</t>
  </si>
  <si>
    <t>ENCOFRADO Y DESENCOFRADO EN VEREDAS</t>
  </si>
  <si>
    <t>JUNTAS CON TEKNOPOR E=1"</t>
  </si>
  <si>
    <t>Juntas</t>
  </si>
  <si>
    <t>SELLADO DE JUNTAS CON MASILLA DE POLIURETANO</t>
  </si>
  <si>
    <t>m</t>
  </si>
  <si>
    <t>Radial enrocado</t>
  </si>
  <si>
    <t>DADOS DE CONCRETO EN REBOSE</t>
  </si>
  <si>
    <t>CONCRETO EN DADO fc`=140 kg/cm2  S/MEZCLADORA</t>
  </si>
  <si>
    <t>Concreto en dado</t>
  </si>
  <si>
    <t>CONCRETO  EN ZONA DE REBOSE F´C=140 kg/cm2 +30 %PM</t>
  </si>
  <si>
    <t>Concreto en zona de rebose</t>
  </si>
  <si>
    <t>ENCOFRADO Y DESENCOFRADO EN DADO</t>
  </si>
  <si>
    <t>Encofrado y desencofrado</t>
  </si>
  <si>
    <t>OBRAS DE CONCRETO ARMADO</t>
  </si>
  <si>
    <t>ZAPATA CORRIDA</t>
  </si>
  <si>
    <t>CONCRETO F`C=210 kg/cm2; SIN MEZCLADORA  PARA ZAPATA</t>
  </si>
  <si>
    <t>zapata corrida -cuña</t>
  </si>
  <si>
    <t>ENCOFRADO Y DESENCOFRADO PARA ZAPATA</t>
  </si>
  <si>
    <t>Frisos</t>
  </si>
  <si>
    <t>ACERO CORRUGADO fy=4200 kg/cm2 GRADO 60, PARA ZAPATA</t>
  </si>
  <si>
    <t>LOSA DE CIMENTACIÓN</t>
  </si>
  <si>
    <t>CONCRETO F`C=210 kg/cm2; SIN MEZCLADORA  PARA LOSA DE CIMENTACIÓN</t>
  </si>
  <si>
    <t>Losa</t>
  </si>
  <si>
    <t>ACERO CORRUGADO fy=4200 kg/cm2 GRADO 60, PARA LOSA DE CIMENTACIÓN</t>
  </si>
  <si>
    <t>MURO DE CUBA</t>
  </si>
  <si>
    <t>CONCRETO F`C=210 kg/cm2; SIN MEZCLADORA  PARA MURO DE CUBA</t>
  </si>
  <si>
    <r>
      <t>m</t>
    </r>
    <r>
      <rPr>
        <vertAlign val="superscript"/>
        <sz val="11"/>
        <color indexed="8"/>
        <rFont val="Arial Narrow"/>
        <family val="2"/>
      </rPr>
      <t>3</t>
    </r>
  </si>
  <si>
    <t>Muro</t>
  </si>
  <si>
    <t>ENCOFRADO Y DESENCOFRADO MURO CUBA</t>
  </si>
  <si>
    <r>
      <t>m</t>
    </r>
    <r>
      <rPr>
        <vertAlign val="superscript"/>
        <sz val="11"/>
        <color indexed="8"/>
        <rFont val="Arial Narrow"/>
        <family val="2"/>
      </rPr>
      <t>2</t>
    </r>
  </si>
  <si>
    <t>Cuba exterior</t>
  </si>
  <si>
    <t>Cuba interior</t>
  </si>
  <si>
    <t>ACERO CORRUGADO fy=4200 kg/cm2 PARA MURO DE CUBA</t>
  </si>
  <si>
    <t>LOSA DE TECHO</t>
  </si>
  <si>
    <t>CONCRETO F`C=210 kg/cm2; SIN MEZCLADORA  PARA LOSA DE TECHO</t>
  </si>
  <si>
    <t>Losa de techo</t>
  </si>
  <si>
    <t>ENCOFRADO Y DESENCOFRADO DE LOSA DE TECHO</t>
  </si>
  <si>
    <t>Friso de techo</t>
  </si>
  <si>
    <t>Fondo de Techo</t>
  </si>
  <si>
    <t>Área volado</t>
  </si>
  <si>
    <t>ACERO CORRUGADO fy=4200 kg/cm2 PARA LOSA DE TECHO</t>
  </si>
  <si>
    <t>ESTRUCTURA METÁLICA</t>
  </si>
  <si>
    <t>ESCALERA METÁLICA INTERIOR TIPO GATO 1" ACERO INOXIDABLE</t>
  </si>
  <si>
    <t>und</t>
  </si>
  <si>
    <t>LON/DIA EXT</t>
  </si>
  <si>
    <t>N°</t>
  </si>
  <si>
    <t>TUBERIA INOXIDABLE 1"</t>
  </si>
  <si>
    <t>FIERRO CORRUGADO 3/8"</t>
  </si>
  <si>
    <t>SOLDADURA INOX</t>
  </si>
  <si>
    <t>#VARILLAS =</t>
  </si>
  <si>
    <t>Kilogramos=</t>
  </si>
  <si>
    <t>ESCALERA EXTERIOR DE FºG DE 1"</t>
  </si>
  <si>
    <t>SOLADADURA INOX</t>
  </si>
  <si>
    <t>TAPA METALICA SANITARIA DE 0.60x0.60 m, E=1/8" INCL. CANDADO</t>
  </si>
  <si>
    <t>ARQUITECTURA</t>
  </si>
  <si>
    <t>REVOQUES ENLUCIDOS Y MOLDADURAS</t>
  </si>
  <si>
    <t>TARRAJEO CON IMPERMEABILIZANTE C:A, 1:5, DILUCION IMP:AGUA, 1:13,
E=1.5cm, ACABADO PULIDO</t>
  </si>
  <si>
    <t>Área paredes externas</t>
  </si>
  <si>
    <t xml:space="preserve">Área interna losa de techo </t>
  </si>
  <si>
    <t xml:space="preserve">Área externa losa de techo </t>
  </si>
  <si>
    <t xml:space="preserve">Área descontada por tapa </t>
  </si>
  <si>
    <t xml:space="preserve">Área de frizos en tapa </t>
  </si>
  <si>
    <t>TARRAJEO DE EXTERIORES 1:5, E=1.50CM</t>
  </si>
  <si>
    <t>Área paredes exteriores</t>
  </si>
  <si>
    <t>Área de losa de fondo</t>
  </si>
  <si>
    <t>TARRAJEO EN PENDIENTE DE FONDO DE MORTERO 1:5, PARA RESERVORIO</t>
  </si>
  <si>
    <t>Área de losa de fondo con pendiente</t>
  </si>
  <si>
    <t>OCHAVO  SANITARIO MORTERO 1:5, PARA RESERVORIO</t>
  </si>
  <si>
    <t>Ochavo sanitario</t>
  </si>
  <si>
    <t>PINTURA</t>
  </si>
  <si>
    <t>PINTURA LATEX EN EXTERIORES(DOS MANOS)</t>
  </si>
  <si>
    <t>LONG. DIAM.</t>
  </si>
  <si>
    <t>VARIOS</t>
  </si>
  <si>
    <t>SISTEMA DE CLORACION POR GOTEO</t>
  </si>
  <si>
    <t>DIMENSIONES DE CASETA DE CLORACION</t>
  </si>
  <si>
    <t>a) Largo</t>
  </si>
  <si>
    <t>b) Ancho</t>
  </si>
  <si>
    <t>c) Altura</t>
  </si>
  <si>
    <t>d) Losa</t>
  </si>
  <si>
    <t>e) Ancho de muro</t>
  </si>
  <si>
    <t>volado</t>
  </si>
  <si>
    <t>SUMINISTRO E INST. DE ACCESORIOS DE LIMPIEZA Y REBOSE EN SISTEMA DE CLORACIÓN</t>
  </si>
  <si>
    <t>ACCESORIOS</t>
  </si>
  <si>
    <t>CANT</t>
  </si>
  <si>
    <t>INGRESO</t>
  </si>
  <si>
    <t>GRIFO F°G°</t>
  </si>
  <si>
    <t>ADAPTADOR F°G°</t>
  </si>
  <si>
    <t>CODO DE F°G°</t>
  </si>
  <si>
    <t xml:space="preserve">TUBERIA DE F°G° </t>
  </si>
  <si>
    <t>CODO DE PVC SAP</t>
  </si>
  <si>
    <t>TUBERIA DE PVC SAP</t>
  </si>
  <si>
    <t>SALIDA</t>
  </si>
  <si>
    <t>VALVULA CONTROL DOSIFICADORA</t>
  </si>
  <si>
    <t>UNION UNIVERSAL PVC</t>
  </si>
  <si>
    <t>NIPLE DE PVC</t>
  </si>
  <si>
    <t>BRIDA ROMPE AGUA</t>
  </si>
  <si>
    <t>CODO PVC SAP</t>
  </si>
  <si>
    <t xml:space="preserve">TUBERÍA PVC SAP </t>
  </si>
  <si>
    <t>MICROGRIFO DE BRONCE O CONTROLADOR DE GOTEO</t>
  </si>
  <si>
    <t>CASETA DE CLORACIÓN</t>
  </si>
  <si>
    <t>CONCRETO ARMADO</t>
  </si>
  <si>
    <t>CONCRETO f'c=175 kg/cm2 (CASETA DE CLORACION)</t>
  </si>
  <si>
    <t>Muro Posterior</t>
  </si>
  <si>
    <t>Muro Lateral</t>
  </si>
  <si>
    <t>Losa superior</t>
  </si>
  <si>
    <t>ENCOFRADO Y DESENCOFRADO (CASETA DE CLORACIÓN)</t>
  </si>
  <si>
    <t>ACERO fy=4200 kg/cm2 (CASETA DE CLORACION)</t>
  </si>
  <si>
    <t>Descripción</t>
  </si>
  <si>
    <t>Grafico</t>
  </si>
  <si>
    <t>N° piezas x</t>
  </si>
  <si>
    <t xml:space="preserve">Longitud </t>
  </si>
  <si>
    <t>Longitud por Ø (m)</t>
  </si>
  <si>
    <t>elemento</t>
  </si>
  <si>
    <t>(m)</t>
  </si>
  <si>
    <t>Acero Transversal Losa sup</t>
  </si>
  <si>
    <t>Acero Longitudinal Losa sup</t>
  </si>
  <si>
    <t>LONGITUD TOTAL</t>
  </si>
  <si>
    <t>Peso Unit. (Kg/m)</t>
  </si>
  <si>
    <t>PESO TOTAL (Kg)</t>
  </si>
  <si>
    <t>REVOQUES ENLUCIDOS Y MOLDURAS</t>
  </si>
  <si>
    <t>TARRAJEO INT.  Y EXT. MEZC. 1:2 E=1.5 cm</t>
  </si>
  <si>
    <t>Muro ext. 01</t>
  </si>
  <si>
    <t>Muro ext. 02</t>
  </si>
  <si>
    <t>Muro int. 01</t>
  </si>
  <si>
    <t>Muro int. 02</t>
  </si>
  <si>
    <t>Muro frontal</t>
  </si>
  <si>
    <t>SUMINISTRO E INSTALACION DE PUERTA TIPO P-2 (1.30 X 1.90)</t>
  </si>
  <si>
    <t>CANTIDAD</t>
  </si>
  <si>
    <t>Malla cuadrada galvanizada 1" X 1" X 2.77 mm</t>
  </si>
  <si>
    <t>Perfil L 1"x1"x3/16"</t>
  </si>
  <si>
    <t>Bisagra soldables</t>
  </si>
  <si>
    <t>unid</t>
  </si>
  <si>
    <t>Candado n°40</t>
  </si>
  <si>
    <t>Portacandado  para candado n° 40</t>
  </si>
  <si>
    <t>JUNTA WATER STOP NEOPRENE 6"</t>
  </si>
  <si>
    <t>Longitud de junta</t>
  </si>
  <si>
    <t>SUM. E INST. DE ACCESORIOS DE VENTILACION</t>
  </si>
  <si>
    <t>NIPLE DE FIERRO GALVANIZADO 2" X 4"</t>
  </si>
  <si>
    <t>CODO FG DE 2"</t>
  </si>
  <si>
    <t>TAPÓN RANURADO DE 2"</t>
  </si>
  <si>
    <t>PRUEBA HIDRAULICA DE ESTANQUEIDAD EN RESERVORIO</t>
  </si>
  <si>
    <t>glb</t>
  </si>
  <si>
    <t>EXCAVACIÓN MANUAL EN TERRENO</t>
  </si>
  <si>
    <t>Para caseta</t>
  </si>
  <si>
    <t>Excavación para filtro</t>
  </si>
  <si>
    <t xml:space="preserve">RELLENO CON MATERIAL PROPIO </t>
  </si>
  <si>
    <t>Para caseta de válvulas</t>
  </si>
  <si>
    <t>ELIMINACION DE MATERIAL EXCEDENTE  DP=30m</t>
  </si>
  <si>
    <t>RELLENO PROP.</t>
  </si>
  <si>
    <t>Volúmenes descontados</t>
  </si>
  <si>
    <t>LECHO DE GRAVA</t>
  </si>
  <si>
    <t>Filtro de grava</t>
  </si>
  <si>
    <t>CONCRETO f'c=175 kg/cm2</t>
  </si>
  <si>
    <t xml:space="preserve">CONCRETO LOSA MACIZA TAPA F'c=175 Kg/cm2 </t>
  </si>
  <si>
    <t>Concreto losa maciza</t>
  </si>
  <si>
    <t>área descontada de tapa</t>
  </si>
  <si>
    <t>Concreto en muro frontal</t>
  </si>
  <si>
    <t>Concreto en muro lateral</t>
  </si>
  <si>
    <t>Concreto en losa de fondo</t>
  </si>
  <si>
    <t>área descontada del filtro</t>
  </si>
  <si>
    <t xml:space="preserve">ENCOFRADO Y DESENCOFRADO </t>
  </si>
  <si>
    <t>ENCOFRADO Y DESENCOFRADO DE MURO (02 CARAS)</t>
  </si>
  <si>
    <t>E/D muros</t>
  </si>
  <si>
    <t>externo frontal</t>
  </si>
  <si>
    <t>externo lateral</t>
  </si>
  <si>
    <t>interno frontal</t>
  </si>
  <si>
    <t>interno lateral</t>
  </si>
  <si>
    <t>E/D losa maciza</t>
  </si>
  <si>
    <t>losa interna</t>
  </si>
  <si>
    <t>frisos</t>
  </si>
  <si>
    <t>ACERO fy=4,200 kg/cm2</t>
  </si>
  <si>
    <t xml:space="preserve">REVOQUES, ENLUCIDOS Y MOLDURAS </t>
  </si>
  <si>
    <t>TARRAJEO EN CARAS INTERIORES Y EXTERIORES, 1:5, E=1.5 cm</t>
  </si>
  <si>
    <t>Tarrajeo muros</t>
  </si>
  <si>
    <t>Pared interna</t>
  </si>
  <si>
    <t>Pared externa</t>
  </si>
  <si>
    <t>Tarrajeo techo</t>
  </si>
  <si>
    <t>area interna</t>
  </si>
  <si>
    <t>área externa</t>
  </si>
  <si>
    <t>área de frizos</t>
  </si>
  <si>
    <t>área de tapa metálica</t>
  </si>
  <si>
    <t>Tarrajeo losa de fondo</t>
  </si>
  <si>
    <t xml:space="preserve">PINTURA </t>
  </si>
  <si>
    <t xml:space="preserve">PINTURA LATEX EN EXTERIORES (DOS MANOS) </t>
  </si>
  <si>
    <t>Para muros</t>
  </si>
  <si>
    <t>Para losa de techo</t>
  </si>
  <si>
    <t>área tapa metálica</t>
  </si>
  <si>
    <t>VALVULAS Y ACCESORIOS</t>
  </si>
  <si>
    <t>SUMINISTRO E INST. DE ACCESORIOS DE ENTRADA EN RESERVORIO, D=1 1/2"</t>
  </si>
  <si>
    <t>VÁLVULA DE COMPUERTA DE BRONCE</t>
  </si>
  <si>
    <t>1 1/2"</t>
  </si>
  <si>
    <t>ADAPTADOR UPR PVC</t>
  </si>
  <si>
    <t>TEE PVC SAP</t>
  </si>
  <si>
    <t>CODO 90° PVC SAP</t>
  </si>
  <si>
    <t>VALVULA FLOTADORA</t>
  </si>
  <si>
    <t>TEE CON REDUCCION DE PVC SAP</t>
  </si>
  <si>
    <t>1 1/2"-1/2"</t>
  </si>
  <si>
    <t>CODO 90° DE F°G°</t>
  </si>
  <si>
    <t>TUBERIA DE F°G°(m)</t>
  </si>
  <si>
    <t>ROMPE AGUA DE F°G°</t>
  </si>
  <si>
    <t>SUMINISTRO E INST. DE ACCESORIOS DE SALIDA EN RESERVORIO, D=1 1/2"</t>
  </si>
  <si>
    <t>UNION UNIVERSAR DE PVC</t>
  </si>
  <si>
    <t>CANASTILLA DE PVC</t>
  </si>
  <si>
    <t>3"-1 1/2"</t>
  </si>
  <si>
    <t xml:space="preserve">UNION PVC </t>
  </si>
  <si>
    <t>BRIDA ROMPE AGUA PVC SAP</t>
  </si>
  <si>
    <t>SUMINISTRO E INST. DE ACCESORIOS DE LIMPIEZA Y REBOSE EN RESERVORIO, D=1 1/2"</t>
  </si>
  <si>
    <t xml:space="preserve">NIPLE DE PVC </t>
  </si>
  <si>
    <t>UNIÓN UNIVERSAL DE F°G°</t>
  </si>
  <si>
    <t>TAPON MACHO SP PVC</t>
  </si>
  <si>
    <t xml:space="preserve">SUMINISTRO E INST. DE TAPA METALICA DE 0.60x0.60 m, E=1/8" </t>
  </si>
  <si>
    <t>DESCRIPCIÓN</t>
  </si>
  <si>
    <t>NÚMERO DE TAPAS METÁLICAS=</t>
  </si>
  <si>
    <t>UBICACIÓN:</t>
  </si>
  <si>
    <t>DEPARTAMENTO    : LA LIBERTAD</t>
  </si>
  <si>
    <t>PROVINCIA             : SANCHEZ CARRION</t>
  </si>
  <si>
    <t>DISTRITO                 : HUAMACHUCO</t>
  </si>
  <si>
    <t>LOCALIDADES        : WIRACOCHAPAMPA</t>
  </si>
  <si>
    <t>COD.</t>
  </si>
  <si>
    <t>PARTIDA</t>
  </si>
  <si>
    <t>N° DE VECES</t>
  </si>
  <si>
    <t>GEOMETRÍA</t>
  </si>
  <si>
    <t>UNID.</t>
  </si>
  <si>
    <t>CERCO PERIMETRICO</t>
  </si>
  <si>
    <t>Lado frontal/posterior</t>
  </si>
  <si>
    <t/>
  </si>
  <si>
    <t>Lados laterales</t>
  </si>
  <si>
    <t>EXCAVACION MANUAL EN TERRENO NATURAL</t>
  </si>
  <si>
    <t>Excavación de hoyos</t>
  </si>
  <si>
    <t>ELIMINACION DE MATERIAL EXCEDENTE DP=30ML</t>
  </si>
  <si>
    <t>esponjamiento = 1.2</t>
  </si>
  <si>
    <t>CONCRETO F`C=140 KG/CM2 PARA DADOS</t>
  </si>
  <si>
    <t>Concreto f'c=140 kg/cm2</t>
  </si>
  <si>
    <t>MALLA OLIMPICA CON POSTES DE TUBO LAC DE 2", E=2mm, H=2.00m</t>
  </si>
  <si>
    <t>Suministro y Colocación de postes</t>
  </si>
  <si>
    <t>PUERTA METALICA DE 1.00x2.00m</t>
  </si>
  <si>
    <t>Suministro y colocación de puerta de madera tratada inc. Candado</t>
  </si>
  <si>
    <t>PLANILLA AUXILIAR DE METRADOS - ACERO  EN RESERVORIO 10 M3</t>
  </si>
  <si>
    <t>N° de
Partida</t>
  </si>
  <si>
    <t>Descripción del
elemento estructural</t>
  </si>
  <si>
    <t>Diseño de Acero
en el elemento estructural</t>
  </si>
  <si>
    <t>Diámetro
de varilla</t>
  </si>
  <si>
    <t>Longitud por
diseño
(Inc. Traslape)</t>
  </si>
  <si>
    <t>Repeticiones
del diseño</t>
  </si>
  <si>
    <t>Cant. elem.
estructurales</t>
  </si>
  <si>
    <t>DIAMETROS</t>
  </si>
  <si>
    <t>Elemento Estructural</t>
  </si>
  <si>
    <t>varilla</t>
  </si>
  <si>
    <t>diseño</t>
  </si>
  <si>
    <t>del diseño</t>
  </si>
  <si>
    <t xml:space="preserve">Estructurales </t>
  </si>
  <si>
    <t>1/4</t>
  </si>
  <si>
    <t>3/8</t>
  </si>
  <si>
    <t>1/2</t>
  </si>
  <si>
    <t>5/8</t>
  </si>
  <si>
    <t>3/4</t>
  </si>
  <si>
    <t>1</t>
  </si>
  <si>
    <t>- CIMENTACION</t>
  </si>
  <si>
    <t>CIRCUNFERENCIAL</t>
  </si>
  <si>
    <t>Interior</t>
  </si>
  <si>
    <t>ACERO TRANSV.</t>
  </si>
  <si>
    <t>Peso en kilogramos por metro lineal</t>
  </si>
  <si>
    <t>Longitud total por diámetro, en metros lineales</t>
  </si>
  <si>
    <t>Total en kilogramos por diámetro</t>
  </si>
  <si>
    <t>Nº Varillas</t>
  </si>
  <si>
    <t>Total en kilogramos</t>
  </si>
  <si>
    <t>Longitudinal superior</t>
  </si>
  <si>
    <t>Transversal superios</t>
  </si>
  <si>
    <t>Longitudinal inferior</t>
  </si>
  <si>
    <t>Transversal inferior</t>
  </si>
  <si>
    <t>Horizontal</t>
  </si>
  <si>
    <t>Vertical</t>
  </si>
  <si>
    <t>- LOSA SUPERIOR</t>
  </si>
  <si>
    <t xml:space="preserve">Longitudinal </t>
  </si>
  <si>
    <t>Transversal</t>
  </si>
  <si>
    <t>- CASETA DE VALVULAS</t>
  </si>
  <si>
    <t>En la base</t>
  </si>
  <si>
    <t>En Tapa</t>
  </si>
  <si>
    <t>En pared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</si>
</sst>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7">
    <numFmt numFmtId="43" formatCode="_-* #,##0.00_-;\-* #,##0.00_-;_-* &quot;-&quot;??_-;_-@_-"/>
    <numFmt numFmtId="164" formatCode="_(* #,##0.00_);_(* \(#,##0.00\);_(* &quot;-&quot;??_);_(@_)"/>
    <numFmt numFmtId="165" formatCode="0.0000"/>
    <numFmt numFmtId="166" formatCode="0.000"/>
    <numFmt numFmtId="167" formatCode="#,##0.000"/>
    <numFmt numFmtId="168" formatCode="0.00&quot; &quot;&quot;m&quot;"/>
    <numFmt numFmtId="169" formatCode="0.00&quot; &quot;&quot;m2&quot;"/>
    <numFmt numFmtId="170" formatCode="&quot; &quot;&quot; &quot;#,##0.0"/>
    <numFmt numFmtId="171" formatCode="0.00&quot; &quot;&quot;cm2&quot;"/>
    <numFmt numFmtId="172" formatCode="&quot; &quot;&quot; &quot;#,##0.00"/>
    <numFmt numFmtId="173" formatCode="&quot; &quot;&quot; &quot;#,##0"/>
    <numFmt numFmtId="174" formatCode="0.0000000000"/>
    <numFmt numFmtId="175" formatCode="&quot;@&quot;&quot; &quot;0.00&quot; &quot;&quot;m&quot;"/>
    <numFmt numFmtId="176" formatCode="0.00&quot; &quot;&quot;m3&quot;"/>
    <numFmt numFmtId="177" formatCode="0&quot; &quot;&quot;kg/m2&quot;"/>
    <numFmt numFmtId="178" formatCode="0.00&quot; &quot;&quot;kg/cm2&quot;"/>
    <numFmt numFmtId="179" formatCode="0.00&quot; &quot;&quot;°&quot;"/>
    <numFmt numFmtId="180" formatCode="0.00&quot; &quot;&quot;ton/m3&quot;"/>
    <numFmt numFmtId="181" formatCode="0&quot; &quot;&quot;kg/cm2&quot;"/>
    <numFmt numFmtId="182" formatCode="0.00&quot; &quot;&quot;m/s2&quot;"/>
    <numFmt numFmtId="183" formatCode="0&quot; &quot;&quot;kg.s2/m&quot;"/>
    <numFmt numFmtId="184" formatCode="0.00&quot; &quot;&quot;rad/s&quot;"/>
    <numFmt numFmtId="185" formatCode="0.00&quot; &quot;&quot;seg&quot;"/>
    <numFmt numFmtId="186" formatCode="0.00&quot; &quot;&quot;kg.m&quot;"/>
    <numFmt numFmtId="187" formatCode="0.000&quot; &quot;&quot;cm&quot;"/>
    <numFmt numFmtId="188" formatCode="0&quot; &quot;&quot;cm&quot;"/>
    <numFmt numFmtId="189" formatCode="0.00&quot; &quot;&quot;pies&quot;"/>
    <numFmt numFmtId="190" formatCode="0.0&quot; &quot;&quot;kg.m&quot;"/>
    <numFmt numFmtId="191" formatCode="&quot;s=&quot;&quot; &quot;0.00&quot; &quot;&quot;m&quot;"/>
    <numFmt numFmtId="192" formatCode="0&quot; &quot;&quot;kg.s2/m2&quot;"/>
    <numFmt numFmtId="193" formatCode="0.00&quot; &quot;&quot;kg/m2&quot;"/>
    <numFmt numFmtId="194" formatCode="0.00&quot; &quot;&quot;kg/m&quot;"/>
    <numFmt numFmtId="195" formatCode="0.0&quot; &quot;&quot;kg/m&quot;"/>
    <numFmt numFmtId="196" formatCode="0.00&quot; &quot;&quot;y&quot;"/>
    <numFmt numFmtId="197" formatCode="0.0&quot; &quot;&quot;kg/m2&quot;"/>
    <numFmt numFmtId="198" formatCode="#,##0&quot; kg/cm2&quot;"/>
    <numFmt numFmtId="199" formatCode="#,##0&quot; kg/m3&quot;"/>
    <numFmt numFmtId="200" formatCode="#,##0.00&quot; kg&quot;"/>
    <numFmt numFmtId="201" formatCode="#,##0&quot; kg&quot;"/>
    <numFmt numFmtId="202" formatCode="#,##0&quot; kg/m2&quot;"/>
    <numFmt numFmtId="203" formatCode="#,##0.0&quot; kg/m2&quot;"/>
    <numFmt numFmtId="204" formatCode="#,##0&quot; kg.m&quot;"/>
    <numFmt numFmtId="205" formatCode="#,##0.0&quot; kg.m&quot;"/>
    <numFmt numFmtId="206" formatCode="0.00&quot; kg&quot;"/>
    <numFmt numFmtId="207" formatCode="#,##0.00&quot; m2&quot;"/>
    <numFmt numFmtId="208" formatCode="0.00&quot; m&quot;"/>
    <numFmt numFmtId="209" formatCode="#,##0.00&quot; kg/m2&quot;"/>
    <numFmt numFmtId="210" formatCode="00.00.00."/>
    <numFmt numFmtId="211" formatCode="00.00.00.00."/>
    <numFmt numFmtId="212" formatCode="00.00.00.00.00."/>
    <numFmt numFmtId="213" formatCode="00.00.00.00.00"/>
    <numFmt numFmtId="214" formatCode="0.00\ &quot;m&quot;"/>
    <numFmt numFmtId="215" formatCode="0.00\ &quot;m2&quot;"/>
    <numFmt numFmtId="216" formatCode="00.00.00.00.00.00"/>
    <numFmt numFmtId="217" formatCode="&quot;Área=&quot;0.00"/>
    <numFmt numFmtId="218" formatCode="0.0"/>
    <numFmt numFmtId="219" formatCode="00.00.00.00.00.00.00."/>
    <numFmt numFmtId="220" formatCode="00.00.00.00.00.00."/>
    <numFmt numFmtId="221" formatCode="#\ ?/?\ &quot;''&quot;"/>
    <numFmt numFmtId="222" formatCode="&quot;0&quot;0\ "/>
    <numFmt numFmtId="223" formatCode="0/0\ &quot;''&quot;"/>
    <numFmt numFmtId="224" formatCode="&quot;0&quot;0"/>
    <numFmt numFmtId="225" formatCode="&quot;(N° VECES= 0&quot;0&quot;)&quot;"/>
    <numFmt numFmtId="226" formatCode="00.00.00.00.00.00.00"/>
    <numFmt numFmtId="227" formatCode="0.00_ ;\-0.00\ "/>
    <numFmt numFmtId="228" formatCode="0.00;[Red]0.00"/>
    <numFmt numFmtId="229" formatCode="0.0&quot; &quot;&quot;m&quot;"/>
  </numFmts>
  <fonts count="53" x14ac:knownFonts="1">
    <font>
      <sz val="11"/>
      <color theme="1"/>
      <name val="Calibri"/>
      <family val="2"/>
      <scheme val="minor"/>
    </font>
    <font>
      <sz val="11"/>
      <color theme="1"/>
      <name val="Calibri"/>
      <family val="2"/>
      <scheme val="minor"/>
    </font>
    <font>
      <sz val="9"/>
      <color indexed="81"/>
      <name val="Tahoma"/>
      <family val="2"/>
    </font>
    <font>
      <b/>
      <i/>
      <u/>
      <sz val="8"/>
      <color indexed="81"/>
      <name val="Century Gothic"/>
      <family val="2"/>
    </font>
    <font>
      <i/>
      <sz val="10"/>
      <name val="Century Gothic"/>
      <family val="2"/>
    </font>
    <font>
      <sz val="12"/>
      <color theme="1"/>
      <name val="Arial Narrow"/>
      <family val="2"/>
    </font>
    <font>
      <i/>
      <sz val="12"/>
      <color theme="1"/>
      <name val="Arial Narrow"/>
      <family val="2"/>
    </font>
    <font>
      <b/>
      <sz val="12"/>
      <color theme="1"/>
      <name val="Arial Narrow"/>
      <family val="2"/>
    </font>
    <font>
      <b/>
      <sz val="11"/>
      <color theme="1" tint="0.34998626667073579"/>
      <name val="Arial Narrow"/>
      <family val="2"/>
    </font>
    <font>
      <sz val="10"/>
      <name val="Arial"/>
      <family val="2"/>
    </font>
    <font>
      <sz val="11"/>
      <name val="Arial Narrow"/>
      <family val="2"/>
    </font>
    <font>
      <b/>
      <sz val="11"/>
      <name val="Arial Narrow"/>
      <family val="2"/>
    </font>
    <font>
      <b/>
      <sz val="11"/>
      <color theme="5" tint="-0.499984740745262"/>
      <name val="Arial Narrow"/>
      <family val="2"/>
    </font>
    <font>
      <vertAlign val="superscript"/>
      <sz val="11"/>
      <name val="Arial Narrow"/>
      <family val="2"/>
    </font>
    <font>
      <b/>
      <sz val="11"/>
      <color rgb="FFD629FF"/>
      <name val="Arial Narrow"/>
      <family val="2"/>
    </font>
    <font>
      <b/>
      <sz val="11"/>
      <color rgb="FF00B050"/>
      <name val="Arial Narrow"/>
      <family val="2"/>
    </font>
    <font>
      <sz val="11"/>
      <color theme="1"/>
      <name val="Arial Narrow"/>
      <family val="2"/>
    </font>
    <font>
      <b/>
      <sz val="11"/>
      <color theme="1"/>
      <name val="Arial Narrow"/>
      <family val="2"/>
    </font>
    <font>
      <vertAlign val="superscript"/>
      <sz val="11"/>
      <color indexed="8"/>
      <name val="Arial Narrow"/>
      <family val="2"/>
    </font>
    <font>
      <b/>
      <u/>
      <sz val="11"/>
      <name val="Arial Narrow"/>
      <family val="2"/>
    </font>
    <font>
      <u/>
      <sz val="11"/>
      <color rgb="FFFF0000"/>
      <name val="Calibri"/>
      <family val="2"/>
      <scheme val="minor"/>
    </font>
    <font>
      <u/>
      <sz val="11"/>
      <color theme="3"/>
      <name val="Calibri"/>
      <family val="2"/>
      <scheme val="minor"/>
    </font>
    <font>
      <b/>
      <u/>
      <sz val="14"/>
      <name val="Arial Narrow"/>
      <family val="2"/>
    </font>
    <font>
      <b/>
      <u/>
      <sz val="10"/>
      <name val="Arial Narrow"/>
      <family val="2"/>
    </font>
    <font>
      <sz val="10"/>
      <name val="Arial Narrow"/>
      <family val="2"/>
    </font>
    <font>
      <b/>
      <sz val="10"/>
      <name val="Arial Narrow"/>
      <family val="2"/>
    </font>
    <font>
      <sz val="8"/>
      <name val="Arial"/>
      <family val="2"/>
    </font>
    <font>
      <i/>
      <sz val="11"/>
      <color theme="1" tint="0.14999847407452621"/>
      <name val="Arial Narrow"/>
      <family val="2"/>
    </font>
    <font>
      <i/>
      <u/>
      <sz val="10"/>
      <color theme="1" tint="0.14999847407452621"/>
      <name val="Arial Narrow"/>
      <family val="2"/>
    </font>
    <font>
      <b/>
      <i/>
      <u/>
      <sz val="11"/>
      <color theme="1" tint="0.14999847407452621"/>
      <name val="Arial Narrow"/>
      <family val="2"/>
    </font>
    <font>
      <b/>
      <i/>
      <sz val="10"/>
      <color theme="1" tint="0.14999847407452621"/>
      <name val="Arial Narrow"/>
      <family val="2"/>
    </font>
    <font>
      <i/>
      <sz val="10"/>
      <color theme="1" tint="0.14999847407452621"/>
      <name val="Arial Narrow"/>
      <family val="2"/>
    </font>
    <font>
      <b/>
      <i/>
      <sz val="10"/>
      <color rgb="FF00B050"/>
      <name val="Arial Narrow"/>
      <family val="2"/>
    </font>
    <font>
      <i/>
      <sz val="9"/>
      <color theme="1" tint="0.14999847407452621"/>
      <name val="Arial Narrow"/>
      <family val="2"/>
    </font>
    <font>
      <b/>
      <i/>
      <u/>
      <sz val="10"/>
      <color theme="1" tint="0.249977111117893"/>
      <name val="Arial Narrow"/>
      <family val="2"/>
    </font>
    <font>
      <i/>
      <u/>
      <sz val="10"/>
      <color theme="1" tint="0.249977111117893"/>
      <name val="Arial Narrow"/>
      <family val="2"/>
    </font>
    <font>
      <b/>
      <i/>
      <sz val="10"/>
      <color theme="1" tint="0.249977111117893"/>
      <name val="Arial Narrow"/>
      <family val="2"/>
    </font>
    <font>
      <i/>
      <sz val="8"/>
      <color theme="1" tint="0.14999847407452621"/>
      <name val="Arial Narrow"/>
      <family val="2"/>
    </font>
    <font>
      <i/>
      <sz val="10"/>
      <color theme="0"/>
      <name val="Arial Narrow"/>
      <family val="2"/>
    </font>
    <font>
      <i/>
      <sz val="10"/>
      <name val="Arial Narrow"/>
      <family val="2"/>
    </font>
    <font>
      <i/>
      <u/>
      <sz val="8"/>
      <color theme="1" tint="0.14999847407452621"/>
      <name val="Arial Narrow"/>
      <family val="2"/>
    </font>
    <font>
      <b/>
      <i/>
      <u/>
      <sz val="10"/>
      <color theme="1" tint="0.14999847407452621"/>
      <name val="Arial Narrow"/>
      <family val="2"/>
    </font>
    <font>
      <i/>
      <sz val="11"/>
      <color theme="0"/>
      <name val="Arial Narrow"/>
      <family val="2"/>
    </font>
    <font>
      <b/>
      <i/>
      <sz val="11"/>
      <color theme="1" tint="0.14999847407452621"/>
      <name val="Arial Narrow"/>
      <family val="2"/>
    </font>
    <font>
      <b/>
      <i/>
      <sz val="11"/>
      <color theme="0"/>
      <name val="Arial Narrow"/>
      <family val="2"/>
    </font>
    <font>
      <i/>
      <sz val="11"/>
      <color theme="0" tint="-0.34998626667073579"/>
      <name val="Arial Narrow"/>
      <family val="2"/>
    </font>
    <font>
      <i/>
      <sz val="11"/>
      <name val="Arial Narrow"/>
      <family val="2"/>
    </font>
    <font>
      <i/>
      <sz val="10"/>
      <color theme="0" tint="-0.34998626667073579"/>
      <name val="Arial Narrow"/>
      <family val="2"/>
    </font>
    <font>
      <i/>
      <sz val="10"/>
      <color rgb="FFFF0000"/>
      <name val="Arial Narrow"/>
      <family val="2"/>
    </font>
    <font>
      <sz val="9"/>
      <color theme="1" tint="0.14999847407452621"/>
      <name val="Arial Narrow"/>
      <family val="2"/>
    </font>
    <font>
      <i/>
      <vertAlign val="superscript"/>
      <sz val="10"/>
      <color theme="1" tint="0.14999847407452621"/>
      <name val="Arial Narrow"/>
      <family val="2"/>
    </font>
    <font>
      <i/>
      <vertAlign val="subscript"/>
      <sz val="10"/>
      <color theme="1" tint="0.14999847407452621"/>
      <name val="Arial Narrow"/>
      <family val="2"/>
    </font>
    <font>
      <b/>
      <i/>
      <sz val="10"/>
      <name val="Arial Narrow"/>
      <family val="2"/>
    </font>
  </fonts>
  <fills count="9">
    <fill>
      <patternFill patternType="none"/>
    </fill>
    <fill>
      <patternFill patternType="gray125"/>
    </fill>
    <fill>
      <patternFill patternType="solid">
        <fgColor theme="0"/>
        <bgColor indexed="64"/>
      </patternFill>
    </fill>
    <fill>
      <patternFill patternType="solid">
        <fgColor rgb="FFFFFF00"/>
        <bgColor indexed="64"/>
      </patternFill>
    </fill>
    <fill>
      <patternFill patternType="solid">
        <fgColor theme="3" tint="0.79998168889431442"/>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indexed="9"/>
        <bgColor indexed="64"/>
      </patternFill>
    </fill>
    <fill>
      <patternFill patternType="solid">
        <fgColor theme="4" tint="0.59999389629810485"/>
        <bgColor indexed="64"/>
      </patternFill>
    </fill>
  </fills>
  <borders count="61">
    <border>
      <left/>
      <right/>
      <top/>
      <bottom/>
      <diagonal/>
    </border>
    <border>
      <left/>
      <right/>
      <top style="thin">
        <color auto="1"/>
      </top>
      <bottom style="thin">
        <color auto="1"/>
      </bottom>
      <diagonal/>
    </border>
    <border>
      <left/>
      <right/>
      <top/>
      <bottom style="thin">
        <color auto="1"/>
      </bottom>
      <diagonal/>
    </border>
    <border>
      <left/>
      <right/>
      <top style="thin">
        <color auto="1"/>
      </top>
      <bottom/>
      <diagonal/>
    </border>
    <border>
      <left style="thin">
        <color auto="1"/>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medium">
        <color indexed="64"/>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thin">
        <color theme="0"/>
      </right>
      <top style="medium">
        <color indexed="64"/>
      </top>
      <bottom style="thin">
        <color theme="0"/>
      </bottom>
      <diagonal/>
    </border>
    <border>
      <left style="thin">
        <color theme="0"/>
      </left>
      <right style="thin">
        <color theme="0"/>
      </right>
      <top style="medium">
        <color indexed="64"/>
      </top>
      <bottom style="thin">
        <color theme="0"/>
      </bottom>
      <diagonal/>
    </border>
    <border>
      <left style="thin">
        <color theme="0"/>
      </left>
      <right/>
      <top style="medium">
        <color indexed="64"/>
      </top>
      <bottom style="thin">
        <color theme="0"/>
      </bottom>
      <diagonal/>
    </border>
    <border>
      <left/>
      <right style="medium">
        <color indexed="64"/>
      </right>
      <top style="medium">
        <color indexed="64"/>
      </top>
      <bottom style="thin">
        <color theme="0"/>
      </bottom>
      <diagonal/>
    </border>
    <border>
      <left/>
      <right/>
      <top style="medium">
        <color indexed="64"/>
      </top>
      <bottom style="thin">
        <color theme="0"/>
      </bottom>
      <diagonal/>
    </border>
    <border>
      <left style="medium">
        <color indexed="64"/>
      </left>
      <right style="thin">
        <color theme="0"/>
      </right>
      <top style="thin">
        <color theme="0"/>
      </top>
      <bottom style="medium">
        <color indexed="64"/>
      </bottom>
      <diagonal/>
    </border>
    <border>
      <left style="thin">
        <color theme="0"/>
      </left>
      <right style="thin">
        <color theme="0"/>
      </right>
      <top style="thin">
        <color theme="0"/>
      </top>
      <bottom style="medium">
        <color indexed="64"/>
      </bottom>
      <diagonal/>
    </border>
    <border>
      <left style="thin">
        <color theme="0"/>
      </left>
      <right style="medium">
        <color indexed="64"/>
      </right>
      <top style="thin">
        <color theme="0"/>
      </top>
      <bottom style="medium">
        <color indexed="64"/>
      </bottom>
      <diagonal/>
    </border>
    <border>
      <left/>
      <right style="thin">
        <color theme="0"/>
      </right>
      <top style="thin">
        <color theme="0"/>
      </top>
      <bottom style="medium">
        <color indexed="64"/>
      </bottom>
      <diagonal/>
    </border>
    <border>
      <left style="medium">
        <color indexed="64"/>
      </left>
      <right style="thin">
        <color indexed="64"/>
      </right>
      <top style="thin">
        <color indexed="64"/>
      </top>
      <bottom/>
      <diagonal/>
    </border>
    <border>
      <left style="hair">
        <color indexed="64"/>
      </left>
      <right style="hair">
        <color indexed="64"/>
      </right>
      <top/>
      <bottom/>
      <diagonal/>
    </border>
    <border>
      <left style="hair">
        <color indexed="64"/>
      </left>
      <right style="thin">
        <color indexed="64"/>
      </right>
      <top/>
      <bottom/>
      <diagonal/>
    </border>
    <border>
      <left style="thin">
        <color indexed="64"/>
      </left>
      <right style="hair">
        <color indexed="64"/>
      </right>
      <top style="hair">
        <color indexed="64"/>
      </top>
      <bottom style="hair">
        <color indexed="64"/>
      </bottom>
      <diagonal/>
    </border>
    <border>
      <left style="hair">
        <color indexed="64"/>
      </left>
      <right style="medium">
        <color indexed="64"/>
      </right>
      <top style="medium">
        <color indexed="64"/>
      </top>
      <bottom style="hair">
        <color indexed="64"/>
      </bottom>
      <diagonal/>
    </border>
    <border>
      <left/>
      <right style="hair">
        <color indexed="64"/>
      </right>
      <top style="medium">
        <color indexed="64"/>
      </top>
      <bottom style="hair">
        <color indexed="64"/>
      </bottom>
      <diagonal/>
    </border>
    <border>
      <left style="hair">
        <color indexed="64"/>
      </left>
      <right style="hair">
        <color indexed="64"/>
      </right>
      <top style="medium">
        <color indexed="64"/>
      </top>
      <bottom style="hair">
        <color indexed="64"/>
      </bottom>
      <diagonal/>
    </border>
    <border>
      <left style="medium">
        <color indexed="64"/>
      </left>
      <right style="thin">
        <color indexed="64"/>
      </right>
      <top/>
      <bottom/>
      <diagonal/>
    </border>
    <border>
      <left/>
      <right style="hair">
        <color indexed="64"/>
      </right>
      <top/>
      <bottom/>
      <diagonal/>
    </border>
    <border>
      <left/>
      <right style="hair">
        <color indexed="64"/>
      </right>
      <top style="hair">
        <color indexed="64"/>
      </top>
      <bottom style="hair">
        <color indexed="64"/>
      </bottom>
      <diagonal/>
    </border>
    <border>
      <left style="hair">
        <color indexed="64"/>
      </left>
      <right style="medium">
        <color indexed="64"/>
      </right>
      <top style="hair">
        <color indexed="64"/>
      </top>
      <bottom style="hair">
        <color indexed="64"/>
      </bottom>
      <diagonal/>
    </border>
    <border>
      <left style="hair">
        <color indexed="64"/>
      </left>
      <right style="hair">
        <color indexed="64"/>
      </right>
      <top style="hair">
        <color indexed="64"/>
      </top>
      <bottom style="hair">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hair">
        <color indexed="64"/>
      </left>
      <right style="hair">
        <color indexed="64"/>
      </right>
      <top style="medium">
        <color indexed="64"/>
      </top>
      <bottom/>
      <diagonal/>
    </border>
    <border>
      <left style="hair">
        <color indexed="64"/>
      </left>
      <right style="medium">
        <color indexed="64"/>
      </right>
      <top/>
      <bottom style="hair">
        <color indexed="64"/>
      </bottom>
      <diagonal/>
    </border>
    <border>
      <left/>
      <right style="hair">
        <color indexed="64"/>
      </right>
      <top/>
      <bottom style="hair">
        <color indexed="64"/>
      </bottom>
      <diagonal/>
    </border>
    <border>
      <left style="hair">
        <color indexed="64"/>
      </left>
      <right style="hair">
        <color indexed="64"/>
      </right>
      <top/>
      <bottom style="hair">
        <color indexed="64"/>
      </bottom>
      <diagonal/>
    </border>
    <border>
      <left style="hair">
        <color indexed="64"/>
      </left>
      <right style="thin">
        <color indexed="64"/>
      </right>
      <top style="medium">
        <color indexed="64"/>
      </top>
      <bottom/>
      <diagonal/>
    </border>
    <border>
      <left style="thin">
        <color indexed="64"/>
      </left>
      <right style="hair">
        <color indexed="64"/>
      </right>
      <top style="medium">
        <color indexed="64"/>
      </top>
      <bottom style="hair">
        <color indexed="64"/>
      </bottom>
      <diagonal/>
    </border>
    <border>
      <left style="thin">
        <color indexed="64"/>
      </left>
      <right style="medium">
        <color indexed="64"/>
      </right>
      <top style="thin">
        <color indexed="64"/>
      </top>
      <bottom style="medium">
        <color indexed="64"/>
      </bottom>
      <diagonal/>
    </border>
    <border>
      <left/>
      <right style="hair">
        <color indexed="64"/>
      </right>
      <top style="medium">
        <color indexed="64"/>
      </top>
      <bottom/>
      <diagonal/>
    </border>
  </borders>
  <cellStyleXfs count="9">
    <xf numFmtId="0" fontId="0" fillId="0" borderId="0"/>
    <xf numFmtId="9" fontId="1" fillId="0" borderId="0" applyFont="0" applyFill="0" applyBorder="0" applyAlignment="0" applyProtection="0"/>
    <xf numFmtId="0" fontId="1" fillId="0" borderId="0"/>
    <xf numFmtId="0" fontId="9" fillId="0" borderId="0"/>
    <xf numFmtId="0" fontId="1" fillId="0" borderId="0"/>
    <xf numFmtId="43" fontId="9" fillId="0" borderId="0" applyFont="0" applyFill="0" applyBorder="0" applyAlignment="0" applyProtection="0"/>
    <xf numFmtId="0" fontId="26" fillId="0" borderId="0"/>
    <xf numFmtId="0" fontId="26" fillId="0" borderId="0">
      <alignment vertical="center"/>
    </xf>
    <xf numFmtId="164" fontId="9" fillId="0" borderId="0" applyFont="0" applyFill="0" applyBorder="0" applyAlignment="0" applyProtection="0">
      <alignment vertical="center"/>
    </xf>
  </cellStyleXfs>
  <cellXfs count="622">
    <xf numFmtId="0" fontId="0" fillId="0" borderId="0" xfId="0"/>
    <xf numFmtId="0" fontId="5" fillId="0" borderId="0" xfId="0" applyFont="1"/>
    <xf numFmtId="0" fontId="5" fillId="0" borderId="0" xfId="0" applyFont="1" applyAlignment="1">
      <alignment horizontal="left" vertical="center"/>
    </xf>
    <xf numFmtId="0" fontId="7" fillId="0" borderId="0" xfId="0" applyFont="1"/>
    <xf numFmtId="0" fontId="7" fillId="0" borderId="0" xfId="0" applyFont="1" applyAlignment="1">
      <alignment horizontal="center" vertical="center"/>
    </xf>
    <xf numFmtId="0" fontId="7" fillId="0" borderId="14" xfId="0" applyFont="1" applyBorder="1" applyAlignment="1">
      <alignment horizontal="center"/>
    </xf>
    <xf numFmtId="0" fontId="5" fillId="0" borderId="14" xfId="0" applyFont="1" applyBorder="1" applyAlignment="1">
      <alignment horizontal="center" vertical="center"/>
    </xf>
    <xf numFmtId="0" fontId="5" fillId="0" borderId="14" xfId="0" applyFont="1" applyBorder="1" applyAlignment="1">
      <alignment horizontal="center"/>
    </xf>
    <xf numFmtId="16" fontId="5" fillId="0" borderId="14" xfId="0" applyNumberFormat="1" applyFont="1" applyBorder="1" applyAlignment="1">
      <alignment horizontal="center"/>
    </xf>
    <xf numFmtId="166" fontId="5" fillId="0" borderId="14" xfId="0" applyNumberFormat="1" applyFont="1" applyBorder="1" applyAlignment="1">
      <alignment horizontal="center"/>
    </xf>
    <xf numFmtId="2" fontId="5" fillId="0" borderId="14" xfId="0" applyNumberFormat="1" applyFont="1" applyBorder="1" applyAlignment="1">
      <alignment horizontal="center"/>
    </xf>
    <xf numFmtId="0" fontId="4" fillId="0" borderId="0" xfId="0" applyFont="1"/>
    <xf numFmtId="2" fontId="0" fillId="0" borderId="0" xfId="0" applyNumberFormat="1"/>
    <xf numFmtId="210" fontId="8" fillId="0" borderId="0" xfId="2" quotePrefix="1" applyNumberFormat="1" applyFont="1" applyAlignment="1">
      <alignment horizontal="left"/>
    </xf>
    <xf numFmtId="0" fontId="8" fillId="0" borderId="0" xfId="2" applyFont="1" applyAlignment="1">
      <alignment horizontal="left"/>
    </xf>
    <xf numFmtId="0" fontId="10" fillId="0" borderId="0" xfId="3" quotePrefix="1" applyFont="1" applyAlignment="1">
      <alignment horizontal="left"/>
    </xf>
    <xf numFmtId="0" fontId="10" fillId="0" borderId="0" xfId="3" applyFont="1"/>
    <xf numFmtId="2" fontId="11" fillId="0" borderId="0" xfId="3" applyNumberFormat="1" applyFont="1" applyProtection="1">
      <protection locked="0" hidden="1"/>
    </xf>
    <xf numFmtId="0" fontId="11" fillId="0" borderId="0" xfId="3" applyFont="1"/>
    <xf numFmtId="0" fontId="10" fillId="0" borderId="0" xfId="2" applyFont="1" applyAlignment="1">
      <alignment horizontal="left"/>
    </xf>
    <xf numFmtId="211" fontId="12" fillId="0" borderId="0" xfId="2" quotePrefix="1" applyNumberFormat="1" applyFont="1" applyAlignment="1">
      <alignment horizontal="left"/>
    </xf>
    <xf numFmtId="0" fontId="12" fillId="0" borderId="0" xfId="2" applyFont="1"/>
    <xf numFmtId="0" fontId="10" fillId="0" borderId="0" xfId="2" applyFont="1"/>
    <xf numFmtId="212" fontId="10" fillId="0" borderId="0" xfId="2" quotePrefix="1" applyNumberFormat="1" applyFont="1" applyAlignment="1">
      <alignment horizontal="left"/>
    </xf>
    <xf numFmtId="2" fontId="10" fillId="0" borderId="0" xfId="2" applyNumberFormat="1" applyFont="1"/>
    <xf numFmtId="213" fontId="10" fillId="0" borderId="0" xfId="2" applyNumberFormat="1" applyFont="1" applyAlignment="1">
      <alignment horizontal="left"/>
    </xf>
    <xf numFmtId="0" fontId="11" fillId="0" borderId="17" xfId="2" applyFont="1" applyBorder="1" applyAlignment="1">
      <alignment horizontal="center"/>
    </xf>
    <xf numFmtId="214" fontId="11" fillId="0" borderId="17" xfId="2" applyNumberFormat="1" applyFont="1" applyBorder="1" applyAlignment="1">
      <alignment horizontal="center"/>
    </xf>
    <xf numFmtId="0" fontId="10" fillId="0" borderId="10" xfId="2" applyFont="1" applyBorder="1" applyAlignment="1">
      <alignment horizontal="left"/>
    </xf>
    <xf numFmtId="0" fontId="10" fillId="0" borderId="11" xfId="2" applyFont="1" applyBorder="1" applyAlignment="1">
      <alignment horizontal="left"/>
    </xf>
    <xf numFmtId="0" fontId="10" fillId="0" borderId="17" xfId="2" applyFont="1" applyBorder="1" applyAlignment="1">
      <alignment horizontal="center"/>
    </xf>
    <xf numFmtId="214" fontId="10" fillId="0" borderId="17" xfId="2" applyNumberFormat="1" applyFont="1" applyBorder="1" applyAlignment="1">
      <alignment horizontal="center"/>
    </xf>
    <xf numFmtId="2" fontId="10" fillId="0" borderId="17" xfId="2" applyNumberFormat="1" applyFont="1" applyBorder="1" applyAlignment="1">
      <alignment horizontal="center"/>
    </xf>
    <xf numFmtId="2" fontId="10" fillId="0" borderId="17" xfId="2" applyNumberFormat="1" applyFont="1" applyBorder="1" applyAlignment="1">
      <alignment horizontal="center" vertical="center"/>
    </xf>
    <xf numFmtId="0" fontId="10" fillId="0" borderId="17" xfId="2" applyFont="1" applyBorder="1"/>
    <xf numFmtId="0" fontId="11" fillId="0" borderId="0" xfId="2" applyFont="1" applyAlignment="1">
      <alignment horizontal="right"/>
    </xf>
    <xf numFmtId="215" fontId="11" fillId="0" borderId="0" xfId="2" applyNumberFormat="1" applyFont="1"/>
    <xf numFmtId="0" fontId="14" fillId="0" borderId="0" xfId="2" applyFont="1"/>
    <xf numFmtId="216" fontId="10" fillId="0" borderId="0" xfId="2" quotePrefix="1" applyNumberFormat="1" applyFont="1" applyAlignment="1">
      <alignment horizontal="left"/>
    </xf>
    <xf numFmtId="213" fontId="10" fillId="2" borderId="0" xfId="2" applyNumberFormat="1" applyFont="1" applyFill="1" applyAlignment="1">
      <alignment horizontal="left"/>
    </xf>
    <xf numFmtId="0" fontId="11" fillId="2" borderId="10" xfId="2" applyFont="1" applyFill="1" applyBorder="1" applyAlignment="1">
      <alignment horizontal="center"/>
    </xf>
    <xf numFmtId="0" fontId="11" fillId="2" borderId="11" xfId="2" applyFont="1" applyFill="1" applyBorder="1" applyAlignment="1">
      <alignment horizontal="center"/>
    </xf>
    <xf numFmtId="0" fontId="11" fillId="2" borderId="17" xfId="2" applyFont="1" applyFill="1" applyBorder="1" applyAlignment="1">
      <alignment horizontal="center"/>
    </xf>
    <xf numFmtId="214" fontId="11" fillId="2" borderId="17" xfId="2" applyNumberFormat="1" applyFont="1" applyFill="1" applyBorder="1" applyAlignment="1">
      <alignment horizontal="center"/>
    </xf>
    <xf numFmtId="2" fontId="11" fillId="2" borderId="17" xfId="2" applyNumberFormat="1" applyFont="1" applyFill="1" applyBorder="1" applyAlignment="1">
      <alignment horizontal="center"/>
    </xf>
    <xf numFmtId="0" fontId="10" fillId="2" borderId="17" xfId="2" applyFont="1" applyFill="1" applyBorder="1" applyAlignment="1">
      <alignment horizontal="center"/>
    </xf>
    <xf numFmtId="217" fontId="10" fillId="2" borderId="17" xfId="2" applyNumberFormat="1" applyFont="1" applyFill="1" applyBorder="1" applyAlignment="1">
      <alignment horizontal="center"/>
    </xf>
    <xf numFmtId="2" fontId="10" fillId="2" borderId="17" xfId="2" applyNumberFormat="1" applyFont="1" applyFill="1" applyBorder="1" applyAlignment="1">
      <alignment horizontal="center"/>
    </xf>
    <xf numFmtId="0" fontId="10" fillId="2" borderId="0" xfId="2" applyFont="1" applyFill="1"/>
    <xf numFmtId="2" fontId="10" fillId="2" borderId="17" xfId="2" applyNumberFormat="1" applyFont="1" applyFill="1" applyBorder="1" applyAlignment="1">
      <alignment horizontal="center" vertical="center"/>
    </xf>
    <xf numFmtId="214" fontId="10" fillId="2" borderId="17" xfId="2" applyNumberFormat="1" applyFont="1" applyFill="1" applyBorder="1" applyAlignment="1">
      <alignment horizontal="center"/>
    </xf>
    <xf numFmtId="0" fontId="10" fillId="2" borderId="17" xfId="2" applyFont="1" applyFill="1" applyBorder="1"/>
    <xf numFmtId="218" fontId="10" fillId="2" borderId="17" xfId="2" applyNumberFormat="1" applyFont="1" applyFill="1" applyBorder="1" applyAlignment="1">
      <alignment horizontal="center"/>
    </xf>
    <xf numFmtId="2" fontId="10" fillId="2" borderId="0" xfId="2" applyNumberFormat="1" applyFont="1" applyFill="1"/>
    <xf numFmtId="167" fontId="10" fillId="2" borderId="17" xfId="2" applyNumberFormat="1" applyFont="1" applyFill="1" applyBorder="1" applyAlignment="1">
      <alignment horizontal="center"/>
    </xf>
    <xf numFmtId="0" fontId="10" fillId="2" borderId="0" xfId="2" applyFont="1" applyFill="1" applyAlignment="1">
      <alignment horizontal="right"/>
    </xf>
    <xf numFmtId="4" fontId="11" fillId="2" borderId="0" xfId="2" applyNumberFormat="1" applyFont="1" applyFill="1" applyAlignment="1">
      <alignment horizontal="right"/>
    </xf>
    <xf numFmtId="4" fontId="10" fillId="2" borderId="0" xfId="2" applyNumberFormat="1" applyFont="1" applyFill="1"/>
    <xf numFmtId="4" fontId="10" fillId="2" borderId="17" xfId="2" applyNumberFormat="1" applyFont="1" applyFill="1" applyBorder="1" applyAlignment="1">
      <alignment horizontal="center"/>
    </xf>
    <xf numFmtId="0" fontId="15" fillId="2" borderId="0" xfId="2" applyFont="1" applyFill="1"/>
    <xf numFmtId="219" fontId="10" fillId="0" borderId="0" xfId="2" quotePrefix="1" applyNumberFormat="1" applyFont="1" applyAlignment="1">
      <alignment horizontal="left"/>
    </xf>
    <xf numFmtId="216" fontId="10" fillId="2" borderId="0" xfId="2" quotePrefix="1" applyNumberFormat="1" applyFont="1" applyFill="1" applyAlignment="1">
      <alignment horizontal="left"/>
    </xf>
    <xf numFmtId="0" fontId="10" fillId="2" borderId="0" xfId="0" applyFont="1" applyFill="1"/>
    <xf numFmtId="216" fontId="11" fillId="2" borderId="0" xfId="2" quotePrefix="1" applyNumberFormat="1" applyFont="1" applyFill="1" applyAlignment="1">
      <alignment horizontal="left"/>
    </xf>
    <xf numFmtId="0" fontId="11" fillId="2" borderId="0" xfId="2" applyFont="1" applyFill="1"/>
    <xf numFmtId="2" fontId="11" fillId="2" borderId="0" xfId="2" applyNumberFormat="1" applyFont="1" applyFill="1"/>
    <xf numFmtId="0" fontId="10" fillId="2" borderId="0" xfId="2" applyFont="1" applyFill="1" applyAlignment="1">
      <alignment horizontal="center"/>
    </xf>
    <xf numFmtId="215" fontId="10" fillId="2" borderId="0" xfId="2" applyNumberFormat="1" applyFont="1" applyFill="1" applyAlignment="1">
      <alignment horizontal="center"/>
    </xf>
    <xf numFmtId="2" fontId="10" fillId="2" borderId="0" xfId="2" applyNumberFormat="1" applyFont="1" applyFill="1" applyAlignment="1">
      <alignment horizontal="center"/>
    </xf>
    <xf numFmtId="0" fontId="10" fillId="2" borderId="0" xfId="2" applyFont="1" applyFill="1" applyAlignment="1">
      <alignment horizontal="left"/>
    </xf>
    <xf numFmtId="167" fontId="10" fillId="2" borderId="0" xfId="2" applyNumberFormat="1" applyFont="1" applyFill="1" applyAlignment="1">
      <alignment horizontal="center"/>
    </xf>
    <xf numFmtId="213" fontId="10" fillId="0" borderId="0" xfId="2" quotePrefix="1" applyNumberFormat="1" applyFont="1" applyAlignment="1">
      <alignment horizontal="left"/>
    </xf>
    <xf numFmtId="214" fontId="10" fillId="2" borderId="0" xfId="2" applyNumberFormat="1" applyFont="1" applyFill="1" applyAlignment="1">
      <alignment horizontal="center"/>
    </xf>
    <xf numFmtId="212" fontId="11" fillId="0" borderId="0" xfId="2" quotePrefix="1" applyNumberFormat="1" applyFont="1" applyAlignment="1">
      <alignment horizontal="left"/>
    </xf>
    <xf numFmtId="216" fontId="15" fillId="0" borderId="0" xfId="2" quotePrefix="1" applyNumberFormat="1" applyFont="1" applyAlignment="1">
      <alignment horizontal="left"/>
    </xf>
    <xf numFmtId="2" fontId="16" fillId="2" borderId="0" xfId="2" applyNumberFormat="1" applyFont="1" applyFill="1"/>
    <xf numFmtId="0" fontId="16" fillId="2" borderId="0" xfId="2" applyFont="1" applyFill="1"/>
    <xf numFmtId="2" fontId="17" fillId="2" borderId="0" xfId="2" applyNumberFormat="1" applyFont="1" applyFill="1"/>
    <xf numFmtId="213" fontId="16" fillId="2" borderId="0" xfId="2" applyNumberFormat="1" applyFont="1" applyFill="1" applyAlignment="1">
      <alignment horizontal="left"/>
    </xf>
    <xf numFmtId="0" fontId="17" fillId="2" borderId="17" xfId="2" applyFont="1" applyFill="1" applyBorder="1" applyAlignment="1">
      <alignment horizontal="center"/>
    </xf>
    <xf numFmtId="214" fontId="17" fillId="2" borderId="17" xfId="2" applyNumberFormat="1" applyFont="1" applyFill="1" applyBorder="1" applyAlignment="1">
      <alignment horizontal="center"/>
    </xf>
    <xf numFmtId="0" fontId="17" fillId="2" borderId="10" xfId="2" applyFont="1" applyFill="1" applyBorder="1" applyAlignment="1">
      <alignment horizontal="center"/>
    </xf>
    <xf numFmtId="0" fontId="17" fillId="2" borderId="11" xfId="2" applyFont="1" applyFill="1" applyBorder="1" applyAlignment="1">
      <alignment horizontal="center"/>
    </xf>
    <xf numFmtId="2" fontId="17" fillId="2" borderId="17" xfId="2" applyNumberFormat="1" applyFont="1" applyFill="1" applyBorder="1" applyAlignment="1">
      <alignment horizontal="center"/>
    </xf>
    <xf numFmtId="0" fontId="16" fillId="2" borderId="17" xfId="2" applyFont="1" applyFill="1" applyBorder="1" applyAlignment="1">
      <alignment horizontal="center"/>
    </xf>
    <xf numFmtId="4" fontId="16" fillId="2" borderId="17" xfId="2" applyNumberFormat="1" applyFont="1" applyFill="1" applyBorder="1" applyAlignment="1">
      <alignment horizontal="center"/>
    </xf>
    <xf numFmtId="2" fontId="16" fillId="2" borderId="17" xfId="2" applyNumberFormat="1" applyFont="1" applyFill="1" applyBorder="1" applyAlignment="1">
      <alignment horizontal="center"/>
    </xf>
    <xf numFmtId="0" fontId="16" fillId="2" borderId="17" xfId="2" applyFont="1" applyFill="1" applyBorder="1"/>
    <xf numFmtId="213" fontId="11" fillId="2" borderId="0" xfId="2" quotePrefix="1" applyNumberFormat="1" applyFont="1" applyFill="1" applyAlignment="1">
      <alignment horizontal="left"/>
    </xf>
    <xf numFmtId="2" fontId="10" fillId="2" borderId="17" xfId="2" applyNumberFormat="1" applyFont="1" applyFill="1" applyBorder="1"/>
    <xf numFmtId="212" fontId="15" fillId="0" borderId="0" xfId="2" quotePrefix="1" applyNumberFormat="1" applyFont="1" applyAlignment="1">
      <alignment horizontal="left"/>
    </xf>
    <xf numFmtId="213" fontId="11" fillId="2" borderId="0" xfId="2" applyNumberFormat="1" applyFont="1" applyFill="1" applyAlignment="1">
      <alignment horizontal="left"/>
    </xf>
    <xf numFmtId="220" fontId="10" fillId="0" borderId="0" xfId="2" quotePrefix="1" applyNumberFormat="1" applyFont="1" applyAlignment="1">
      <alignment horizontal="left"/>
    </xf>
    <xf numFmtId="4" fontId="16" fillId="2" borderId="11" xfId="2" applyNumberFormat="1" applyFont="1" applyFill="1" applyBorder="1" applyAlignment="1">
      <alignment horizontal="center"/>
    </xf>
    <xf numFmtId="2" fontId="10" fillId="2" borderId="2" xfId="2" applyNumberFormat="1" applyFont="1" applyFill="1" applyBorder="1" applyAlignment="1">
      <alignment horizontal="center"/>
    </xf>
    <xf numFmtId="1" fontId="10" fillId="2" borderId="17" xfId="2" applyNumberFormat="1" applyFont="1" applyFill="1" applyBorder="1" applyAlignment="1">
      <alignment horizontal="center"/>
    </xf>
    <xf numFmtId="221" fontId="10" fillId="2" borderId="0" xfId="2" applyNumberFormat="1" applyFont="1" applyFill="1" applyAlignment="1">
      <alignment horizontal="center"/>
    </xf>
    <xf numFmtId="0" fontId="11" fillId="2" borderId="0" xfId="2" applyFont="1" applyFill="1" applyAlignment="1">
      <alignment horizontal="center"/>
    </xf>
    <xf numFmtId="215" fontId="11" fillId="2" borderId="0" xfId="2" applyNumberFormat="1" applyFont="1" applyFill="1" applyAlignment="1">
      <alignment horizontal="center"/>
    </xf>
    <xf numFmtId="0" fontId="19" fillId="2" borderId="0" xfId="2" applyFont="1" applyFill="1" applyAlignment="1">
      <alignment horizontal="left"/>
    </xf>
    <xf numFmtId="2" fontId="11" fillId="2" borderId="0" xfId="3" applyNumberFormat="1" applyFont="1" applyFill="1" applyProtection="1">
      <protection locked="0" hidden="1"/>
    </xf>
    <xf numFmtId="214" fontId="11" fillId="2" borderId="0" xfId="2" applyNumberFormat="1" applyFont="1" applyFill="1" applyAlignment="1">
      <alignment horizontal="center"/>
    </xf>
    <xf numFmtId="213" fontId="11" fillId="0" borderId="0" xfId="2" quotePrefix="1" applyNumberFormat="1" applyFont="1" applyAlignment="1">
      <alignment horizontal="left"/>
    </xf>
    <xf numFmtId="0" fontId="11" fillId="0" borderId="0" xfId="2" applyFont="1"/>
    <xf numFmtId="2" fontId="11" fillId="0" borderId="0" xfId="2" applyNumberFormat="1" applyFont="1"/>
    <xf numFmtId="0" fontId="10" fillId="0" borderId="0" xfId="2" applyFont="1" applyAlignment="1">
      <alignment horizontal="center"/>
    </xf>
    <xf numFmtId="16" fontId="10" fillId="0" borderId="17" xfId="2" applyNumberFormat="1" applyFont="1" applyBorder="1" applyAlignment="1">
      <alignment horizontal="center"/>
    </xf>
    <xf numFmtId="2" fontId="11" fillId="0" borderId="17" xfId="2" applyNumberFormat="1" applyFont="1" applyBorder="1" applyAlignment="1">
      <alignment horizontal="center"/>
    </xf>
    <xf numFmtId="16" fontId="10" fillId="0" borderId="0" xfId="2" applyNumberFormat="1" applyFont="1" applyAlignment="1">
      <alignment horizontal="center"/>
    </xf>
    <xf numFmtId="2" fontId="11" fillId="0" borderId="0" xfId="2" applyNumberFormat="1" applyFont="1" applyAlignment="1">
      <alignment horizontal="center"/>
    </xf>
    <xf numFmtId="214" fontId="11" fillId="0" borderId="0" xfId="2" applyNumberFormat="1" applyFont="1" applyAlignment="1">
      <alignment horizontal="center"/>
    </xf>
    <xf numFmtId="210" fontId="12" fillId="0" borderId="0" xfId="2" quotePrefix="1" applyNumberFormat="1" applyFont="1" applyAlignment="1">
      <alignment horizontal="left"/>
    </xf>
    <xf numFmtId="211" fontId="15" fillId="0" borderId="0" xfId="2" quotePrefix="1" applyNumberFormat="1" applyFont="1" applyAlignment="1">
      <alignment horizontal="left"/>
    </xf>
    <xf numFmtId="0" fontId="11" fillId="2" borderId="0" xfId="2" applyFont="1" applyFill="1" applyAlignment="1">
      <alignment horizontal="left"/>
    </xf>
    <xf numFmtId="166" fontId="11" fillId="2" borderId="0" xfId="2" applyNumberFormat="1" applyFont="1" applyFill="1"/>
    <xf numFmtId="166" fontId="10" fillId="2" borderId="0" xfId="2" applyNumberFormat="1" applyFont="1" applyFill="1" applyAlignment="1">
      <alignment horizontal="center"/>
    </xf>
    <xf numFmtId="0" fontId="10" fillId="2" borderId="0" xfId="2" applyFont="1" applyFill="1" applyAlignment="1">
      <alignment horizontal="left" vertical="top"/>
    </xf>
    <xf numFmtId="222" fontId="10" fillId="2" borderId="0" xfId="2" applyNumberFormat="1" applyFont="1" applyFill="1" applyAlignment="1">
      <alignment horizontal="center"/>
    </xf>
    <xf numFmtId="0" fontId="11" fillId="2" borderId="0" xfId="2" applyFont="1" applyFill="1" applyAlignment="1">
      <alignment horizontal="left" vertical="top"/>
    </xf>
    <xf numFmtId="222" fontId="11" fillId="2" borderId="0" xfId="2" applyNumberFormat="1" applyFont="1" applyFill="1" applyAlignment="1">
      <alignment horizontal="center"/>
    </xf>
    <xf numFmtId="0" fontId="11" fillId="2" borderId="17" xfId="2" applyFont="1" applyFill="1" applyBorder="1"/>
    <xf numFmtId="214" fontId="10" fillId="2" borderId="0" xfId="2" applyNumberFormat="1" applyFont="1" applyFill="1" applyAlignment="1">
      <alignment horizontal="left"/>
    </xf>
    <xf numFmtId="0" fontId="11" fillId="2" borderId="4" xfId="2" applyFont="1" applyFill="1" applyBorder="1" applyAlignment="1">
      <alignment horizontal="center" wrapText="1"/>
    </xf>
    <xf numFmtId="0" fontId="11" fillId="2" borderId="18" xfId="2" applyFont="1" applyFill="1" applyBorder="1" applyAlignment="1">
      <alignment horizontal="center"/>
    </xf>
    <xf numFmtId="0" fontId="11" fillId="2" borderId="8" xfId="2" applyFont="1" applyFill="1" applyBorder="1" applyAlignment="1">
      <alignment horizontal="center"/>
    </xf>
    <xf numFmtId="0" fontId="11" fillId="2" borderId="19" xfId="2" applyFont="1" applyFill="1" applyBorder="1" applyAlignment="1">
      <alignment horizontal="center"/>
    </xf>
    <xf numFmtId="223" fontId="11" fillId="2" borderId="17" xfId="2" applyNumberFormat="1" applyFont="1" applyFill="1" applyBorder="1" applyAlignment="1">
      <alignment horizontal="center"/>
    </xf>
    <xf numFmtId="0" fontId="11" fillId="2" borderId="17" xfId="2" applyFont="1" applyFill="1" applyBorder="1" applyAlignment="1">
      <alignment horizontal="center" vertical="center" wrapText="1"/>
    </xf>
    <xf numFmtId="0" fontId="10" fillId="2" borderId="17" xfId="2" applyFont="1" applyFill="1" applyBorder="1" applyAlignment="1">
      <alignment horizontal="center" vertical="center"/>
    </xf>
    <xf numFmtId="223" fontId="10" fillId="2" borderId="17" xfId="2" applyNumberFormat="1" applyFont="1" applyFill="1" applyBorder="1" applyAlignment="1">
      <alignment horizontal="center" vertical="center"/>
    </xf>
    <xf numFmtId="0" fontId="10" fillId="2" borderId="19" xfId="2" applyFont="1" applyFill="1" applyBorder="1" applyAlignment="1">
      <alignment horizontal="center" vertical="center"/>
    </xf>
    <xf numFmtId="2" fontId="10" fillId="2" borderId="19" xfId="2" applyNumberFormat="1" applyFont="1" applyFill="1" applyBorder="1" applyAlignment="1">
      <alignment horizontal="center" vertical="center"/>
    </xf>
    <xf numFmtId="2" fontId="10" fillId="2" borderId="17" xfId="2" applyNumberFormat="1" applyFont="1" applyFill="1" applyBorder="1" applyAlignment="1">
      <alignment vertical="center"/>
    </xf>
    <xf numFmtId="1" fontId="10" fillId="2" borderId="0" xfId="2" applyNumberFormat="1" applyFont="1" applyFill="1" applyAlignment="1">
      <alignment horizontal="center"/>
    </xf>
    <xf numFmtId="0" fontId="19" fillId="2" borderId="0" xfId="2" applyFont="1" applyFill="1" applyAlignment="1">
      <alignment horizontal="left" vertical="top"/>
    </xf>
    <xf numFmtId="0" fontId="19" fillId="2" borderId="0" xfId="2" applyFont="1" applyFill="1"/>
    <xf numFmtId="224" fontId="10" fillId="2" borderId="17" xfId="2" applyNumberFormat="1" applyFont="1" applyFill="1" applyBorder="1" applyAlignment="1">
      <alignment horizontal="center"/>
    </xf>
    <xf numFmtId="0" fontId="10" fillId="2" borderId="0" xfId="3" quotePrefix="1" applyFont="1" applyFill="1" applyAlignment="1">
      <alignment horizontal="left"/>
    </xf>
    <xf numFmtId="0" fontId="10" fillId="2" borderId="0" xfId="3" applyFont="1" applyFill="1"/>
    <xf numFmtId="0" fontId="11" fillId="2" borderId="0" xfId="3" applyFont="1" applyFill="1"/>
    <xf numFmtId="0" fontId="10" fillId="2" borderId="17" xfId="3" applyFont="1" applyFill="1" applyBorder="1" applyAlignment="1">
      <alignment horizontal="center"/>
    </xf>
    <xf numFmtId="166" fontId="10" fillId="2" borderId="17" xfId="2" applyNumberFormat="1" applyFont="1" applyFill="1" applyBorder="1" applyAlignment="1">
      <alignment horizontal="center"/>
    </xf>
    <xf numFmtId="0" fontId="10" fillId="2" borderId="17" xfId="2" applyFont="1" applyFill="1" applyBorder="1" applyAlignment="1">
      <alignment horizontal="left"/>
    </xf>
    <xf numFmtId="216" fontId="10" fillId="2" borderId="0" xfId="2" applyNumberFormat="1" applyFont="1" applyFill="1" applyAlignment="1">
      <alignment horizontal="left"/>
    </xf>
    <xf numFmtId="213" fontId="10" fillId="2" borderId="0" xfId="2" quotePrefix="1" applyNumberFormat="1" applyFont="1" applyFill="1" applyAlignment="1">
      <alignment horizontal="left"/>
    </xf>
    <xf numFmtId="2" fontId="11" fillId="2" borderId="17" xfId="2" applyNumberFormat="1" applyFont="1" applyFill="1" applyBorder="1"/>
    <xf numFmtId="2" fontId="10" fillId="2" borderId="11" xfId="2" applyNumberFormat="1" applyFont="1" applyFill="1" applyBorder="1" applyAlignment="1">
      <alignment horizontal="center"/>
    </xf>
    <xf numFmtId="0" fontId="10" fillId="2" borderId="18" xfId="2" applyFont="1" applyFill="1" applyBorder="1" applyAlignment="1">
      <alignment horizontal="center"/>
    </xf>
    <xf numFmtId="2" fontId="11" fillId="2" borderId="18" xfId="2" applyNumberFormat="1" applyFont="1" applyFill="1" applyBorder="1"/>
    <xf numFmtId="0" fontId="11" fillId="2" borderId="18" xfId="2" applyFont="1" applyFill="1" applyBorder="1"/>
    <xf numFmtId="225" fontId="10" fillId="2" borderId="0" xfId="2" applyNumberFormat="1" applyFont="1" applyFill="1"/>
    <xf numFmtId="4" fontId="10" fillId="2" borderId="0" xfId="2" applyNumberFormat="1" applyFont="1" applyFill="1" applyAlignment="1">
      <alignment horizontal="center"/>
    </xf>
    <xf numFmtId="2" fontId="10" fillId="2" borderId="19" xfId="2" applyNumberFormat="1" applyFont="1" applyFill="1" applyBorder="1" applyAlignment="1">
      <alignment horizontal="center"/>
    </xf>
    <xf numFmtId="3" fontId="10" fillId="2" borderId="17" xfId="2" applyNumberFormat="1" applyFont="1" applyFill="1" applyBorder="1" applyAlignment="1">
      <alignment horizontal="center"/>
    </xf>
    <xf numFmtId="12" fontId="10" fillId="2" borderId="17" xfId="2" quotePrefix="1" applyNumberFormat="1" applyFont="1" applyFill="1" applyBorder="1" applyAlignment="1">
      <alignment horizontal="center"/>
    </xf>
    <xf numFmtId="222" fontId="11" fillId="2" borderId="17" xfId="2" applyNumberFormat="1" applyFont="1" applyFill="1" applyBorder="1" applyAlignment="1">
      <alignment horizontal="center"/>
    </xf>
    <xf numFmtId="16" fontId="10" fillId="2" borderId="17" xfId="2" quotePrefix="1" applyNumberFormat="1" applyFont="1" applyFill="1" applyBorder="1" applyAlignment="1">
      <alignment horizontal="center"/>
    </xf>
    <xf numFmtId="12" fontId="10" fillId="2" borderId="0" xfId="2" quotePrefix="1" applyNumberFormat="1" applyFont="1" applyFill="1" applyAlignment="1">
      <alignment horizontal="center"/>
    </xf>
    <xf numFmtId="0" fontId="20" fillId="0" borderId="0" xfId="0" applyFont="1"/>
    <xf numFmtId="0" fontId="21" fillId="0" borderId="0" xfId="0" applyFont="1"/>
    <xf numFmtId="0" fontId="0" fillId="3" borderId="0" xfId="0" applyFill="1"/>
    <xf numFmtId="2" fontId="0" fillId="3" borderId="0" xfId="0" applyNumberFormat="1" applyFill="1"/>
    <xf numFmtId="0" fontId="10" fillId="2" borderId="10" xfId="2" applyFont="1" applyFill="1" applyBorder="1" applyAlignment="1">
      <alignment horizontal="left"/>
    </xf>
    <xf numFmtId="0" fontId="10" fillId="2" borderId="11" xfId="2" applyFont="1" applyFill="1" applyBorder="1" applyAlignment="1">
      <alignment horizontal="left"/>
    </xf>
    <xf numFmtId="215" fontId="11" fillId="2" borderId="0" xfId="2" applyNumberFormat="1" applyFont="1" applyFill="1"/>
    <xf numFmtId="0" fontId="10" fillId="2" borderId="11" xfId="2" applyFont="1" applyFill="1" applyBorder="1"/>
    <xf numFmtId="0" fontId="10" fillId="2" borderId="10" xfId="2" applyFont="1" applyFill="1" applyBorder="1" applyAlignment="1">
      <alignment horizontal="center"/>
    </xf>
    <xf numFmtId="0" fontId="11" fillId="2" borderId="17" xfId="2" applyFont="1" applyFill="1" applyBorder="1" applyAlignment="1">
      <alignment horizontal="right" indent="1"/>
    </xf>
    <xf numFmtId="0" fontId="23" fillId="2" borderId="0" xfId="3" applyFont="1" applyFill="1" applyAlignment="1">
      <alignment vertical="center"/>
    </xf>
    <xf numFmtId="0" fontId="24" fillId="2" borderId="0" xfId="3" applyFont="1" applyFill="1"/>
    <xf numFmtId="0" fontId="24" fillId="2" borderId="0" xfId="3" applyFont="1" applyFill="1" applyAlignment="1">
      <alignment horizontal="center"/>
    </xf>
    <xf numFmtId="0" fontId="24" fillId="4" borderId="24" xfId="3" applyFont="1" applyFill="1" applyBorder="1" applyAlignment="1">
      <alignment vertical="center" wrapText="1"/>
    </xf>
    <xf numFmtId="0" fontId="24" fillId="4" borderId="23" xfId="3" applyFont="1" applyFill="1" applyBorder="1" applyAlignment="1">
      <alignment vertical="center" wrapText="1"/>
    </xf>
    <xf numFmtId="0" fontId="24" fillId="4" borderId="26" xfId="3" applyFont="1" applyFill="1" applyBorder="1" applyAlignment="1">
      <alignment horizontal="center" vertical="center" wrapText="1"/>
    </xf>
    <xf numFmtId="0" fontId="24" fillId="4" borderId="27" xfId="3" applyFont="1" applyFill="1" applyBorder="1" applyAlignment="1">
      <alignment horizontal="center" vertical="center" wrapText="1"/>
    </xf>
    <xf numFmtId="0" fontId="24" fillId="4" borderId="28" xfId="3" applyFont="1" applyFill="1" applyBorder="1" applyAlignment="1">
      <alignment horizontal="center" vertical="center" wrapText="1"/>
    </xf>
    <xf numFmtId="0" fontId="24" fillId="2" borderId="13" xfId="3" applyFont="1" applyFill="1" applyBorder="1"/>
    <xf numFmtId="0" fontId="24" fillId="2" borderId="15" xfId="3" applyFont="1" applyFill="1" applyBorder="1"/>
    <xf numFmtId="0" fontId="24" fillId="2" borderId="16" xfId="3" applyFont="1" applyFill="1" applyBorder="1"/>
    <xf numFmtId="226" fontId="25" fillId="5" borderId="29" xfId="4" applyNumberFormat="1" applyFont="1" applyFill="1" applyBorder="1" applyAlignment="1">
      <alignment vertical="center"/>
    </xf>
    <xf numFmtId="213" fontId="25" fillId="5" borderId="18" xfId="4" applyNumberFormat="1" applyFont="1" applyFill="1" applyBorder="1" applyAlignment="1">
      <alignment horizontal="left" vertical="center" indent="3"/>
    </xf>
    <xf numFmtId="0" fontId="25" fillId="5" borderId="12" xfId="3" applyFont="1" applyFill="1" applyBorder="1"/>
    <xf numFmtId="16" fontId="25" fillId="5" borderId="30" xfId="3" quotePrefix="1" applyNumberFormat="1" applyFont="1" applyFill="1" applyBorder="1" applyAlignment="1">
      <alignment horizontal="left"/>
    </xf>
    <xf numFmtId="43" fontId="24" fillId="5" borderId="30" xfId="5" applyFont="1" applyFill="1" applyBorder="1"/>
    <xf numFmtId="0" fontId="24" fillId="5" borderId="31" xfId="3" applyFont="1" applyFill="1" applyBorder="1"/>
    <xf numFmtId="43" fontId="24" fillId="5" borderId="32" xfId="5" applyFont="1" applyFill="1" applyBorder="1"/>
    <xf numFmtId="227" fontId="24" fillId="5" borderId="33" xfId="3" applyNumberFormat="1" applyFont="1" applyFill="1" applyBorder="1" applyAlignment="1">
      <alignment horizontal="center"/>
    </xf>
    <xf numFmtId="43" fontId="24" fillId="5" borderId="34" xfId="5" applyFont="1" applyFill="1" applyBorder="1"/>
    <xf numFmtId="43" fontId="24" fillId="5" borderId="35" xfId="5" applyFont="1" applyFill="1" applyBorder="1" applyAlignment="1">
      <alignment horizontal="center"/>
    </xf>
    <xf numFmtId="43" fontId="24" fillId="5" borderId="33" xfId="5" applyFont="1" applyFill="1" applyBorder="1"/>
    <xf numFmtId="0" fontId="24" fillId="2" borderId="36" xfId="3" applyFont="1" applyFill="1" applyBorder="1"/>
    <xf numFmtId="0" fontId="25" fillId="2" borderId="37" xfId="3" applyFont="1" applyFill="1" applyBorder="1"/>
    <xf numFmtId="0" fontId="24" fillId="2" borderId="37" xfId="3" applyFont="1" applyFill="1" applyBorder="1"/>
    <xf numFmtId="16" fontId="24" fillId="2" borderId="30" xfId="3" quotePrefix="1" applyNumberFormat="1" applyFont="1" applyFill="1" applyBorder="1" applyAlignment="1">
      <alignment horizontal="center"/>
    </xf>
    <xf numFmtId="43" fontId="24" fillId="2" borderId="30" xfId="5" applyFont="1" applyFill="1" applyBorder="1"/>
    <xf numFmtId="0" fontId="24" fillId="2" borderId="30" xfId="3" applyFont="1" applyFill="1" applyBorder="1"/>
    <xf numFmtId="0" fontId="24" fillId="2" borderId="31" xfId="3" applyFont="1" applyFill="1" applyBorder="1"/>
    <xf numFmtId="43" fontId="24" fillId="2" borderId="38" xfId="5" applyFont="1" applyFill="1" applyBorder="1"/>
    <xf numFmtId="43" fontId="24" fillId="2" borderId="39" xfId="5" applyFont="1" applyFill="1" applyBorder="1"/>
    <xf numFmtId="43" fontId="24" fillId="2" borderId="40" xfId="5" applyFont="1" applyFill="1" applyBorder="1"/>
    <xf numFmtId="43" fontId="24" fillId="2" borderId="40" xfId="5" applyFont="1" applyFill="1" applyBorder="1" applyAlignment="1">
      <alignment horizontal="center"/>
    </xf>
    <xf numFmtId="43" fontId="24" fillId="2" borderId="39" xfId="5" applyFont="1" applyFill="1" applyBorder="1" applyAlignment="1">
      <alignment horizontal="center"/>
    </xf>
    <xf numFmtId="0" fontId="24" fillId="0" borderId="36" xfId="3" applyFont="1" applyBorder="1"/>
    <xf numFmtId="0" fontId="25" fillId="0" borderId="37" xfId="3" applyFont="1" applyBorder="1"/>
    <xf numFmtId="0" fontId="24" fillId="0" borderId="0" xfId="3" applyFont="1"/>
    <xf numFmtId="0" fontId="24" fillId="0" borderId="37" xfId="3" applyFont="1" applyBorder="1"/>
    <xf numFmtId="16" fontId="24" fillId="0" borderId="30" xfId="3" quotePrefix="1" applyNumberFormat="1" applyFont="1" applyBorder="1" applyAlignment="1">
      <alignment horizontal="center"/>
    </xf>
    <xf numFmtId="228" fontId="24" fillId="0" borderId="30" xfId="3" applyNumberFormat="1" applyFont="1" applyBorder="1" applyAlignment="1">
      <alignment horizontal="center"/>
    </xf>
    <xf numFmtId="227" fontId="24" fillId="0" borderId="30" xfId="3" applyNumberFormat="1" applyFont="1" applyBorder="1" applyAlignment="1">
      <alignment horizontal="center"/>
    </xf>
    <xf numFmtId="227" fontId="24" fillId="0" borderId="31" xfId="3" applyNumberFormat="1" applyFont="1" applyBorder="1" applyAlignment="1">
      <alignment horizontal="center"/>
    </xf>
    <xf numFmtId="43" fontId="24" fillId="0" borderId="38" xfId="5" applyFont="1" applyFill="1" applyBorder="1"/>
    <xf numFmtId="43" fontId="24" fillId="0" borderId="39" xfId="5" applyFont="1" applyFill="1" applyBorder="1"/>
    <xf numFmtId="43" fontId="24" fillId="0" borderId="40" xfId="5" applyFont="1" applyFill="1" applyBorder="1"/>
    <xf numFmtId="43" fontId="24" fillId="0" borderId="40" xfId="5" applyFont="1" applyFill="1" applyBorder="1" applyAlignment="1">
      <alignment horizontal="center"/>
    </xf>
    <xf numFmtId="43" fontId="24" fillId="0" borderId="39" xfId="5" applyFont="1" applyFill="1" applyBorder="1" applyAlignment="1">
      <alignment horizontal="center"/>
    </xf>
    <xf numFmtId="43" fontId="24" fillId="0" borderId="30" xfId="5" applyFont="1" applyFill="1" applyBorder="1"/>
    <xf numFmtId="0" fontId="24" fillId="0" borderId="30" xfId="3" applyFont="1" applyBorder="1"/>
    <xf numFmtId="0" fontId="24" fillId="0" borderId="31" xfId="3" applyFont="1" applyBorder="1"/>
    <xf numFmtId="227" fontId="24" fillId="0" borderId="17" xfId="3" applyNumberFormat="1" applyFont="1" applyBorder="1" applyAlignment="1">
      <alignment horizontal="center"/>
    </xf>
    <xf numFmtId="227" fontId="24" fillId="0" borderId="41" xfId="3" applyNumberFormat="1" applyFont="1" applyBorder="1" applyAlignment="1">
      <alignment horizontal="center"/>
    </xf>
    <xf numFmtId="227" fontId="24" fillId="0" borderId="11" xfId="3" applyNumberFormat="1" applyFont="1" applyBorder="1" applyAlignment="1">
      <alignment horizontal="center"/>
    </xf>
    <xf numFmtId="43" fontId="24" fillId="0" borderId="17" xfId="5" applyFont="1" applyFill="1" applyBorder="1" applyAlignment="1">
      <alignment horizontal="right" indent="1"/>
    </xf>
    <xf numFmtId="43" fontId="24" fillId="0" borderId="41" xfId="5" applyFont="1" applyFill="1" applyBorder="1" applyAlignment="1">
      <alignment horizontal="right" indent="1"/>
    </xf>
    <xf numFmtId="43" fontId="24" fillId="0" borderId="11" xfId="5" applyFont="1" applyFill="1" applyBorder="1" applyAlignment="1">
      <alignment horizontal="right" indent="1"/>
    </xf>
    <xf numFmtId="0" fontId="25" fillId="0" borderId="42" xfId="3" applyFont="1" applyBorder="1"/>
    <xf numFmtId="2" fontId="25" fillId="0" borderId="5" xfId="3" applyNumberFormat="1" applyFont="1" applyBorder="1" applyAlignment="1">
      <alignment vertical="center"/>
    </xf>
    <xf numFmtId="2" fontId="25" fillId="0" borderId="18" xfId="3" applyNumberFormat="1" applyFont="1" applyBorder="1" applyAlignment="1">
      <alignment vertical="center"/>
    </xf>
    <xf numFmtId="2" fontId="25" fillId="0" borderId="47" xfId="3" applyNumberFormat="1" applyFont="1" applyBorder="1" applyAlignment="1">
      <alignment vertical="center"/>
    </xf>
    <xf numFmtId="0" fontId="24" fillId="0" borderId="48" xfId="3" applyFont="1" applyBorder="1"/>
    <xf numFmtId="0" fontId="24" fillId="0" borderId="49" xfId="3" applyFont="1" applyBorder="1"/>
    <xf numFmtId="0" fontId="24" fillId="0" borderId="50" xfId="3" applyFont="1" applyBorder="1"/>
    <xf numFmtId="226" fontId="25" fillId="5" borderId="51" xfId="4" applyNumberFormat="1" applyFont="1" applyFill="1" applyBorder="1" applyAlignment="1">
      <alignment vertical="center"/>
    </xf>
    <xf numFmtId="213" fontId="25" fillId="5" borderId="52" xfId="4" applyNumberFormat="1" applyFont="1" applyFill="1" applyBorder="1" applyAlignment="1">
      <alignment horizontal="left" vertical="center" indent="3"/>
    </xf>
    <xf numFmtId="0" fontId="24" fillId="0" borderId="12" xfId="3" applyFont="1" applyBorder="1"/>
    <xf numFmtId="16" fontId="24" fillId="5" borderId="53" xfId="3" quotePrefix="1" applyNumberFormat="1" applyFont="1" applyFill="1" applyBorder="1" applyAlignment="1">
      <alignment horizontal="center"/>
    </xf>
    <xf numFmtId="43" fontId="24" fillId="5" borderId="53" xfId="5" applyFont="1" applyFill="1" applyBorder="1"/>
    <xf numFmtId="16" fontId="25" fillId="5" borderId="53" xfId="3" quotePrefix="1" applyNumberFormat="1" applyFont="1" applyFill="1" applyBorder="1"/>
    <xf numFmtId="213" fontId="25" fillId="0" borderId="36" xfId="4" applyNumberFormat="1" applyFont="1" applyBorder="1" applyAlignment="1">
      <alignment vertical="center"/>
    </xf>
    <xf numFmtId="0" fontId="25" fillId="0" borderId="0" xfId="3" applyFont="1"/>
    <xf numFmtId="227" fontId="24" fillId="0" borderId="54" xfId="3" applyNumberFormat="1" applyFont="1" applyBorder="1" applyAlignment="1">
      <alignment horizontal="center"/>
    </xf>
    <xf numFmtId="43" fontId="24" fillId="0" borderId="55" xfId="5" applyFont="1" applyFill="1" applyBorder="1"/>
    <xf numFmtId="43" fontId="24" fillId="0" borderId="56" xfId="5" applyFont="1" applyFill="1" applyBorder="1" applyAlignment="1">
      <alignment horizontal="center"/>
    </xf>
    <xf numFmtId="43" fontId="24" fillId="0" borderId="54" xfId="5" applyFont="1" applyFill="1" applyBorder="1"/>
    <xf numFmtId="43" fontId="24" fillId="0" borderId="56" xfId="5" applyFont="1" applyFill="1" applyBorder="1"/>
    <xf numFmtId="43" fontId="24" fillId="0" borderId="54" xfId="5" applyFont="1" applyFill="1" applyBorder="1" applyAlignment="1">
      <alignment horizontal="center"/>
    </xf>
    <xf numFmtId="0" fontId="24" fillId="0" borderId="42" xfId="3" applyFont="1" applyBorder="1"/>
    <xf numFmtId="0" fontId="24" fillId="2" borderId="12" xfId="3" applyFont="1" applyFill="1" applyBorder="1"/>
    <xf numFmtId="16" fontId="25" fillId="5" borderId="53" xfId="3" quotePrefix="1" applyNumberFormat="1" applyFont="1" applyFill="1" applyBorder="1" applyAlignment="1">
      <alignment horizontal="left"/>
    </xf>
    <xf numFmtId="0" fontId="24" fillId="5" borderId="57" xfId="3" applyFont="1" applyFill="1" applyBorder="1"/>
    <xf numFmtId="43" fontId="24" fillId="5" borderId="58" xfId="5" applyFont="1" applyFill="1" applyBorder="1"/>
    <xf numFmtId="213" fontId="25" fillId="0" borderId="0" xfId="4" applyNumberFormat="1" applyFont="1" applyAlignment="1">
      <alignment horizontal="left" vertical="center" indent="3"/>
    </xf>
    <xf numFmtId="213" fontId="25" fillId="0" borderId="13" xfId="4" applyNumberFormat="1" applyFont="1" applyBorder="1" applyAlignment="1">
      <alignment vertical="center"/>
    </xf>
    <xf numFmtId="2" fontId="25" fillId="0" borderId="43" xfId="3" applyNumberFormat="1" applyFont="1" applyBorder="1" applyAlignment="1">
      <alignment vertical="center"/>
    </xf>
    <xf numFmtId="2" fontId="25" fillId="0" borderId="44" xfId="3" applyNumberFormat="1" applyFont="1" applyBorder="1" applyAlignment="1">
      <alignment vertical="center"/>
    </xf>
    <xf numFmtId="2" fontId="25" fillId="0" borderId="59" xfId="3" applyNumberFormat="1" applyFont="1" applyBorder="1" applyAlignment="1">
      <alignment vertical="center"/>
    </xf>
    <xf numFmtId="216" fontId="25" fillId="0" borderId="36" xfId="4" applyNumberFormat="1" applyFont="1" applyBorder="1" applyAlignment="1">
      <alignment vertical="center"/>
    </xf>
    <xf numFmtId="16" fontId="25" fillId="0" borderId="37" xfId="3" quotePrefix="1" applyNumberFormat="1" applyFont="1" applyBorder="1" applyAlignment="1">
      <alignment horizontal="left"/>
    </xf>
    <xf numFmtId="43" fontId="24" fillId="5" borderId="55" xfId="5" applyFont="1" applyFill="1" applyBorder="1"/>
    <xf numFmtId="43" fontId="24" fillId="5" borderId="56" xfId="5" applyFont="1" applyFill="1" applyBorder="1" applyAlignment="1">
      <alignment horizontal="center"/>
    </xf>
    <xf numFmtId="43" fontId="24" fillId="5" borderId="54" xfId="5" applyFont="1" applyFill="1" applyBorder="1"/>
    <xf numFmtId="43" fontId="24" fillId="2" borderId="17" xfId="5" applyFont="1" applyFill="1" applyBorder="1" applyAlignment="1">
      <alignment horizontal="right" indent="1"/>
    </xf>
    <xf numFmtId="43" fontId="24" fillId="2" borderId="41" xfId="5" applyFont="1" applyFill="1" applyBorder="1" applyAlignment="1">
      <alignment horizontal="right" indent="1"/>
    </xf>
    <xf numFmtId="43" fontId="24" fillId="2" borderId="11" xfId="5" applyFont="1" applyFill="1" applyBorder="1" applyAlignment="1">
      <alignment horizontal="right" indent="1"/>
    </xf>
    <xf numFmtId="0" fontId="24" fillId="2" borderId="42" xfId="3" applyFont="1" applyFill="1" applyBorder="1"/>
    <xf numFmtId="2" fontId="25" fillId="2" borderId="5" xfId="3" applyNumberFormat="1" applyFont="1" applyFill="1" applyBorder="1" applyAlignment="1">
      <alignment vertical="center"/>
    </xf>
    <xf numFmtId="2" fontId="25" fillId="2" borderId="18" xfId="3" applyNumberFormat="1" applyFont="1" applyFill="1" applyBorder="1" applyAlignment="1">
      <alignment vertical="center"/>
    </xf>
    <xf numFmtId="2" fontId="25" fillId="2" borderId="47" xfId="3" applyNumberFormat="1" applyFont="1" applyFill="1" applyBorder="1" applyAlignment="1">
      <alignment vertical="center"/>
    </xf>
    <xf numFmtId="220" fontId="25" fillId="5" borderId="51" xfId="4" applyNumberFormat="1" applyFont="1" applyFill="1" applyBorder="1" applyAlignment="1">
      <alignment horizontal="left" vertical="center" indent="3"/>
    </xf>
    <xf numFmtId="0" fontId="25" fillId="5" borderId="60" xfId="3" applyFont="1" applyFill="1" applyBorder="1"/>
    <xf numFmtId="213" fontId="25" fillId="2" borderId="36" xfId="4" applyNumberFormat="1" applyFont="1" applyFill="1" applyBorder="1" applyAlignment="1">
      <alignment vertical="center"/>
    </xf>
    <xf numFmtId="0" fontId="25" fillId="2" borderId="0" xfId="3" applyFont="1" applyFill="1"/>
    <xf numFmtId="227" fontId="24" fillId="2" borderId="54" xfId="3" applyNumberFormat="1" applyFont="1" applyFill="1" applyBorder="1" applyAlignment="1">
      <alignment horizontal="center"/>
    </xf>
    <xf numFmtId="43" fontId="24" fillId="2" borderId="55" xfId="5" applyFont="1" applyFill="1" applyBorder="1"/>
    <xf numFmtId="43" fontId="24" fillId="2" borderId="56" xfId="5" applyFont="1" applyFill="1" applyBorder="1" applyAlignment="1">
      <alignment horizontal="center"/>
    </xf>
    <xf numFmtId="43" fontId="24" fillId="2" borderId="54" xfId="5" applyFont="1" applyFill="1" applyBorder="1"/>
    <xf numFmtId="16" fontId="24" fillId="2" borderId="0" xfId="3" quotePrefix="1" applyNumberFormat="1" applyFont="1" applyFill="1" applyAlignment="1">
      <alignment horizontal="center"/>
    </xf>
    <xf numFmtId="228" fontId="24" fillId="0" borderId="0" xfId="3" applyNumberFormat="1" applyFont="1" applyAlignment="1">
      <alignment horizontal="center"/>
    </xf>
    <xf numFmtId="227" fontId="24" fillId="0" borderId="0" xfId="3" applyNumberFormat="1" applyFont="1" applyAlignment="1">
      <alignment horizontal="center"/>
    </xf>
    <xf numFmtId="227" fontId="24" fillId="0" borderId="7" xfId="3" applyNumberFormat="1" applyFont="1" applyBorder="1" applyAlignment="1">
      <alignment horizontal="center"/>
    </xf>
    <xf numFmtId="227" fontId="24" fillId="0" borderId="31" xfId="3" applyNumberFormat="1" applyFont="1" applyBorder="1"/>
    <xf numFmtId="0" fontId="16" fillId="2" borderId="0" xfId="2" applyFont="1" applyFill="1" applyAlignment="1">
      <alignment horizontal="left"/>
    </xf>
    <xf numFmtId="0" fontId="16" fillId="2" borderId="0" xfId="2" applyFont="1" applyFill="1" applyAlignment="1">
      <alignment horizontal="center"/>
    </xf>
    <xf numFmtId="4" fontId="16" fillId="2" borderId="0" xfId="2" applyNumberFormat="1" applyFont="1" applyFill="1" applyAlignment="1">
      <alignment horizontal="center"/>
    </xf>
    <xf numFmtId="2" fontId="16" fillId="2" borderId="0" xfId="2" applyNumberFormat="1" applyFont="1" applyFill="1" applyAlignment="1">
      <alignment horizontal="center"/>
    </xf>
    <xf numFmtId="0" fontId="16" fillId="2" borderId="10" xfId="2" applyFont="1" applyFill="1" applyBorder="1" applyAlignment="1">
      <alignment horizontal="left"/>
    </xf>
    <xf numFmtId="0" fontId="16" fillId="2" borderId="11" xfId="2" applyFont="1" applyFill="1" applyBorder="1" applyAlignment="1">
      <alignment horizontal="left"/>
    </xf>
    <xf numFmtId="166" fontId="10" fillId="2" borderId="17" xfId="2" applyNumberFormat="1" applyFont="1" applyFill="1" applyBorder="1"/>
    <xf numFmtId="0" fontId="17" fillId="2" borderId="10" xfId="2" applyFont="1" applyFill="1" applyBorder="1" applyAlignment="1">
      <alignment horizontal="left"/>
    </xf>
    <xf numFmtId="0" fontId="11" fillId="2" borderId="0" xfId="2" applyFont="1" applyFill="1" applyAlignment="1">
      <alignment horizontal="center" vertical="center" wrapText="1"/>
    </xf>
    <xf numFmtId="0" fontId="10" fillId="2" borderId="0" xfId="2" applyFont="1" applyFill="1" applyAlignment="1">
      <alignment horizontal="center" vertical="center"/>
    </xf>
    <xf numFmtId="223" fontId="10" fillId="2" borderId="0" xfId="2" applyNumberFormat="1" applyFont="1" applyFill="1" applyAlignment="1">
      <alignment horizontal="center" vertical="center"/>
    </xf>
    <xf numFmtId="0" fontId="10" fillId="2" borderId="10" xfId="2" applyFont="1" applyFill="1" applyBorder="1" applyAlignment="1">
      <alignment horizontal="center" vertical="center"/>
    </xf>
    <xf numFmtId="2" fontId="10" fillId="2" borderId="11" xfId="2" applyNumberFormat="1" applyFont="1" applyFill="1" applyBorder="1" applyAlignment="1">
      <alignment horizontal="center" vertical="center"/>
    </xf>
    <xf numFmtId="211" fontId="12" fillId="6" borderId="0" xfId="2" quotePrefix="1" applyNumberFormat="1" applyFont="1" applyFill="1" applyAlignment="1">
      <alignment horizontal="left"/>
    </xf>
    <xf numFmtId="0" fontId="12" fillId="6" borderId="0" xfId="2" applyFont="1" applyFill="1"/>
    <xf numFmtId="0" fontId="10" fillId="6" borderId="0" xfId="3" quotePrefix="1" applyFont="1" applyFill="1" applyAlignment="1">
      <alignment horizontal="left"/>
    </xf>
    <xf numFmtId="0" fontId="10" fillId="6" borderId="0" xfId="3" applyFont="1" applyFill="1"/>
    <xf numFmtId="2" fontId="11" fillId="6" borderId="0" xfId="3" applyNumberFormat="1" applyFont="1" applyFill="1" applyProtection="1">
      <protection locked="0" hidden="1"/>
    </xf>
    <xf numFmtId="0" fontId="11" fillId="6" borderId="0" xfId="3" applyFont="1" applyFill="1"/>
    <xf numFmtId="0" fontId="10" fillId="6" borderId="0" xfId="2" applyFont="1" applyFill="1" applyAlignment="1">
      <alignment horizontal="left"/>
    </xf>
    <xf numFmtId="4" fontId="11" fillId="7" borderId="0" xfId="3" applyNumberFormat="1" applyFont="1" applyFill="1" applyAlignment="1">
      <alignment horizontal="center" vertical="center"/>
    </xf>
    <xf numFmtId="0" fontId="11" fillId="7" borderId="0" xfId="3" applyFont="1" applyFill="1" applyAlignment="1">
      <alignment horizontal="center" vertical="center" wrapText="1"/>
    </xf>
    <xf numFmtId="0" fontId="11" fillId="7" borderId="0" xfId="3" applyFont="1" applyFill="1" applyAlignment="1">
      <alignment vertical="top"/>
    </xf>
    <xf numFmtId="0" fontId="11" fillId="2" borderId="0" xfId="6" applyFont="1" applyFill="1" applyAlignment="1">
      <alignment horizontal="left" indent="1"/>
    </xf>
    <xf numFmtId="0" fontId="11" fillId="2" borderId="0" xfId="0" applyFont="1" applyFill="1" applyAlignment="1">
      <alignment horizontal="center"/>
    </xf>
    <xf numFmtId="0" fontId="10" fillId="2" borderId="0" xfId="3" applyFont="1" applyFill="1" applyAlignment="1">
      <alignment horizontal="left" vertical="top" wrapText="1"/>
    </xf>
    <xf numFmtId="0" fontId="10" fillId="2" borderId="0" xfId="0" applyFont="1" applyFill="1" applyAlignment="1">
      <alignment horizontal="left" indent="1"/>
    </xf>
    <xf numFmtId="0" fontId="10" fillId="2" borderId="0" xfId="6" applyFont="1" applyFill="1"/>
    <xf numFmtId="0" fontId="10" fillId="2" borderId="0" xfId="0" applyFont="1" applyFill="1" applyAlignment="1">
      <alignment horizontal="center"/>
    </xf>
    <xf numFmtId="0" fontId="10" fillId="2" borderId="0" xfId="3" applyFont="1" applyFill="1" applyAlignment="1">
      <alignment horizontal="left" vertical="top" indent="2"/>
    </xf>
    <xf numFmtId="0" fontId="11" fillId="2" borderId="0" xfId="3" applyFont="1" applyFill="1" applyAlignment="1">
      <alignment vertical="top"/>
    </xf>
    <xf numFmtId="0" fontId="11" fillId="2" borderId="0" xfId="3" applyFont="1" applyFill="1" applyAlignment="1">
      <alignment horizontal="center"/>
    </xf>
    <xf numFmtId="164" fontId="11" fillId="8" borderId="17" xfId="8" applyFont="1" applyFill="1" applyBorder="1" applyAlignment="1">
      <alignment horizontal="centerContinuous" vertical="center"/>
    </xf>
    <xf numFmtId="164" fontId="11" fillId="8" borderId="17" xfId="8" applyFont="1" applyFill="1" applyBorder="1" applyAlignment="1">
      <alignment horizontal="center"/>
    </xf>
    <xf numFmtId="211" fontId="12" fillId="0" borderId="17" xfId="2" quotePrefix="1" applyNumberFormat="1" applyFont="1" applyBorder="1" applyAlignment="1">
      <alignment horizontal="left"/>
    </xf>
    <xf numFmtId="0" fontId="12" fillId="4" borderId="17" xfId="7" applyFont="1" applyFill="1" applyBorder="1" applyAlignment="1" applyProtection="1">
      <alignment vertical="center" wrapText="1"/>
      <protection locked="0"/>
    </xf>
    <xf numFmtId="0" fontId="10" fillId="4" borderId="17" xfId="7" applyFont="1" applyFill="1" applyBorder="1" applyAlignment="1">
      <alignment horizontal="center" vertical="center"/>
    </xf>
    <xf numFmtId="4" fontId="10" fillId="4" borderId="17" xfId="7" applyNumberFormat="1" applyFont="1" applyFill="1" applyBorder="1" applyProtection="1">
      <alignment vertical="center"/>
      <protection locked="0"/>
    </xf>
    <xf numFmtId="164" fontId="10" fillId="4" borderId="17" xfId="7" applyNumberFormat="1" applyFont="1" applyFill="1" applyBorder="1" applyProtection="1">
      <alignment vertical="center"/>
      <protection locked="0"/>
    </xf>
    <xf numFmtId="164" fontId="10" fillId="4" borderId="17" xfId="7" applyNumberFormat="1" applyFont="1" applyFill="1" applyBorder="1">
      <alignment vertical="center"/>
    </xf>
    <xf numFmtId="0" fontId="10" fillId="4" borderId="17" xfId="7" applyFont="1" applyFill="1" applyBorder="1" applyAlignment="1" applyProtection="1">
      <alignment horizontal="center" vertical="center"/>
      <protection locked="0"/>
    </xf>
    <xf numFmtId="212" fontId="15" fillId="0" borderId="17" xfId="2" quotePrefix="1" applyNumberFormat="1" applyFont="1" applyBorder="1" applyAlignment="1">
      <alignment horizontal="left"/>
    </xf>
    <xf numFmtId="0" fontId="14" fillId="5" borderId="17" xfId="7" applyFont="1" applyFill="1" applyBorder="1" applyAlignment="1" applyProtection="1">
      <alignment vertical="center" wrapText="1"/>
      <protection locked="0"/>
    </xf>
    <xf numFmtId="0" fontId="10" fillId="5" borderId="17" xfId="7" applyFont="1" applyFill="1" applyBorder="1" applyAlignment="1">
      <alignment horizontal="center" vertical="center"/>
    </xf>
    <xf numFmtId="4" fontId="10" fillId="5" borderId="17" xfId="7" applyNumberFormat="1" applyFont="1" applyFill="1" applyBorder="1" applyProtection="1">
      <alignment vertical="center"/>
      <protection locked="0"/>
    </xf>
    <xf numFmtId="164" fontId="10" fillId="5" borderId="17" xfId="7" applyNumberFormat="1" applyFont="1" applyFill="1" applyBorder="1" applyProtection="1">
      <alignment vertical="center"/>
      <protection locked="0"/>
    </xf>
    <xf numFmtId="164" fontId="10" fillId="5" borderId="17" xfId="7" applyNumberFormat="1" applyFont="1" applyFill="1" applyBorder="1">
      <alignment vertical="center"/>
    </xf>
    <xf numFmtId="0" fontId="10" fillId="5" borderId="17" xfId="7" applyFont="1" applyFill="1" applyBorder="1" applyAlignment="1" applyProtection="1">
      <alignment horizontal="center" vertical="center"/>
      <protection locked="0"/>
    </xf>
    <xf numFmtId="220" fontId="10" fillId="0" borderId="17" xfId="2" quotePrefix="1" applyNumberFormat="1" applyFont="1" applyBorder="1" applyAlignment="1">
      <alignment horizontal="left"/>
    </xf>
    <xf numFmtId="0" fontId="10" fillId="0" borderId="17" xfId="7" applyFont="1" applyBorder="1" applyAlignment="1" applyProtection="1">
      <alignment horizontal="left" vertical="center" wrapText="1" indent="2"/>
      <protection locked="0"/>
    </xf>
    <xf numFmtId="0" fontId="10" fillId="0" borderId="17" xfId="7" applyFont="1" applyBorder="1" applyAlignment="1">
      <alignment horizontal="center" vertical="center"/>
    </xf>
    <xf numFmtId="4" fontId="10" fillId="7" borderId="17" xfId="7" applyNumberFormat="1" applyFont="1" applyFill="1" applyBorder="1" applyProtection="1">
      <alignment vertical="center"/>
      <protection locked="0"/>
    </xf>
    <xf numFmtId="164" fontId="10" fillId="7" borderId="17" xfId="7" applyNumberFormat="1" applyFont="1" applyFill="1" applyBorder="1" applyProtection="1">
      <alignment vertical="center"/>
      <protection locked="0"/>
    </xf>
    <xf numFmtId="164" fontId="10" fillId="0" borderId="17" xfId="7" applyNumberFormat="1" applyFont="1" applyBorder="1">
      <alignment vertical="center"/>
    </xf>
    <xf numFmtId="164" fontId="11" fillId="0" borderId="17" xfId="7" applyNumberFormat="1" applyFont="1" applyBorder="1">
      <alignment vertical="center"/>
    </xf>
    <xf numFmtId="0" fontId="11" fillId="0" borderId="17" xfId="7" applyFont="1" applyBorder="1" applyAlignment="1" applyProtection="1">
      <alignment horizontal="center" vertical="center"/>
      <protection locked="0"/>
    </xf>
    <xf numFmtId="216" fontId="10" fillId="0" borderId="17" xfId="7" applyNumberFormat="1" applyFont="1" applyBorder="1" applyProtection="1">
      <alignment vertical="center"/>
      <protection locked="0"/>
    </xf>
    <xf numFmtId="0" fontId="10" fillId="0" borderId="17" xfId="7" applyFont="1" applyBorder="1" applyAlignment="1" applyProtection="1">
      <alignment horizontal="left" vertical="center" wrapText="1" indent="3"/>
      <protection locked="0"/>
    </xf>
    <xf numFmtId="0" fontId="11" fillId="5" borderId="17" xfId="7" applyFont="1" applyFill="1" applyBorder="1" applyAlignment="1" applyProtection="1">
      <alignment horizontal="center" vertical="center"/>
      <protection locked="0"/>
    </xf>
    <xf numFmtId="0" fontId="10" fillId="2" borderId="17" xfId="0" applyFont="1" applyFill="1" applyBorder="1" applyAlignment="1">
      <alignment horizontal="center" vertical="center"/>
    </xf>
    <xf numFmtId="0" fontId="10" fillId="2" borderId="17" xfId="0" applyFont="1" applyFill="1" applyBorder="1" applyAlignment="1">
      <alignment horizontal="center"/>
    </xf>
    <xf numFmtId="4" fontId="10" fillId="2" borderId="17" xfId="0" applyNumberFormat="1" applyFont="1" applyFill="1" applyBorder="1" applyAlignment="1">
      <alignment horizontal="right"/>
    </xf>
    <xf numFmtId="216" fontId="10" fillId="2" borderId="17" xfId="0" applyNumberFormat="1" applyFont="1" applyFill="1" applyBorder="1"/>
    <xf numFmtId="164" fontId="10" fillId="0" borderId="17" xfId="7" applyNumberFormat="1" applyFont="1" applyBorder="1" applyAlignment="1">
      <alignment horizontal="center" vertical="center"/>
    </xf>
    <xf numFmtId="216" fontId="10" fillId="0" borderId="17" xfId="7" quotePrefix="1" applyNumberFormat="1" applyFont="1" applyBorder="1" applyProtection="1">
      <alignment vertical="center"/>
      <protection locked="0"/>
    </xf>
    <xf numFmtId="0" fontId="27" fillId="0" borderId="0" xfId="0" applyFont="1"/>
    <xf numFmtId="0" fontId="27" fillId="0" borderId="12" xfId="0" applyFont="1" applyBorder="1"/>
    <xf numFmtId="0" fontId="28" fillId="0" borderId="12" xfId="0" applyFont="1" applyBorder="1" applyAlignment="1">
      <alignment vertical="center"/>
    </xf>
    <xf numFmtId="4" fontId="27" fillId="0" borderId="0" xfId="0" applyNumberFormat="1" applyFont="1" applyProtection="1">
      <protection locked="0"/>
    </xf>
    <xf numFmtId="0" fontId="27" fillId="0" borderId="0" xfId="0" applyFont="1" applyProtection="1">
      <protection locked="0"/>
    </xf>
    <xf numFmtId="0" fontId="28" fillId="0" borderId="12" xfId="0" applyFont="1" applyBorder="1" applyAlignment="1">
      <alignment horizontal="left"/>
    </xf>
    <xf numFmtId="0" fontId="29" fillId="0" borderId="0" xfId="0" applyFont="1" applyAlignment="1">
      <alignment vertical="center"/>
    </xf>
    <xf numFmtId="0" fontId="31" fillId="0" borderId="0" xfId="0" applyFont="1"/>
    <xf numFmtId="176" fontId="32" fillId="0" borderId="0" xfId="0" applyNumberFormat="1" applyFont="1" applyProtection="1">
      <protection locked="0"/>
    </xf>
    <xf numFmtId="4" fontId="31" fillId="0" borderId="0" xfId="0" applyNumberFormat="1" applyFont="1" applyProtection="1">
      <protection locked="0"/>
    </xf>
    <xf numFmtId="0" fontId="31" fillId="0" borderId="0" xfId="0" applyFont="1" applyProtection="1">
      <protection locked="0"/>
    </xf>
    <xf numFmtId="168" fontId="32" fillId="0" borderId="0" xfId="0" applyNumberFormat="1" applyFont="1" applyProtection="1">
      <protection locked="0"/>
    </xf>
    <xf numFmtId="168" fontId="31" fillId="0" borderId="0" xfId="0" applyNumberFormat="1" applyFont="1"/>
    <xf numFmtId="176" fontId="31" fillId="0" borderId="0" xfId="0" applyNumberFormat="1" applyFont="1"/>
    <xf numFmtId="177" fontId="32" fillId="0" borderId="0" xfId="0" applyNumberFormat="1" applyFont="1" applyProtection="1">
      <protection locked="0"/>
    </xf>
    <xf numFmtId="208" fontId="31" fillId="0" borderId="0" xfId="0" applyNumberFormat="1" applyFont="1"/>
    <xf numFmtId="4" fontId="32" fillId="0" borderId="0" xfId="0" applyNumberFormat="1" applyFont="1" applyAlignment="1" applyProtection="1">
      <alignment horizontal="right"/>
      <protection locked="0"/>
    </xf>
    <xf numFmtId="207" fontId="30" fillId="0" borderId="0" xfId="0" applyNumberFormat="1" applyFont="1"/>
    <xf numFmtId="4" fontId="31" fillId="0" borderId="0" xfId="0" applyNumberFormat="1" applyFont="1"/>
    <xf numFmtId="201" fontId="32" fillId="0" borderId="0" xfId="0" applyNumberFormat="1" applyFont="1"/>
    <xf numFmtId="206" fontId="32" fillId="0" borderId="0" xfId="0" applyNumberFormat="1" applyFont="1"/>
    <xf numFmtId="206" fontId="32" fillId="0" borderId="0" xfId="0" applyNumberFormat="1" applyFont="1" applyProtection="1">
      <protection locked="0"/>
    </xf>
    <xf numFmtId="201" fontId="31" fillId="0" borderId="0" xfId="0" applyNumberFormat="1" applyFont="1"/>
    <xf numFmtId="201" fontId="30" fillId="0" borderId="0" xfId="0" applyNumberFormat="1" applyFont="1"/>
    <xf numFmtId="209" fontId="31" fillId="0" borderId="0" xfId="0" applyNumberFormat="1" applyFont="1"/>
    <xf numFmtId="180" fontId="32" fillId="0" borderId="0" xfId="0" applyNumberFormat="1" applyFont="1" applyProtection="1">
      <protection locked="0"/>
    </xf>
    <xf numFmtId="209" fontId="30" fillId="0" borderId="0" xfId="0" applyNumberFormat="1" applyFont="1"/>
    <xf numFmtId="179" fontId="32" fillId="0" borderId="0" xfId="0" applyNumberFormat="1" applyFont="1" applyProtection="1">
      <protection locked="0"/>
    </xf>
    <xf numFmtId="1" fontId="32" fillId="0" borderId="0" xfId="0" applyNumberFormat="1" applyFont="1"/>
    <xf numFmtId="178" fontId="32" fillId="0" borderId="0" xfId="0" applyNumberFormat="1" applyFont="1" applyProtection="1">
      <protection locked="0"/>
    </xf>
    <xf numFmtId="181" fontId="32" fillId="0" borderId="0" xfId="0" applyNumberFormat="1" applyFont="1" applyProtection="1">
      <protection locked="0"/>
    </xf>
    <xf numFmtId="198" fontId="33" fillId="0" borderId="0" xfId="0" applyNumberFormat="1" applyFont="1"/>
    <xf numFmtId="199" fontId="31" fillId="0" borderId="0" xfId="0" applyNumberFormat="1" applyFont="1"/>
    <xf numFmtId="182" fontId="31" fillId="0" borderId="0" xfId="0" applyNumberFormat="1" applyFont="1"/>
    <xf numFmtId="200" fontId="31" fillId="0" borderId="0" xfId="0" applyNumberFormat="1" applyFont="1"/>
    <xf numFmtId="0" fontId="34" fillId="0" borderId="0" xfId="0" applyFont="1" applyAlignment="1">
      <alignment vertical="center"/>
    </xf>
    <xf numFmtId="0" fontId="31" fillId="0" borderId="0" xfId="0" applyFont="1" applyAlignment="1">
      <alignment horizontal="right"/>
    </xf>
    <xf numFmtId="2" fontId="32" fillId="0" borderId="0" xfId="0" applyNumberFormat="1" applyFont="1" applyAlignment="1" applyProtection="1">
      <alignment horizontal="left" vertical="center"/>
      <protection locked="0"/>
    </xf>
    <xf numFmtId="4" fontId="32" fillId="0" borderId="0" xfId="0" applyNumberFormat="1" applyFont="1" applyAlignment="1" applyProtection="1">
      <alignment horizontal="left" vertical="center"/>
      <protection locked="0"/>
    </xf>
    <xf numFmtId="2" fontId="31" fillId="0" borderId="0" xfId="0" applyNumberFormat="1" applyFont="1" applyAlignment="1">
      <alignment horizontal="right"/>
    </xf>
    <xf numFmtId="0" fontId="36" fillId="0" borderId="0" xfId="0" applyFont="1"/>
    <xf numFmtId="4" fontId="32" fillId="0" borderId="0" xfId="0" applyNumberFormat="1" applyFont="1" applyAlignment="1">
      <alignment horizontal="left" vertical="center"/>
    </xf>
    <xf numFmtId="0" fontId="30" fillId="0" borderId="0" xfId="0" applyFont="1"/>
    <xf numFmtId="0" fontId="28" fillId="0" borderId="0" xfId="0" applyFont="1"/>
    <xf numFmtId="0" fontId="33" fillId="0" borderId="0" xfId="0" applyFont="1" applyAlignment="1">
      <alignment vertical="center"/>
    </xf>
    <xf numFmtId="0" fontId="30" fillId="0" borderId="0" xfId="0" applyFont="1" applyAlignment="1">
      <alignment horizontal="left"/>
    </xf>
    <xf numFmtId="183" fontId="38" fillId="0" borderId="0" xfId="0" applyNumberFormat="1" applyFont="1" applyAlignment="1">
      <alignment horizontal="right"/>
    </xf>
    <xf numFmtId="0" fontId="38" fillId="0" borderId="0" xfId="0" applyFont="1" applyAlignment="1">
      <alignment horizontal="right"/>
    </xf>
    <xf numFmtId="183" fontId="39" fillId="0" borderId="0" xfId="0" applyNumberFormat="1" applyFont="1" applyAlignment="1">
      <alignment horizontal="left" indent="1"/>
    </xf>
    <xf numFmtId="4" fontId="30" fillId="0" borderId="0" xfId="0" applyNumberFormat="1" applyFont="1" applyProtection="1">
      <protection locked="0"/>
    </xf>
    <xf numFmtId="0" fontId="30" fillId="0" borderId="0" xfId="0" applyFont="1" applyProtection="1">
      <protection locked="0"/>
    </xf>
    <xf numFmtId="4" fontId="30" fillId="0" borderId="0" xfId="0" applyNumberFormat="1" applyFont="1"/>
    <xf numFmtId="0" fontId="31" fillId="0" borderId="0" xfId="0" applyFont="1" applyAlignment="1">
      <alignment horizontal="left"/>
    </xf>
    <xf numFmtId="184" fontId="31" fillId="0" borderId="0" xfId="0" applyNumberFormat="1" applyFont="1" applyAlignment="1">
      <alignment horizontal="right"/>
    </xf>
    <xf numFmtId="192" fontId="31" fillId="0" borderId="0" xfId="0" applyNumberFormat="1" applyFont="1"/>
    <xf numFmtId="0" fontId="31" fillId="0" borderId="0" xfId="0" applyFont="1" applyAlignment="1" applyProtection="1">
      <alignment horizontal="right" indent="1"/>
      <protection locked="0"/>
    </xf>
    <xf numFmtId="3" fontId="31" fillId="0" borderId="0" xfId="0" applyNumberFormat="1" applyFont="1" applyProtection="1">
      <protection locked="0"/>
    </xf>
    <xf numFmtId="202" fontId="33" fillId="0" borderId="0" xfId="0" applyNumberFormat="1" applyFont="1"/>
    <xf numFmtId="168" fontId="30" fillId="0" borderId="0" xfId="0" applyNumberFormat="1" applyFont="1"/>
    <xf numFmtId="183" fontId="31" fillId="0" borderId="0" xfId="0" applyNumberFormat="1" applyFont="1"/>
    <xf numFmtId="174" fontId="31" fillId="0" borderId="0" xfId="0" applyNumberFormat="1" applyFont="1" applyProtection="1">
      <protection locked="0"/>
    </xf>
    <xf numFmtId="185" fontId="31" fillId="0" borderId="0" xfId="0" applyNumberFormat="1" applyFont="1" applyAlignment="1">
      <alignment horizontal="center"/>
    </xf>
    <xf numFmtId="0" fontId="31" fillId="0" borderId="0" xfId="0" applyFont="1" applyAlignment="1">
      <alignment wrapText="1"/>
    </xf>
    <xf numFmtId="0" fontId="31" fillId="0" borderId="0" xfId="0" applyFont="1" applyAlignment="1">
      <alignment horizontal="left" wrapText="1"/>
    </xf>
    <xf numFmtId="3" fontId="31" fillId="0" borderId="0" xfId="0" applyNumberFormat="1" applyFont="1"/>
    <xf numFmtId="166" fontId="31" fillId="0" borderId="0" xfId="0" applyNumberFormat="1" applyFont="1" applyAlignment="1">
      <alignment horizontal="center"/>
    </xf>
    <xf numFmtId="4" fontId="31" fillId="0" borderId="0" xfId="0" applyNumberFormat="1" applyFont="1" applyAlignment="1">
      <alignment horizontal="left"/>
    </xf>
    <xf numFmtId="4" fontId="31" fillId="0" borderId="0" xfId="0" applyNumberFormat="1" applyFont="1" applyAlignment="1" applyProtection="1">
      <alignment horizontal="left"/>
      <protection locked="0"/>
    </xf>
    <xf numFmtId="0" fontId="31" fillId="0" borderId="0" xfId="0" applyFont="1" applyAlignment="1" applyProtection="1">
      <alignment horizontal="left"/>
      <protection locked="0"/>
    </xf>
    <xf numFmtId="2" fontId="31" fillId="0" borderId="0" xfId="0" applyNumberFormat="1" applyFont="1" applyAlignment="1">
      <alignment horizontal="left"/>
    </xf>
    <xf numFmtId="4" fontId="32" fillId="0" borderId="0" xfId="0" applyNumberFormat="1" applyFont="1" applyProtection="1">
      <protection locked="0"/>
    </xf>
    <xf numFmtId="0" fontId="31" fillId="0" borderId="0" xfId="0" applyFont="1" applyAlignment="1">
      <alignment horizontal="center"/>
    </xf>
    <xf numFmtId="0" fontId="31" fillId="0" borderId="0" xfId="0" applyFont="1" applyAlignment="1">
      <alignment horizontal="right" vertical="center"/>
    </xf>
    <xf numFmtId="0" fontId="33" fillId="0" borderId="0" xfId="0" applyFont="1"/>
    <xf numFmtId="0" fontId="40" fillId="0" borderId="0" xfId="0" applyFont="1" applyAlignment="1">
      <alignment horizontal="center"/>
    </xf>
    <xf numFmtId="0" fontId="33" fillId="0" borderId="0" xfId="0" applyFont="1" applyAlignment="1">
      <alignment horizontal="right"/>
    </xf>
    <xf numFmtId="203" fontId="33" fillId="0" borderId="0" xfId="0" applyNumberFormat="1" applyFont="1" applyAlignment="1">
      <alignment horizontal="left"/>
    </xf>
    <xf numFmtId="0" fontId="31" fillId="0" borderId="6" xfId="0" applyFont="1" applyBorder="1"/>
    <xf numFmtId="0" fontId="31" fillId="0" borderId="7" xfId="0" applyFont="1" applyBorder="1"/>
    <xf numFmtId="193" fontId="33" fillId="0" borderId="0" xfId="0" applyNumberFormat="1" applyFont="1" applyAlignment="1">
      <alignment horizontal="left"/>
    </xf>
    <xf numFmtId="0" fontId="31" fillId="0" borderId="9" xfId="0" applyFont="1" applyBorder="1"/>
    <xf numFmtId="0" fontId="37" fillId="0" borderId="0" xfId="0" applyFont="1" applyAlignment="1">
      <alignment horizontal="center"/>
    </xf>
    <xf numFmtId="197" fontId="31" fillId="0" borderId="0" xfId="0" applyNumberFormat="1" applyFont="1" applyAlignment="1">
      <alignment horizontal="left"/>
    </xf>
    <xf numFmtId="196" fontId="31" fillId="0" borderId="0" xfId="0" applyNumberFormat="1" applyFont="1"/>
    <xf numFmtId="194" fontId="31" fillId="0" borderId="0" xfId="0" applyNumberFormat="1" applyFont="1" applyAlignment="1">
      <alignment horizontal="left"/>
    </xf>
    <xf numFmtId="195" fontId="31" fillId="0" borderId="0" xfId="0" applyNumberFormat="1" applyFont="1" applyAlignment="1">
      <alignment horizontal="left"/>
    </xf>
    <xf numFmtId="168" fontId="37" fillId="0" borderId="0" xfId="0" applyNumberFormat="1" applyFont="1" applyAlignment="1">
      <alignment horizontal="center"/>
    </xf>
    <xf numFmtId="204" fontId="31" fillId="0" borderId="0" xfId="0" applyNumberFormat="1" applyFont="1"/>
    <xf numFmtId="0" fontId="31" fillId="0" borderId="0" xfId="0" applyFont="1" applyAlignment="1">
      <alignment horizontal="left" indent="3"/>
    </xf>
    <xf numFmtId="0" fontId="30" fillId="0" borderId="0" xfId="0" applyFont="1" applyAlignment="1">
      <alignment horizontal="left" vertical="center"/>
    </xf>
    <xf numFmtId="0" fontId="31" fillId="0" borderId="0" xfId="0" quotePrefix="1" applyFont="1"/>
    <xf numFmtId="2" fontId="30" fillId="0" borderId="0" xfId="0" applyNumberFormat="1" applyFont="1" applyAlignment="1">
      <alignment horizontal="center"/>
    </xf>
    <xf numFmtId="0" fontId="30" fillId="0" borderId="0" xfId="0" applyFont="1" applyAlignment="1">
      <alignment horizontal="left" indent="1"/>
    </xf>
    <xf numFmtId="0" fontId="31" fillId="0" borderId="0" xfId="0" applyFont="1" applyAlignment="1">
      <alignment horizontal="left" indent="1"/>
    </xf>
    <xf numFmtId="0" fontId="31" fillId="0" borderId="0" xfId="0" applyFont="1" applyAlignment="1">
      <alignment vertical="center"/>
    </xf>
    <xf numFmtId="0" fontId="41" fillId="0" borderId="0" xfId="0" applyFont="1" applyAlignment="1">
      <alignment vertical="center"/>
    </xf>
    <xf numFmtId="167" fontId="31" fillId="0" borderId="0" xfId="0" applyNumberFormat="1" applyFont="1" applyProtection="1">
      <protection locked="0"/>
    </xf>
    <xf numFmtId="4" fontId="31" fillId="0" borderId="0" xfId="0" applyNumberFormat="1" applyFont="1" applyAlignment="1" applyProtection="1">
      <alignment horizontal="right"/>
      <protection locked="0"/>
    </xf>
    <xf numFmtId="4" fontId="38" fillId="0" borderId="0" xfId="0" applyNumberFormat="1" applyFont="1" applyAlignment="1" applyProtection="1">
      <alignment horizontal="right"/>
      <protection locked="0"/>
    </xf>
    <xf numFmtId="0" fontId="38" fillId="0" borderId="0" xfId="0" applyFont="1" applyProtection="1">
      <protection locked="0"/>
    </xf>
    <xf numFmtId="4" fontId="42" fillId="0" borderId="0" xfId="0" applyNumberFormat="1" applyFont="1" applyProtection="1">
      <protection locked="0"/>
    </xf>
    <xf numFmtId="0" fontId="42" fillId="0" borderId="0" xfId="0" applyFont="1" applyProtection="1">
      <protection locked="0"/>
    </xf>
    <xf numFmtId="0" fontId="43" fillId="0" borderId="0" xfId="0" applyFont="1"/>
    <xf numFmtId="4" fontId="44" fillId="0" borderId="0" xfId="0" applyNumberFormat="1" applyFont="1" applyProtection="1">
      <protection locked="0"/>
    </xf>
    <xf numFmtId="0" fontId="44" fillId="0" borderId="0" xfId="0" applyFont="1" applyProtection="1">
      <protection locked="0"/>
    </xf>
    <xf numFmtId="0" fontId="43" fillId="0" borderId="0" xfId="0" applyFont="1" applyProtection="1">
      <protection locked="0"/>
    </xf>
    <xf numFmtId="0" fontId="45" fillId="0" borderId="0" xfId="0" applyFont="1" applyProtection="1">
      <protection locked="0"/>
    </xf>
    <xf numFmtId="4" fontId="45" fillId="0" borderId="0" xfId="0" applyNumberFormat="1" applyFont="1" applyProtection="1">
      <protection locked="0"/>
    </xf>
    <xf numFmtId="0" fontId="41" fillId="0" borderId="0" xfId="0" applyFont="1"/>
    <xf numFmtId="0" fontId="46" fillId="0" borderId="0" xfId="0" applyFont="1"/>
    <xf numFmtId="165" fontId="38" fillId="0" borderId="0" xfId="1" applyNumberFormat="1" applyFont="1" applyFill="1" applyAlignment="1" applyProtection="1">
      <alignment horizontal="right"/>
    </xf>
    <xf numFmtId="0" fontId="42" fillId="0" borderId="0" xfId="0" applyFont="1"/>
    <xf numFmtId="0" fontId="38" fillId="0" borderId="0" xfId="0" applyFont="1" applyAlignment="1" applyProtection="1">
      <alignment horizontal="right"/>
      <protection locked="0"/>
    </xf>
    <xf numFmtId="0" fontId="47" fillId="0" borderId="0" xfId="0" applyFont="1" applyProtection="1">
      <protection locked="0"/>
    </xf>
    <xf numFmtId="186" fontId="32" fillId="0" borderId="0" xfId="0" applyNumberFormat="1" applyFont="1" applyProtection="1">
      <protection locked="0"/>
    </xf>
    <xf numFmtId="0" fontId="39" fillId="0" borderId="0" xfId="0" applyFont="1" applyAlignment="1">
      <alignment horizontal="right"/>
    </xf>
    <xf numFmtId="2" fontId="38" fillId="0" borderId="0" xfId="0" applyNumberFormat="1" applyFont="1" applyAlignment="1">
      <alignment horizontal="right"/>
    </xf>
    <xf numFmtId="0" fontId="38" fillId="0" borderId="0" xfId="0" applyFont="1"/>
    <xf numFmtId="171" fontId="31" fillId="0" borderId="0" xfId="0" applyNumberFormat="1" applyFont="1"/>
    <xf numFmtId="0" fontId="28" fillId="0" borderId="0" xfId="0" applyFont="1" applyAlignment="1">
      <alignment horizontal="right"/>
    </xf>
    <xf numFmtId="191" fontId="48" fillId="0" borderId="0" xfId="0" applyNumberFormat="1" applyFont="1" applyAlignment="1">
      <alignment horizontal="center"/>
    </xf>
    <xf numFmtId="0" fontId="39" fillId="0" borderId="0" xfId="0" quotePrefix="1" applyFont="1"/>
    <xf numFmtId="4" fontId="38" fillId="0" borderId="0" xfId="0" applyNumberFormat="1" applyFont="1" applyProtection="1">
      <protection locked="0"/>
    </xf>
    <xf numFmtId="0" fontId="39" fillId="0" borderId="0" xfId="0" applyFont="1"/>
    <xf numFmtId="4" fontId="31" fillId="0" borderId="0" xfId="0" applyNumberFormat="1" applyFont="1" applyAlignment="1">
      <alignment horizontal="center"/>
    </xf>
    <xf numFmtId="187" fontId="32" fillId="0" borderId="0" xfId="0" applyNumberFormat="1" applyFont="1" applyAlignment="1" applyProtection="1">
      <alignment horizontal="center"/>
      <protection locked="0"/>
    </xf>
    <xf numFmtId="188" fontId="39" fillId="0" borderId="0" xfId="0" applyNumberFormat="1" applyFont="1" applyAlignment="1">
      <alignment horizontal="center"/>
    </xf>
    <xf numFmtId="200" fontId="32" fillId="0" borderId="0" xfId="0" applyNumberFormat="1" applyFont="1" applyProtection="1">
      <protection locked="0"/>
    </xf>
    <xf numFmtId="178" fontId="31" fillId="0" borderId="0" xfId="0" applyNumberFormat="1" applyFont="1"/>
    <xf numFmtId="0" fontId="30" fillId="0" borderId="9" xfId="0" applyFont="1" applyBorder="1" applyAlignment="1">
      <alignment horizontal="center"/>
    </xf>
    <xf numFmtId="0" fontId="30" fillId="0" borderId="2" xfId="0" applyFont="1" applyBorder="1" applyAlignment="1">
      <alignment horizontal="center"/>
    </xf>
    <xf numFmtId="178" fontId="49" fillId="0" borderId="0" xfId="0" applyNumberFormat="1" applyFont="1"/>
    <xf numFmtId="168" fontId="32" fillId="0" borderId="7" xfId="0" applyNumberFormat="1" applyFont="1" applyBorder="1" applyAlignment="1" applyProtection="1">
      <alignment horizontal="center"/>
      <protection locked="0"/>
    </xf>
    <xf numFmtId="168" fontId="32" fillId="0" borderId="0" xfId="0" applyNumberFormat="1" applyFont="1" applyAlignment="1" applyProtection="1">
      <alignment horizontal="center"/>
      <protection locked="0"/>
    </xf>
    <xf numFmtId="189" fontId="31" fillId="0" borderId="7" xfId="0" applyNumberFormat="1" applyFont="1" applyBorder="1" applyAlignment="1">
      <alignment horizontal="center"/>
    </xf>
    <xf numFmtId="189" fontId="31" fillId="0" borderId="0" xfId="0" applyNumberFormat="1" applyFont="1" applyAlignment="1">
      <alignment horizontal="center"/>
    </xf>
    <xf numFmtId="0" fontId="32" fillId="0" borderId="7" xfId="0" applyFont="1" applyBorder="1" applyAlignment="1" applyProtection="1">
      <alignment horizontal="center"/>
      <protection locked="0"/>
    </xf>
    <xf numFmtId="0" fontId="32" fillId="0" borderId="0" xfId="0" applyFont="1" applyAlignment="1" applyProtection="1">
      <alignment horizontal="center"/>
      <protection locked="0"/>
    </xf>
    <xf numFmtId="0" fontId="31" fillId="0" borderId="7" xfId="0" applyFont="1" applyBorder="1" applyAlignment="1">
      <alignment horizontal="center"/>
    </xf>
    <xf numFmtId="171" fontId="31" fillId="0" borderId="7" xfId="0" applyNumberFormat="1" applyFont="1" applyBorder="1" applyAlignment="1">
      <alignment horizontal="center"/>
    </xf>
    <xf numFmtId="171" fontId="31" fillId="0" borderId="0" xfId="0" applyNumberFormat="1" applyFont="1" applyAlignment="1">
      <alignment horizontal="center"/>
    </xf>
    <xf numFmtId="171" fontId="31" fillId="0" borderId="0" xfId="0" applyNumberFormat="1" applyFont="1" applyAlignment="1">
      <alignment horizontal="left"/>
    </xf>
    <xf numFmtId="4" fontId="47" fillId="0" borderId="0" xfId="0" applyNumberFormat="1" applyFont="1" applyAlignment="1" applyProtection="1">
      <alignment horizontal="right"/>
      <protection locked="0"/>
    </xf>
    <xf numFmtId="4" fontId="47" fillId="0" borderId="0" xfId="0" applyNumberFormat="1" applyFont="1" applyProtection="1">
      <protection locked="0"/>
    </xf>
    <xf numFmtId="177" fontId="32" fillId="0" borderId="0" xfId="0" applyNumberFormat="1" applyFont="1" applyAlignment="1" applyProtection="1">
      <alignment horizontal="center"/>
      <protection locked="0"/>
    </xf>
    <xf numFmtId="168" fontId="31" fillId="0" borderId="0" xfId="0" applyNumberFormat="1" applyFont="1" applyAlignment="1">
      <alignment horizontal="center"/>
    </xf>
    <xf numFmtId="169" fontId="28" fillId="0" borderId="0" xfId="0" applyNumberFormat="1" applyFont="1" applyAlignment="1">
      <alignment horizontal="center" vertical="center"/>
    </xf>
    <xf numFmtId="0" fontId="28" fillId="0" borderId="0" xfId="0" applyFont="1" applyAlignment="1">
      <alignment horizontal="center" vertical="center"/>
    </xf>
    <xf numFmtId="2" fontId="31" fillId="0" borderId="0" xfId="0" applyNumberFormat="1" applyFont="1" applyAlignment="1">
      <alignment horizontal="center"/>
    </xf>
    <xf numFmtId="0" fontId="31" fillId="0" borderId="0" xfId="0" applyFont="1" applyAlignment="1">
      <alignment horizontal="center" vertical="center"/>
    </xf>
    <xf numFmtId="166" fontId="39" fillId="0" borderId="0" xfId="0" applyNumberFormat="1" applyFont="1" applyAlignment="1">
      <alignment horizontal="left"/>
    </xf>
    <xf numFmtId="190" fontId="31" fillId="0" borderId="0" xfId="0" applyNumberFormat="1" applyFont="1" applyAlignment="1">
      <alignment horizontal="center"/>
    </xf>
    <xf numFmtId="0" fontId="39" fillId="0" borderId="0" xfId="0" applyFont="1" applyAlignment="1">
      <alignment horizontal="left"/>
    </xf>
    <xf numFmtId="190" fontId="31" fillId="0" borderId="0" xfId="0" applyNumberFormat="1" applyFont="1"/>
    <xf numFmtId="186" fontId="32" fillId="0" borderId="0" xfId="0" applyNumberFormat="1" applyFont="1"/>
    <xf numFmtId="204" fontId="30" fillId="0" borderId="0" xfId="0" applyNumberFormat="1" applyFont="1"/>
    <xf numFmtId="171" fontId="31" fillId="0" borderId="0" xfId="0" applyNumberFormat="1" applyFont="1" applyAlignment="1">
      <alignment horizontal="right"/>
    </xf>
    <xf numFmtId="0" fontId="48" fillId="0" borderId="0" xfId="0" applyFont="1"/>
    <xf numFmtId="171" fontId="30" fillId="0" borderId="0" xfId="0" applyNumberFormat="1" applyFont="1" applyAlignment="1">
      <alignment horizontal="right"/>
    </xf>
    <xf numFmtId="0" fontId="30" fillId="0" borderId="0" xfId="0" quotePrefix="1" applyFont="1"/>
    <xf numFmtId="172" fontId="30" fillId="0" borderId="0" xfId="0" applyNumberFormat="1" applyFont="1"/>
    <xf numFmtId="172" fontId="31" fillId="0" borderId="0" xfId="0" applyNumberFormat="1" applyFont="1"/>
    <xf numFmtId="0" fontId="31" fillId="0" borderId="4" xfId="0" applyFont="1" applyBorder="1"/>
    <xf numFmtId="0" fontId="31" fillId="0" borderId="3" xfId="0" quotePrefix="1" applyFont="1" applyBorder="1"/>
    <xf numFmtId="0" fontId="31" fillId="0" borderId="5" xfId="0" applyFont="1" applyBorder="1"/>
    <xf numFmtId="173" fontId="31" fillId="0" borderId="6" xfId="0" applyNumberFormat="1" applyFont="1" applyBorder="1"/>
    <xf numFmtId="0" fontId="31" fillId="0" borderId="6" xfId="0" quotePrefix="1" applyFont="1" applyBorder="1" applyAlignment="1">
      <alignment horizontal="right"/>
    </xf>
    <xf numFmtId="4" fontId="31" fillId="0" borderId="6" xfId="0" quotePrefix="1" applyNumberFormat="1" applyFont="1" applyBorder="1" applyAlignment="1">
      <alignment horizontal="right"/>
    </xf>
    <xf numFmtId="0" fontId="31" fillId="0" borderId="8" xfId="0" applyFont="1" applyBorder="1"/>
    <xf numFmtId="0" fontId="31" fillId="0" borderId="2" xfId="0" quotePrefix="1" applyFont="1" applyBorder="1"/>
    <xf numFmtId="0" fontId="31" fillId="0" borderId="8" xfId="0" quotePrefix="1" applyFont="1" applyBorder="1" applyAlignment="1">
      <alignment horizontal="right"/>
    </xf>
    <xf numFmtId="3" fontId="31" fillId="0" borderId="8" xfId="0" applyNumberFormat="1" applyFont="1" applyBorder="1"/>
    <xf numFmtId="0" fontId="31" fillId="0" borderId="0" xfId="0" quotePrefix="1" applyFont="1" applyAlignment="1">
      <alignment horizontal="right"/>
    </xf>
    <xf numFmtId="2" fontId="31" fillId="0" borderId="0" xfId="0" applyNumberFormat="1" applyFont="1"/>
    <xf numFmtId="178" fontId="31" fillId="0" borderId="0" xfId="0" applyNumberFormat="1" applyFont="1" applyAlignment="1">
      <alignment horizontal="center"/>
    </xf>
    <xf numFmtId="207" fontId="31" fillId="0" borderId="0" xfId="0" applyNumberFormat="1" applyFont="1" applyAlignment="1">
      <alignment horizontal="left" indent="1"/>
    </xf>
    <xf numFmtId="205" fontId="31" fillId="0" borderId="0" xfId="0" applyNumberFormat="1" applyFont="1" applyAlignment="1">
      <alignment horizontal="center"/>
    </xf>
    <xf numFmtId="170" fontId="31" fillId="0" borderId="0" xfId="0" applyNumberFormat="1" applyFont="1" applyAlignment="1">
      <alignment horizontal="center"/>
    </xf>
    <xf numFmtId="0" fontId="32" fillId="0" borderId="0" xfId="0" applyFont="1" applyAlignment="1">
      <alignment horizontal="right"/>
    </xf>
    <xf numFmtId="166" fontId="32" fillId="0" borderId="0" xfId="0" applyNumberFormat="1" applyFont="1" applyAlignment="1">
      <alignment horizontal="left"/>
    </xf>
    <xf numFmtId="170" fontId="31" fillId="0" borderId="0" xfId="0" applyNumberFormat="1" applyFont="1" applyAlignment="1">
      <alignment horizontal="right"/>
    </xf>
    <xf numFmtId="3" fontId="32" fillId="0" borderId="0" xfId="0" applyNumberFormat="1" applyFont="1" applyAlignment="1">
      <alignment horizontal="right"/>
    </xf>
    <xf numFmtId="0" fontId="41" fillId="0" borderId="0" xfId="0" applyFont="1" applyAlignment="1">
      <alignment horizontal="center" vertical="center"/>
    </xf>
    <xf numFmtId="0" fontId="32" fillId="0" borderId="0" xfId="0" applyFont="1" applyAlignment="1" applyProtection="1">
      <alignment horizontal="right"/>
      <protection locked="0"/>
    </xf>
    <xf numFmtId="16" fontId="32" fillId="0" borderId="0" xfId="0" applyNumberFormat="1" applyFont="1" applyProtection="1">
      <protection locked="0"/>
    </xf>
    <xf numFmtId="175" fontId="30" fillId="0" borderId="0" xfId="0" applyNumberFormat="1" applyFont="1" applyAlignment="1">
      <alignment horizontal="center"/>
    </xf>
    <xf numFmtId="175" fontId="32" fillId="0" borderId="0" xfId="0" applyNumberFormat="1" applyFont="1" applyAlignment="1" applyProtection="1">
      <alignment horizontal="center"/>
      <protection locked="0"/>
    </xf>
    <xf numFmtId="175" fontId="30" fillId="0" borderId="0" xfId="0" applyNumberFormat="1" applyFont="1" applyAlignment="1" applyProtection="1">
      <alignment horizontal="center"/>
      <protection locked="0"/>
    </xf>
    <xf numFmtId="0" fontId="31" fillId="0" borderId="0" xfId="0" applyFont="1" applyAlignment="1">
      <alignment horizontal="left"/>
    </xf>
    <xf numFmtId="0" fontId="31" fillId="0" borderId="0" xfId="0" applyFont="1" applyAlignment="1">
      <alignment horizontal="left" vertical="center" wrapText="1"/>
    </xf>
    <xf numFmtId="0" fontId="40" fillId="0" borderId="0" xfId="0" applyFont="1" applyAlignment="1">
      <alignment horizontal="center" vertical="center"/>
    </xf>
    <xf numFmtId="0" fontId="31" fillId="0" borderId="0" xfId="0" applyFont="1"/>
    <xf numFmtId="0" fontId="30" fillId="0" borderId="1" xfId="0" applyFont="1" applyBorder="1" applyAlignment="1">
      <alignment horizontal="center" vertical="center"/>
    </xf>
    <xf numFmtId="172" fontId="31" fillId="0" borderId="10" xfId="0" applyNumberFormat="1" applyFont="1" applyBorder="1" applyAlignment="1">
      <alignment horizontal="center"/>
    </xf>
    <xf numFmtId="172" fontId="31" fillId="0" borderId="11" xfId="0" applyNumberFormat="1" applyFont="1" applyBorder="1" applyAlignment="1">
      <alignment horizontal="center"/>
    </xf>
    <xf numFmtId="0" fontId="31" fillId="0" borderId="0" xfId="0" applyFont="1" applyAlignment="1">
      <alignment horizontal="left" wrapText="1"/>
    </xf>
    <xf numFmtId="0" fontId="29" fillId="0" borderId="0" xfId="0" applyFont="1" applyAlignment="1">
      <alignment horizontal="center" vertical="center"/>
    </xf>
    <xf numFmtId="200" fontId="31" fillId="0" borderId="10" xfId="0" applyNumberFormat="1" applyFont="1" applyBorder="1" applyAlignment="1">
      <alignment horizontal="center"/>
    </xf>
    <xf numFmtId="200" fontId="31" fillId="0" borderId="11" xfId="0" applyNumberFormat="1" applyFont="1" applyBorder="1" applyAlignment="1">
      <alignment horizontal="center"/>
    </xf>
    <xf numFmtId="200" fontId="31" fillId="0" borderId="10" xfId="0" quotePrefix="1" applyNumberFormat="1" applyFont="1" applyBorder="1" applyAlignment="1">
      <alignment horizontal="center"/>
    </xf>
    <xf numFmtId="200" fontId="31" fillId="0" borderId="11" xfId="0" quotePrefix="1" applyNumberFormat="1" applyFont="1" applyBorder="1" applyAlignment="1">
      <alignment horizontal="center"/>
    </xf>
    <xf numFmtId="0" fontId="7" fillId="0" borderId="0" xfId="0" applyFont="1" applyAlignment="1">
      <alignment horizontal="center"/>
    </xf>
    <xf numFmtId="4" fontId="22" fillId="7" borderId="0" xfId="3" applyNumberFormat="1" applyFont="1" applyFill="1" applyAlignment="1">
      <alignment horizontal="center" vertical="center"/>
    </xf>
    <xf numFmtId="0" fontId="11" fillId="7" borderId="0" xfId="3" applyFont="1" applyFill="1" applyAlignment="1">
      <alignment horizontal="center" vertical="center" wrapText="1"/>
    </xf>
    <xf numFmtId="0" fontId="19" fillId="2" borderId="17" xfId="2" applyFont="1" applyFill="1" applyBorder="1" applyAlignment="1">
      <alignment horizontal="center"/>
    </xf>
    <xf numFmtId="0" fontId="10" fillId="2" borderId="17" xfId="2" applyFont="1" applyFill="1" applyBorder="1" applyAlignment="1">
      <alignment horizontal="left"/>
    </xf>
    <xf numFmtId="0" fontId="10" fillId="2" borderId="10" xfId="2" applyFont="1" applyFill="1" applyBorder="1" applyAlignment="1">
      <alignment horizontal="left"/>
    </xf>
    <xf numFmtId="0" fontId="10" fillId="2" borderId="11" xfId="2" applyFont="1" applyFill="1" applyBorder="1" applyAlignment="1">
      <alignment horizontal="left"/>
    </xf>
    <xf numFmtId="0" fontId="16" fillId="2" borderId="10" xfId="2" applyFont="1" applyFill="1" applyBorder="1" applyAlignment="1">
      <alignment horizontal="left"/>
    </xf>
    <xf numFmtId="0" fontId="16" fillId="2" borderId="11" xfId="2" applyFont="1" applyFill="1" applyBorder="1" applyAlignment="1">
      <alignment horizontal="left"/>
    </xf>
    <xf numFmtId="0" fontId="16" fillId="2" borderId="17" xfId="2" applyFont="1" applyFill="1" applyBorder="1" applyAlignment="1">
      <alignment horizontal="left"/>
    </xf>
    <xf numFmtId="0" fontId="10" fillId="2" borderId="1" xfId="2" applyFont="1" applyFill="1" applyBorder="1" applyAlignment="1">
      <alignment horizontal="left"/>
    </xf>
    <xf numFmtId="0" fontId="10" fillId="2" borderId="17" xfId="2" applyFont="1" applyFill="1" applyBorder="1" applyAlignment="1">
      <alignment horizontal="right"/>
    </xf>
    <xf numFmtId="0" fontId="10" fillId="2" borderId="10" xfId="2" applyFont="1" applyFill="1" applyBorder="1" applyAlignment="1">
      <alignment horizontal="right"/>
    </xf>
    <xf numFmtId="0" fontId="10" fillId="2" borderId="11" xfId="2" applyFont="1" applyFill="1" applyBorder="1" applyAlignment="1">
      <alignment horizontal="right"/>
    </xf>
    <xf numFmtId="0" fontId="17" fillId="2" borderId="10" xfId="2" applyFont="1" applyFill="1" applyBorder="1" applyAlignment="1">
      <alignment horizontal="center"/>
    </xf>
    <xf numFmtId="0" fontId="17" fillId="2" borderId="11" xfId="2" applyFont="1" applyFill="1" applyBorder="1" applyAlignment="1">
      <alignment horizontal="center"/>
    </xf>
    <xf numFmtId="0" fontId="16" fillId="2" borderId="10" xfId="2" applyFont="1" applyFill="1" applyBorder="1" applyAlignment="1">
      <alignment horizontal="right"/>
    </xf>
    <xf numFmtId="0" fontId="16" fillId="2" borderId="11" xfId="2" applyFont="1" applyFill="1" applyBorder="1" applyAlignment="1">
      <alignment horizontal="right"/>
    </xf>
    <xf numFmtId="0" fontId="10" fillId="2" borderId="18" xfId="2" applyFont="1" applyFill="1" applyBorder="1" applyAlignment="1">
      <alignment horizontal="left"/>
    </xf>
    <xf numFmtId="0" fontId="11" fillId="2" borderId="17" xfId="2" applyFont="1" applyFill="1" applyBorder="1" applyAlignment="1">
      <alignment horizontal="center"/>
    </xf>
    <xf numFmtId="214" fontId="10" fillId="2" borderId="10" xfId="2" applyNumberFormat="1" applyFont="1" applyFill="1" applyBorder="1" applyAlignment="1">
      <alignment horizontal="left"/>
    </xf>
    <xf numFmtId="214" fontId="10" fillId="2" borderId="1" xfId="2" applyNumberFormat="1" applyFont="1" applyFill="1" applyBorder="1" applyAlignment="1">
      <alignment horizontal="left"/>
    </xf>
    <xf numFmtId="214" fontId="10" fillId="2" borderId="11" xfId="2" applyNumberFormat="1" applyFont="1" applyFill="1" applyBorder="1" applyAlignment="1">
      <alignment horizontal="left"/>
    </xf>
    <xf numFmtId="0" fontId="10" fillId="2" borderId="17" xfId="2" applyFont="1" applyFill="1" applyBorder="1" applyAlignment="1">
      <alignment horizontal="left" vertical="top"/>
    </xf>
    <xf numFmtId="0" fontId="10" fillId="2" borderId="10" xfId="2" applyFont="1" applyFill="1" applyBorder="1" applyAlignment="1">
      <alignment horizontal="left" vertical="top"/>
    </xf>
    <xf numFmtId="0" fontId="10" fillId="2" borderId="11" xfId="2" applyFont="1" applyFill="1" applyBorder="1" applyAlignment="1">
      <alignment horizontal="left" vertical="top"/>
    </xf>
    <xf numFmtId="214" fontId="11" fillId="2" borderId="17" xfId="2" applyNumberFormat="1" applyFont="1" applyFill="1" applyBorder="1" applyAlignment="1">
      <alignment horizontal="center"/>
    </xf>
    <xf numFmtId="2" fontId="10" fillId="2" borderId="17" xfId="2" applyNumberFormat="1" applyFont="1" applyFill="1" applyBorder="1" applyAlignment="1">
      <alignment horizontal="center"/>
    </xf>
    <xf numFmtId="0" fontId="10" fillId="2" borderId="17" xfId="2" applyFont="1" applyFill="1" applyBorder="1" applyAlignment="1">
      <alignment horizontal="center"/>
    </xf>
    <xf numFmtId="0" fontId="11" fillId="2" borderId="17" xfId="2" applyFont="1" applyFill="1" applyBorder="1" applyAlignment="1">
      <alignment horizontal="center" vertical="center" wrapText="1"/>
    </xf>
    <xf numFmtId="0" fontId="11" fillId="2" borderId="10" xfId="2" applyFont="1" applyFill="1" applyBorder="1" applyAlignment="1">
      <alignment horizontal="center" vertical="center" wrapText="1"/>
    </xf>
    <xf numFmtId="0" fontId="11" fillId="2" borderId="11" xfId="2" applyFont="1" applyFill="1" applyBorder="1" applyAlignment="1">
      <alignment horizontal="center" vertical="center" wrapText="1"/>
    </xf>
    <xf numFmtId="0" fontId="10" fillId="0" borderId="17" xfId="2" applyFont="1" applyBorder="1" applyAlignment="1">
      <alignment horizontal="left"/>
    </xf>
    <xf numFmtId="0" fontId="19" fillId="0" borderId="17" xfId="2" applyFont="1" applyBorder="1" applyAlignment="1">
      <alignment horizontal="center"/>
    </xf>
    <xf numFmtId="0" fontId="11" fillId="0" borderId="17" xfId="2" applyFont="1" applyBorder="1" applyAlignment="1">
      <alignment horizontal="left"/>
    </xf>
    <xf numFmtId="0" fontId="11" fillId="0" borderId="10" xfId="2" applyFont="1" applyBorder="1" applyAlignment="1">
      <alignment horizontal="left"/>
    </xf>
    <xf numFmtId="0" fontId="11" fillId="0" borderId="1" xfId="2" applyFont="1" applyBorder="1" applyAlignment="1">
      <alignment horizontal="left"/>
    </xf>
    <xf numFmtId="0" fontId="11" fillId="0" borderId="11" xfId="2" applyFont="1" applyBorder="1" applyAlignment="1">
      <alignment horizontal="left"/>
    </xf>
    <xf numFmtId="0" fontId="10" fillId="2" borderId="0" xfId="2" applyFont="1" applyFill="1" applyAlignment="1">
      <alignment horizontal="left"/>
    </xf>
    <xf numFmtId="0" fontId="11" fillId="2" borderId="10" xfId="2" applyFont="1" applyFill="1" applyBorder="1" applyAlignment="1">
      <alignment horizontal="center"/>
    </xf>
    <xf numFmtId="0" fontId="11" fillId="2" borderId="11" xfId="2" applyFont="1" applyFill="1" applyBorder="1" applyAlignment="1">
      <alignment horizontal="center"/>
    </xf>
    <xf numFmtId="0" fontId="11" fillId="0" borderId="10" xfId="2" applyFont="1" applyBorder="1" applyAlignment="1">
      <alignment horizontal="center"/>
    </xf>
    <xf numFmtId="0" fontId="11" fillId="0" borderId="11" xfId="2" applyFont="1" applyBorder="1" applyAlignment="1">
      <alignment horizontal="center"/>
    </xf>
    <xf numFmtId="0" fontId="10" fillId="0" borderId="10" xfId="2" applyFont="1" applyBorder="1" applyAlignment="1">
      <alignment horizontal="left"/>
    </xf>
    <xf numFmtId="0" fontId="10" fillId="0" borderId="11" xfId="2" applyFont="1" applyBorder="1" applyAlignment="1">
      <alignment horizontal="left"/>
    </xf>
    <xf numFmtId="49" fontId="11" fillId="8" borderId="17" xfId="7" applyNumberFormat="1" applyFont="1" applyFill="1" applyBorder="1" applyAlignment="1">
      <alignment horizontal="center" vertical="center" wrapText="1"/>
    </xf>
    <xf numFmtId="14" fontId="11" fillId="8" borderId="17" xfId="7" applyNumberFormat="1" applyFont="1" applyFill="1" applyBorder="1" applyAlignment="1">
      <alignment horizontal="center" vertical="center" wrapText="1"/>
    </xf>
    <xf numFmtId="164" fontId="11" fillId="8" borderId="17" xfId="8" applyFont="1" applyFill="1" applyBorder="1" applyAlignment="1">
      <alignment horizontal="center" vertical="center" wrapText="1"/>
    </xf>
    <xf numFmtId="0" fontId="24" fillId="2" borderId="48" xfId="3" applyFont="1" applyFill="1" applyBorder="1" applyAlignment="1">
      <alignment horizontal="center"/>
    </xf>
    <xf numFmtId="0" fontId="24" fillId="2" borderId="49" xfId="3" applyFont="1" applyFill="1" applyBorder="1" applyAlignment="1">
      <alignment horizontal="center"/>
    </xf>
    <xf numFmtId="0" fontId="24" fillId="2" borderId="50" xfId="3" applyFont="1" applyFill="1" applyBorder="1" applyAlignment="1">
      <alignment horizontal="center"/>
    </xf>
    <xf numFmtId="0" fontId="24" fillId="2" borderId="11" xfId="3" applyFont="1" applyFill="1" applyBorder="1" applyAlignment="1">
      <alignment horizontal="right"/>
    </xf>
    <xf numFmtId="0" fontId="24" fillId="2" borderId="17" xfId="3" applyFont="1" applyFill="1" applyBorder="1" applyAlignment="1">
      <alignment horizontal="right"/>
    </xf>
    <xf numFmtId="0" fontId="25" fillId="2" borderId="11" xfId="3" applyFont="1" applyFill="1" applyBorder="1" applyAlignment="1">
      <alignment horizontal="right"/>
    </xf>
    <xf numFmtId="0" fontId="25" fillId="2" borderId="17" xfId="3" applyFont="1" applyFill="1" applyBorder="1" applyAlignment="1">
      <alignment horizontal="right"/>
    </xf>
    <xf numFmtId="0" fontId="25" fillId="2" borderId="43" xfId="3" applyFont="1" applyFill="1" applyBorder="1" applyAlignment="1">
      <alignment horizontal="right"/>
    </xf>
    <xf numFmtId="0" fontId="25" fillId="2" borderId="44" xfId="3" applyFont="1" applyFill="1" applyBorder="1" applyAlignment="1">
      <alignment horizontal="right"/>
    </xf>
    <xf numFmtId="2" fontId="25" fillId="2" borderId="45" xfId="3" applyNumberFormat="1" applyFont="1" applyFill="1" applyBorder="1" applyAlignment="1">
      <alignment horizontal="center" vertical="center"/>
    </xf>
    <xf numFmtId="2" fontId="25" fillId="2" borderId="46" xfId="3" applyNumberFormat="1" applyFont="1" applyFill="1" applyBorder="1" applyAlignment="1">
      <alignment horizontal="center" vertical="center"/>
    </xf>
    <xf numFmtId="0" fontId="24" fillId="0" borderId="11" xfId="3" applyFont="1" applyBorder="1" applyAlignment="1">
      <alignment horizontal="right"/>
    </xf>
    <xf numFmtId="0" fontId="24" fillId="0" borderId="17" xfId="3" applyFont="1" applyBorder="1" applyAlignment="1">
      <alignment horizontal="right"/>
    </xf>
    <xf numFmtId="0" fontId="25" fillId="0" borderId="11" xfId="3" applyFont="1" applyBorder="1" applyAlignment="1">
      <alignment horizontal="right"/>
    </xf>
    <xf numFmtId="0" fontId="25" fillId="0" borderId="17" xfId="3" applyFont="1" applyBorder="1" applyAlignment="1">
      <alignment horizontal="right"/>
    </xf>
    <xf numFmtId="0" fontId="25" fillId="0" borderId="43" xfId="3" applyFont="1" applyBorder="1" applyAlignment="1">
      <alignment horizontal="right"/>
    </xf>
    <xf numFmtId="0" fontId="25" fillId="0" borderId="44" xfId="3" applyFont="1" applyBorder="1" applyAlignment="1">
      <alignment horizontal="right"/>
    </xf>
    <xf numFmtId="2" fontId="25" fillId="0" borderId="45" xfId="3" applyNumberFormat="1" applyFont="1" applyBorder="1" applyAlignment="1">
      <alignment horizontal="center" vertical="center"/>
    </xf>
    <xf numFmtId="2" fontId="25" fillId="0" borderId="46" xfId="3" applyNumberFormat="1" applyFont="1" applyBorder="1" applyAlignment="1">
      <alignment horizontal="center" vertical="center"/>
    </xf>
    <xf numFmtId="0" fontId="22" fillId="2" borderId="0" xfId="3" applyFont="1" applyFill="1" applyAlignment="1">
      <alignment horizontal="center" vertical="center"/>
    </xf>
    <xf numFmtId="0" fontId="24" fillId="4" borderId="20" xfId="3" applyFont="1" applyFill="1" applyBorder="1" applyAlignment="1">
      <alignment horizontal="center" vertical="center" wrapText="1"/>
    </xf>
    <xf numFmtId="0" fontId="24" fillId="4" borderId="25" xfId="3" applyFont="1" applyFill="1" applyBorder="1" applyAlignment="1">
      <alignment horizontal="center" vertical="center"/>
    </xf>
    <xf numFmtId="0" fontId="24" fillId="4" borderId="21" xfId="3" applyFont="1" applyFill="1" applyBorder="1" applyAlignment="1">
      <alignment horizontal="center" vertical="center" wrapText="1"/>
    </xf>
    <xf numFmtId="0" fontId="24" fillId="4" borderId="26" xfId="3" applyFont="1" applyFill="1" applyBorder="1" applyAlignment="1">
      <alignment horizontal="center" vertical="center"/>
    </xf>
    <xf numFmtId="0" fontId="24" fillId="4" borderId="26" xfId="3" applyFont="1" applyFill="1" applyBorder="1" applyAlignment="1">
      <alignment horizontal="center" vertical="center" wrapText="1"/>
    </xf>
    <xf numFmtId="0" fontId="24" fillId="4" borderId="22" xfId="3" applyFont="1" applyFill="1" applyBorder="1" applyAlignment="1">
      <alignment horizontal="center" vertical="center" wrapText="1"/>
    </xf>
    <xf numFmtId="0" fontId="24" fillId="4" borderId="23" xfId="3" applyFont="1" applyFill="1" applyBorder="1" applyAlignment="1">
      <alignment horizontal="center" vertical="center" wrapText="1"/>
    </xf>
    <xf numFmtId="229" fontId="52" fillId="0" borderId="0" xfId="0" applyNumberFormat="1" applyFont="1" applyProtection="1">
      <protection locked="0"/>
    </xf>
  </cellXfs>
  <cellStyles count="9">
    <cellStyle name="Millares 2 2" xfId="5" xr:uid="{00000000-0005-0000-0000-000000000000}"/>
    <cellStyle name="Millares 4" xfId="8" xr:uid="{00000000-0005-0000-0000-000001000000}"/>
    <cellStyle name="Normal" xfId="0" builtinId="0"/>
    <cellStyle name="Normal 10 2" xfId="4" xr:uid="{00000000-0005-0000-0000-000003000000}"/>
    <cellStyle name="Normal 2 2" xfId="3" xr:uid="{00000000-0005-0000-0000-000004000000}"/>
    <cellStyle name="Normal 7 2" xfId="2" xr:uid="{00000000-0005-0000-0000-000005000000}"/>
    <cellStyle name="Normal 8" xfId="7" xr:uid="{00000000-0005-0000-0000-000006000000}"/>
    <cellStyle name="Normal_Hoja1" xfId="6" xr:uid="{00000000-0005-0000-0000-000007000000}"/>
    <cellStyle name="Porcentaje" xfId="1" builtinId="5"/>
  </cellStyles>
  <dxfs count="6">
    <dxf>
      <font>
        <b val="0"/>
        <i/>
        <strike val="0"/>
        <condense val="0"/>
        <extend val="0"/>
        <outline val="0"/>
        <shadow val="0"/>
        <u val="none"/>
        <vertAlign val="baseline"/>
        <sz val="10"/>
        <color auto="1"/>
        <name val="Century Gothic"/>
        <scheme val="none"/>
      </font>
    </dxf>
    <dxf>
      <font>
        <b val="0"/>
        <i/>
        <strike val="0"/>
        <condense val="0"/>
        <extend val="0"/>
        <outline val="0"/>
        <shadow val="0"/>
        <u val="none"/>
        <vertAlign val="baseline"/>
        <sz val="10"/>
        <color auto="1"/>
        <name val="Century Gothic"/>
        <scheme val="none"/>
      </font>
    </dxf>
    <dxf>
      <font>
        <b val="0"/>
        <i val="0"/>
        <strike val="0"/>
        <condense val="0"/>
        <extend val="0"/>
        <outline val="0"/>
        <shadow val="0"/>
        <u val="none"/>
        <vertAlign val="baseline"/>
        <sz val="12"/>
        <color theme="1"/>
        <name val="Arial Narrow"/>
        <scheme val="none"/>
      </font>
    </dxf>
    <dxf>
      <font>
        <b val="0"/>
        <i/>
        <strike val="0"/>
        <condense val="0"/>
        <extend val="0"/>
        <outline val="0"/>
        <shadow val="0"/>
        <u val="none"/>
        <vertAlign val="baseline"/>
        <sz val="10"/>
        <color auto="1"/>
        <name val="Century Gothic"/>
        <scheme val="none"/>
      </font>
    </dxf>
    <dxf>
      <font>
        <b val="0"/>
        <i/>
        <strike val="0"/>
        <condense val="0"/>
        <extend val="0"/>
        <outline val="0"/>
        <shadow val="0"/>
        <u val="none"/>
        <vertAlign val="baseline"/>
        <sz val="10"/>
        <color auto="1"/>
        <name val="Century Gothic"/>
        <scheme val="none"/>
      </font>
    </dxf>
    <dxf>
      <font>
        <b val="0"/>
        <i val="0"/>
        <strike val="0"/>
        <condense val="0"/>
        <extend val="0"/>
        <outline val="0"/>
        <shadow val="0"/>
        <u val="none"/>
        <vertAlign val="baseline"/>
        <sz val="12"/>
        <color theme="1"/>
        <name val="Arial Narrow"/>
        <scheme val="none"/>
      </font>
    </dxf>
  </dxfs>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ctrlProps/ctrlProp1.xml><?xml version="1.0" encoding="utf-8"?>
<formControlPr xmlns="http://schemas.microsoft.com/office/spreadsheetml/2009/9/main" objectType="Drop" dropStyle="combo" dx="22" fmlaLink="G248" fmlaRange="Datos!$D$4:$D$10" sel="2" val="0"/>
</file>

<file path=xl/ctrlProps/ctrlProp10.xml><?xml version="1.0" encoding="utf-8"?>
<formControlPr xmlns="http://schemas.microsoft.com/office/spreadsheetml/2009/9/main" objectType="Drop" dropStyle="combo" dx="22" fmlaLink="H367" fmlaRange="Datos!$D$4:$D$10" sel="3" val="0"/>
</file>

<file path=xl/ctrlProps/ctrlProp11.xml><?xml version="1.0" encoding="utf-8"?>
<formControlPr xmlns="http://schemas.microsoft.com/office/spreadsheetml/2009/9/main" objectType="Drop" dropStyle="combo" dx="22" fmlaLink="H369" fmlaRange="Datos!$D$4:$D$10" sel="2" val="0"/>
</file>

<file path=xl/ctrlProps/ctrlProp2.xml><?xml version="1.0" encoding="utf-8"?>
<formControlPr xmlns="http://schemas.microsoft.com/office/spreadsheetml/2009/9/main" objectType="Drop" dropStyle="combo" dx="22" fmlaLink="G249" fmlaRange="Datos!$D$4:$D$10" sel="2" val="0"/>
</file>

<file path=xl/ctrlProps/ctrlProp3.xml><?xml version="1.0" encoding="utf-8"?>
<formControlPr xmlns="http://schemas.microsoft.com/office/spreadsheetml/2009/9/main" objectType="Drop" dropStyle="combo" dx="22" fmlaLink="I270" fmlaRange="Datos!$D$4:$D$10" sel="2" val="0"/>
</file>

<file path=xl/ctrlProps/ctrlProp4.xml><?xml version="1.0" encoding="utf-8"?>
<formControlPr xmlns="http://schemas.microsoft.com/office/spreadsheetml/2009/9/main" objectType="Drop" dropStyle="combo" dx="22" fmlaLink="G279" fmlaRange="Datos!$D$4:$D$10" sel="2" val="0"/>
</file>

<file path=xl/ctrlProps/ctrlProp5.xml><?xml version="1.0" encoding="utf-8"?>
<formControlPr xmlns="http://schemas.microsoft.com/office/spreadsheetml/2009/9/main" objectType="Drop" dropStyle="combo" dx="22" fmlaLink="G280" fmlaRange="Datos!$D$4:$D$10" sel="2" val="0"/>
</file>

<file path=xl/ctrlProps/ctrlProp6.xml><?xml version="1.0" encoding="utf-8"?>
<formControlPr xmlns="http://schemas.microsoft.com/office/spreadsheetml/2009/9/main" objectType="Drop" dropStyle="combo" dx="22" fmlaLink="G284" fmlaRange="Datos!$D$4:$D$10" sel="2" val="0"/>
</file>

<file path=xl/ctrlProps/ctrlProp7.xml><?xml version="1.0" encoding="utf-8"?>
<formControlPr xmlns="http://schemas.microsoft.com/office/spreadsheetml/2009/9/main" objectType="Drop" dropStyle="combo" dx="22" fmlaLink="G319" fmlaRange="Datos!$D$4:$D$10" sel="2" val="0"/>
</file>

<file path=xl/ctrlProps/ctrlProp8.xml><?xml version="1.0" encoding="utf-8"?>
<formControlPr xmlns="http://schemas.microsoft.com/office/spreadsheetml/2009/9/main" objectType="Drop" dropStyle="combo" dx="22" fmlaLink="G321" fmlaRange="Datos!$D$4:$D$10" sel="2" val="0"/>
</file>

<file path=xl/ctrlProps/ctrlProp9.xml><?xml version="1.0" encoding="utf-8"?>
<formControlPr xmlns="http://schemas.microsoft.com/office/spreadsheetml/2009/9/main" objectType="Drop" dropStyle="combo" dx="22" fmlaLink="H364" fmlaRange="Datos!$D$4:$D$10" sel="2" val="0"/>
</file>

<file path=xl/drawings/_rels/drawing1.xml.rels><?xml version="1.0" encoding="UTF-8" standalone="yes"?>
<Relationships xmlns="http://schemas.openxmlformats.org/package/2006/relationships"><Relationship Id="rId8" Type="http://schemas.microsoft.com/office/2007/relationships/hdphoto" Target="../media/hdphoto2.wdp"/><Relationship Id="rId3" Type="http://schemas.openxmlformats.org/officeDocument/2006/relationships/image" Target="../media/image2.png"/><Relationship Id="rId7" Type="http://schemas.openxmlformats.org/officeDocument/2006/relationships/image" Target="../media/image6.png"/><Relationship Id="rId2" Type="http://schemas.microsoft.com/office/2007/relationships/hdphoto" Target="../media/hdphoto1.wdp"/><Relationship Id="rId1" Type="http://schemas.openxmlformats.org/officeDocument/2006/relationships/image" Target="../media/image1.png"/><Relationship Id="rId6" Type="http://schemas.openxmlformats.org/officeDocument/2006/relationships/image" Target="../media/image5.png"/><Relationship Id="rId5" Type="http://schemas.openxmlformats.org/officeDocument/2006/relationships/image" Target="../media/image4.jpeg"/><Relationship Id="rId10" Type="http://schemas.openxmlformats.org/officeDocument/2006/relationships/image" Target="../media/image8.png"/><Relationship Id="rId4" Type="http://schemas.openxmlformats.org/officeDocument/2006/relationships/image" Target="../media/image3.png"/><Relationship Id="rId9" Type="http://schemas.openxmlformats.org/officeDocument/2006/relationships/image" Target="../media/image7.png"/></Relationships>
</file>

<file path=xl/drawings/_rels/drawing2.xml.rels><?xml version="1.0" encoding="UTF-8" standalone="yes"?>
<Relationships xmlns="http://schemas.openxmlformats.org/package/2006/relationships"><Relationship Id="rId3" Type="http://schemas.microsoft.com/office/2007/relationships/hdphoto" Target="../media/hdphoto2.wdp"/><Relationship Id="rId2" Type="http://schemas.openxmlformats.org/officeDocument/2006/relationships/image" Target="../media/image6.png"/><Relationship Id="rId1" Type="http://schemas.openxmlformats.org/officeDocument/2006/relationships/image" Target="../media/image9.png"/><Relationship Id="rId4" Type="http://schemas.openxmlformats.org/officeDocument/2006/relationships/image" Target="../media/image7.png"/></Relationships>
</file>

<file path=xl/drawings/drawing1.xml><?xml version="1.0" encoding="utf-8"?>
<xdr:wsDr xmlns:xdr="http://schemas.openxmlformats.org/drawingml/2006/spreadsheetDrawing" xmlns:a="http://schemas.openxmlformats.org/drawingml/2006/main">
  <xdr:twoCellAnchor editAs="oneCell">
    <xdr:from>
      <xdr:col>1</xdr:col>
      <xdr:colOff>142874</xdr:colOff>
      <xdr:row>104</xdr:row>
      <xdr:rowOff>53599</xdr:rowOff>
    </xdr:from>
    <xdr:to>
      <xdr:col>4</xdr:col>
      <xdr:colOff>51268</xdr:colOff>
      <xdr:row>112</xdr:row>
      <xdr:rowOff>68419</xdr:rowOff>
    </xdr:to>
    <xdr:pic>
      <xdr:nvPicPr>
        <xdr:cNvPr id="13" name="Picture 4">
          <a:extLst>
            <a:ext uri="{FF2B5EF4-FFF2-40B4-BE49-F238E27FC236}">
              <a16:creationId xmlns:a16="http://schemas.microsoft.com/office/drawing/2014/main" id="{00000000-0008-0000-0000-00000D000000}"/>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0" b="100000" l="0" r="100000"/>
                  </a14:imgEffect>
                  <a14:imgEffect>
                    <a14:sharpenSoften amount="50000"/>
                  </a14:imgEffect>
                  <a14:imgEffect>
                    <a14:saturation sat="33000"/>
                  </a14:imgEffect>
                </a14:imgLayer>
              </a14:imgProps>
            </a:ext>
          </a:extLst>
        </a:blip>
        <a:srcRect/>
        <a:stretch>
          <a:fillRect/>
        </a:stretch>
      </xdr:blipFill>
      <xdr:spPr bwMode="auto">
        <a:xfrm>
          <a:off x="257174" y="17198599"/>
          <a:ext cx="2222969" cy="1538820"/>
        </a:xfrm>
        <a:prstGeom prst="rect">
          <a:avLst/>
        </a:prstGeom>
        <a:noFill/>
      </xdr:spPr>
    </xdr:pic>
    <xdr:clientData/>
  </xdr:twoCellAnchor>
  <xdr:twoCellAnchor editAs="oneCell">
    <xdr:from>
      <xdr:col>7</xdr:col>
      <xdr:colOff>485774</xdr:colOff>
      <xdr:row>343</xdr:row>
      <xdr:rowOff>102801</xdr:rowOff>
    </xdr:from>
    <xdr:to>
      <xdr:col>9</xdr:col>
      <xdr:colOff>219291</xdr:colOff>
      <xdr:row>350</xdr:row>
      <xdr:rowOff>103047</xdr:rowOff>
    </xdr:to>
    <xdr:pic>
      <xdr:nvPicPr>
        <xdr:cNvPr id="21" name="20 Imagen">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3" cstate="print"/>
        <a:srcRect/>
        <a:stretch>
          <a:fillRect/>
        </a:stretch>
      </xdr:blipFill>
      <xdr:spPr bwMode="auto">
        <a:xfrm>
          <a:off x="5876924" y="64596576"/>
          <a:ext cx="1552792" cy="1333746"/>
        </a:xfrm>
        <a:prstGeom prst="rect">
          <a:avLst/>
        </a:prstGeom>
        <a:noFill/>
        <a:ln w="9525">
          <a:noFill/>
          <a:miter lim="800000"/>
          <a:headEnd/>
          <a:tailEnd/>
        </a:ln>
      </xdr:spPr>
    </xdr:pic>
    <xdr:clientData/>
  </xdr:twoCellAnchor>
  <xdr:twoCellAnchor editAs="absolute">
    <xdr:from>
      <xdr:col>1</xdr:col>
      <xdr:colOff>152400</xdr:colOff>
      <xdr:row>54</xdr:row>
      <xdr:rowOff>122898</xdr:rowOff>
    </xdr:from>
    <xdr:to>
      <xdr:col>4</xdr:col>
      <xdr:colOff>617368</xdr:colOff>
      <xdr:row>56</xdr:row>
      <xdr:rowOff>144765</xdr:rowOff>
    </xdr:to>
    <mc:AlternateContent xmlns:mc="http://schemas.openxmlformats.org/markup-compatibility/2006" xmlns:a14="http://schemas.microsoft.com/office/drawing/2010/main">
      <mc:Choice Requires="a14">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266700" y="9924123"/>
              <a:ext cx="2779543" cy="402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000" b="0" i="1">
                        <a:solidFill>
                          <a:schemeClr val="tx1">
                            <a:lumMod val="85000"/>
                            <a:lumOff val="15000"/>
                          </a:schemeClr>
                        </a:solidFill>
                        <a:latin typeface="Cambria Math" panose="02040503050406030204" pitchFamily="18" charset="0"/>
                        <a:ea typeface="Cambria Math" panose="02040503050406030204" pitchFamily="18" charset="0"/>
                      </a:rPr>
                      <m:t>𝜀</m:t>
                    </m:r>
                    <m:r>
                      <a:rPr lang="es-PE" sz="1000" b="0" i="1">
                        <a:solidFill>
                          <a:schemeClr val="tx1">
                            <a:lumMod val="85000"/>
                            <a:lumOff val="15000"/>
                          </a:schemeClr>
                        </a:solidFill>
                        <a:latin typeface="Cambria Math" panose="02040503050406030204" pitchFamily="18" charset="0"/>
                        <a:ea typeface="Cambria Math" panose="02040503050406030204" pitchFamily="18" charset="0"/>
                      </a:rPr>
                      <m:t>=</m:t>
                    </m:r>
                    <m:d>
                      <m:dPr>
                        <m:begChr m:val="["/>
                        <m:endChr m:val="]"/>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d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0.0151</m:t>
                        </m:r>
                        <m:sSup>
                          <m:sSup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sSupPr>
                          <m:e>
                            <m:d>
                              <m:d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dPr>
                              <m:e>
                                <m:f>
                                  <m:f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ea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ea typeface="Cambria Math" panose="02040503050406030204" pitchFamily="18" charset="0"/>
                                          </a:rPr>
                                          <m:t>𝐿</m:t>
                                        </m:r>
                                      </m:sub>
                                    </m:sSub>
                                  </m:den>
                                </m:f>
                              </m:e>
                            </m:d>
                          </m:e>
                          <m:sup>
                            <m:r>
                              <a:rPr lang="es-PE" sz="1000" b="0" i="1">
                                <a:solidFill>
                                  <a:schemeClr val="tx1">
                                    <a:lumMod val="85000"/>
                                    <a:lumOff val="15000"/>
                                  </a:schemeClr>
                                </a:solidFill>
                                <a:latin typeface="Cambria Math" panose="02040503050406030204" pitchFamily="18" charset="0"/>
                                <a:ea typeface="Cambria Math" panose="02040503050406030204" pitchFamily="18" charset="0"/>
                              </a:rPr>
                              <m:t>2</m:t>
                            </m:r>
                          </m:sup>
                        </m:sSup>
                        <m:r>
                          <a:rPr lang="es-PE" sz="1000" b="0" i="1">
                            <a:solidFill>
                              <a:schemeClr val="tx1">
                                <a:lumMod val="85000"/>
                                <a:lumOff val="15000"/>
                              </a:schemeClr>
                            </a:solidFill>
                            <a:latin typeface="Cambria Math" panose="02040503050406030204" pitchFamily="18" charset="0"/>
                            <a:ea typeface="Cambria Math" panose="02040503050406030204" pitchFamily="18" charset="0"/>
                          </a:rPr>
                          <m:t>−0.1908</m:t>
                        </m:r>
                        <m:d>
                          <m:d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dPr>
                          <m:e>
                            <m:f>
                              <m:f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ea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ea typeface="Cambria Math" panose="02040503050406030204" pitchFamily="18" charset="0"/>
                                      </a:rPr>
                                      <m:t>𝐿</m:t>
                                    </m:r>
                                  </m:sub>
                                </m:sSub>
                              </m:den>
                            </m:f>
                          </m:e>
                        </m:d>
                        <m:r>
                          <a:rPr lang="es-PE" sz="1000" b="0" i="1">
                            <a:solidFill>
                              <a:schemeClr val="tx1">
                                <a:lumMod val="85000"/>
                                <a:lumOff val="15000"/>
                              </a:schemeClr>
                            </a:solidFill>
                            <a:latin typeface="Cambria Math" panose="02040503050406030204" pitchFamily="18" charset="0"/>
                            <a:ea typeface="Cambria Math" panose="02040503050406030204" pitchFamily="18" charset="0"/>
                          </a:rPr>
                          <m:t>+1.021</m:t>
                        </m:r>
                      </m:e>
                    </m:d>
                    <m:r>
                      <a:rPr lang="es-PE" sz="1000" b="0" i="1">
                        <a:solidFill>
                          <a:schemeClr val="tx1">
                            <a:lumMod val="85000"/>
                            <a:lumOff val="15000"/>
                          </a:schemeClr>
                        </a:solidFill>
                        <a:latin typeface="Cambria Math" panose="02040503050406030204" pitchFamily="18" charset="0"/>
                        <a:ea typeface="Cambria Math" panose="02040503050406030204" pitchFamily="18" charset="0"/>
                      </a:rPr>
                      <m:t>≤1.0</m:t>
                    </m:r>
                  </m:oMath>
                </m:oMathPara>
              </a14:m>
              <a:endParaRPr lang="es-PE" sz="1000" b="0" i="1">
                <a:solidFill>
                  <a:schemeClr val="tx1">
                    <a:lumMod val="85000"/>
                    <a:lumOff val="15000"/>
                  </a:schemeClr>
                </a:solidFill>
                <a:latin typeface="BankGothic Lt BT" panose="020B0607020203060204" pitchFamily="34" charset="0"/>
              </a:endParaRPr>
            </a:p>
          </xdr:txBody>
        </xdr:sp>
      </mc:Choice>
      <mc:Fallback xmlns="">
        <xdr:sp macro="" textlink="">
          <xdr:nvSpPr>
            <xdr:cNvPr id="3" name="CuadroTexto 2">
              <a:extLst>
                <a:ext uri="{FF2B5EF4-FFF2-40B4-BE49-F238E27FC236}">
                  <a16:creationId xmlns:a16="http://schemas.microsoft.com/office/drawing/2014/main" id="{00000000-0008-0000-0000-000003000000}"/>
                </a:ext>
              </a:extLst>
            </xdr:cNvPr>
            <xdr:cNvSpPr txBox="1"/>
          </xdr:nvSpPr>
          <xdr:spPr>
            <a:xfrm>
              <a:off x="266700" y="9924123"/>
              <a:ext cx="2779543" cy="40286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solidFill>
                    <a:schemeClr val="tx1">
                      <a:lumMod val="85000"/>
                      <a:lumOff val="15000"/>
                    </a:schemeClr>
                  </a:solidFill>
                  <a:latin typeface="Cambria Math" panose="02040503050406030204" pitchFamily="18" charset="0"/>
                  <a:ea typeface="Cambria Math" panose="02040503050406030204" pitchFamily="18" charset="0"/>
                </a:rPr>
                <a:t>𝜀=[0.0151(𝐿/𝐻_𝐿 )^2−0.1908(𝐿/𝐻_𝐿 )+1.021]≤1.0</a:t>
              </a:r>
              <a:endParaRPr lang="es-PE" sz="1000" b="0" i="1">
                <a:solidFill>
                  <a:schemeClr val="tx1">
                    <a:lumMod val="85000"/>
                    <a:lumOff val="15000"/>
                  </a:schemeClr>
                </a:solidFill>
                <a:latin typeface="BankGothic Lt BT" panose="020B0607020203060204" pitchFamily="34" charset="0"/>
              </a:endParaRPr>
            </a:p>
          </xdr:txBody>
        </xdr:sp>
      </mc:Fallback>
    </mc:AlternateContent>
    <xdr:clientData/>
  </xdr:twoCellAnchor>
  <xdr:oneCellAnchor>
    <xdr:from>
      <xdr:col>1</xdr:col>
      <xdr:colOff>0</xdr:colOff>
      <xdr:row>61</xdr:row>
      <xdr:rowOff>85725</xdr:rowOff>
    </xdr:from>
    <xdr:ext cx="1394676" cy="502766"/>
    <mc:AlternateContent xmlns:mc="http://schemas.openxmlformats.org/markup-compatibility/2006" xmlns:a14="http://schemas.microsoft.com/office/drawing/2010/main">
      <mc:Choice Requires="a14">
        <xdr:sp macro="" textlink="">
          <xdr:nvSpPr>
            <xdr:cNvPr id="2" name="CuadroTexto 1">
              <a:extLst>
                <a:ext uri="{FF2B5EF4-FFF2-40B4-BE49-F238E27FC236}">
                  <a16:creationId xmlns:a16="http://schemas.microsoft.com/office/drawing/2014/main" id="{00000000-0008-0000-0000-000002000000}"/>
                </a:ext>
              </a:extLst>
            </xdr:cNvPr>
            <xdr:cNvSpPr txBox="1"/>
          </xdr:nvSpPr>
          <xdr:spPr>
            <a:xfrm>
              <a:off x="133350" y="9801225"/>
              <a:ext cx="1394676" cy="502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ES" sz="1000" i="1">
                            <a:solidFill>
                              <a:schemeClr val="tx1">
                                <a:lumMod val="85000"/>
                                <a:lumOff val="15000"/>
                              </a:schemeClr>
                            </a:solidFill>
                            <a:latin typeface="Cambria Math" panose="02040503050406030204" pitchFamily="18" charset="0"/>
                            <a:ea typeface="Cambria Math" panose="02040503050406030204" pitchFamily="18" charset="0"/>
                          </a:rPr>
                        </m:ctrlPr>
                      </m:fPr>
                      <m:num>
                        <m:sSub>
                          <m:sSubPr>
                            <m:ctrlPr>
                              <a:rPr lang="es-ES" sz="1000" i="1">
                                <a:solidFill>
                                  <a:schemeClr val="tx1">
                                    <a:lumMod val="85000"/>
                                    <a:lumOff val="15000"/>
                                  </a:schemeClr>
                                </a:solidFill>
                                <a:latin typeface="Cambria Math" panose="02040503050406030204" pitchFamily="18" charset="0"/>
                                <a:ea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𝑊</m:t>
                            </m:r>
                          </m:e>
                          <m:sub>
                            <m:r>
                              <a:rPr lang="es-PE" sz="1000" b="0" i="1">
                                <a:solidFill>
                                  <a:schemeClr val="tx1">
                                    <a:lumMod val="85000"/>
                                    <a:lumOff val="15000"/>
                                  </a:schemeClr>
                                </a:solidFill>
                                <a:latin typeface="Cambria Math" panose="02040503050406030204" pitchFamily="18" charset="0"/>
                                <a:ea typeface="Cambria Math" panose="02040503050406030204" pitchFamily="18" charset="0"/>
                              </a:rPr>
                              <m:t>𝑖</m:t>
                            </m:r>
                          </m:sub>
                        </m:sSub>
                      </m:num>
                      <m:den>
                        <m:sSub>
                          <m:sSubPr>
                            <m:ctrlPr>
                              <a:rPr lang="es-ES" sz="1000" i="1">
                                <a:solidFill>
                                  <a:schemeClr val="tx1">
                                    <a:lumMod val="85000"/>
                                    <a:lumOff val="15000"/>
                                  </a:schemeClr>
                                </a:solidFill>
                                <a:latin typeface="Cambria Math" panose="02040503050406030204" pitchFamily="18" charset="0"/>
                                <a:ea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𝑊</m:t>
                            </m:r>
                          </m:e>
                          <m:sub>
                            <m:r>
                              <a:rPr lang="es-PE" sz="1000" b="0" i="1">
                                <a:solidFill>
                                  <a:schemeClr val="tx1">
                                    <a:lumMod val="85000"/>
                                    <a:lumOff val="15000"/>
                                  </a:schemeClr>
                                </a:solidFill>
                                <a:latin typeface="Cambria Math" panose="02040503050406030204" pitchFamily="18" charset="0"/>
                                <a:ea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ea typeface="Cambria Math" panose="02040503050406030204" pitchFamily="18" charset="0"/>
                      </a:rPr>
                      <m:t>=</m:t>
                    </m:r>
                    <m:f>
                      <m:f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fPr>
                      <m:num>
                        <m:func>
                          <m:func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funcPr>
                          <m:fNa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𝑡𝑎𝑛</m:t>
                            </m:r>
                          </m:fName>
                          <m:e>
                            <m:d>
                              <m:dPr>
                                <m:begChr m:val="["/>
                                <m:endChr m:val="]"/>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d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0.866</m:t>
                                </m:r>
                                <m:d>
                                  <m:d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dPr>
                                  <m:e>
                                    <m:f>
                                      <m:fPr>
                                        <m:type m:val="skw"/>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ea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ea typeface="Cambria Math" panose="02040503050406030204" pitchFamily="18" charset="0"/>
                                              </a:rPr>
                                              <m:t>𝐿</m:t>
                                            </m:r>
                                          </m:sub>
                                        </m:sSub>
                                      </m:den>
                                    </m:f>
                                  </m:e>
                                </m:d>
                              </m:e>
                            </m:d>
                          </m:e>
                        </m:func>
                      </m:num>
                      <m:den>
                        <m:r>
                          <a:rPr lang="es-PE" sz="1000" b="0" i="1">
                            <a:solidFill>
                              <a:schemeClr val="tx1">
                                <a:lumMod val="85000"/>
                                <a:lumOff val="15000"/>
                              </a:schemeClr>
                            </a:solidFill>
                            <a:latin typeface="Cambria Math" panose="02040503050406030204" pitchFamily="18" charset="0"/>
                            <a:ea typeface="Cambria Math" panose="02040503050406030204" pitchFamily="18" charset="0"/>
                          </a:rPr>
                          <m:t>0.866</m:t>
                        </m:r>
                        <m:d>
                          <m:d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dPr>
                          <m:e>
                            <m:f>
                              <m:fPr>
                                <m:type m:val="skw"/>
                                <m:ctrlPr>
                                  <a:rPr lang="es-PE" sz="1000" b="0" i="1">
                                    <a:solidFill>
                                      <a:schemeClr val="tx1">
                                        <a:lumMod val="85000"/>
                                        <a:lumOff val="15000"/>
                                      </a:schemeClr>
                                    </a:solidFill>
                                    <a:effectLst/>
                                    <a:latin typeface="Cambria Math" panose="02040503050406030204" pitchFamily="18" charset="0"/>
                                    <a:ea typeface="Cambria Math" panose="02040503050406030204" pitchFamily="18" charset="0"/>
                                    <a:cs typeface="+mn-cs"/>
                                  </a:rPr>
                                </m:ctrlPr>
                              </m:fPr>
                              <m:num>
                                <m:r>
                                  <a:rPr lang="es-PE" sz="1000" b="0" i="1">
                                    <a:solidFill>
                                      <a:schemeClr val="tx1">
                                        <a:lumMod val="85000"/>
                                        <a:lumOff val="15000"/>
                                      </a:schemeClr>
                                    </a:solidFill>
                                    <a:effectLst/>
                                    <a:latin typeface="Cambria Math" panose="02040503050406030204" pitchFamily="18" charset="0"/>
                                    <a:ea typeface="Cambria Math" panose="02040503050406030204" pitchFamily="18" charset="0"/>
                                    <a:cs typeface="+mn-cs"/>
                                  </a:rPr>
                                  <m:t>𝐿</m:t>
                                </m:r>
                              </m:num>
                              <m:den>
                                <m:sSub>
                                  <m:sSubPr>
                                    <m:ctrlPr>
                                      <a:rPr lang="es-PE" sz="1000" b="0" i="1">
                                        <a:solidFill>
                                          <a:schemeClr val="tx1">
                                            <a:lumMod val="85000"/>
                                            <a:lumOff val="15000"/>
                                          </a:schemeClr>
                                        </a:solidFill>
                                        <a:effectLst/>
                                        <a:latin typeface="Cambria Math" panose="02040503050406030204" pitchFamily="18" charset="0"/>
                                        <a:ea typeface="Cambria Math" panose="02040503050406030204" pitchFamily="18" charset="0"/>
                                        <a:cs typeface="+mn-cs"/>
                                      </a:rPr>
                                    </m:ctrlPr>
                                  </m:sSubPr>
                                  <m:e>
                                    <m:r>
                                      <a:rPr lang="es-PE" sz="1000" b="0" i="1">
                                        <a:solidFill>
                                          <a:schemeClr val="tx1">
                                            <a:lumMod val="85000"/>
                                            <a:lumOff val="15000"/>
                                          </a:schemeClr>
                                        </a:solidFill>
                                        <a:effectLst/>
                                        <a:latin typeface="Cambria Math" panose="02040503050406030204" pitchFamily="18" charset="0"/>
                                        <a:ea typeface="Cambria Math" panose="02040503050406030204" pitchFamily="18" charset="0"/>
                                        <a:cs typeface="+mn-cs"/>
                                      </a:rPr>
                                      <m:t>𝐻</m:t>
                                    </m:r>
                                  </m:e>
                                  <m:sub>
                                    <m:r>
                                      <a:rPr lang="es-PE" sz="1000" b="0" i="1">
                                        <a:solidFill>
                                          <a:schemeClr val="tx1">
                                            <a:lumMod val="85000"/>
                                            <a:lumOff val="15000"/>
                                          </a:schemeClr>
                                        </a:solidFill>
                                        <a:effectLst/>
                                        <a:latin typeface="Cambria Math" panose="02040503050406030204" pitchFamily="18" charset="0"/>
                                        <a:ea typeface="Cambria Math" panose="02040503050406030204" pitchFamily="18" charset="0"/>
                                        <a:cs typeface="+mn-cs"/>
                                      </a:rPr>
                                      <m:t>𝐿</m:t>
                                    </m:r>
                                  </m:sub>
                                </m:sSub>
                              </m:den>
                            </m:f>
                          </m:e>
                        </m:d>
                      </m:den>
                    </m:f>
                  </m:oMath>
                </m:oMathPara>
              </a14:m>
              <a:endParaRPr lang="es-ES" sz="1000" i="1">
                <a:solidFill>
                  <a:schemeClr val="tx1">
                    <a:lumMod val="85000"/>
                    <a:lumOff val="15000"/>
                  </a:schemeClr>
                </a:solidFill>
                <a:latin typeface="Cambria Math" panose="02040503050406030204" pitchFamily="18" charset="0"/>
                <a:ea typeface="Cambria Math" panose="02040503050406030204" pitchFamily="18" charset="0"/>
              </a:endParaRPr>
            </a:p>
          </xdr:txBody>
        </xdr:sp>
      </mc:Choice>
      <mc:Fallback xmlns="">
        <xdr:sp macro="" textlink="">
          <xdr:nvSpPr>
            <xdr:cNvPr id="2" name="CuadroTexto 1">
              <a:extLst>
                <a:ext uri="{FF2B5EF4-FFF2-40B4-BE49-F238E27FC236}">
                  <a16:creationId xmlns:a16="http://schemas.microsoft.com/office/drawing/2014/main" id="{33EF2BF8-9510-4CA8-9B64-B14B7D43341D}"/>
                </a:ext>
              </a:extLst>
            </xdr:cNvPr>
            <xdr:cNvSpPr txBox="1"/>
          </xdr:nvSpPr>
          <xdr:spPr>
            <a:xfrm>
              <a:off x="133350" y="9801225"/>
              <a:ext cx="1394676" cy="50276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000" b="0" i="0">
                  <a:solidFill>
                    <a:schemeClr val="tx1">
                      <a:lumMod val="85000"/>
                      <a:lumOff val="15000"/>
                    </a:schemeClr>
                  </a:solidFill>
                  <a:latin typeface="Cambria Math" panose="02040503050406030204" pitchFamily="18" charset="0"/>
                  <a:ea typeface="Cambria Math" panose="02040503050406030204" pitchFamily="18" charset="0"/>
                </a:rPr>
                <a:t>𝑊</a:t>
              </a:r>
              <a:r>
                <a:rPr lang="es-ES" sz="1000" b="0" i="0">
                  <a:solidFill>
                    <a:schemeClr val="tx1">
                      <a:lumMod val="85000"/>
                      <a:lumOff val="15000"/>
                    </a:schemeClr>
                  </a:solidFill>
                  <a:latin typeface="Cambria Math" panose="02040503050406030204" pitchFamily="18" charset="0"/>
                  <a:ea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𝑖</a:t>
              </a:r>
              <a:r>
                <a:rPr lang="es-ES" sz="1000" b="0" i="0">
                  <a:solidFill>
                    <a:schemeClr val="tx1">
                      <a:lumMod val="85000"/>
                      <a:lumOff val="15000"/>
                    </a:schemeClr>
                  </a:solidFill>
                  <a:latin typeface="Cambria Math" panose="02040503050406030204" pitchFamily="18" charset="0"/>
                  <a:ea typeface="Cambria Math" panose="02040503050406030204" pitchFamily="18" charset="0"/>
                </a:rPr>
                <a:t>/</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𝑊</a:t>
              </a:r>
              <a:r>
                <a:rPr lang="es-ES" sz="1000" b="0" i="0">
                  <a:solidFill>
                    <a:schemeClr val="tx1">
                      <a:lumMod val="85000"/>
                      <a:lumOff val="15000"/>
                    </a:schemeClr>
                  </a:solidFill>
                  <a:latin typeface="Cambria Math" panose="02040503050406030204" pitchFamily="18" charset="0"/>
                  <a:ea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𝐿</a:t>
              </a:r>
              <a:r>
                <a:rPr lang="es-ES" sz="1000" b="0" i="0">
                  <a:solidFill>
                    <a:schemeClr val="tx1">
                      <a:lumMod val="85000"/>
                      <a:lumOff val="15000"/>
                    </a:schemeClr>
                  </a:solidFill>
                  <a:latin typeface="Cambria Math" panose="02040503050406030204" pitchFamily="18" charset="0"/>
                  <a:ea typeface="Cambria Math" panose="02040503050406030204" pitchFamily="18" charset="0"/>
                </a:rPr>
                <a:t> </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=𝑡𝑎𝑛⁡[0.866(𝐿⁄𝐻_𝐿 )]/0.866(</a:t>
              </a:r>
              <a:r>
                <a:rPr lang="es-PE" sz="1000" b="0" i="0">
                  <a:solidFill>
                    <a:schemeClr val="tx1">
                      <a:lumMod val="85000"/>
                      <a:lumOff val="15000"/>
                    </a:schemeClr>
                  </a:solidFill>
                  <a:effectLst/>
                  <a:latin typeface="Cambria Math" panose="02040503050406030204" pitchFamily="18" charset="0"/>
                  <a:ea typeface="Cambria Math" panose="02040503050406030204" pitchFamily="18" charset="0"/>
                  <a:cs typeface="+mn-cs"/>
                </a:rPr>
                <a:t>𝐿⁄𝐻_𝐿 ) </a:t>
              </a:r>
              <a:endParaRPr lang="es-ES" sz="1000" i="1">
                <a:solidFill>
                  <a:schemeClr val="tx1">
                    <a:lumMod val="85000"/>
                    <a:lumOff val="15000"/>
                  </a:schemeClr>
                </a:solidFill>
                <a:latin typeface="Cambria Math" panose="02040503050406030204" pitchFamily="18" charset="0"/>
                <a:ea typeface="Cambria Math" panose="02040503050406030204" pitchFamily="18" charset="0"/>
              </a:endParaRPr>
            </a:p>
          </xdr:txBody>
        </xdr:sp>
      </mc:Fallback>
    </mc:AlternateContent>
    <xdr:clientData/>
  </xdr:oneCellAnchor>
  <xdr:oneCellAnchor>
    <xdr:from>
      <xdr:col>1</xdr:col>
      <xdr:colOff>0</xdr:colOff>
      <xdr:row>64</xdr:row>
      <xdr:rowOff>171450</xdr:rowOff>
    </xdr:from>
    <xdr:ext cx="2118209" cy="313291"/>
    <mc:AlternateContent xmlns:mc="http://schemas.openxmlformats.org/markup-compatibility/2006" xmlns:a14="http://schemas.microsoft.com/office/drawing/2010/main">
      <mc:Choice Requires="a14">
        <xdr:sp macro="" textlink="">
          <xdr:nvSpPr>
            <xdr:cNvPr id="32" name="CuadroTexto 31">
              <a:extLst>
                <a:ext uri="{FF2B5EF4-FFF2-40B4-BE49-F238E27FC236}">
                  <a16:creationId xmlns:a16="http://schemas.microsoft.com/office/drawing/2014/main" id="{00000000-0008-0000-0000-000020000000}"/>
                </a:ext>
              </a:extLst>
            </xdr:cNvPr>
            <xdr:cNvSpPr txBox="1"/>
          </xdr:nvSpPr>
          <xdr:spPr>
            <a:xfrm>
              <a:off x="114300" y="10648950"/>
              <a:ext cx="2118209" cy="3132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ES" sz="1000" i="1">
                            <a:solidFill>
                              <a:schemeClr val="tx1">
                                <a:lumMod val="85000"/>
                                <a:lumOff val="15000"/>
                              </a:schemeClr>
                            </a:solidFill>
                            <a:latin typeface="Cambria Math" panose="02040503050406030204" pitchFamily="18" charset="0"/>
                          </a:rPr>
                        </m:ctrlPr>
                      </m:fPr>
                      <m:num>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𝑊</m:t>
                            </m:r>
                          </m:e>
                          <m:sub>
                            <m:r>
                              <a:rPr lang="es-PE" sz="1000" b="0" i="1">
                                <a:solidFill>
                                  <a:schemeClr val="tx1">
                                    <a:lumMod val="85000"/>
                                    <a:lumOff val="15000"/>
                                  </a:schemeClr>
                                </a:solidFill>
                                <a:latin typeface="Cambria Math" panose="02040503050406030204" pitchFamily="18" charset="0"/>
                              </a:rPr>
                              <m:t>𝑐</m:t>
                            </m:r>
                          </m:sub>
                        </m:sSub>
                      </m:num>
                      <m:den>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𝑊</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rPr>
                      <m:t>=0.264</m:t>
                    </m:r>
                    <m:d>
                      <m:dPr>
                        <m:ctrlPr>
                          <a:rPr lang="es-PE" sz="1000" b="0" i="1">
                            <a:solidFill>
                              <a:schemeClr val="tx1">
                                <a:lumMod val="85000"/>
                                <a:lumOff val="15000"/>
                              </a:schemeClr>
                            </a:solidFill>
                            <a:latin typeface="Cambria Math" panose="02040503050406030204" pitchFamily="18" charset="0"/>
                          </a:rPr>
                        </m:ctrlPr>
                      </m:dPr>
                      <m:e>
                        <m:f>
                          <m:fPr>
                            <m:type m:val="skw"/>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e>
                    </m:d>
                    <m:func>
                      <m:funcPr>
                        <m:ctrlPr>
                          <a:rPr lang="es-PE" sz="1000" b="0" i="1">
                            <a:solidFill>
                              <a:schemeClr val="tx1">
                                <a:lumMod val="85000"/>
                                <a:lumOff val="15000"/>
                              </a:schemeClr>
                            </a:solidFill>
                            <a:latin typeface="Cambria Math" panose="02040503050406030204" pitchFamily="18" charset="0"/>
                          </a:rPr>
                        </m:ctrlPr>
                      </m:funcPr>
                      <m:fName>
                        <m:r>
                          <a:rPr lang="es-PE" sz="1000" b="0" i="1">
                            <a:solidFill>
                              <a:schemeClr val="tx1">
                                <a:lumMod val="85000"/>
                                <a:lumOff val="15000"/>
                              </a:schemeClr>
                            </a:solidFill>
                            <a:latin typeface="Cambria Math" panose="02040503050406030204" pitchFamily="18" charset="0"/>
                          </a:rPr>
                          <m:t>𝑡𝑎𝑛</m:t>
                        </m:r>
                      </m:fName>
                      <m:e>
                        <m:d>
                          <m:dPr>
                            <m:begChr m:val="["/>
                            <m:endChr m:val="]"/>
                            <m:ctrlPr>
                              <a:rPr lang="es-PE" sz="1000" b="0" i="1">
                                <a:solidFill>
                                  <a:schemeClr val="tx1">
                                    <a:lumMod val="85000"/>
                                    <a:lumOff val="15000"/>
                                  </a:schemeClr>
                                </a:solidFill>
                                <a:latin typeface="Cambria Math" panose="02040503050406030204" pitchFamily="18" charset="0"/>
                              </a:rPr>
                            </m:ctrlPr>
                          </m:dPr>
                          <m:e>
                            <m:r>
                              <a:rPr lang="es-PE" sz="1000" b="0" i="1">
                                <a:solidFill>
                                  <a:schemeClr val="tx1">
                                    <a:lumMod val="85000"/>
                                    <a:lumOff val="15000"/>
                                  </a:schemeClr>
                                </a:solidFill>
                                <a:latin typeface="Cambria Math" panose="02040503050406030204" pitchFamily="18" charset="0"/>
                              </a:rPr>
                              <m:t>3.16</m:t>
                            </m:r>
                            <m:d>
                              <m:dPr>
                                <m:ctrlPr>
                                  <a:rPr lang="es-PE" sz="1000" b="0" i="1">
                                    <a:solidFill>
                                      <a:schemeClr val="tx1">
                                        <a:lumMod val="85000"/>
                                        <a:lumOff val="15000"/>
                                      </a:schemeClr>
                                    </a:solidFill>
                                    <a:latin typeface="Cambria Math" panose="02040503050406030204" pitchFamily="18" charset="0"/>
                                  </a:rPr>
                                </m:ctrlPr>
                              </m:dPr>
                              <m:e>
                                <m:f>
                                  <m:fPr>
                                    <m:type m:val="skw"/>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num>
                                  <m:den>
                                    <m:r>
                                      <a:rPr lang="es-PE" sz="1000" b="0" i="1">
                                        <a:solidFill>
                                          <a:schemeClr val="tx1">
                                            <a:lumMod val="85000"/>
                                            <a:lumOff val="15000"/>
                                          </a:schemeClr>
                                        </a:solidFill>
                                        <a:latin typeface="Cambria Math" panose="02040503050406030204" pitchFamily="18" charset="0"/>
                                      </a:rPr>
                                      <m:t>𝐿</m:t>
                                    </m:r>
                                  </m:den>
                                </m:f>
                              </m:e>
                            </m:d>
                          </m:e>
                        </m:d>
                      </m:e>
                    </m:func>
                  </m:oMath>
                </m:oMathPara>
              </a14:m>
              <a:endParaRPr lang="es-ES" sz="1000" i="1"/>
            </a:p>
          </xdr:txBody>
        </xdr:sp>
      </mc:Choice>
      <mc:Fallback xmlns="">
        <xdr:sp macro="" textlink="">
          <xdr:nvSpPr>
            <xdr:cNvPr id="32" name="CuadroTexto 31">
              <a:extLst>
                <a:ext uri="{FF2B5EF4-FFF2-40B4-BE49-F238E27FC236}">
                  <a16:creationId xmlns:a16="http://schemas.microsoft.com/office/drawing/2014/main" id="{00000000-0008-0000-0000-000020000000}"/>
                </a:ext>
              </a:extLst>
            </xdr:cNvPr>
            <xdr:cNvSpPr txBox="1"/>
          </xdr:nvSpPr>
          <xdr:spPr>
            <a:xfrm>
              <a:off x="114300" y="10648950"/>
              <a:ext cx="2118209" cy="31329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solidFill>
                    <a:schemeClr val="tx1">
                      <a:lumMod val="85000"/>
                      <a:lumOff val="15000"/>
                    </a:schemeClr>
                  </a:solidFill>
                  <a:latin typeface="Cambria Math" panose="02040503050406030204" pitchFamily="18" charset="0"/>
                </a:rPr>
                <a:t>𝑊</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𝑐</a:t>
              </a:r>
              <a:r>
                <a:rPr lang="es-ES" sz="1000" b="0" i="0">
                  <a:solidFill>
                    <a:schemeClr val="tx1">
                      <a:lumMod val="85000"/>
                      <a:lumOff val="15000"/>
                    </a:schemeClr>
                  </a:solidFill>
                  <a:latin typeface="Cambria Math" panose="02040503050406030204" pitchFamily="18" charset="0"/>
                </a:rPr>
                <a:t>/</a:t>
              </a:r>
              <a:r>
                <a:rPr lang="es-PE" sz="1000" b="0" i="0">
                  <a:solidFill>
                    <a:schemeClr val="tx1">
                      <a:lumMod val="85000"/>
                      <a:lumOff val="15000"/>
                    </a:schemeClr>
                  </a:solidFill>
                  <a:latin typeface="Cambria Math" panose="02040503050406030204" pitchFamily="18" charset="0"/>
                </a:rPr>
                <a:t>𝑊</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𝐿 =0.264(𝐿⁄𝐻_𝐿 )  𝑡𝑎𝑛⁡[3.16(𝐻_𝐿⁄𝐿)]</a:t>
              </a:r>
              <a:endParaRPr lang="es-ES" sz="1000" i="1"/>
            </a:p>
          </xdr:txBody>
        </xdr:sp>
      </mc:Fallback>
    </mc:AlternateContent>
    <xdr:clientData/>
  </xdr:oneCellAnchor>
  <xdr:oneCellAnchor>
    <xdr:from>
      <xdr:col>1</xdr:col>
      <xdr:colOff>104775</xdr:colOff>
      <xdr:row>91</xdr:row>
      <xdr:rowOff>0</xdr:rowOff>
    </xdr:from>
    <xdr:ext cx="839268" cy="164404"/>
    <mc:AlternateContent xmlns:mc="http://schemas.openxmlformats.org/markup-compatibility/2006" xmlns:a14="http://schemas.microsoft.com/office/drawing/2010/main">
      <mc:Choice Requires="a14">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219075" y="15621000"/>
              <a:ext cx="839268" cy="164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050" b="0" i="1">
                        <a:solidFill>
                          <a:schemeClr val="tx1">
                            <a:lumMod val="85000"/>
                            <a:lumOff val="15000"/>
                          </a:schemeClr>
                        </a:solidFill>
                        <a:latin typeface="Cambria Math" panose="02040503050406030204" pitchFamily="18" charset="0"/>
                      </a:rPr>
                      <m:t>𝑚</m:t>
                    </m:r>
                    <m:r>
                      <a:rPr lang="es-PE" sz="1050" b="0" i="1">
                        <a:solidFill>
                          <a:schemeClr val="tx1">
                            <a:lumMod val="85000"/>
                            <a:lumOff val="15000"/>
                          </a:schemeClr>
                        </a:solidFill>
                        <a:latin typeface="Cambria Math" panose="02040503050406030204" pitchFamily="18" charset="0"/>
                      </a:rPr>
                      <m:t>=</m:t>
                    </m:r>
                    <m:sSub>
                      <m:sSubPr>
                        <m:ctrlPr>
                          <a:rPr lang="es-PE" sz="1050" b="0" i="1">
                            <a:solidFill>
                              <a:schemeClr val="tx1">
                                <a:lumMod val="85000"/>
                                <a:lumOff val="15000"/>
                              </a:schemeClr>
                            </a:solidFill>
                            <a:latin typeface="Cambria Math" panose="02040503050406030204" pitchFamily="18" charset="0"/>
                          </a:rPr>
                        </m:ctrlPr>
                      </m:sSubPr>
                      <m:e>
                        <m:r>
                          <a:rPr lang="es-PE" sz="1050" b="0" i="1">
                            <a:solidFill>
                              <a:schemeClr val="tx1">
                                <a:lumMod val="85000"/>
                                <a:lumOff val="15000"/>
                              </a:schemeClr>
                            </a:solidFill>
                            <a:latin typeface="Cambria Math" panose="02040503050406030204" pitchFamily="18" charset="0"/>
                          </a:rPr>
                          <m:t>𝑚</m:t>
                        </m:r>
                      </m:e>
                      <m:sub>
                        <m:r>
                          <a:rPr lang="es-PE" sz="1050" b="0" i="1">
                            <a:solidFill>
                              <a:schemeClr val="tx1">
                                <a:lumMod val="85000"/>
                                <a:lumOff val="15000"/>
                              </a:schemeClr>
                            </a:solidFill>
                            <a:latin typeface="Cambria Math" panose="02040503050406030204" pitchFamily="18" charset="0"/>
                          </a:rPr>
                          <m:t>𝑤</m:t>
                        </m:r>
                      </m:sub>
                    </m:sSub>
                    <m:r>
                      <a:rPr lang="es-PE" sz="1050" b="0" i="1">
                        <a:solidFill>
                          <a:schemeClr val="tx1">
                            <a:lumMod val="85000"/>
                            <a:lumOff val="15000"/>
                          </a:schemeClr>
                        </a:solidFill>
                        <a:latin typeface="Cambria Math" panose="02040503050406030204" pitchFamily="18" charset="0"/>
                      </a:rPr>
                      <m:t>+</m:t>
                    </m:r>
                    <m:sSub>
                      <m:sSubPr>
                        <m:ctrlPr>
                          <a:rPr lang="es-PE" sz="1050" b="0" i="1">
                            <a:solidFill>
                              <a:schemeClr val="tx1">
                                <a:lumMod val="85000"/>
                                <a:lumOff val="15000"/>
                              </a:schemeClr>
                            </a:solidFill>
                            <a:latin typeface="Cambria Math" panose="02040503050406030204" pitchFamily="18" charset="0"/>
                          </a:rPr>
                        </m:ctrlPr>
                      </m:sSubPr>
                      <m:e>
                        <m:r>
                          <a:rPr lang="es-PE" sz="1050" b="0" i="1">
                            <a:solidFill>
                              <a:schemeClr val="tx1">
                                <a:lumMod val="85000"/>
                                <a:lumOff val="15000"/>
                              </a:schemeClr>
                            </a:solidFill>
                            <a:latin typeface="Cambria Math" panose="02040503050406030204" pitchFamily="18" charset="0"/>
                          </a:rPr>
                          <m:t>𝑚</m:t>
                        </m:r>
                      </m:e>
                      <m:sub>
                        <m:r>
                          <a:rPr lang="es-PE" sz="1050" b="0" i="1">
                            <a:solidFill>
                              <a:schemeClr val="tx1">
                                <a:lumMod val="85000"/>
                                <a:lumOff val="15000"/>
                              </a:schemeClr>
                            </a:solidFill>
                            <a:latin typeface="Cambria Math" panose="02040503050406030204" pitchFamily="18" charset="0"/>
                          </a:rPr>
                          <m:t>𝑖</m:t>
                        </m:r>
                      </m:sub>
                    </m:sSub>
                  </m:oMath>
                </m:oMathPara>
              </a14:m>
              <a:endParaRPr lang="es-ES" sz="1050">
                <a:solidFill>
                  <a:schemeClr val="tx1">
                    <a:lumMod val="85000"/>
                    <a:lumOff val="15000"/>
                  </a:schemeClr>
                </a:solidFill>
              </a:endParaRPr>
            </a:p>
          </xdr:txBody>
        </xdr:sp>
      </mc:Choice>
      <mc:Fallback xmlns="">
        <xdr:sp macro="" textlink="">
          <xdr:nvSpPr>
            <xdr:cNvPr id="4" name="CuadroTexto 3">
              <a:extLst>
                <a:ext uri="{FF2B5EF4-FFF2-40B4-BE49-F238E27FC236}">
                  <a16:creationId xmlns:a16="http://schemas.microsoft.com/office/drawing/2014/main" id="{00000000-0008-0000-0000-000004000000}"/>
                </a:ext>
              </a:extLst>
            </xdr:cNvPr>
            <xdr:cNvSpPr txBox="1"/>
          </xdr:nvSpPr>
          <xdr:spPr>
            <a:xfrm>
              <a:off x="219075" y="15621000"/>
              <a:ext cx="839268" cy="16440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50" b="0" i="0">
                  <a:solidFill>
                    <a:schemeClr val="tx1">
                      <a:lumMod val="85000"/>
                      <a:lumOff val="15000"/>
                    </a:schemeClr>
                  </a:solidFill>
                  <a:latin typeface="Cambria Math" panose="02040503050406030204" pitchFamily="18" charset="0"/>
                </a:rPr>
                <a:t>𝑚=𝑚_𝑤+𝑚_𝑖</a:t>
              </a:r>
              <a:endParaRPr lang="es-ES" sz="1050">
                <a:solidFill>
                  <a:schemeClr val="tx1">
                    <a:lumMod val="85000"/>
                    <a:lumOff val="15000"/>
                  </a:schemeClr>
                </a:solidFill>
              </a:endParaRPr>
            </a:p>
          </xdr:txBody>
        </xdr:sp>
      </mc:Fallback>
    </mc:AlternateContent>
    <xdr:clientData/>
  </xdr:oneCellAnchor>
  <xdr:oneCellAnchor>
    <xdr:from>
      <xdr:col>1</xdr:col>
      <xdr:colOff>114300</xdr:colOff>
      <xdr:row>89</xdr:row>
      <xdr:rowOff>104775</xdr:rowOff>
    </xdr:from>
    <xdr:ext cx="680956" cy="186333"/>
    <mc:AlternateContent xmlns:mc="http://schemas.openxmlformats.org/markup-compatibility/2006" xmlns:a14="http://schemas.microsoft.com/office/drawing/2010/main">
      <mc:Choice Requires="a14">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228600" y="15344775"/>
              <a:ext cx="680956" cy="18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000" i="1">
                            <a:solidFill>
                              <a:schemeClr val="tx1">
                                <a:lumMod val="85000"/>
                                <a:lumOff val="15000"/>
                              </a:schemeClr>
                            </a:solidFill>
                            <a:latin typeface="Cambria Math" panose="02040503050406030204" pitchFamily="18" charset="0"/>
                          </a:rPr>
                        </m:ctrlPr>
                      </m:sSubPr>
                      <m:e>
                        <m:r>
                          <a:rPr lang="es-ES" sz="1000" i="1">
                            <a:solidFill>
                              <a:schemeClr val="tx1">
                                <a:lumMod val="85000"/>
                                <a:lumOff val="15000"/>
                              </a:schemeClr>
                            </a:solidFill>
                            <a:latin typeface="Cambria Math" panose="02040503050406030204" pitchFamily="18" charset="0"/>
                            <a:ea typeface="Cambria Math" panose="02040503050406030204" pitchFamily="18" charset="0"/>
                          </a:rPr>
                          <m:t>𝜔</m:t>
                        </m:r>
                      </m:e>
                      <m:sub>
                        <m:r>
                          <a:rPr lang="es-PE" sz="1000" b="0" i="1">
                            <a:solidFill>
                              <a:schemeClr val="tx1">
                                <a:lumMod val="85000"/>
                                <a:lumOff val="15000"/>
                              </a:schemeClr>
                            </a:solidFill>
                            <a:latin typeface="Cambria Math" panose="02040503050406030204" pitchFamily="18" charset="0"/>
                          </a:rPr>
                          <m:t>𝑖</m:t>
                        </m:r>
                      </m:sub>
                    </m:sSub>
                    <m:r>
                      <a:rPr lang="es-PE" sz="1000" b="0" i="1">
                        <a:solidFill>
                          <a:schemeClr val="tx1">
                            <a:lumMod val="85000"/>
                            <a:lumOff val="15000"/>
                          </a:schemeClr>
                        </a:solidFill>
                        <a:latin typeface="Cambria Math" panose="02040503050406030204" pitchFamily="18" charset="0"/>
                      </a:rPr>
                      <m:t>=</m:t>
                    </m:r>
                    <m:rad>
                      <m:radPr>
                        <m:degHide m:val="on"/>
                        <m:ctrlPr>
                          <a:rPr lang="es-PE" sz="1000" b="0" i="1">
                            <a:solidFill>
                              <a:schemeClr val="tx1">
                                <a:lumMod val="85000"/>
                                <a:lumOff val="15000"/>
                              </a:schemeClr>
                            </a:solidFill>
                            <a:latin typeface="Cambria Math" panose="02040503050406030204" pitchFamily="18" charset="0"/>
                          </a:rPr>
                        </m:ctrlPr>
                      </m:radPr>
                      <m:deg/>
                      <m:e>
                        <m:f>
                          <m:fPr>
                            <m:type m:val="lin"/>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𝑘</m:t>
                            </m:r>
                          </m:num>
                          <m:den>
                            <m:r>
                              <a:rPr lang="es-PE" sz="1000" b="0" i="1">
                                <a:solidFill>
                                  <a:schemeClr val="tx1">
                                    <a:lumMod val="85000"/>
                                    <a:lumOff val="15000"/>
                                  </a:schemeClr>
                                </a:solidFill>
                                <a:latin typeface="Cambria Math" panose="02040503050406030204" pitchFamily="18" charset="0"/>
                              </a:rPr>
                              <m:t>𝑚</m:t>
                            </m:r>
                          </m:den>
                        </m:f>
                      </m:e>
                    </m:rad>
                  </m:oMath>
                </m:oMathPara>
              </a14:m>
              <a:endParaRPr lang="es-ES" sz="1050">
                <a:solidFill>
                  <a:schemeClr val="tx1">
                    <a:lumMod val="85000"/>
                    <a:lumOff val="15000"/>
                  </a:schemeClr>
                </a:solidFill>
              </a:endParaRPr>
            </a:p>
          </xdr:txBody>
        </xdr:sp>
      </mc:Choice>
      <mc:Fallback xmlns="">
        <xdr:sp macro="" textlink="">
          <xdr:nvSpPr>
            <xdr:cNvPr id="24" name="CuadroTexto 23">
              <a:extLst>
                <a:ext uri="{FF2B5EF4-FFF2-40B4-BE49-F238E27FC236}">
                  <a16:creationId xmlns:a16="http://schemas.microsoft.com/office/drawing/2014/main" id="{00000000-0008-0000-0000-000018000000}"/>
                </a:ext>
              </a:extLst>
            </xdr:cNvPr>
            <xdr:cNvSpPr txBox="1"/>
          </xdr:nvSpPr>
          <xdr:spPr>
            <a:xfrm>
              <a:off x="228600" y="15344775"/>
              <a:ext cx="680956" cy="18633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000" i="0">
                  <a:solidFill>
                    <a:schemeClr val="tx1">
                      <a:lumMod val="85000"/>
                      <a:lumOff val="15000"/>
                    </a:schemeClr>
                  </a:solidFill>
                  <a:latin typeface="Cambria Math" panose="02040503050406030204" pitchFamily="18" charset="0"/>
                  <a:ea typeface="Cambria Math" panose="02040503050406030204" pitchFamily="18" charset="0"/>
                </a:rPr>
                <a:t>𝜔_</a:t>
              </a:r>
              <a:r>
                <a:rPr lang="es-PE" sz="1000" b="0" i="0">
                  <a:solidFill>
                    <a:schemeClr val="tx1">
                      <a:lumMod val="85000"/>
                      <a:lumOff val="15000"/>
                    </a:schemeClr>
                  </a:solidFill>
                  <a:latin typeface="Cambria Math" panose="02040503050406030204" pitchFamily="18" charset="0"/>
                </a:rPr>
                <a:t>𝑖=√(𝑘∕𝑚)</a:t>
              </a:r>
              <a:endParaRPr lang="es-ES" sz="1050">
                <a:solidFill>
                  <a:schemeClr val="tx1">
                    <a:lumMod val="85000"/>
                    <a:lumOff val="15000"/>
                  </a:schemeClr>
                </a:solidFill>
              </a:endParaRPr>
            </a:p>
          </xdr:txBody>
        </xdr:sp>
      </mc:Fallback>
    </mc:AlternateContent>
    <xdr:clientData/>
  </xdr:oneCellAnchor>
  <xdr:oneCellAnchor>
    <xdr:from>
      <xdr:col>1</xdr:col>
      <xdr:colOff>85725</xdr:colOff>
      <xdr:row>92</xdr:row>
      <xdr:rowOff>76200</xdr:rowOff>
    </xdr:from>
    <xdr:ext cx="1047723" cy="203902"/>
    <mc:AlternateContent xmlns:mc="http://schemas.openxmlformats.org/markup-compatibility/2006" xmlns:a14="http://schemas.microsoft.com/office/drawing/2010/main">
      <mc:Choice Requires="a14">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200025" y="15887700"/>
              <a:ext cx="1047723" cy="203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𝑚</m:t>
                        </m:r>
                      </m:e>
                      <m:sub>
                        <m:r>
                          <a:rPr lang="es-PE" sz="1000" b="0" i="1">
                            <a:solidFill>
                              <a:schemeClr val="tx1">
                                <a:lumMod val="85000"/>
                                <a:lumOff val="15000"/>
                              </a:schemeClr>
                            </a:solidFill>
                            <a:latin typeface="Cambria Math" panose="02040503050406030204" pitchFamily="18" charset="0"/>
                          </a:rPr>
                          <m:t>𝑤</m:t>
                        </m:r>
                      </m:sub>
                    </m:sSub>
                    <m:r>
                      <a:rPr lang="es-PE" sz="1000" b="0" i="1">
                        <a:solidFill>
                          <a:schemeClr val="tx1">
                            <a:lumMod val="85000"/>
                            <a:lumOff val="15000"/>
                          </a:schemeClr>
                        </a:solidFill>
                        <a:latin typeface="Cambria Math" panose="02040503050406030204" pitchFamily="18" charset="0"/>
                      </a:rPr>
                      <m:t>=</m:t>
                    </m:r>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𝑤</m:t>
                        </m:r>
                      </m:sub>
                    </m:sSub>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𝑡</m:t>
                        </m:r>
                      </m:e>
                      <m:sub>
                        <m:r>
                          <a:rPr lang="es-PE" sz="1000" b="0" i="1">
                            <a:solidFill>
                              <a:schemeClr val="tx1">
                                <a:lumMod val="85000"/>
                                <a:lumOff val="15000"/>
                              </a:schemeClr>
                            </a:solidFill>
                            <a:latin typeface="Cambria Math" panose="02040503050406030204" pitchFamily="18" charset="0"/>
                          </a:rPr>
                          <m:t>𝑤</m:t>
                        </m:r>
                      </m:sub>
                    </m:sSub>
                    <m:d>
                      <m:dPr>
                        <m:ctrlPr>
                          <a:rPr lang="es-PE" sz="1000" b="0" i="1">
                            <a:solidFill>
                              <a:schemeClr val="tx1">
                                <a:lumMod val="85000"/>
                                <a:lumOff val="15000"/>
                              </a:schemeClr>
                            </a:solidFill>
                            <a:latin typeface="Cambria Math" panose="02040503050406030204" pitchFamily="18" charset="0"/>
                          </a:rPr>
                        </m:ctrlPr>
                      </m:dPr>
                      <m:e>
                        <m:f>
                          <m:fPr>
                            <m:type m:val="skw"/>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𝛾</m:t>
                                </m:r>
                              </m:e>
                              <m:sub>
                                <m:r>
                                  <a:rPr lang="es-PE" sz="1000" b="0" i="1">
                                    <a:solidFill>
                                      <a:schemeClr val="tx1">
                                        <a:lumMod val="85000"/>
                                        <a:lumOff val="15000"/>
                                      </a:schemeClr>
                                    </a:solidFill>
                                    <a:latin typeface="Cambria Math" panose="02040503050406030204" pitchFamily="18" charset="0"/>
                                  </a:rPr>
                                  <m:t>𝑐</m:t>
                                </m:r>
                              </m:sub>
                            </m:sSub>
                          </m:num>
                          <m:den>
                            <m:r>
                              <a:rPr lang="es-PE" sz="1000" b="0" i="1">
                                <a:solidFill>
                                  <a:schemeClr val="tx1">
                                    <a:lumMod val="85000"/>
                                    <a:lumOff val="15000"/>
                                  </a:schemeClr>
                                </a:solidFill>
                                <a:latin typeface="Cambria Math" panose="02040503050406030204" pitchFamily="18" charset="0"/>
                              </a:rPr>
                              <m:t>𝑔</m:t>
                            </m:r>
                          </m:den>
                        </m:f>
                      </m:e>
                    </m:d>
                  </m:oMath>
                </m:oMathPara>
              </a14:m>
              <a:endParaRPr lang="es-ES" sz="1050">
                <a:solidFill>
                  <a:schemeClr val="tx1">
                    <a:lumMod val="85000"/>
                    <a:lumOff val="15000"/>
                  </a:schemeClr>
                </a:solidFill>
              </a:endParaRPr>
            </a:p>
          </xdr:txBody>
        </xdr:sp>
      </mc:Choice>
      <mc:Fallback xmlns="">
        <xdr:sp macro="" textlink="">
          <xdr:nvSpPr>
            <xdr:cNvPr id="25" name="CuadroTexto 24">
              <a:extLst>
                <a:ext uri="{FF2B5EF4-FFF2-40B4-BE49-F238E27FC236}">
                  <a16:creationId xmlns:a16="http://schemas.microsoft.com/office/drawing/2014/main" id="{00000000-0008-0000-0000-000019000000}"/>
                </a:ext>
              </a:extLst>
            </xdr:cNvPr>
            <xdr:cNvSpPr txBox="1"/>
          </xdr:nvSpPr>
          <xdr:spPr>
            <a:xfrm>
              <a:off x="200025" y="15887700"/>
              <a:ext cx="1047723" cy="20390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solidFill>
                    <a:schemeClr val="tx1">
                      <a:lumMod val="85000"/>
                      <a:lumOff val="15000"/>
                    </a:schemeClr>
                  </a:solidFill>
                  <a:latin typeface="Cambria Math" panose="02040503050406030204" pitchFamily="18" charset="0"/>
                </a:rPr>
                <a:t>𝑚</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𝑤=𝐻_𝑤 𝑡_𝑤 (</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𝛾_</a:t>
              </a:r>
              <a:r>
                <a:rPr lang="es-PE" sz="1000" b="0" i="0">
                  <a:solidFill>
                    <a:schemeClr val="tx1">
                      <a:lumMod val="85000"/>
                      <a:lumOff val="15000"/>
                    </a:schemeClr>
                  </a:solidFill>
                  <a:latin typeface="Cambria Math" panose="02040503050406030204" pitchFamily="18" charset="0"/>
                </a:rPr>
                <a:t>𝑐⁄𝑔)</a:t>
              </a:r>
              <a:endParaRPr lang="es-ES" sz="1050">
                <a:solidFill>
                  <a:schemeClr val="tx1">
                    <a:lumMod val="85000"/>
                    <a:lumOff val="15000"/>
                  </a:schemeClr>
                </a:solidFill>
              </a:endParaRPr>
            </a:p>
          </xdr:txBody>
        </xdr:sp>
      </mc:Fallback>
    </mc:AlternateContent>
    <xdr:clientData/>
  </xdr:oneCellAnchor>
  <xdr:oneCellAnchor>
    <xdr:from>
      <xdr:col>1</xdr:col>
      <xdr:colOff>85725</xdr:colOff>
      <xdr:row>93</xdr:row>
      <xdr:rowOff>142875</xdr:rowOff>
    </xdr:from>
    <xdr:ext cx="1331582" cy="345800"/>
    <mc:AlternateContent xmlns:mc="http://schemas.openxmlformats.org/markup-compatibility/2006" xmlns:a14="http://schemas.microsoft.com/office/drawing/2010/main">
      <mc:Choice Requires="a14">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200025" y="16144875"/>
              <a:ext cx="1331582" cy="34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𝑚</m:t>
                        </m:r>
                      </m:e>
                      <m:sub>
                        <m:r>
                          <a:rPr lang="es-PE" sz="1000" b="0" i="1">
                            <a:solidFill>
                              <a:schemeClr val="tx1">
                                <a:lumMod val="85000"/>
                                <a:lumOff val="15000"/>
                              </a:schemeClr>
                            </a:solidFill>
                            <a:latin typeface="Cambria Math" panose="02040503050406030204" pitchFamily="18" charset="0"/>
                          </a:rPr>
                          <m:t>𝑖</m:t>
                        </m:r>
                      </m:sub>
                    </m:sSub>
                    <m:r>
                      <a:rPr lang="es-PE" sz="1000" b="0" i="1">
                        <a:solidFill>
                          <a:schemeClr val="tx1">
                            <a:lumMod val="85000"/>
                            <a:lumOff val="15000"/>
                          </a:schemeClr>
                        </a:solidFill>
                        <a:latin typeface="Cambria Math" panose="02040503050406030204" pitchFamily="18" charset="0"/>
                      </a:rPr>
                      <m:t>=</m:t>
                    </m:r>
                    <m:d>
                      <m:dPr>
                        <m:ctrlPr>
                          <a:rPr lang="es-PE" sz="1000" b="0" i="1">
                            <a:solidFill>
                              <a:schemeClr val="tx1">
                                <a:lumMod val="85000"/>
                                <a:lumOff val="15000"/>
                              </a:schemeClr>
                            </a:solidFill>
                            <a:latin typeface="Cambria Math" panose="02040503050406030204" pitchFamily="18" charset="0"/>
                          </a:rPr>
                        </m:ctrlPr>
                      </m:dPr>
                      <m:e>
                        <m:f>
                          <m:fPr>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𝑊</m:t>
                                </m:r>
                              </m:e>
                              <m:sub>
                                <m:r>
                                  <a:rPr lang="es-PE" sz="1000" b="0" i="1">
                                    <a:solidFill>
                                      <a:schemeClr val="tx1">
                                        <a:lumMod val="85000"/>
                                        <a:lumOff val="15000"/>
                                      </a:schemeClr>
                                    </a:solidFill>
                                    <a:latin typeface="Cambria Math" panose="02040503050406030204" pitchFamily="18" charset="0"/>
                                  </a:rPr>
                                  <m:t>𝑖</m:t>
                                </m:r>
                              </m:sub>
                            </m:sSub>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𝑊</m:t>
                                </m:r>
                              </m:e>
                              <m:sub>
                                <m:r>
                                  <a:rPr lang="es-PE" sz="1000" b="0" i="1">
                                    <a:solidFill>
                                      <a:schemeClr val="tx1">
                                        <a:lumMod val="85000"/>
                                        <a:lumOff val="15000"/>
                                      </a:schemeClr>
                                    </a:solidFill>
                                    <a:latin typeface="Cambria Math" panose="02040503050406030204" pitchFamily="18" charset="0"/>
                                  </a:rPr>
                                  <m:t>𝐿</m:t>
                                </m:r>
                              </m:sub>
                            </m:sSub>
                          </m:den>
                        </m:f>
                      </m:e>
                    </m:d>
                    <m:d>
                      <m:dPr>
                        <m:ctrlPr>
                          <a:rPr lang="es-PE" sz="1000" b="0" i="1">
                            <a:solidFill>
                              <a:schemeClr val="tx1">
                                <a:lumMod val="85000"/>
                                <a:lumOff val="15000"/>
                              </a:schemeClr>
                            </a:solidFill>
                            <a:latin typeface="Cambria Math" panose="02040503050406030204" pitchFamily="18" charset="0"/>
                          </a:rPr>
                        </m:ctrlPr>
                      </m:dPr>
                      <m:e>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𝐿</m:t>
                            </m:r>
                          </m:num>
                          <m:den>
                            <m:r>
                              <a:rPr lang="es-PE" sz="1000" b="0" i="1">
                                <a:solidFill>
                                  <a:schemeClr val="tx1">
                                    <a:lumMod val="85000"/>
                                    <a:lumOff val="15000"/>
                                  </a:schemeClr>
                                </a:solidFill>
                                <a:latin typeface="Cambria Math" panose="02040503050406030204" pitchFamily="18" charset="0"/>
                              </a:rPr>
                              <m:t>2</m:t>
                            </m:r>
                          </m:den>
                        </m:f>
                      </m:e>
                    </m:d>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
                      <m:dPr>
                        <m:ctrlPr>
                          <a:rPr lang="es-PE" sz="1000" b="0" i="1">
                            <a:solidFill>
                              <a:schemeClr val="tx1">
                                <a:lumMod val="85000"/>
                                <a:lumOff val="15000"/>
                              </a:schemeClr>
                            </a:solidFill>
                            <a:latin typeface="Cambria Math" panose="02040503050406030204" pitchFamily="18" charset="0"/>
                          </a:rPr>
                        </m:ctrlPr>
                      </m:dPr>
                      <m:e>
                        <m:f>
                          <m:fPr>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𝛾</m:t>
                                </m:r>
                              </m:e>
                              <m:sub>
                                <m:r>
                                  <a:rPr lang="es-PE" sz="1000" b="0" i="1">
                                    <a:solidFill>
                                      <a:schemeClr val="tx1">
                                        <a:lumMod val="85000"/>
                                        <a:lumOff val="15000"/>
                                      </a:schemeClr>
                                    </a:solidFill>
                                    <a:latin typeface="Cambria Math" panose="02040503050406030204" pitchFamily="18" charset="0"/>
                                  </a:rPr>
                                  <m:t>𝐿</m:t>
                                </m:r>
                              </m:sub>
                            </m:sSub>
                          </m:num>
                          <m:den>
                            <m:r>
                              <a:rPr lang="es-PE" sz="1000" b="0" i="1">
                                <a:solidFill>
                                  <a:schemeClr val="tx1">
                                    <a:lumMod val="85000"/>
                                    <a:lumOff val="15000"/>
                                  </a:schemeClr>
                                </a:solidFill>
                                <a:latin typeface="Cambria Math" panose="02040503050406030204" pitchFamily="18" charset="0"/>
                              </a:rPr>
                              <m:t>𝑔</m:t>
                            </m:r>
                          </m:den>
                        </m:f>
                      </m:e>
                    </m:d>
                  </m:oMath>
                </m:oMathPara>
              </a14:m>
              <a:endParaRPr lang="es-ES" sz="1000">
                <a:solidFill>
                  <a:schemeClr val="tx1">
                    <a:lumMod val="85000"/>
                    <a:lumOff val="15000"/>
                  </a:schemeClr>
                </a:solidFill>
              </a:endParaRPr>
            </a:p>
          </xdr:txBody>
        </xdr:sp>
      </mc:Choice>
      <mc:Fallback xmlns="">
        <xdr:sp macro="" textlink="">
          <xdr:nvSpPr>
            <xdr:cNvPr id="26" name="CuadroTexto 25">
              <a:extLst>
                <a:ext uri="{FF2B5EF4-FFF2-40B4-BE49-F238E27FC236}">
                  <a16:creationId xmlns:a16="http://schemas.microsoft.com/office/drawing/2014/main" id="{00000000-0008-0000-0000-00001A000000}"/>
                </a:ext>
              </a:extLst>
            </xdr:cNvPr>
            <xdr:cNvSpPr txBox="1"/>
          </xdr:nvSpPr>
          <xdr:spPr>
            <a:xfrm>
              <a:off x="200025" y="16144875"/>
              <a:ext cx="1331582" cy="34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solidFill>
                    <a:schemeClr val="tx1">
                      <a:lumMod val="85000"/>
                      <a:lumOff val="15000"/>
                    </a:schemeClr>
                  </a:solidFill>
                  <a:latin typeface="Cambria Math" panose="02040503050406030204" pitchFamily="18" charset="0"/>
                </a:rPr>
                <a:t>𝑚</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𝑖=(𝑊_𝑖/𝑊_𝐿 )(𝐿/2) 𝐻_𝐿 (</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𝛾_</a:t>
              </a:r>
              <a:r>
                <a:rPr lang="es-PE" sz="1000" b="0" i="0">
                  <a:solidFill>
                    <a:schemeClr val="tx1">
                      <a:lumMod val="85000"/>
                      <a:lumOff val="15000"/>
                    </a:schemeClr>
                  </a:solidFill>
                  <a:latin typeface="Cambria Math" panose="02040503050406030204" pitchFamily="18" charset="0"/>
                </a:rPr>
                <a:t>𝐿/𝑔)</a:t>
              </a:r>
              <a:endParaRPr lang="es-ES" sz="1000">
                <a:solidFill>
                  <a:schemeClr val="tx1">
                    <a:lumMod val="85000"/>
                    <a:lumOff val="15000"/>
                  </a:schemeClr>
                </a:solidFill>
              </a:endParaRPr>
            </a:p>
          </xdr:txBody>
        </xdr:sp>
      </mc:Fallback>
    </mc:AlternateContent>
    <xdr:clientData/>
  </xdr:oneCellAnchor>
  <xdr:oneCellAnchor>
    <xdr:from>
      <xdr:col>1</xdr:col>
      <xdr:colOff>85725</xdr:colOff>
      <xdr:row>96</xdr:row>
      <xdr:rowOff>0</xdr:rowOff>
    </xdr:from>
    <xdr:ext cx="1137170" cy="324641"/>
    <mc:AlternateContent xmlns:mc="http://schemas.openxmlformats.org/markup-compatibility/2006" xmlns:a14="http://schemas.microsoft.com/office/drawing/2010/main">
      <mc:Choice Requires="a14">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200025" y="16573500"/>
              <a:ext cx="1137170" cy="3246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000" b="0" i="1">
                        <a:solidFill>
                          <a:schemeClr val="tx1">
                            <a:lumMod val="85000"/>
                            <a:lumOff val="15000"/>
                          </a:schemeClr>
                        </a:solidFill>
                        <a:latin typeface="Cambria Math" panose="02040503050406030204" pitchFamily="18" charset="0"/>
                      </a:rPr>
                      <m:t>h</m:t>
                    </m:r>
                    <m:r>
                      <a:rPr lang="es-PE" sz="1000" b="0" i="1">
                        <a:solidFill>
                          <a:schemeClr val="tx1">
                            <a:lumMod val="85000"/>
                            <a:lumOff val="15000"/>
                          </a:schemeClr>
                        </a:solidFill>
                        <a:latin typeface="Cambria Math" panose="02040503050406030204" pitchFamily="18" charset="0"/>
                      </a:rPr>
                      <m:t>=</m:t>
                    </m:r>
                    <m:f>
                      <m:fPr>
                        <m:ctrlPr>
                          <a:rPr lang="es-PE" sz="1000" b="0" i="1">
                            <a:solidFill>
                              <a:schemeClr val="tx1">
                                <a:lumMod val="85000"/>
                                <a:lumOff val="15000"/>
                              </a:schemeClr>
                            </a:solidFill>
                            <a:latin typeface="Cambria Math" panose="02040503050406030204" pitchFamily="18" charset="0"/>
                          </a:rPr>
                        </m:ctrlPr>
                      </m:fPr>
                      <m:num>
                        <m:d>
                          <m:dPr>
                            <m:ctrlPr>
                              <a:rPr lang="es-PE" sz="1000" b="0" i="1">
                                <a:solidFill>
                                  <a:schemeClr val="tx1">
                                    <a:lumMod val="85000"/>
                                    <a:lumOff val="15000"/>
                                  </a:schemeClr>
                                </a:solidFill>
                                <a:latin typeface="Cambria Math" panose="02040503050406030204" pitchFamily="18" charset="0"/>
                              </a:rPr>
                            </m:ctrlPr>
                          </m:dPr>
                          <m:e>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h</m:t>
                                </m:r>
                              </m:e>
                              <m:sub>
                                <m:r>
                                  <a:rPr lang="es-PE" sz="1000" b="0" i="1">
                                    <a:solidFill>
                                      <a:schemeClr val="tx1">
                                        <a:lumMod val="85000"/>
                                        <a:lumOff val="15000"/>
                                      </a:schemeClr>
                                    </a:solidFill>
                                    <a:latin typeface="Cambria Math" panose="02040503050406030204" pitchFamily="18" charset="0"/>
                                  </a:rPr>
                                  <m:t>𝑤</m:t>
                                </m:r>
                              </m:sub>
                            </m:sSub>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𝑚</m:t>
                                </m:r>
                              </m:e>
                              <m:sub>
                                <m:r>
                                  <a:rPr lang="es-PE" sz="1000" b="0" i="1">
                                    <a:solidFill>
                                      <a:schemeClr val="tx1">
                                        <a:lumMod val="85000"/>
                                        <a:lumOff val="15000"/>
                                      </a:schemeClr>
                                    </a:solidFill>
                                    <a:latin typeface="Cambria Math" panose="02040503050406030204" pitchFamily="18" charset="0"/>
                                  </a:rPr>
                                  <m:t>𝑤</m:t>
                                </m:r>
                              </m:sub>
                            </m:sSub>
                            <m:r>
                              <a:rPr lang="es-PE" sz="1000" b="0" i="1">
                                <a:solidFill>
                                  <a:schemeClr val="tx1">
                                    <a:lumMod val="85000"/>
                                    <a:lumOff val="15000"/>
                                  </a:schemeClr>
                                </a:solidFill>
                                <a:latin typeface="Cambria Math" panose="02040503050406030204" pitchFamily="18" charset="0"/>
                              </a:rPr>
                              <m:t>+</m:t>
                            </m:r>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h</m:t>
                                </m:r>
                              </m:e>
                              <m:sub>
                                <m:r>
                                  <a:rPr lang="es-PE" sz="1000" b="0" i="1">
                                    <a:solidFill>
                                      <a:schemeClr val="tx1">
                                        <a:lumMod val="85000"/>
                                        <a:lumOff val="15000"/>
                                      </a:schemeClr>
                                    </a:solidFill>
                                    <a:latin typeface="Cambria Math" panose="02040503050406030204" pitchFamily="18" charset="0"/>
                                  </a:rPr>
                                  <m:t>𝑖</m:t>
                                </m:r>
                              </m:sub>
                            </m:sSub>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𝑚</m:t>
                                </m:r>
                              </m:e>
                              <m:sub>
                                <m:r>
                                  <a:rPr lang="es-PE" sz="1000" b="0" i="1">
                                    <a:solidFill>
                                      <a:schemeClr val="tx1">
                                        <a:lumMod val="85000"/>
                                        <a:lumOff val="15000"/>
                                      </a:schemeClr>
                                    </a:solidFill>
                                    <a:latin typeface="Cambria Math" panose="02040503050406030204" pitchFamily="18" charset="0"/>
                                  </a:rPr>
                                  <m:t>𝑖</m:t>
                                </m:r>
                              </m:sub>
                            </m:sSub>
                          </m:e>
                        </m:d>
                      </m:num>
                      <m:den>
                        <m:d>
                          <m:dPr>
                            <m:ctrlPr>
                              <a:rPr lang="es-PE" sz="1000" b="0" i="1">
                                <a:solidFill>
                                  <a:schemeClr val="tx1">
                                    <a:lumMod val="85000"/>
                                    <a:lumOff val="15000"/>
                                  </a:schemeClr>
                                </a:solidFill>
                                <a:latin typeface="Cambria Math" panose="02040503050406030204" pitchFamily="18" charset="0"/>
                              </a:rPr>
                            </m:ctrlPr>
                          </m:dPr>
                          <m:e>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𝑚</m:t>
                                </m:r>
                              </m:e>
                              <m:sub>
                                <m:r>
                                  <a:rPr lang="es-PE" sz="1000" b="0" i="1">
                                    <a:solidFill>
                                      <a:schemeClr val="tx1">
                                        <a:lumMod val="85000"/>
                                        <a:lumOff val="15000"/>
                                      </a:schemeClr>
                                    </a:solidFill>
                                    <a:latin typeface="Cambria Math" panose="02040503050406030204" pitchFamily="18" charset="0"/>
                                  </a:rPr>
                                  <m:t>𝑤</m:t>
                                </m:r>
                              </m:sub>
                            </m:sSub>
                            <m:r>
                              <a:rPr lang="es-PE" sz="1000" b="0" i="1">
                                <a:solidFill>
                                  <a:schemeClr val="tx1">
                                    <a:lumMod val="85000"/>
                                    <a:lumOff val="15000"/>
                                  </a:schemeClr>
                                </a:solidFill>
                                <a:latin typeface="Cambria Math" panose="02040503050406030204" pitchFamily="18" charset="0"/>
                              </a:rPr>
                              <m:t>+</m:t>
                            </m:r>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𝑚</m:t>
                                </m:r>
                              </m:e>
                              <m:sub>
                                <m:r>
                                  <a:rPr lang="es-PE" sz="1000" b="0" i="1">
                                    <a:solidFill>
                                      <a:schemeClr val="tx1">
                                        <a:lumMod val="85000"/>
                                        <a:lumOff val="15000"/>
                                      </a:schemeClr>
                                    </a:solidFill>
                                    <a:latin typeface="Cambria Math" panose="02040503050406030204" pitchFamily="18" charset="0"/>
                                  </a:rPr>
                                  <m:t>𝑖</m:t>
                                </m:r>
                              </m:sub>
                            </m:sSub>
                          </m:e>
                        </m:d>
                      </m:den>
                    </m:f>
                  </m:oMath>
                </m:oMathPara>
              </a14:m>
              <a:endParaRPr lang="es-ES" sz="1000">
                <a:solidFill>
                  <a:schemeClr val="tx1">
                    <a:lumMod val="85000"/>
                    <a:lumOff val="15000"/>
                  </a:schemeClr>
                </a:solidFill>
              </a:endParaRPr>
            </a:p>
          </xdr:txBody>
        </xdr:sp>
      </mc:Choice>
      <mc:Fallback xmlns="">
        <xdr:sp macro="" textlink="">
          <xdr:nvSpPr>
            <xdr:cNvPr id="27" name="CuadroTexto 26">
              <a:extLst>
                <a:ext uri="{FF2B5EF4-FFF2-40B4-BE49-F238E27FC236}">
                  <a16:creationId xmlns:a16="http://schemas.microsoft.com/office/drawing/2014/main" id="{00000000-0008-0000-0000-00001B000000}"/>
                </a:ext>
              </a:extLst>
            </xdr:cNvPr>
            <xdr:cNvSpPr txBox="1"/>
          </xdr:nvSpPr>
          <xdr:spPr>
            <a:xfrm>
              <a:off x="200025" y="16573500"/>
              <a:ext cx="1137170" cy="3246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solidFill>
                    <a:schemeClr val="tx1">
                      <a:lumMod val="85000"/>
                      <a:lumOff val="15000"/>
                    </a:schemeClr>
                  </a:solidFill>
                  <a:latin typeface="Cambria Math" panose="02040503050406030204" pitchFamily="18" charset="0"/>
                </a:rPr>
                <a:t>ℎ=((ℎ_𝑤 𝑚_𝑤+ℎ_𝑖 𝑚_𝑖 ))/((𝑚_𝑤+𝑚_𝑖 ) )</a:t>
              </a:r>
              <a:endParaRPr lang="es-ES" sz="1000">
                <a:solidFill>
                  <a:schemeClr val="tx1">
                    <a:lumMod val="85000"/>
                    <a:lumOff val="15000"/>
                  </a:schemeClr>
                </a:solidFill>
              </a:endParaRPr>
            </a:p>
          </xdr:txBody>
        </xdr:sp>
      </mc:Fallback>
    </mc:AlternateContent>
    <xdr:clientData/>
  </xdr:oneCellAnchor>
  <xdr:oneCellAnchor>
    <xdr:from>
      <xdr:col>1</xdr:col>
      <xdr:colOff>85725</xdr:colOff>
      <xdr:row>98</xdr:row>
      <xdr:rowOff>28575</xdr:rowOff>
    </xdr:from>
    <xdr:ext cx="689932" cy="156518"/>
    <mc:AlternateContent xmlns:mc="http://schemas.openxmlformats.org/markup-compatibility/2006" xmlns:a14="http://schemas.microsoft.com/office/drawing/2010/main">
      <mc:Choice Requires="a14">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200025" y="16983075"/>
              <a:ext cx="689932"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h</m:t>
                        </m:r>
                      </m:e>
                      <m:sub>
                        <m:r>
                          <a:rPr lang="es-PE" sz="1000" b="0" i="1">
                            <a:solidFill>
                              <a:schemeClr val="tx1">
                                <a:lumMod val="85000"/>
                                <a:lumOff val="15000"/>
                              </a:schemeClr>
                            </a:solidFill>
                            <a:latin typeface="Cambria Math" panose="02040503050406030204" pitchFamily="18" charset="0"/>
                          </a:rPr>
                          <m:t>𝑤</m:t>
                        </m:r>
                      </m:sub>
                    </m:sSub>
                    <m:r>
                      <a:rPr lang="es-PE" sz="1000" b="0" i="1">
                        <a:solidFill>
                          <a:schemeClr val="tx1">
                            <a:lumMod val="85000"/>
                            <a:lumOff val="15000"/>
                          </a:schemeClr>
                        </a:solidFill>
                        <a:latin typeface="Cambria Math" panose="02040503050406030204" pitchFamily="18" charset="0"/>
                      </a:rPr>
                      <m:t>=0.5</m:t>
                    </m:r>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𝑤</m:t>
                        </m:r>
                      </m:sub>
                    </m:sSub>
                  </m:oMath>
                </m:oMathPara>
              </a14:m>
              <a:endParaRPr lang="es-ES" sz="1000">
                <a:solidFill>
                  <a:schemeClr val="tx1">
                    <a:lumMod val="85000"/>
                    <a:lumOff val="15000"/>
                  </a:schemeClr>
                </a:solidFill>
              </a:endParaRPr>
            </a:p>
          </xdr:txBody>
        </xdr:sp>
      </mc:Choice>
      <mc:Fallback xmlns="">
        <xdr:sp macro="" textlink="">
          <xdr:nvSpPr>
            <xdr:cNvPr id="36" name="CuadroTexto 35">
              <a:extLst>
                <a:ext uri="{FF2B5EF4-FFF2-40B4-BE49-F238E27FC236}">
                  <a16:creationId xmlns:a16="http://schemas.microsoft.com/office/drawing/2014/main" id="{00000000-0008-0000-0000-000024000000}"/>
                </a:ext>
              </a:extLst>
            </xdr:cNvPr>
            <xdr:cNvSpPr txBox="1"/>
          </xdr:nvSpPr>
          <xdr:spPr>
            <a:xfrm>
              <a:off x="200025" y="16983075"/>
              <a:ext cx="689932" cy="1565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solidFill>
                    <a:schemeClr val="tx1">
                      <a:lumMod val="85000"/>
                      <a:lumOff val="15000"/>
                    </a:schemeClr>
                  </a:solidFill>
                  <a:latin typeface="Cambria Math" panose="02040503050406030204" pitchFamily="18" charset="0"/>
                </a:rPr>
                <a:t>ℎ_𝑤=0.5𝐻_𝑤</a:t>
              </a:r>
              <a:endParaRPr lang="es-ES" sz="1000">
                <a:solidFill>
                  <a:schemeClr val="tx1">
                    <a:lumMod val="85000"/>
                    <a:lumOff val="15000"/>
                  </a:schemeClr>
                </a:solidFill>
              </a:endParaRPr>
            </a:p>
          </xdr:txBody>
        </xdr:sp>
      </mc:Fallback>
    </mc:AlternateContent>
    <xdr:clientData/>
  </xdr:oneCellAnchor>
  <xdr:oneCellAnchor>
    <xdr:from>
      <xdr:col>3</xdr:col>
      <xdr:colOff>304799</xdr:colOff>
      <xdr:row>89</xdr:row>
      <xdr:rowOff>190499</xdr:rowOff>
    </xdr:from>
    <xdr:ext cx="2266951" cy="352425"/>
    <mc:AlternateContent xmlns:mc="http://schemas.openxmlformats.org/markup-compatibility/2006" xmlns:a14="http://schemas.microsoft.com/office/drawing/2010/main">
      <mc:Choice Requires="a14">
        <xdr:sp macro="" textlink="">
          <xdr:nvSpPr>
            <xdr:cNvPr id="37" name="CuadroTexto 36">
              <a:extLst>
                <a:ext uri="{FF2B5EF4-FFF2-40B4-BE49-F238E27FC236}">
                  <a16:creationId xmlns:a16="http://schemas.microsoft.com/office/drawing/2014/main" id="{00000000-0008-0000-0000-000025000000}"/>
                </a:ext>
              </a:extLst>
            </xdr:cNvPr>
            <xdr:cNvSpPr txBox="1"/>
          </xdr:nvSpPr>
          <xdr:spPr>
            <a:xfrm>
              <a:off x="2095499" y="15430499"/>
              <a:ext cx="22669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ea typeface="Cambria Math" panose="02040503050406030204" pitchFamily="18" charset="0"/>
                      </a:rPr>
                      <m:t>&lt;1.333→</m:t>
                    </m:r>
                    <m:f>
                      <m:fPr>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h</m:t>
                            </m:r>
                          </m:e>
                          <m:sub>
                            <m:r>
                              <a:rPr lang="es-PE" sz="1000" b="0" i="1">
                                <a:solidFill>
                                  <a:schemeClr val="tx1">
                                    <a:lumMod val="85000"/>
                                    <a:lumOff val="15000"/>
                                  </a:schemeClr>
                                </a:solidFill>
                                <a:latin typeface="Cambria Math" panose="02040503050406030204" pitchFamily="18" charset="0"/>
                              </a:rPr>
                              <m:t>𝑖</m:t>
                            </m:r>
                          </m:sub>
                        </m:sSub>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rPr>
                      <m:t>=0.5−0.09375</m:t>
                    </m:r>
                    <m:d>
                      <m:dPr>
                        <m:ctrlPr>
                          <a:rPr lang="es-PE" sz="1000" b="0" i="1">
                            <a:solidFill>
                              <a:schemeClr val="tx1">
                                <a:lumMod val="85000"/>
                                <a:lumOff val="15000"/>
                              </a:schemeClr>
                            </a:solidFill>
                            <a:latin typeface="Cambria Math" panose="02040503050406030204" pitchFamily="18" charset="0"/>
                          </a:rPr>
                        </m:ctrlPr>
                      </m:dPr>
                      <m:e>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e>
                    </m:d>
                  </m:oMath>
                </m:oMathPara>
              </a14:m>
              <a:endParaRPr lang="es-ES" sz="1000">
                <a:solidFill>
                  <a:schemeClr val="tx1">
                    <a:lumMod val="85000"/>
                    <a:lumOff val="15000"/>
                  </a:schemeClr>
                </a:solidFill>
              </a:endParaRPr>
            </a:p>
          </xdr:txBody>
        </xdr:sp>
      </mc:Choice>
      <mc:Fallback xmlns="">
        <xdr:sp macro="" textlink="">
          <xdr:nvSpPr>
            <xdr:cNvPr id="37" name="CuadroTexto 36">
              <a:extLst>
                <a:ext uri="{FF2B5EF4-FFF2-40B4-BE49-F238E27FC236}">
                  <a16:creationId xmlns:a16="http://schemas.microsoft.com/office/drawing/2014/main" id="{00000000-0008-0000-0000-000025000000}"/>
                </a:ext>
              </a:extLst>
            </xdr:cNvPr>
            <xdr:cNvSpPr txBox="1"/>
          </xdr:nvSpPr>
          <xdr:spPr>
            <a:xfrm>
              <a:off x="2095499" y="15430499"/>
              <a:ext cx="22669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PE" sz="1000" b="0" i="0">
                  <a:solidFill>
                    <a:schemeClr val="tx1">
                      <a:lumMod val="85000"/>
                      <a:lumOff val="15000"/>
                    </a:schemeClr>
                  </a:solidFill>
                  <a:latin typeface="Cambria Math" panose="02040503050406030204" pitchFamily="18" charset="0"/>
                </a:rPr>
                <a:t>𝐿/𝐻_𝐿 </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&lt;1.333→</a:t>
              </a:r>
              <a:r>
                <a:rPr lang="es-PE" sz="1000" b="0" i="0">
                  <a:solidFill>
                    <a:schemeClr val="tx1">
                      <a:lumMod val="85000"/>
                      <a:lumOff val="15000"/>
                    </a:schemeClr>
                  </a:solidFill>
                  <a:latin typeface="Cambria Math" panose="02040503050406030204" pitchFamily="18" charset="0"/>
                </a:rPr>
                <a:t>ℎ_𝑖/𝐻_𝐿 =0.5−0.09375(𝐿/𝐻_𝐿 )</a:t>
              </a:r>
              <a:endParaRPr lang="es-ES" sz="1000">
                <a:solidFill>
                  <a:schemeClr val="tx1">
                    <a:lumMod val="85000"/>
                    <a:lumOff val="15000"/>
                  </a:schemeClr>
                </a:solidFill>
              </a:endParaRPr>
            </a:p>
          </xdr:txBody>
        </xdr:sp>
      </mc:Fallback>
    </mc:AlternateContent>
    <xdr:clientData/>
  </xdr:oneCellAnchor>
  <xdr:oneCellAnchor>
    <xdr:from>
      <xdr:col>3</xdr:col>
      <xdr:colOff>285749</xdr:colOff>
      <xdr:row>92</xdr:row>
      <xdr:rowOff>57149</xdr:rowOff>
    </xdr:from>
    <xdr:ext cx="1504951" cy="352425"/>
    <mc:AlternateContent xmlns:mc="http://schemas.openxmlformats.org/markup-compatibility/2006" xmlns:a14="http://schemas.microsoft.com/office/drawing/2010/main">
      <mc:Choice Requires="a14">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2076449" y="15868649"/>
              <a:ext cx="15049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ea typeface="Cambria Math" panose="02040503050406030204" pitchFamily="18" charset="0"/>
                      </a:rPr>
                      <m:t>≥1.333→</m:t>
                    </m:r>
                    <m:f>
                      <m:fPr>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h</m:t>
                            </m:r>
                          </m:e>
                          <m:sub>
                            <m:r>
                              <a:rPr lang="es-PE" sz="1000" b="0" i="1">
                                <a:solidFill>
                                  <a:schemeClr val="tx1">
                                    <a:lumMod val="85000"/>
                                    <a:lumOff val="15000"/>
                                  </a:schemeClr>
                                </a:solidFill>
                                <a:latin typeface="Cambria Math" panose="02040503050406030204" pitchFamily="18" charset="0"/>
                              </a:rPr>
                              <m:t>𝑖</m:t>
                            </m:r>
                          </m:sub>
                        </m:sSub>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rPr>
                      <m:t>=0.375</m:t>
                    </m:r>
                  </m:oMath>
                </m:oMathPara>
              </a14:m>
              <a:endParaRPr lang="es-ES" sz="1000">
                <a:solidFill>
                  <a:schemeClr val="tx1">
                    <a:lumMod val="85000"/>
                    <a:lumOff val="15000"/>
                  </a:schemeClr>
                </a:solidFill>
              </a:endParaRPr>
            </a:p>
          </xdr:txBody>
        </xdr:sp>
      </mc:Choice>
      <mc:Fallback xmlns="">
        <xdr:sp macro="" textlink="">
          <xdr:nvSpPr>
            <xdr:cNvPr id="38" name="CuadroTexto 37">
              <a:extLst>
                <a:ext uri="{FF2B5EF4-FFF2-40B4-BE49-F238E27FC236}">
                  <a16:creationId xmlns:a16="http://schemas.microsoft.com/office/drawing/2014/main" id="{00000000-0008-0000-0000-000026000000}"/>
                </a:ext>
              </a:extLst>
            </xdr:cNvPr>
            <xdr:cNvSpPr txBox="1"/>
          </xdr:nvSpPr>
          <xdr:spPr>
            <a:xfrm>
              <a:off x="2076449" y="15868649"/>
              <a:ext cx="1504951"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PE" sz="1000" b="0" i="0">
                  <a:solidFill>
                    <a:schemeClr val="tx1">
                      <a:lumMod val="85000"/>
                      <a:lumOff val="15000"/>
                    </a:schemeClr>
                  </a:solidFill>
                  <a:latin typeface="Cambria Math" panose="02040503050406030204" pitchFamily="18" charset="0"/>
                </a:rPr>
                <a:t>𝐿/𝐻_𝐿 </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≥1.333→</a:t>
              </a:r>
              <a:r>
                <a:rPr lang="es-PE" sz="1000" b="0" i="0">
                  <a:solidFill>
                    <a:schemeClr val="tx1">
                      <a:lumMod val="85000"/>
                      <a:lumOff val="15000"/>
                    </a:schemeClr>
                  </a:solidFill>
                  <a:latin typeface="Cambria Math" panose="02040503050406030204" pitchFamily="18" charset="0"/>
                </a:rPr>
                <a:t>ℎ_𝑖/𝐻_𝐿 =0.375</a:t>
              </a:r>
              <a:endParaRPr lang="es-ES" sz="1000">
                <a:solidFill>
                  <a:schemeClr val="tx1">
                    <a:lumMod val="85000"/>
                    <a:lumOff val="15000"/>
                  </a:schemeClr>
                </a:solidFill>
              </a:endParaRPr>
            </a:p>
          </xdr:txBody>
        </xdr:sp>
      </mc:Fallback>
    </mc:AlternateContent>
    <xdr:clientData/>
  </xdr:oneCellAnchor>
  <xdr:oneCellAnchor>
    <xdr:from>
      <xdr:col>7</xdr:col>
      <xdr:colOff>28575</xdr:colOff>
      <xdr:row>89</xdr:row>
      <xdr:rowOff>57150</xdr:rowOff>
    </xdr:from>
    <xdr:ext cx="2169440" cy="324128"/>
    <mc:AlternateContent xmlns:mc="http://schemas.openxmlformats.org/markup-compatibility/2006" xmlns:a14="http://schemas.microsoft.com/office/drawing/2010/main">
      <mc:Choice Requires="a14">
        <xdr:sp macro="" textlink="">
          <xdr:nvSpPr>
            <xdr:cNvPr id="29" name="CuadroTexto 28">
              <a:extLst>
                <a:ext uri="{FF2B5EF4-FFF2-40B4-BE49-F238E27FC236}">
                  <a16:creationId xmlns:a16="http://schemas.microsoft.com/office/drawing/2014/main" id="{00000000-0008-0000-0000-00001D000000}"/>
                </a:ext>
              </a:extLst>
            </xdr:cNvPr>
            <xdr:cNvSpPr txBox="1"/>
          </xdr:nvSpPr>
          <xdr:spPr>
            <a:xfrm>
              <a:off x="5286375" y="15297150"/>
              <a:ext cx="2169440" cy="3241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ES" sz="1000" i="1">
                            <a:solidFill>
                              <a:schemeClr val="tx1">
                                <a:lumMod val="85000"/>
                                <a:lumOff val="15000"/>
                              </a:schemeClr>
                            </a:solidFill>
                            <a:latin typeface="Cambria Math" panose="02040503050406030204" pitchFamily="18" charset="0"/>
                          </a:rPr>
                        </m:ctrlPr>
                      </m:fPr>
                      <m:num>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h</m:t>
                            </m:r>
                          </m:e>
                          <m:sub>
                            <m:r>
                              <a:rPr lang="es-PE" sz="1000" b="0" i="1">
                                <a:solidFill>
                                  <a:schemeClr val="tx1">
                                    <a:lumMod val="85000"/>
                                    <a:lumOff val="15000"/>
                                  </a:schemeClr>
                                </a:solidFill>
                                <a:latin typeface="Cambria Math" panose="02040503050406030204" pitchFamily="18" charset="0"/>
                              </a:rPr>
                              <m:t>𝑐</m:t>
                            </m:r>
                          </m:sub>
                        </m:sSub>
                      </m:num>
                      <m:den>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rPr>
                      <m:t>=1−</m:t>
                    </m:r>
                    <m:f>
                      <m:fPr>
                        <m:ctrlPr>
                          <a:rPr lang="es-PE" sz="1000" b="0" i="1">
                            <a:solidFill>
                              <a:schemeClr val="tx1">
                                <a:lumMod val="85000"/>
                                <a:lumOff val="15000"/>
                              </a:schemeClr>
                            </a:solidFill>
                            <a:latin typeface="Cambria Math" panose="02040503050406030204" pitchFamily="18" charset="0"/>
                          </a:rPr>
                        </m:ctrlPr>
                      </m:fPr>
                      <m:num>
                        <m:func>
                          <m:funcPr>
                            <m:ctrlPr>
                              <a:rPr lang="es-PE" sz="1000" b="0" i="1">
                                <a:solidFill>
                                  <a:schemeClr val="tx1">
                                    <a:lumMod val="85000"/>
                                    <a:lumOff val="15000"/>
                                  </a:schemeClr>
                                </a:solidFill>
                                <a:latin typeface="Cambria Math" panose="02040503050406030204" pitchFamily="18" charset="0"/>
                              </a:rPr>
                            </m:ctrlPr>
                          </m:funcPr>
                          <m:fName>
                            <m:r>
                              <m:rPr>
                                <m:sty m:val="p"/>
                              </m:rPr>
                              <a:rPr lang="es-PE" sz="1000" b="0" i="0">
                                <a:solidFill>
                                  <a:schemeClr val="tx1">
                                    <a:lumMod val="85000"/>
                                    <a:lumOff val="15000"/>
                                  </a:schemeClr>
                                </a:solidFill>
                                <a:latin typeface="Cambria Math" panose="02040503050406030204" pitchFamily="18" charset="0"/>
                              </a:rPr>
                              <m:t>cosh</m:t>
                            </m:r>
                          </m:fName>
                          <m:e>
                            <m:d>
                              <m:dPr>
                                <m:begChr m:val="["/>
                                <m:endChr m:val="]"/>
                                <m:ctrlPr>
                                  <a:rPr lang="es-PE" sz="1000" b="0" i="1">
                                    <a:solidFill>
                                      <a:schemeClr val="tx1">
                                        <a:lumMod val="85000"/>
                                        <a:lumOff val="15000"/>
                                      </a:schemeClr>
                                    </a:solidFill>
                                    <a:latin typeface="Cambria Math" panose="02040503050406030204" pitchFamily="18" charset="0"/>
                                  </a:rPr>
                                </m:ctrlPr>
                              </m:dPr>
                              <m:e>
                                <m:r>
                                  <a:rPr lang="es-PE" sz="1000" b="0" i="1">
                                    <a:solidFill>
                                      <a:schemeClr val="tx1">
                                        <a:lumMod val="85000"/>
                                        <a:lumOff val="15000"/>
                                      </a:schemeClr>
                                    </a:solidFill>
                                    <a:latin typeface="Cambria Math" panose="02040503050406030204" pitchFamily="18" charset="0"/>
                                  </a:rPr>
                                  <m:t>3.16</m:t>
                                </m:r>
                                <m:d>
                                  <m:dPr>
                                    <m:ctrlPr>
                                      <a:rPr lang="es-PE" sz="1000" b="0" i="1">
                                        <a:solidFill>
                                          <a:schemeClr val="tx1">
                                            <a:lumMod val="85000"/>
                                            <a:lumOff val="15000"/>
                                          </a:schemeClr>
                                        </a:solidFill>
                                        <a:latin typeface="Cambria Math" panose="02040503050406030204" pitchFamily="18" charset="0"/>
                                      </a:rPr>
                                    </m:ctrlPr>
                                  </m:dPr>
                                  <m:e>
                                    <m:f>
                                      <m:fPr>
                                        <m:type m:val="lin"/>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num>
                                      <m:den>
                                        <m:r>
                                          <a:rPr lang="es-PE" sz="1000" b="0" i="1">
                                            <a:solidFill>
                                              <a:schemeClr val="tx1">
                                                <a:lumMod val="85000"/>
                                                <a:lumOff val="15000"/>
                                              </a:schemeClr>
                                            </a:solidFill>
                                            <a:latin typeface="Cambria Math" panose="02040503050406030204" pitchFamily="18" charset="0"/>
                                          </a:rPr>
                                          <m:t>𝐿</m:t>
                                        </m:r>
                                      </m:den>
                                    </m:f>
                                  </m:e>
                                </m:d>
                              </m:e>
                            </m:d>
                            <m:r>
                              <a:rPr lang="es-PE" sz="1000" b="0" i="1">
                                <a:solidFill>
                                  <a:schemeClr val="tx1">
                                    <a:lumMod val="85000"/>
                                    <a:lumOff val="15000"/>
                                  </a:schemeClr>
                                </a:solidFill>
                                <a:latin typeface="Cambria Math" panose="02040503050406030204" pitchFamily="18" charset="0"/>
                              </a:rPr>
                              <m:t>−1</m:t>
                            </m:r>
                          </m:e>
                        </m:func>
                      </m:num>
                      <m:den>
                        <m:r>
                          <a:rPr lang="es-PE" sz="1000" b="0" i="1">
                            <a:solidFill>
                              <a:schemeClr val="tx1">
                                <a:lumMod val="85000"/>
                                <a:lumOff val="15000"/>
                              </a:schemeClr>
                            </a:solidFill>
                            <a:latin typeface="Cambria Math" panose="02040503050406030204" pitchFamily="18" charset="0"/>
                          </a:rPr>
                          <m:t>3.16</m:t>
                        </m:r>
                        <m:d>
                          <m:dPr>
                            <m:ctrlPr>
                              <a:rPr lang="es-PE" sz="1000" b="0" i="1">
                                <a:solidFill>
                                  <a:schemeClr val="tx1">
                                    <a:lumMod val="85000"/>
                                    <a:lumOff val="15000"/>
                                  </a:schemeClr>
                                </a:solidFill>
                                <a:latin typeface="Cambria Math" panose="02040503050406030204" pitchFamily="18" charset="0"/>
                              </a:rPr>
                            </m:ctrlPr>
                          </m:dPr>
                          <m:e>
                            <m:f>
                              <m:fPr>
                                <m:type m:val="lin"/>
                                <m:ctrlPr>
                                  <a:rPr lang="es-PE" sz="1000" b="0" i="1">
                                    <a:solidFill>
                                      <a:schemeClr val="tx1">
                                        <a:lumMod val="85000"/>
                                        <a:lumOff val="15000"/>
                                      </a:schemeClr>
                                    </a:solidFill>
                                    <a:effectLst/>
                                    <a:latin typeface="Cambria Math" panose="02040503050406030204" pitchFamily="18" charset="0"/>
                                    <a:ea typeface="+mn-ea"/>
                                    <a:cs typeface="+mn-cs"/>
                                  </a:rPr>
                                </m:ctrlPr>
                              </m:fPr>
                              <m:num>
                                <m:sSub>
                                  <m:sSubPr>
                                    <m:ctrlPr>
                                      <a:rPr lang="es-PE" sz="1000" b="0" i="1">
                                        <a:solidFill>
                                          <a:schemeClr val="tx1">
                                            <a:lumMod val="85000"/>
                                            <a:lumOff val="15000"/>
                                          </a:schemeClr>
                                        </a:solidFill>
                                        <a:effectLst/>
                                        <a:latin typeface="Cambria Math" panose="02040503050406030204" pitchFamily="18" charset="0"/>
                                        <a:ea typeface="+mn-ea"/>
                                        <a:cs typeface="+mn-cs"/>
                                      </a:rPr>
                                    </m:ctrlPr>
                                  </m:sSubPr>
                                  <m:e>
                                    <m:r>
                                      <a:rPr lang="es-PE" sz="1000" b="0" i="1">
                                        <a:solidFill>
                                          <a:schemeClr val="tx1">
                                            <a:lumMod val="85000"/>
                                            <a:lumOff val="15000"/>
                                          </a:schemeClr>
                                        </a:solidFill>
                                        <a:effectLst/>
                                        <a:latin typeface="Cambria Math" panose="02040503050406030204" pitchFamily="18" charset="0"/>
                                        <a:ea typeface="+mn-ea"/>
                                        <a:cs typeface="+mn-cs"/>
                                      </a:rPr>
                                      <m:t>𝐻</m:t>
                                    </m:r>
                                  </m:e>
                                  <m:sub>
                                    <m:r>
                                      <a:rPr lang="es-PE" sz="1000" b="0" i="1">
                                        <a:solidFill>
                                          <a:schemeClr val="tx1">
                                            <a:lumMod val="85000"/>
                                            <a:lumOff val="15000"/>
                                          </a:schemeClr>
                                        </a:solidFill>
                                        <a:effectLst/>
                                        <a:latin typeface="Cambria Math" panose="02040503050406030204" pitchFamily="18" charset="0"/>
                                        <a:ea typeface="+mn-ea"/>
                                        <a:cs typeface="+mn-cs"/>
                                      </a:rPr>
                                      <m:t>𝐿</m:t>
                                    </m:r>
                                  </m:sub>
                                </m:sSub>
                              </m:num>
                              <m:den>
                                <m:r>
                                  <a:rPr lang="es-PE" sz="1000" b="0" i="1">
                                    <a:solidFill>
                                      <a:schemeClr val="tx1">
                                        <a:lumMod val="85000"/>
                                        <a:lumOff val="15000"/>
                                      </a:schemeClr>
                                    </a:solidFill>
                                    <a:effectLst/>
                                    <a:latin typeface="Cambria Math" panose="02040503050406030204" pitchFamily="18" charset="0"/>
                                    <a:ea typeface="+mn-ea"/>
                                    <a:cs typeface="+mn-cs"/>
                                  </a:rPr>
                                  <m:t>𝐿</m:t>
                                </m:r>
                              </m:den>
                            </m:f>
                          </m:e>
                        </m:d>
                        <m:func>
                          <m:funcPr>
                            <m:ctrlPr>
                              <a:rPr lang="es-PE" sz="1000" b="0" i="1">
                                <a:solidFill>
                                  <a:schemeClr val="tx1">
                                    <a:lumMod val="85000"/>
                                    <a:lumOff val="15000"/>
                                  </a:schemeClr>
                                </a:solidFill>
                                <a:latin typeface="Cambria Math" panose="02040503050406030204" pitchFamily="18" charset="0"/>
                              </a:rPr>
                            </m:ctrlPr>
                          </m:funcPr>
                          <m:fName>
                            <m:r>
                              <m:rPr>
                                <m:sty m:val="p"/>
                              </m:rPr>
                              <a:rPr lang="es-PE" sz="1000" b="0" i="0">
                                <a:solidFill>
                                  <a:schemeClr val="tx1">
                                    <a:lumMod val="85000"/>
                                    <a:lumOff val="15000"/>
                                  </a:schemeClr>
                                </a:solidFill>
                                <a:latin typeface="Cambria Math" panose="02040503050406030204" pitchFamily="18" charset="0"/>
                              </a:rPr>
                              <m:t>sinh</m:t>
                            </m:r>
                          </m:fName>
                          <m:e>
                            <m:d>
                              <m:dPr>
                                <m:begChr m:val="["/>
                                <m:endChr m:val="]"/>
                                <m:ctrlPr>
                                  <a:rPr lang="es-PE" sz="1000" b="0" i="1">
                                    <a:solidFill>
                                      <a:schemeClr val="tx1">
                                        <a:lumMod val="85000"/>
                                        <a:lumOff val="15000"/>
                                      </a:schemeClr>
                                    </a:solidFill>
                                    <a:effectLst/>
                                    <a:latin typeface="Cambria Math" panose="02040503050406030204" pitchFamily="18" charset="0"/>
                                    <a:ea typeface="+mn-ea"/>
                                    <a:cs typeface="+mn-cs"/>
                                  </a:rPr>
                                </m:ctrlPr>
                              </m:dPr>
                              <m:e>
                                <m:r>
                                  <a:rPr lang="es-PE" sz="1000" b="0" i="1">
                                    <a:solidFill>
                                      <a:schemeClr val="tx1">
                                        <a:lumMod val="85000"/>
                                        <a:lumOff val="15000"/>
                                      </a:schemeClr>
                                    </a:solidFill>
                                    <a:effectLst/>
                                    <a:latin typeface="Cambria Math" panose="02040503050406030204" pitchFamily="18" charset="0"/>
                                    <a:ea typeface="+mn-ea"/>
                                    <a:cs typeface="+mn-cs"/>
                                  </a:rPr>
                                  <m:t>3.16</m:t>
                                </m:r>
                                <m:d>
                                  <m:dPr>
                                    <m:ctrlPr>
                                      <a:rPr lang="es-PE" sz="1000" b="0" i="1">
                                        <a:solidFill>
                                          <a:schemeClr val="tx1">
                                            <a:lumMod val="85000"/>
                                            <a:lumOff val="15000"/>
                                          </a:schemeClr>
                                        </a:solidFill>
                                        <a:effectLst/>
                                        <a:latin typeface="Cambria Math" panose="02040503050406030204" pitchFamily="18" charset="0"/>
                                        <a:ea typeface="+mn-ea"/>
                                        <a:cs typeface="+mn-cs"/>
                                      </a:rPr>
                                    </m:ctrlPr>
                                  </m:dPr>
                                  <m:e>
                                    <m:f>
                                      <m:fPr>
                                        <m:type m:val="lin"/>
                                        <m:ctrlPr>
                                          <a:rPr lang="es-PE" sz="1000" b="0" i="1">
                                            <a:solidFill>
                                              <a:schemeClr val="tx1">
                                                <a:lumMod val="85000"/>
                                                <a:lumOff val="15000"/>
                                              </a:schemeClr>
                                            </a:solidFill>
                                            <a:effectLst/>
                                            <a:latin typeface="Cambria Math" panose="02040503050406030204" pitchFamily="18" charset="0"/>
                                            <a:ea typeface="+mn-ea"/>
                                            <a:cs typeface="+mn-cs"/>
                                          </a:rPr>
                                        </m:ctrlPr>
                                      </m:fPr>
                                      <m:num>
                                        <m:sSub>
                                          <m:sSubPr>
                                            <m:ctrlPr>
                                              <a:rPr lang="es-PE" sz="1000" b="0" i="1">
                                                <a:solidFill>
                                                  <a:schemeClr val="tx1">
                                                    <a:lumMod val="85000"/>
                                                    <a:lumOff val="15000"/>
                                                  </a:schemeClr>
                                                </a:solidFill>
                                                <a:effectLst/>
                                                <a:latin typeface="Cambria Math" panose="02040503050406030204" pitchFamily="18" charset="0"/>
                                                <a:ea typeface="+mn-ea"/>
                                                <a:cs typeface="+mn-cs"/>
                                              </a:rPr>
                                            </m:ctrlPr>
                                          </m:sSubPr>
                                          <m:e>
                                            <m:r>
                                              <a:rPr lang="es-PE" sz="1000" b="0" i="1">
                                                <a:solidFill>
                                                  <a:schemeClr val="tx1">
                                                    <a:lumMod val="85000"/>
                                                    <a:lumOff val="15000"/>
                                                  </a:schemeClr>
                                                </a:solidFill>
                                                <a:effectLst/>
                                                <a:latin typeface="Cambria Math" panose="02040503050406030204" pitchFamily="18" charset="0"/>
                                                <a:ea typeface="+mn-ea"/>
                                                <a:cs typeface="+mn-cs"/>
                                              </a:rPr>
                                              <m:t>𝐻</m:t>
                                            </m:r>
                                          </m:e>
                                          <m:sub>
                                            <m:r>
                                              <a:rPr lang="es-PE" sz="1000" b="0" i="1">
                                                <a:solidFill>
                                                  <a:schemeClr val="tx1">
                                                    <a:lumMod val="85000"/>
                                                    <a:lumOff val="15000"/>
                                                  </a:schemeClr>
                                                </a:solidFill>
                                                <a:effectLst/>
                                                <a:latin typeface="Cambria Math" panose="02040503050406030204" pitchFamily="18" charset="0"/>
                                                <a:ea typeface="+mn-ea"/>
                                                <a:cs typeface="+mn-cs"/>
                                              </a:rPr>
                                              <m:t>𝐿</m:t>
                                            </m:r>
                                          </m:sub>
                                        </m:sSub>
                                      </m:num>
                                      <m:den>
                                        <m:r>
                                          <a:rPr lang="es-PE" sz="1000" b="0" i="1">
                                            <a:solidFill>
                                              <a:schemeClr val="tx1">
                                                <a:lumMod val="85000"/>
                                                <a:lumOff val="15000"/>
                                              </a:schemeClr>
                                            </a:solidFill>
                                            <a:effectLst/>
                                            <a:latin typeface="Cambria Math" panose="02040503050406030204" pitchFamily="18" charset="0"/>
                                            <a:ea typeface="+mn-ea"/>
                                            <a:cs typeface="+mn-cs"/>
                                          </a:rPr>
                                          <m:t>𝐿</m:t>
                                        </m:r>
                                      </m:den>
                                    </m:f>
                                  </m:e>
                                </m:d>
                              </m:e>
                            </m:d>
                          </m:e>
                        </m:func>
                      </m:den>
                    </m:f>
                  </m:oMath>
                </m:oMathPara>
              </a14:m>
              <a:endParaRPr lang="es-ES" sz="1000">
                <a:solidFill>
                  <a:schemeClr val="tx1">
                    <a:lumMod val="85000"/>
                    <a:lumOff val="15000"/>
                  </a:schemeClr>
                </a:solidFill>
              </a:endParaRPr>
            </a:p>
          </xdr:txBody>
        </xdr:sp>
      </mc:Choice>
      <mc:Fallback xmlns="">
        <xdr:sp macro="" textlink="">
          <xdr:nvSpPr>
            <xdr:cNvPr id="29" name="CuadroTexto 28">
              <a:extLst>
                <a:ext uri="{FF2B5EF4-FFF2-40B4-BE49-F238E27FC236}">
                  <a16:creationId xmlns:a16="http://schemas.microsoft.com/office/drawing/2014/main" id="{00000000-0008-0000-0000-00001D000000}"/>
                </a:ext>
              </a:extLst>
            </xdr:cNvPr>
            <xdr:cNvSpPr txBox="1"/>
          </xdr:nvSpPr>
          <xdr:spPr>
            <a:xfrm>
              <a:off x="5286375" y="15297150"/>
              <a:ext cx="2169440" cy="3241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solidFill>
                    <a:schemeClr val="tx1">
                      <a:lumMod val="85000"/>
                      <a:lumOff val="15000"/>
                    </a:schemeClr>
                  </a:solidFill>
                  <a:latin typeface="Cambria Math" panose="02040503050406030204" pitchFamily="18" charset="0"/>
                </a:rPr>
                <a:t>ℎ</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𝑐</a:t>
              </a:r>
              <a:r>
                <a:rPr lang="es-ES" sz="1000" b="0" i="0">
                  <a:solidFill>
                    <a:schemeClr val="tx1">
                      <a:lumMod val="85000"/>
                      <a:lumOff val="15000"/>
                    </a:schemeClr>
                  </a:solidFill>
                  <a:latin typeface="Cambria Math" panose="02040503050406030204" pitchFamily="18" charset="0"/>
                </a:rPr>
                <a:t>/</a:t>
              </a:r>
              <a:r>
                <a:rPr lang="es-PE" sz="1000" b="0" i="0">
                  <a:solidFill>
                    <a:schemeClr val="tx1">
                      <a:lumMod val="85000"/>
                      <a:lumOff val="15000"/>
                    </a:schemeClr>
                  </a:solidFill>
                  <a:latin typeface="Cambria Math" panose="02040503050406030204" pitchFamily="18" charset="0"/>
                </a:rPr>
                <a:t>𝐻</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𝐿 =1−cosh⁡〖[3.16(𝐻_𝐿∕𝐿)]−1〗/(3.16(</a:t>
              </a:r>
              <a:r>
                <a:rPr lang="es-PE" sz="1000" b="0" i="0">
                  <a:solidFill>
                    <a:schemeClr val="tx1">
                      <a:lumMod val="85000"/>
                      <a:lumOff val="15000"/>
                    </a:schemeClr>
                  </a:solidFill>
                  <a:effectLst/>
                  <a:latin typeface="Cambria Math" panose="02040503050406030204" pitchFamily="18" charset="0"/>
                  <a:ea typeface="+mn-ea"/>
                  <a:cs typeface="+mn-cs"/>
                </a:rPr>
                <a:t>𝐻_𝐿∕𝐿)  </a:t>
              </a:r>
              <a:r>
                <a:rPr lang="es-PE" sz="1000" b="0" i="0">
                  <a:solidFill>
                    <a:schemeClr val="tx1">
                      <a:lumMod val="85000"/>
                      <a:lumOff val="15000"/>
                    </a:schemeClr>
                  </a:solidFill>
                  <a:latin typeface="Cambria Math" panose="02040503050406030204" pitchFamily="18" charset="0"/>
                </a:rPr>
                <a:t>sinh⁡</a:t>
              </a:r>
              <a:r>
                <a:rPr lang="es-PE" sz="1000" b="0" i="0">
                  <a:solidFill>
                    <a:schemeClr val="tx1">
                      <a:lumMod val="85000"/>
                      <a:lumOff val="15000"/>
                    </a:schemeClr>
                  </a:solidFill>
                  <a:effectLst/>
                  <a:latin typeface="Cambria Math" panose="02040503050406030204" pitchFamily="18" charset="0"/>
                  <a:ea typeface="+mn-ea"/>
                  <a:cs typeface="+mn-cs"/>
                </a:rPr>
                <a:t>[3.16(𝐻_𝐿∕𝐿)] )</a:t>
              </a:r>
              <a:endParaRPr lang="es-ES" sz="1000">
                <a:solidFill>
                  <a:schemeClr val="tx1">
                    <a:lumMod val="85000"/>
                    <a:lumOff val="15000"/>
                  </a:schemeClr>
                </a:solidFill>
              </a:endParaRPr>
            </a:p>
          </xdr:txBody>
        </xdr:sp>
      </mc:Fallback>
    </mc:AlternateContent>
    <xdr:clientData/>
  </xdr:oneCellAnchor>
  <xdr:oneCellAnchor>
    <xdr:from>
      <xdr:col>1</xdr:col>
      <xdr:colOff>85725</xdr:colOff>
      <xdr:row>99</xdr:row>
      <xdr:rowOff>38100</xdr:rowOff>
    </xdr:from>
    <xdr:ext cx="810991" cy="311688"/>
    <mc:AlternateContent xmlns:mc="http://schemas.openxmlformats.org/markup-compatibility/2006" xmlns:a14="http://schemas.microsoft.com/office/drawing/2010/main">
      <mc:Choice Requires="a14">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200025" y="17183100"/>
              <a:ext cx="810991" cy="311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000" b="0" i="1">
                        <a:solidFill>
                          <a:schemeClr val="tx1">
                            <a:lumMod val="85000"/>
                            <a:lumOff val="15000"/>
                          </a:schemeClr>
                        </a:solidFill>
                        <a:latin typeface="Cambria Math" panose="02040503050406030204" pitchFamily="18" charset="0"/>
                      </a:rPr>
                      <m:t>𝑘</m:t>
                    </m:r>
                    <m:r>
                      <a:rPr lang="es-PE" sz="1000" b="0" i="1">
                        <a:solidFill>
                          <a:schemeClr val="tx1">
                            <a:lumMod val="85000"/>
                            <a:lumOff val="15000"/>
                          </a:schemeClr>
                        </a:solidFill>
                        <a:latin typeface="Cambria Math" panose="02040503050406030204" pitchFamily="18" charset="0"/>
                      </a:rPr>
                      <m:t>=</m:t>
                    </m:r>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4</m:t>
                        </m:r>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𝐸</m:t>
                            </m:r>
                          </m:e>
                          <m:sub>
                            <m:r>
                              <a:rPr lang="es-PE" sz="1000" b="0" i="1">
                                <a:solidFill>
                                  <a:schemeClr val="tx1">
                                    <a:lumMod val="85000"/>
                                    <a:lumOff val="15000"/>
                                  </a:schemeClr>
                                </a:solidFill>
                                <a:latin typeface="Cambria Math" panose="02040503050406030204" pitchFamily="18" charset="0"/>
                              </a:rPr>
                              <m:t>𝑐</m:t>
                            </m:r>
                          </m:sub>
                        </m:sSub>
                      </m:num>
                      <m:den>
                        <m:r>
                          <a:rPr lang="es-PE" sz="1000" b="0" i="1">
                            <a:solidFill>
                              <a:schemeClr val="tx1">
                                <a:lumMod val="85000"/>
                                <a:lumOff val="15000"/>
                              </a:schemeClr>
                            </a:solidFill>
                            <a:latin typeface="Cambria Math" panose="02040503050406030204" pitchFamily="18" charset="0"/>
                          </a:rPr>
                          <m:t>4</m:t>
                        </m:r>
                      </m:den>
                    </m:f>
                    <m:sSup>
                      <m:sSupPr>
                        <m:ctrlPr>
                          <a:rPr lang="es-PE" sz="1000" b="0" i="1">
                            <a:solidFill>
                              <a:schemeClr val="tx1">
                                <a:lumMod val="85000"/>
                                <a:lumOff val="15000"/>
                              </a:schemeClr>
                            </a:solidFill>
                            <a:latin typeface="Cambria Math" panose="02040503050406030204" pitchFamily="18" charset="0"/>
                          </a:rPr>
                        </m:ctrlPr>
                      </m:sSupPr>
                      <m:e>
                        <m:d>
                          <m:dPr>
                            <m:ctrlPr>
                              <a:rPr lang="es-PE" sz="1000" b="0" i="1">
                                <a:solidFill>
                                  <a:schemeClr val="tx1">
                                    <a:lumMod val="85000"/>
                                    <a:lumOff val="15000"/>
                                  </a:schemeClr>
                                </a:solidFill>
                                <a:latin typeface="Cambria Math" panose="02040503050406030204" pitchFamily="18" charset="0"/>
                              </a:rPr>
                            </m:ctrlPr>
                          </m:dPr>
                          <m:e>
                            <m:f>
                              <m:fPr>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𝑡</m:t>
                                    </m:r>
                                  </m:e>
                                  <m:sub>
                                    <m:r>
                                      <a:rPr lang="es-PE" sz="1000" b="0" i="1">
                                        <a:solidFill>
                                          <a:schemeClr val="tx1">
                                            <a:lumMod val="85000"/>
                                            <a:lumOff val="15000"/>
                                          </a:schemeClr>
                                        </a:solidFill>
                                        <a:latin typeface="Cambria Math" panose="02040503050406030204" pitchFamily="18" charset="0"/>
                                      </a:rPr>
                                      <m:t>𝑤</m:t>
                                    </m:r>
                                  </m:sub>
                                </m:sSub>
                              </m:num>
                              <m:den>
                                <m:r>
                                  <a:rPr lang="es-PE" sz="1000" b="0" i="1">
                                    <a:solidFill>
                                      <a:schemeClr val="tx1">
                                        <a:lumMod val="85000"/>
                                        <a:lumOff val="15000"/>
                                      </a:schemeClr>
                                    </a:solidFill>
                                    <a:latin typeface="Cambria Math" panose="02040503050406030204" pitchFamily="18" charset="0"/>
                                  </a:rPr>
                                  <m:t>h</m:t>
                                </m:r>
                              </m:den>
                            </m:f>
                          </m:e>
                        </m:d>
                      </m:e>
                      <m:sup>
                        <m:r>
                          <a:rPr lang="es-PE" sz="1000" b="0" i="1">
                            <a:solidFill>
                              <a:schemeClr val="tx1">
                                <a:lumMod val="85000"/>
                                <a:lumOff val="15000"/>
                              </a:schemeClr>
                            </a:solidFill>
                            <a:latin typeface="Cambria Math" panose="02040503050406030204" pitchFamily="18" charset="0"/>
                          </a:rPr>
                          <m:t>3</m:t>
                        </m:r>
                      </m:sup>
                    </m:sSup>
                  </m:oMath>
                </m:oMathPara>
              </a14:m>
              <a:endParaRPr lang="es-ES" sz="1000">
                <a:solidFill>
                  <a:schemeClr val="tx1">
                    <a:lumMod val="85000"/>
                    <a:lumOff val="15000"/>
                  </a:schemeClr>
                </a:solidFill>
              </a:endParaRPr>
            </a:p>
          </xdr:txBody>
        </xdr:sp>
      </mc:Choice>
      <mc:Fallback xmlns="">
        <xdr:sp macro="" textlink="">
          <xdr:nvSpPr>
            <xdr:cNvPr id="35" name="CuadroTexto 34">
              <a:extLst>
                <a:ext uri="{FF2B5EF4-FFF2-40B4-BE49-F238E27FC236}">
                  <a16:creationId xmlns:a16="http://schemas.microsoft.com/office/drawing/2014/main" id="{00000000-0008-0000-0000-000023000000}"/>
                </a:ext>
              </a:extLst>
            </xdr:cNvPr>
            <xdr:cNvSpPr txBox="1"/>
          </xdr:nvSpPr>
          <xdr:spPr>
            <a:xfrm>
              <a:off x="200025" y="17183100"/>
              <a:ext cx="810991" cy="31168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solidFill>
                    <a:schemeClr val="tx1">
                      <a:lumMod val="85000"/>
                      <a:lumOff val="15000"/>
                    </a:schemeClr>
                  </a:solidFill>
                  <a:latin typeface="Cambria Math" panose="02040503050406030204" pitchFamily="18" charset="0"/>
                </a:rPr>
                <a:t>𝑘=(4𝐸_𝑐)/4 (𝑡_𝑤/ℎ)^3</a:t>
              </a:r>
              <a:endParaRPr lang="es-ES" sz="1000">
                <a:solidFill>
                  <a:schemeClr val="tx1">
                    <a:lumMod val="85000"/>
                    <a:lumOff val="15000"/>
                  </a:schemeClr>
                </a:solidFill>
              </a:endParaRPr>
            </a:p>
          </xdr:txBody>
        </xdr:sp>
      </mc:Fallback>
    </mc:AlternateContent>
    <xdr:clientData/>
  </xdr:oneCellAnchor>
  <xdr:oneCellAnchor>
    <xdr:from>
      <xdr:col>7</xdr:col>
      <xdr:colOff>161925</xdr:colOff>
      <xdr:row>93</xdr:row>
      <xdr:rowOff>180975</xdr:rowOff>
    </xdr:from>
    <xdr:ext cx="1671547" cy="187808"/>
    <mc:AlternateContent xmlns:mc="http://schemas.openxmlformats.org/markup-compatibility/2006" xmlns:a14="http://schemas.microsoft.com/office/drawing/2010/main">
      <mc:Choice Requires="a14">
        <xdr:sp macro="" textlink="">
          <xdr:nvSpPr>
            <xdr:cNvPr id="39" name="CuadroTexto 38">
              <a:extLst>
                <a:ext uri="{FF2B5EF4-FFF2-40B4-BE49-F238E27FC236}">
                  <a16:creationId xmlns:a16="http://schemas.microsoft.com/office/drawing/2014/main" id="{00000000-0008-0000-0000-000027000000}"/>
                </a:ext>
              </a:extLst>
            </xdr:cNvPr>
            <xdr:cNvSpPr txBox="1"/>
          </xdr:nvSpPr>
          <xdr:spPr>
            <a:xfrm>
              <a:off x="4886325" y="15230475"/>
              <a:ext cx="1671547" cy="187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ES" sz="1000" i="1">
                        <a:solidFill>
                          <a:schemeClr val="tx1">
                            <a:lumMod val="85000"/>
                            <a:lumOff val="15000"/>
                          </a:schemeClr>
                        </a:solidFill>
                        <a:latin typeface="Cambria Math" panose="02040503050406030204" pitchFamily="18" charset="0"/>
                        <a:ea typeface="Cambria Math" panose="02040503050406030204" pitchFamily="18" charset="0"/>
                      </a:rPr>
                      <m:t>𝜆</m:t>
                    </m:r>
                    <m:r>
                      <a:rPr lang="es-PE" sz="1000" b="0" i="1">
                        <a:solidFill>
                          <a:schemeClr val="tx1">
                            <a:lumMod val="85000"/>
                            <a:lumOff val="15000"/>
                          </a:schemeClr>
                        </a:solidFill>
                        <a:latin typeface="Cambria Math" panose="02040503050406030204" pitchFamily="18" charset="0"/>
                        <a:ea typeface="Cambria Math" panose="02040503050406030204" pitchFamily="18" charset="0"/>
                      </a:rPr>
                      <m:t>=</m:t>
                    </m:r>
                    <m:rad>
                      <m:radPr>
                        <m:degHide m:val="on"/>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radPr>
                      <m:deg/>
                      <m:e>
                        <m:r>
                          <a:rPr lang="es-PE" sz="1000" b="0" i="1">
                            <a:solidFill>
                              <a:schemeClr val="tx1">
                                <a:lumMod val="85000"/>
                                <a:lumOff val="15000"/>
                              </a:schemeClr>
                            </a:solidFill>
                            <a:latin typeface="Cambria Math" panose="02040503050406030204" pitchFamily="18" charset="0"/>
                            <a:ea typeface="Cambria Math" panose="02040503050406030204" pitchFamily="18" charset="0"/>
                          </a:rPr>
                          <m:t>3.16</m:t>
                        </m:r>
                        <m:r>
                          <a:rPr lang="es-PE" sz="1000" b="0" i="1">
                            <a:solidFill>
                              <a:schemeClr val="tx1">
                                <a:lumMod val="85000"/>
                                <a:lumOff val="15000"/>
                              </a:schemeClr>
                            </a:solidFill>
                            <a:latin typeface="Cambria Math" panose="02040503050406030204" pitchFamily="18" charset="0"/>
                            <a:ea typeface="Cambria Math" panose="02040503050406030204" pitchFamily="18" charset="0"/>
                          </a:rPr>
                          <m:t>𝑔</m:t>
                        </m:r>
                        <m:func>
                          <m:func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funcPr>
                          <m:fName>
                            <m:r>
                              <m:rPr>
                                <m:sty m:val="p"/>
                              </m:rPr>
                              <a:rPr lang="es-PE" sz="1000" b="0" i="0">
                                <a:solidFill>
                                  <a:schemeClr val="tx1">
                                    <a:lumMod val="85000"/>
                                    <a:lumOff val="15000"/>
                                  </a:schemeClr>
                                </a:solidFill>
                                <a:latin typeface="Cambria Math" panose="02040503050406030204" pitchFamily="18" charset="0"/>
                                <a:ea typeface="Cambria Math" panose="02040503050406030204" pitchFamily="18" charset="0"/>
                              </a:rPr>
                              <m:t>tanh</m:t>
                            </m:r>
                          </m:fName>
                          <m:e>
                            <m:d>
                              <m:dPr>
                                <m:begChr m:val="["/>
                                <m:endChr m:val="]"/>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d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3.16</m:t>
                                </m:r>
                                <m:d>
                                  <m:d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dPr>
                                  <m:e>
                                    <m:f>
                                      <m:fPr>
                                        <m:type m:val="lin"/>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ea typeface="Cambria Math" panose="02040503050406030204" pitchFamily="18" charset="0"/>
                                              </a:rPr>
                                              <m:t>𝐿</m:t>
                                            </m:r>
                                          </m:sub>
                                        </m:sSub>
                                      </m:num>
                                      <m:den>
                                        <m:r>
                                          <a:rPr lang="es-PE" sz="1000" b="0" i="1">
                                            <a:solidFill>
                                              <a:schemeClr val="tx1">
                                                <a:lumMod val="85000"/>
                                                <a:lumOff val="15000"/>
                                              </a:schemeClr>
                                            </a:solidFill>
                                            <a:latin typeface="Cambria Math" panose="02040503050406030204" pitchFamily="18" charset="0"/>
                                            <a:ea typeface="Cambria Math" panose="02040503050406030204" pitchFamily="18" charset="0"/>
                                          </a:rPr>
                                          <m:t>𝐿</m:t>
                                        </m:r>
                                      </m:den>
                                    </m:f>
                                  </m:e>
                                </m:d>
                              </m:e>
                            </m:d>
                          </m:e>
                        </m:func>
                      </m:e>
                    </m:rad>
                  </m:oMath>
                </m:oMathPara>
              </a14:m>
              <a:endParaRPr lang="es-ES" sz="1000">
                <a:solidFill>
                  <a:schemeClr val="tx1">
                    <a:lumMod val="85000"/>
                    <a:lumOff val="15000"/>
                  </a:schemeClr>
                </a:solidFill>
              </a:endParaRPr>
            </a:p>
          </xdr:txBody>
        </xdr:sp>
      </mc:Choice>
      <mc:Fallback xmlns="">
        <xdr:sp macro="" textlink="">
          <xdr:nvSpPr>
            <xdr:cNvPr id="39" name="CuadroTexto 38">
              <a:extLst>
                <a:ext uri="{FF2B5EF4-FFF2-40B4-BE49-F238E27FC236}">
                  <a16:creationId xmlns:a16="http://schemas.microsoft.com/office/drawing/2014/main" id="{A6ACF291-D702-4172-AA7A-F665CB2870CE}"/>
                </a:ext>
              </a:extLst>
            </xdr:cNvPr>
            <xdr:cNvSpPr txBox="1"/>
          </xdr:nvSpPr>
          <xdr:spPr>
            <a:xfrm>
              <a:off x="4886325" y="15230475"/>
              <a:ext cx="1671547" cy="18780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000" i="0">
                  <a:solidFill>
                    <a:schemeClr val="tx1">
                      <a:lumMod val="85000"/>
                      <a:lumOff val="15000"/>
                    </a:schemeClr>
                  </a:solidFill>
                  <a:latin typeface="Cambria Math" panose="02040503050406030204" pitchFamily="18" charset="0"/>
                  <a:ea typeface="Cambria Math" panose="02040503050406030204" pitchFamily="18" charset="0"/>
                </a:rPr>
                <a:t>𝜆</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=√(3.16𝑔 tanh⁡[3.16(𝐻_𝐿∕𝐿)] )</a:t>
              </a:r>
              <a:endParaRPr lang="es-ES" sz="1000">
                <a:solidFill>
                  <a:schemeClr val="tx1">
                    <a:lumMod val="85000"/>
                    <a:lumOff val="15000"/>
                  </a:schemeClr>
                </a:solidFill>
              </a:endParaRPr>
            </a:p>
          </xdr:txBody>
        </xdr:sp>
      </mc:Fallback>
    </mc:AlternateContent>
    <xdr:clientData/>
  </xdr:oneCellAnchor>
  <xdr:oneCellAnchor>
    <xdr:from>
      <xdr:col>7</xdr:col>
      <xdr:colOff>142875</xdr:colOff>
      <xdr:row>95</xdr:row>
      <xdr:rowOff>19050</xdr:rowOff>
    </xdr:from>
    <xdr:ext cx="494623" cy="321050"/>
    <mc:AlternateContent xmlns:mc="http://schemas.openxmlformats.org/markup-compatibility/2006" xmlns:a14="http://schemas.microsoft.com/office/drawing/2010/main">
      <mc:Choice Requires="a14">
        <xdr:sp macro="" textlink="">
          <xdr:nvSpPr>
            <xdr:cNvPr id="40" name="CuadroTexto 39">
              <a:extLst>
                <a:ext uri="{FF2B5EF4-FFF2-40B4-BE49-F238E27FC236}">
                  <a16:creationId xmlns:a16="http://schemas.microsoft.com/office/drawing/2014/main" id="{00000000-0008-0000-0000-000028000000}"/>
                </a:ext>
              </a:extLst>
            </xdr:cNvPr>
            <xdr:cNvSpPr txBox="1"/>
          </xdr:nvSpPr>
          <xdr:spPr>
            <a:xfrm>
              <a:off x="4953000" y="15449550"/>
              <a:ext cx="494623" cy="321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000" i="1">
                            <a:solidFill>
                              <a:schemeClr val="tx1">
                                <a:lumMod val="85000"/>
                                <a:lumOff val="15000"/>
                              </a:schemeClr>
                            </a:solidFill>
                            <a:latin typeface="Cambria Math" panose="02040503050406030204" pitchFamily="18" charset="0"/>
                          </a:rPr>
                        </m:ctrlPr>
                      </m:sSubPr>
                      <m:e>
                        <m:r>
                          <a:rPr lang="es-ES" sz="1000" i="1">
                            <a:solidFill>
                              <a:schemeClr val="tx1">
                                <a:lumMod val="85000"/>
                                <a:lumOff val="15000"/>
                              </a:schemeClr>
                            </a:solidFill>
                            <a:latin typeface="Cambria Math" panose="02040503050406030204" pitchFamily="18" charset="0"/>
                            <a:ea typeface="Cambria Math" panose="02040503050406030204" pitchFamily="18" charset="0"/>
                          </a:rPr>
                          <m:t>𝜔</m:t>
                        </m:r>
                      </m:e>
                      <m:sub>
                        <m:r>
                          <a:rPr lang="es-PE" sz="1000" b="0" i="1">
                            <a:solidFill>
                              <a:schemeClr val="tx1">
                                <a:lumMod val="85000"/>
                                <a:lumOff val="15000"/>
                              </a:schemeClr>
                            </a:solidFill>
                            <a:latin typeface="Cambria Math" panose="02040503050406030204" pitchFamily="18" charset="0"/>
                          </a:rPr>
                          <m:t>𝑐</m:t>
                        </m:r>
                      </m:sub>
                    </m:sSub>
                    <m:r>
                      <a:rPr lang="es-PE" sz="1000" b="0" i="1">
                        <a:solidFill>
                          <a:schemeClr val="tx1">
                            <a:lumMod val="85000"/>
                            <a:lumOff val="15000"/>
                          </a:schemeClr>
                        </a:solidFill>
                        <a:latin typeface="Cambria Math" panose="02040503050406030204" pitchFamily="18" charset="0"/>
                      </a:rPr>
                      <m:t>=</m:t>
                    </m:r>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ea typeface="Cambria Math" panose="02040503050406030204" pitchFamily="18" charset="0"/>
                          </a:rPr>
                          <m:t>𝜆</m:t>
                        </m:r>
                      </m:num>
                      <m:den>
                        <m:rad>
                          <m:radPr>
                            <m:degHide m:val="on"/>
                            <m:ctrlPr>
                              <a:rPr lang="es-PE" sz="1000" b="0" i="1">
                                <a:solidFill>
                                  <a:schemeClr val="tx1">
                                    <a:lumMod val="85000"/>
                                    <a:lumOff val="15000"/>
                                  </a:schemeClr>
                                </a:solidFill>
                                <a:latin typeface="Cambria Math" panose="02040503050406030204" pitchFamily="18" charset="0"/>
                              </a:rPr>
                            </m:ctrlPr>
                          </m:radPr>
                          <m:deg/>
                          <m:e>
                            <m:r>
                              <a:rPr lang="es-PE" sz="1000" b="0" i="1">
                                <a:solidFill>
                                  <a:schemeClr val="tx1">
                                    <a:lumMod val="85000"/>
                                    <a:lumOff val="15000"/>
                                  </a:schemeClr>
                                </a:solidFill>
                                <a:latin typeface="Cambria Math" panose="02040503050406030204" pitchFamily="18" charset="0"/>
                              </a:rPr>
                              <m:t>𝐿</m:t>
                            </m:r>
                          </m:e>
                        </m:rad>
                      </m:den>
                    </m:f>
                  </m:oMath>
                </m:oMathPara>
              </a14:m>
              <a:endParaRPr lang="es-ES" sz="1000">
                <a:solidFill>
                  <a:schemeClr val="tx1">
                    <a:lumMod val="85000"/>
                    <a:lumOff val="15000"/>
                  </a:schemeClr>
                </a:solidFill>
              </a:endParaRPr>
            </a:p>
          </xdr:txBody>
        </xdr:sp>
      </mc:Choice>
      <mc:Fallback xmlns="">
        <xdr:sp macro="" textlink="">
          <xdr:nvSpPr>
            <xdr:cNvPr id="40" name="CuadroTexto 39">
              <a:extLst>
                <a:ext uri="{FF2B5EF4-FFF2-40B4-BE49-F238E27FC236}">
                  <a16:creationId xmlns:a16="http://schemas.microsoft.com/office/drawing/2014/main" id="{C1100D62-388C-4287-9B4B-6955E779C7E2}"/>
                </a:ext>
              </a:extLst>
            </xdr:cNvPr>
            <xdr:cNvSpPr txBox="1"/>
          </xdr:nvSpPr>
          <xdr:spPr>
            <a:xfrm>
              <a:off x="4953000" y="15449550"/>
              <a:ext cx="494623" cy="32105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ES" sz="1000" i="0">
                  <a:solidFill>
                    <a:schemeClr val="tx1">
                      <a:lumMod val="85000"/>
                      <a:lumOff val="15000"/>
                    </a:schemeClr>
                  </a:solidFill>
                  <a:latin typeface="Cambria Math" panose="02040503050406030204" pitchFamily="18" charset="0"/>
                  <a:ea typeface="Cambria Math" panose="02040503050406030204" pitchFamily="18" charset="0"/>
                </a:rPr>
                <a:t>𝜔_</a:t>
              </a:r>
              <a:r>
                <a:rPr lang="es-PE" sz="1000" b="0" i="0">
                  <a:solidFill>
                    <a:schemeClr val="tx1">
                      <a:lumMod val="85000"/>
                      <a:lumOff val="15000"/>
                    </a:schemeClr>
                  </a:solidFill>
                  <a:latin typeface="Cambria Math" panose="02040503050406030204" pitchFamily="18" charset="0"/>
                </a:rPr>
                <a:t>𝑐=</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𝜆/√</a:t>
              </a:r>
              <a:r>
                <a:rPr lang="es-PE" sz="1000" b="0" i="0">
                  <a:solidFill>
                    <a:schemeClr val="tx1">
                      <a:lumMod val="85000"/>
                      <a:lumOff val="15000"/>
                    </a:schemeClr>
                  </a:solidFill>
                  <a:latin typeface="Cambria Math" panose="02040503050406030204" pitchFamily="18" charset="0"/>
                </a:rPr>
                <a:t>𝐿</a:t>
              </a:r>
              <a:endParaRPr lang="es-ES" sz="1000">
                <a:solidFill>
                  <a:schemeClr val="tx1">
                    <a:lumMod val="85000"/>
                    <a:lumOff val="15000"/>
                  </a:schemeClr>
                </a:solidFill>
              </a:endParaRPr>
            </a:p>
          </xdr:txBody>
        </xdr:sp>
      </mc:Fallback>
    </mc:AlternateContent>
    <xdr:clientData/>
  </xdr:oneCellAnchor>
  <xdr:oneCellAnchor>
    <xdr:from>
      <xdr:col>7</xdr:col>
      <xdr:colOff>133350</xdr:colOff>
      <xdr:row>97</xdr:row>
      <xdr:rowOff>19050</xdr:rowOff>
    </xdr:from>
    <xdr:ext cx="1117101" cy="315151"/>
    <mc:AlternateContent xmlns:mc="http://schemas.openxmlformats.org/markup-compatibility/2006" xmlns:a14="http://schemas.microsoft.com/office/drawing/2010/main">
      <mc:Choice Requires="a14">
        <xdr:sp macro="" textlink="">
          <xdr:nvSpPr>
            <xdr:cNvPr id="42" name="CuadroTexto 41">
              <a:extLst>
                <a:ext uri="{FF2B5EF4-FFF2-40B4-BE49-F238E27FC236}">
                  <a16:creationId xmlns:a16="http://schemas.microsoft.com/office/drawing/2014/main" id="{00000000-0008-0000-0000-00002A000000}"/>
                </a:ext>
              </a:extLst>
            </xdr:cNvPr>
            <xdr:cNvSpPr txBox="1"/>
          </xdr:nvSpPr>
          <xdr:spPr>
            <a:xfrm>
              <a:off x="4943475" y="15830550"/>
              <a:ext cx="1117101" cy="31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𝑇</m:t>
                        </m:r>
                      </m:e>
                      <m:sub>
                        <m:r>
                          <a:rPr lang="es-PE" sz="1000" b="0" i="1">
                            <a:solidFill>
                              <a:schemeClr val="tx1">
                                <a:lumMod val="85000"/>
                                <a:lumOff val="15000"/>
                              </a:schemeClr>
                            </a:solidFill>
                            <a:latin typeface="Cambria Math" panose="02040503050406030204" pitchFamily="18" charset="0"/>
                          </a:rPr>
                          <m:t>𝑖</m:t>
                        </m:r>
                      </m:sub>
                    </m:sSub>
                    <m:r>
                      <a:rPr lang="es-PE" sz="1000" b="0" i="1">
                        <a:solidFill>
                          <a:schemeClr val="tx1">
                            <a:lumMod val="85000"/>
                            <a:lumOff val="15000"/>
                          </a:schemeClr>
                        </a:solidFill>
                        <a:latin typeface="Cambria Math" panose="02040503050406030204" pitchFamily="18" charset="0"/>
                      </a:rPr>
                      <m:t>=</m:t>
                    </m:r>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2</m:t>
                        </m:r>
                        <m:r>
                          <a:rPr lang="es-PE" sz="1000" b="0" i="1">
                            <a:solidFill>
                              <a:schemeClr val="tx1">
                                <a:lumMod val="85000"/>
                                <a:lumOff val="15000"/>
                              </a:schemeClr>
                            </a:solidFill>
                            <a:latin typeface="Cambria Math" panose="02040503050406030204" pitchFamily="18" charset="0"/>
                            <a:ea typeface="Cambria Math" panose="02040503050406030204" pitchFamily="18" charset="0"/>
                          </a:rPr>
                          <m:t>𝜋</m:t>
                        </m:r>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𝜔</m:t>
                            </m:r>
                          </m:e>
                          <m:sub>
                            <m:r>
                              <a:rPr lang="es-PE" sz="1000" b="0" i="1">
                                <a:solidFill>
                                  <a:schemeClr val="tx1">
                                    <a:lumMod val="85000"/>
                                    <a:lumOff val="15000"/>
                                  </a:schemeClr>
                                </a:solidFill>
                                <a:latin typeface="Cambria Math" panose="02040503050406030204" pitchFamily="18" charset="0"/>
                              </a:rPr>
                              <m:t>𝑖</m:t>
                            </m:r>
                          </m:sub>
                        </m:sSub>
                      </m:den>
                    </m:f>
                    <m:r>
                      <a:rPr lang="es-PE" sz="1000" b="0" i="1">
                        <a:solidFill>
                          <a:schemeClr val="tx1">
                            <a:lumMod val="85000"/>
                            <a:lumOff val="15000"/>
                          </a:schemeClr>
                        </a:solidFill>
                        <a:latin typeface="Cambria Math" panose="02040503050406030204" pitchFamily="18" charset="0"/>
                      </a:rPr>
                      <m:t>=2</m:t>
                    </m:r>
                    <m:r>
                      <a:rPr lang="es-PE" sz="1000" b="0" i="1">
                        <a:solidFill>
                          <a:schemeClr val="tx1">
                            <a:lumMod val="85000"/>
                            <a:lumOff val="15000"/>
                          </a:schemeClr>
                        </a:solidFill>
                        <a:latin typeface="Cambria Math" panose="02040503050406030204" pitchFamily="18" charset="0"/>
                        <a:ea typeface="Cambria Math" panose="02040503050406030204" pitchFamily="18" charset="0"/>
                      </a:rPr>
                      <m:t>𝜋</m:t>
                    </m:r>
                    <m:rad>
                      <m:radPr>
                        <m:degHide m:val="on"/>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radPr>
                      <m:deg/>
                      <m:e>
                        <m:f>
                          <m:fPr>
                            <m:type m:val="lin"/>
                            <m:ctrlPr>
                              <a:rPr lang="es-PE" sz="1000" b="0" i="1">
                                <a:solidFill>
                                  <a:schemeClr val="tx1">
                                    <a:lumMod val="85000"/>
                                    <a:lumOff val="15000"/>
                                  </a:schemeClr>
                                </a:solidFill>
                                <a:latin typeface="Cambria Math" panose="02040503050406030204" pitchFamily="18" charset="0"/>
                                <a:ea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ea typeface="Cambria Math" panose="02040503050406030204" pitchFamily="18" charset="0"/>
                              </a:rPr>
                              <m:t>𝑚</m:t>
                            </m:r>
                          </m:num>
                          <m:den>
                            <m:r>
                              <a:rPr lang="es-PE" sz="1000" b="0" i="1">
                                <a:solidFill>
                                  <a:schemeClr val="tx1">
                                    <a:lumMod val="85000"/>
                                    <a:lumOff val="15000"/>
                                  </a:schemeClr>
                                </a:solidFill>
                                <a:latin typeface="Cambria Math" panose="02040503050406030204" pitchFamily="18" charset="0"/>
                                <a:ea typeface="Cambria Math" panose="02040503050406030204" pitchFamily="18" charset="0"/>
                              </a:rPr>
                              <m:t>𝑘</m:t>
                            </m:r>
                          </m:den>
                        </m:f>
                      </m:e>
                    </m:rad>
                  </m:oMath>
                </m:oMathPara>
              </a14:m>
              <a:endParaRPr lang="es-ES" sz="1000">
                <a:solidFill>
                  <a:schemeClr val="tx1">
                    <a:lumMod val="85000"/>
                    <a:lumOff val="15000"/>
                  </a:schemeClr>
                </a:solidFill>
              </a:endParaRPr>
            </a:p>
          </xdr:txBody>
        </xdr:sp>
      </mc:Choice>
      <mc:Fallback xmlns="">
        <xdr:sp macro="" textlink="">
          <xdr:nvSpPr>
            <xdr:cNvPr id="42" name="CuadroTexto 41">
              <a:extLst>
                <a:ext uri="{FF2B5EF4-FFF2-40B4-BE49-F238E27FC236}">
                  <a16:creationId xmlns:a16="http://schemas.microsoft.com/office/drawing/2014/main" id="{9374AF75-AA5A-4125-8571-DE25D90B5D15}"/>
                </a:ext>
              </a:extLst>
            </xdr:cNvPr>
            <xdr:cNvSpPr txBox="1"/>
          </xdr:nvSpPr>
          <xdr:spPr>
            <a:xfrm>
              <a:off x="4943475" y="15830550"/>
              <a:ext cx="1117101" cy="31515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000" b="0" i="0">
                  <a:solidFill>
                    <a:schemeClr val="tx1">
                      <a:lumMod val="85000"/>
                      <a:lumOff val="15000"/>
                    </a:schemeClr>
                  </a:solidFill>
                  <a:latin typeface="Cambria Math" panose="02040503050406030204" pitchFamily="18" charset="0"/>
                </a:rPr>
                <a:t>𝑇</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𝑖=2</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𝜋/𝜔_</a:t>
              </a:r>
              <a:r>
                <a:rPr lang="es-PE" sz="1000" b="0" i="0">
                  <a:solidFill>
                    <a:schemeClr val="tx1">
                      <a:lumMod val="85000"/>
                      <a:lumOff val="15000"/>
                    </a:schemeClr>
                  </a:solidFill>
                  <a:latin typeface="Cambria Math" panose="02040503050406030204" pitchFamily="18" charset="0"/>
                </a:rPr>
                <a:t>𝑖 =2</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𝜋√(𝑚∕𝑘)</a:t>
              </a:r>
              <a:endParaRPr lang="es-ES" sz="1000">
                <a:solidFill>
                  <a:schemeClr val="tx1">
                    <a:lumMod val="85000"/>
                    <a:lumOff val="15000"/>
                  </a:schemeClr>
                </a:solidFill>
              </a:endParaRPr>
            </a:p>
          </xdr:txBody>
        </xdr:sp>
      </mc:Fallback>
    </mc:AlternateContent>
    <xdr:clientData/>
  </xdr:oneCellAnchor>
  <xdr:oneCellAnchor>
    <xdr:from>
      <xdr:col>7</xdr:col>
      <xdr:colOff>133350</xdr:colOff>
      <xdr:row>99</xdr:row>
      <xdr:rowOff>9525</xdr:rowOff>
    </xdr:from>
    <xdr:ext cx="1090042" cy="345800"/>
    <mc:AlternateContent xmlns:mc="http://schemas.openxmlformats.org/markup-compatibility/2006" xmlns:a14="http://schemas.microsoft.com/office/drawing/2010/main">
      <mc:Choice Requires="a14">
        <xdr:sp macro="" textlink="">
          <xdr:nvSpPr>
            <xdr:cNvPr id="45" name="CuadroTexto 44">
              <a:extLst>
                <a:ext uri="{FF2B5EF4-FFF2-40B4-BE49-F238E27FC236}">
                  <a16:creationId xmlns:a16="http://schemas.microsoft.com/office/drawing/2014/main" id="{00000000-0008-0000-0000-00002D000000}"/>
                </a:ext>
              </a:extLst>
            </xdr:cNvPr>
            <xdr:cNvSpPr txBox="1"/>
          </xdr:nvSpPr>
          <xdr:spPr>
            <a:xfrm>
              <a:off x="4943475" y="16202025"/>
              <a:ext cx="1090042" cy="34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𝑇</m:t>
                        </m:r>
                      </m:e>
                      <m:sub>
                        <m:r>
                          <a:rPr lang="es-PE" sz="1000" b="0" i="1">
                            <a:solidFill>
                              <a:schemeClr val="tx1">
                                <a:lumMod val="85000"/>
                                <a:lumOff val="15000"/>
                              </a:schemeClr>
                            </a:solidFill>
                            <a:latin typeface="Cambria Math" panose="02040503050406030204" pitchFamily="18" charset="0"/>
                          </a:rPr>
                          <m:t>𝑖</m:t>
                        </m:r>
                      </m:sub>
                    </m:sSub>
                    <m:r>
                      <a:rPr lang="es-PE" sz="1000" b="0" i="1">
                        <a:solidFill>
                          <a:schemeClr val="tx1">
                            <a:lumMod val="85000"/>
                            <a:lumOff val="15000"/>
                          </a:schemeClr>
                        </a:solidFill>
                        <a:latin typeface="Cambria Math" panose="02040503050406030204" pitchFamily="18" charset="0"/>
                      </a:rPr>
                      <m:t>=</m:t>
                    </m:r>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2</m:t>
                        </m:r>
                        <m:r>
                          <a:rPr lang="es-PE" sz="1000" b="0" i="1">
                            <a:solidFill>
                              <a:schemeClr val="tx1">
                                <a:lumMod val="85000"/>
                                <a:lumOff val="15000"/>
                              </a:schemeClr>
                            </a:solidFill>
                            <a:latin typeface="Cambria Math" panose="02040503050406030204" pitchFamily="18" charset="0"/>
                            <a:ea typeface="Cambria Math" panose="02040503050406030204" pitchFamily="18" charset="0"/>
                          </a:rPr>
                          <m:t>𝜋</m:t>
                        </m:r>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ea typeface="Cambria Math" panose="02040503050406030204" pitchFamily="18" charset="0"/>
                              </a:rPr>
                              <m:t>𝜔</m:t>
                            </m:r>
                          </m:e>
                          <m:sub>
                            <m:r>
                              <a:rPr lang="es-PE" sz="1000" b="0" i="1">
                                <a:solidFill>
                                  <a:schemeClr val="tx1">
                                    <a:lumMod val="85000"/>
                                    <a:lumOff val="15000"/>
                                  </a:schemeClr>
                                </a:solidFill>
                                <a:latin typeface="Cambria Math" panose="02040503050406030204" pitchFamily="18" charset="0"/>
                              </a:rPr>
                              <m:t>𝑐</m:t>
                            </m:r>
                          </m:sub>
                        </m:sSub>
                      </m:den>
                    </m:f>
                    <m:r>
                      <a:rPr lang="es-PE" sz="1000" b="0" i="1">
                        <a:solidFill>
                          <a:schemeClr val="tx1">
                            <a:lumMod val="85000"/>
                            <a:lumOff val="15000"/>
                          </a:schemeClr>
                        </a:solidFill>
                        <a:latin typeface="Cambria Math" panose="02040503050406030204" pitchFamily="18" charset="0"/>
                      </a:rPr>
                      <m:t>=</m:t>
                    </m:r>
                    <m:d>
                      <m:dPr>
                        <m:ctrlPr>
                          <a:rPr lang="es-PE" sz="1000" b="0" i="1">
                            <a:solidFill>
                              <a:schemeClr val="tx1">
                                <a:lumMod val="85000"/>
                                <a:lumOff val="15000"/>
                              </a:schemeClr>
                            </a:solidFill>
                            <a:latin typeface="Cambria Math" panose="02040503050406030204" pitchFamily="18" charset="0"/>
                          </a:rPr>
                        </m:ctrlPr>
                      </m:dPr>
                      <m:e>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2</m:t>
                            </m:r>
                            <m:r>
                              <a:rPr lang="es-PE" sz="1000" b="0" i="1">
                                <a:solidFill>
                                  <a:schemeClr val="tx1">
                                    <a:lumMod val="85000"/>
                                    <a:lumOff val="15000"/>
                                  </a:schemeClr>
                                </a:solidFill>
                                <a:latin typeface="Cambria Math" panose="02040503050406030204" pitchFamily="18" charset="0"/>
                                <a:ea typeface="Cambria Math" panose="02040503050406030204" pitchFamily="18" charset="0"/>
                              </a:rPr>
                              <m:t>𝜋</m:t>
                            </m:r>
                          </m:num>
                          <m:den>
                            <m:r>
                              <a:rPr lang="es-PE" sz="1000" b="0" i="1">
                                <a:solidFill>
                                  <a:schemeClr val="tx1">
                                    <a:lumMod val="85000"/>
                                    <a:lumOff val="15000"/>
                                  </a:schemeClr>
                                </a:solidFill>
                                <a:latin typeface="Cambria Math" panose="02040503050406030204" pitchFamily="18" charset="0"/>
                                <a:ea typeface="Cambria Math" panose="02040503050406030204" pitchFamily="18" charset="0"/>
                              </a:rPr>
                              <m:t>𝜆</m:t>
                            </m:r>
                          </m:den>
                        </m:f>
                      </m:e>
                    </m:d>
                    <m:rad>
                      <m:radPr>
                        <m:degHide m:val="on"/>
                        <m:ctrlPr>
                          <a:rPr lang="es-PE" sz="1000" b="0" i="1">
                            <a:solidFill>
                              <a:schemeClr val="tx1">
                                <a:lumMod val="85000"/>
                                <a:lumOff val="15000"/>
                              </a:schemeClr>
                            </a:solidFill>
                            <a:latin typeface="Cambria Math" panose="02040503050406030204" pitchFamily="18" charset="0"/>
                          </a:rPr>
                        </m:ctrlPr>
                      </m:radPr>
                      <m:deg/>
                      <m:e>
                        <m:r>
                          <a:rPr lang="es-PE" sz="1000" b="0" i="1">
                            <a:solidFill>
                              <a:schemeClr val="tx1">
                                <a:lumMod val="85000"/>
                                <a:lumOff val="15000"/>
                              </a:schemeClr>
                            </a:solidFill>
                            <a:latin typeface="Cambria Math" panose="02040503050406030204" pitchFamily="18" charset="0"/>
                          </a:rPr>
                          <m:t>𝐿</m:t>
                        </m:r>
                      </m:e>
                    </m:rad>
                  </m:oMath>
                </m:oMathPara>
              </a14:m>
              <a:endParaRPr lang="es-ES" sz="1000">
                <a:solidFill>
                  <a:schemeClr val="tx1">
                    <a:lumMod val="85000"/>
                    <a:lumOff val="15000"/>
                  </a:schemeClr>
                </a:solidFill>
              </a:endParaRPr>
            </a:p>
          </xdr:txBody>
        </xdr:sp>
      </mc:Choice>
      <mc:Fallback xmlns="">
        <xdr:sp macro="" textlink="">
          <xdr:nvSpPr>
            <xdr:cNvPr id="45" name="CuadroTexto 44">
              <a:extLst>
                <a:ext uri="{FF2B5EF4-FFF2-40B4-BE49-F238E27FC236}">
                  <a16:creationId xmlns:a16="http://schemas.microsoft.com/office/drawing/2014/main" id="{104FBE07-ABDF-4B48-9A89-9A11BBF5D4B7}"/>
                </a:ext>
              </a:extLst>
            </xdr:cNvPr>
            <xdr:cNvSpPr txBox="1"/>
          </xdr:nvSpPr>
          <xdr:spPr>
            <a:xfrm>
              <a:off x="4943475" y="16202025"/>
              <a:ext cx="1090042" cy="34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000" b="0" i="0">
                  <a:solidFill>
                    <a:schemeClr val="tx1">
                      <a:lumMod val="85000"/>
                      <a:lumOff val="15000"/>
                    </a:schemeClr>
                  </a:solidFill>
                  <a:latin typeface="Cambria Math" panose="02040503050406030204" pitchFamily="18" charset="0"/>
                </a:rPr>
                <a:t>𝑇</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𝑖=2</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𝜋/𝜔_</a:t>
              </a:r>
              <a:r>
                <a:rPr lang="es-PE" sz="1000" b="0" i="0">
                  <a:solidFill>
                    <a:schemeClr val="tx1">
                      <a:lumMod val="85000"/>
                      <a:lumOff val="15000"/>
                    </a:schemeClr>
                  </a:solidFill>
                  <a:latin typeface="Cambria Math" panose="02040503050406030204" pitchFamily="18" charset="0"/>
                </a:rPr>
                <a:t>𝑐 =(2</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𝜋/𝜆) </a:t>
              </a:r>
              <a:r>
                <a:rPr lang="es-PE" sz="1000" b="0" i="0">
                  <a:solidFill>
                    <a:schemeClr val="tx1">
                      <a:lumMod val="85000"/>
                      <a:lumOff val="15000"/>
                    </a:schemeClr>
                  </a:solidFill>
                  <a:latin typeface="Cambria Math" panose="02040503050406030204" pitchFamily="18" charset="0"/>
                </a:rPr>
                <a:t>√𝐿</a:t>
              </a:r>
              <a:endParaRPr lang="es-ES" sz="1000">
                <a:solidFill>
                  <a:schemeClr val="tx1">
                    <a:lumMod val="85000"/>
                    <a:lumOff val="15000"/>
                  </a:schemeClr>
                </a:solidFill>
              </a:endParaRPr>
            </a:p>
          </xdr:txBody>
        </xdr:sp>
      </mc:Fallback>
    </mc:AlternateContent>
    <xdr:clientData/>
  </xdr:oneCellAnchor>
  <xdr:twoCellAnchor editAs="oneCell">
    <xdr:from>
      <xdr:col>4</xdr:col>
      <xdr:colOff>38100</xdr:colOff>
      <xdr:row>121</xdr:row>
      <xdr:rowOff>112452</xdr:rowOff>
    </xdr:from>
    <xdr:to>
      <xdr:col>6</xdr:col>
      <xdr:colOff>561975</xdr:colOff>
      <xdr:row>127</xdr:row>
      <xdr:rowOff>161925</xdr:rowOff>
    </xdr:to>
    <xdr:pic>
      <xdr:nvPicPr>
        <xdr:cNvPr id="54" name="Imagen 53">
          <a:extLst>
            <a:ext uri="{FF2B5EF4-FFF2-40B4-BE49-F238E27FC236}">
              <a16:creationId xmlns:a16="http://schemas.microsoft.com/office/drawing/2014/main" id="{00000000-0008-0000-0000-000036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2286000" y="20114952"/>
          <a:ext cx="2400300" cy="119247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4</xdr:col>
      <xdr:colOff>28575</xdr:colOff>
      <xdr:row>121</xdr:row>
      <xdr:rowOff>104775</xdr:rowOff>
    </xdr:from>
    <xdr:to>
      <xdr:col>6</xdr:col>
      <xdr:colOff>600075</xdr:colOff>
      <xdr:row>127</xdr:row>
      <xdr:rowOff>142875</xdr:rowOff>
    </xdr:to>
    <xdr:sp macro="" textlink="">
      <xdr:nvSpPr>
        <xdr:cNvPr id="43" name="Rectángulo 42">
          <a:extLst>
            <a:ext uri="{FF2B5EF4-FFF2-40B4-BE49-F238E27FC236}">
              <a16:creationId xmlns:a16="http://schemas.microsoft.com/office/drawing/2014/main" id="{00000000-0008-0000-0000-00002B000000}"/>
            </a:ext>
          </a:extLst>
        </xdr:cNvPr>
        <xdr:cNvSpPr/>
      </xdr:nvSpPr>
      <xdr:spPr>
        <a:xfrm>
          <a:off x="2276475" y="20107275"/>
          <a:ext cx="2390775" cy="1181100"/>
        </a:xfrm>
        <a:prstGeom prst="rect">
          <a:avLst/>
        </a:prstGeom>
        <a:noFill/>
        <a:ln>
          <a:solidFill>
            <a:srgbClr val="00B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s-ES" sz="1100"/>
        </a:p>
      </xdr:txBody>
    </xdr:sp>
    <xdr:clientData/>
  </xdr:twoCellAnchor>
  <xdr:oneCellAnchor>
    <xdr:from>
      <xdr:col>7</xdr:col>
      <xdr:colOff>104775</xdr:colOff>
      <xdr:row>128</xdr:row>
      <xdr:rowOff>95250</xdr:rowOff>
    </xdr:from>
    <xdr:ext cx="903965" cy="314125"/>
    <mc:AlternateContent xmlns:mc="http://schemas.openxmlformats.org/markup-compatibility/2006" xmlns:a14="http://schemas.microsoft.com/office/drawing/2010/main">
      <mc:Choice Requires="a14">
        <xdr:sp macro="" textlink="">
          <xdr:nvSpPr>
            <xdr:cNvPr id="50" name="CuadroTexto 49">
              <a:extLst>
                <a:ext uri="{FF2B5EF4-FFF2-40B4-BE49-F238E27FC236}">
                  <a16:creationId xmlns:a16="http://schemas.microsoft.com/office/drawing/2014/main" id="{00000000-0008-0000-0000-000032000000}"/>
                </a:ext>
              </a:extLst>
            </xdr:cNvPr>
            <xdr:cNvSpPr txBox="1"/>
          </xdr:nvSpPr>
          <xdr:spPr>
            <a:xfrm>
              <a:off x="5495925" y="22955250"/>
              <a:ext cx="903965" cy="314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i="1">
                            <a:latin typeface="Cambria Math" panose="02040503050406030204" pitchFamily="18" charset="0"/>
                          </a:rPr>
                        </m:ctrlPr>
                      </m:sSubPr>
                      <m:e>
                        <m:r>
                          <a:rPr lang="es-PE" sz="1000" b="0" i="1">
                            <a:latin typeface="Cambria Math" panose="02040503050406030204" pitchFamily="18" charset="0"/>
                          </a:rPr>
                          <m:t>𝑃</m:t>
                        </m:r>
                      </m:e>
                      <m:sub>
                        <m:r>
                          <a:rPr lang="es-PE" sz="1000" b="0" i="1">
                            <a:latin typeface="Cambria Math" panose="02040503050406030204" pitchFamily="18" charset="0"/>
                          </a:rPr>
                          <m:t>𝑤</m:t>
                        </m:r>
                      </m:sub>
                    </m:sSub>
                    <m:r>
                      <a:rPr lang="es-PE" sz="1000" b="0" i="1">
                        <a:latin typeface="Cambria Math" panose="02040503050406030204" pitchFamily="18" charset="0"/>
                      </a:rPr>
                      <m:t>=</m:t>
                    </m:r>
                    <m:r>
                      <a:rPr lang="es-PE" sz="1000" b="0" i="1">
                        <a:latin typeface="Cambria Math" panose="02040503050406030204" pitchFamily="18" charset="0"/>
                      </a:rPr>
                      <m:t>𝑍𝑆𝐼</m:t>
                    </m:r>
                    <m:sSub>
                      <m:sSubPr>
                        <m:ctrlPr>
                          <a:rPr lang="es-PE" sz="1000" b="0" i="1">
                            <a:latin typeface="Cambria Math" panose="02040503050406030204" pitchFamily="18" charset="0"/>
                          </a:rPr>
                        </m:ctrlPr>
                      </m:sSubPr>
                      <m:e>
                        <m:r>
                          <a:rPr lang="es-PE" sz="1000" b="0" i="1">
                            <a:latin typeface="Cambria Math" panose="02040503050406030204" pitchFamily="18" charset="0"/>
                          </a:rPr>
                          <m:t>𝐶</m:t>
                        </m:r>
                      </m:e>
                      <m:sub>
                        <m:r>
                          <a:rPr lang="es-PE" sz="1000" b="0" i="1">
                            <a:latin typeface="Cambria Math" panose="02040503050406030204" pitchFamily="18" charset="0"/>
                          </a:rPr>
                          <m:t>𝑖</m:t>
                        </m:r>
                      </m:sub>
                    </m:sSub>
                    <m:f>
                      <m:fPr>
                        <m:ctrlPr>
                          <a:rPr lang="es-PE" sz="1000" b="0" i="1">
                            <a:latin typeface="Cambria Math" panose="02040503050406030204" pitchFamily="18" charset="0"/>
                          </a:rPr>
                        </m:ctrlPr>
                      </m:fPr>
                      <m:num>
                        <m:r>
                          <a:rPr lang="es-PE" sz="1000" b="0" i="1">
                            <a:latin typeface="Cambria Math" panose="02040503050406030204" pitchFamily="18" charset="0"/>
                            <a:ea typeface="Cambria Math" panose="02040503050406030204" pitchFamily="18" charset="0"/>
                          </a:rPr>
                          <m:t>𝜀</m:t>
                        </m:r>
                        <m:sSub>
                          <m:sSubPr>
                            <m:ctrlPr>
                              <a:rPr lang="es-PE" sz="1000" b="0" i="1">
                                <a:latin typeface="Cambria Math" panose="02040503050406030204" pitchFamily="18" charset="0"/>
                                <a:ea typeface="Cambria Math" panose="02040503050406030204" pitchFamily="18" charset="0"/>
                              </a:rPr>
                            </m:ctrlPr>
                          </m:sSubPr>
                          <m:e>
                            <m:r>
                              <a:rPr lang="es-PE" sz="1000" b="0" i="1">
                                <a:latin typeface="Cambria Math" panose="02040503050406030204" pitchFamily="18" charset="0"/>
                                <a:ea typeface="Cambria Math" panose="02040503050406030204" pitchFamily="18" charset="0"/>
                              </a:rPr>
                              <m:t>𝑊</m:t>
                            </m:r>
                          </m:e>
                          <m:sub>
                            <m:r>
                              <a:rPr lang="es-PE" sz="1000" b="0" i="1">
                                <a:latin typeface="Cambria Math" panose="02040503050406030204" pitchFamily="18" charset="0"/>
                                <a:ea typeface="Cambria Math" panose="02040503050406030204" pitchFamily="18" charset="0"/>
                              </a:rPr>
                              <m:t>𝑤</m:t>
                            </m:r>
                          </m:sub>
                        </m:sSub>
                      </m:num>
                      <m:den>
                        <m:sSub>
                          <m:sSubPr>
                            <m:ctrlPr>
                              <a:rPr lang="es-PE" sz="1000" b="0" i="1">
                                <a:latin typeface="Cambria Math" panose="02040503050406030204" pitchFamily="18" charset="0"/>
                              </a:rPr>
                            </m:ctrlPr>
                          </m:sSubPr>
                          <m:e>
                            <m:r>
                              <a:rPr lang="es-PE" sz="1000" b="0" i="1">
                                <a:latin typeface="Cambria Math" panose="02040503050406030204" pitchFamily="18" charset="0"/>
                              </a:rPr>
                              <m:t>𝑅</m:t>
                            </m:r>
                          </m:e>
                          <m:sub>
                            <m:r>
                              <a:rPr lang="es-PE" sz="1000" b="0" i="1">
                                <a:latin typeface="Cambria Math" panose="02040503050406030204" pitchFamily="18" charset="0"/>
                              </a:rPr>
                              <m:t>𝑤𝑖</m:t>
                            </m:r>
                          </m:sub>
                        </m:sSub>
                      </m:den>
                    </m:f>
                  </m:oMath>
                </m:oMathPara>
              </a14:m>
              <a:endParaRPr lang="es-PE" sz="1000"/>
            </a:p>
          </xdr:txBody>
        </xdr:sp>
      </mc:Choice>
      <mc:Fallback xmlns="">
        <xdr:sp macro="" textlink="">
          <xdr:nvSpPr>
            <xdr:cNvPr id="50" name="CuadroTexto 49">
              <a:extLst>
                <a:ext uri="{FF2B5EF4-FFF2-40B4-BE49-F238E27FC236}">
                  <a16:creationId xmlns:a16="http://schemas.microsoft.com/office/drawing/2014/main" id="{00000000-0008-0000-0000-000032000000}"/>
                </a:ext>
              </a:extLst>
            </xdr:cNvPr>
            <xdr:cNvSpPr txBox="1"/>
          </xdr:nvSpPr>
          <xdr:spPr>
            <a:xfrm>
              <a:off x="5495925" y="22955250"/>
              <a:ext cx="903965" cy="314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latin typeface="Cambria Math" panose="02040503050406030204" pitchFamily="18" charset="0"/>
                </a:rPr>
                <a:t>𝑃_𝑤=𝑍𝑆𝐼𝐶_𝑖 </a:t>
              </a:r>
              <a:r>
                <a:rPr lang="es-PE" sz="1000" b="0" i="0">
                  <a:latin typeface="Cambria Math" panose="02040503050406030204" pitchFamily="18" charset="0"/>
                  <a:ea typeface="Cambria Math" panose="02040503050406030204" pitchFamily="18" charset="0"/>
                </a:rPr>
                <a:t> (𝜀𝑊_𝑤)/</a:t>
              </a:r>
              <a:r>
                <a:rPr lang="es-PE" sz="1000" b="0" i="0">
                  <a:latin typeface="Cambria Math" panose="02040503050406030204" pitchFamily="18" charset="0"/>
                </a:rPr>
                <a:t>𝑅_𝑤𝑖 </a:t>
              </a:r>
              <a:endParaRPr lang="es-PE" sz="1000"/>
            </a:p>
          </xdr:txBody>
        </xdr:sp>
      </mc:Fallback>
    </mc:AlternateContent>
    <xdr:clientData/>
  </xdr:oneCellAnchor>
  <xdr:oneCellAnchor>
    <xdr:from>
      <xdr:col>8</xdr:col>
      <xdr:colOff>257175</xdr:colOff>
      <xdr:row>128</xdr:row>
      <xdr:rowOff>71438</xdr:rowOff>
    </xdr:from>
    <xdr:ext cx="1022909" cy="326821"/>
    <mc:AlternateContent xmlns:mc="http://schemas.openxmlformats.org/markup-compatibility/2006" xmlns:a14="http://schemas.microsoft.com/office/drawing/2010/main">
      <mc:Choice Requires="a14">
        <xdr:sp macro="" textlink="">
          <xdr:nvSpPr>
            <xdr:cNvPr id="51" name="CuadroTexto 50">
              <a:extLst>
                <a:ext uri="{FF2B5EF4-FFF2-40B4-BE49-F238E27FC236}">
                  <a16:creationId xmlns:a16="http://schemas.microsoft.com/office/drawing/2014/main" id="{00000000-0008-0000-0000-000033000000}"/>
                </a:ext>
              </a:extLst>
            </xdr:cNvPr>
            <xdr:cNvSpPr txBox="1"/>
          </xdr:nvSpPr>
          <xdr:spPr>
            <a:xfrm>
              <a:off x="6553200" y="22931438"/>
              <a:ext cx="1022909" cy="326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i="1">
                            <a:latin typeface="Cambria Math" panose="02040503050406030204" pitchFamily="18" charset="0"/>
                          </a:rPr>
                        </m:ctrlPr>
                      </m:sSubPr>
                      <m:e>
                        <m:r>
                          <a:rPr lang="es-PE" sz="1000" b="0" i="1">
                            <a:latin typeface="Cambria Math" panose="02040503050406030204" pitchFamily="18" charset="0"/>
                          </a:rPr>
                          <m:t>𝑃</m:t>
                        </m:r>
                        <m:r>
                          <a:rPr lang="es-PE" sz="1000" b="0" i="1">
                            <a:latin typeface="Cambria Math" panose="02040503050406030204" pitchFamily="18" charset="0"/>
                          </a:rPr>
                          <m:t>′</m:t>
                        </m:r>
                      </m:e>
                      <m:sub>
                        <m:r>
                          <a:rPr lang="es-PE" sz="1000" b="0" i="1">
                            <a:latin typeface="Cambria Math" panose="02040503050406030204" pitchFamily="18" charset="0"/>
                          </a:rPr>
                          <m:t>𝑤</m:t>
                        </m:r>
                      </m:sub>
                    </m:sSub>
                    <m:r>
                      <a:rPr lang="es-PE" sz="1000" b="0" i="1">
                        <a:latin typeface="Cambria Math" panose="02040503050406030204" pitchFamily="18" charset="0"/>
                      </a:rPr>
                      <m:t>=</m:t>
                    </m:r>
                    <m:r>
                      <a:rPr lang="es-PE" sz="1000" b="0" i="1">
                        <a:latin typeface="Cambria Math" panose="02040503050406030204" pitchFamily="18" charset="0"/>
                      </a:rPr>
                      <m:t>𝑍𝑆𝐼</m:t>
                    </m:r>
                    <m:sSub>
                      <m:sSubPr>
                        <m:ctrlPr>
                          <a:rPr lang="es-PE" sz="1000" b="0" i="1">
                            <a:latin typeface="Cambria Math" panose="02040503050406030204" pitchFamily="18" charset="0"/>
                          </a:rPr>
                        </m:ctrlPr>
                      </m:sSubPr>
                      <m:e>
                        <m:r>
                          <a:rPr lang="es-PE" sz="1000" b="0" i="1">
                            <a:latin typeface="Cambria Math" panose="02040503050406030204" pitchFamily="18" charset="0"/>
                          </a:rPr>
                          <m:t>𝐶</m:t>
                        </m:r>
                      </m:e>
                      <m:sub>
                        <m:r>
                          <a:rPr lang="es-PE" sz="1000" b="0" i="1">
                            <a:latin typeface="Cambria Math" panose="02040503050406030204" pitchFamily="18" charset="0"/>
                          </a:rPr>
                          <m:t>𝑖</m:t>
                        </m:r>
                      </m:sub>
                    </m:sSub>
                    <m:f>
                      <m:fPr>
                        <m:ctrlPr>
                          <a:rPr lang="es-PE" sz="1000" b="0" i="1">
                            <a:latin typeface="Cambria Math" panose="02040503050406030204" pitchFamily="18" charset="0"/>
                          </a:rPr>
                        </m:ctrlPr>
                      </m:fPr>
                      <m:num>
                        <m:r>
                          <a:rPr lang="es-PE" sz="1000" b="0" i="1">
                            <a:latin typeface="Cambria Math" panose="02040503050406030204" pitchFamily="18" charset="0"/>
                            <a:ea typeface="Cambria Math" panose="02040503050406030204" pitchFamily="18" charset="0"/>
                          </a:rPr>
                          <m:t>𝜀</m:t>
                        </m:r>
                        <m:sSub>
                          <m:sSubPr>
                            <m:ctrlPr>
                              <a:rPr lang="es-PE" sz="1000" b="0" i="1">
                                <a:latin typeface="Cambria Math" panose="02040503050406030204" pitchFamily="18" charset="0"/>
                                <a:ea typeface="Cambria Math" panose="02040503050406030204" pitchFamily="18" charset="0"/>
                              </a:rPr>
                            </m:ctrlPr>
                          </m:sSubPr>
                          <m:e>
                            <m:r>
                              <a:rPr lang="es-PE" sz="1000" b="0" i="1">
                                <a:latin typeface="Cambria Math" panose="02040503050406030204" pitchFamily="18" charset="0"/>
                                <a:ea typeface="Cambria Math" panose="02040503050406030204" pitchFamily="18" charset="0"/>
                              </a:rPr>
                              <m:t>𝑊</m:t>
                            </m:r>
                            <m:r>
                              <a:rPr lang="es-PE" sz="1000" b="0" i="1">
                                <a:latin typeface="Cambria Math" panose="02040503050406030204" pitchFamily="18" charset="0"/>
                                <a:ea typeface="Cambria Math" panose="02040503050406030204" pitchFamily="18" charset="0"/>
                              </a:rPr>
                              <m:t>′</m:t>
                            </m:r>
                          </m:e>
                          <m:sub>
                            <m:r>
                              <a:rPr lang="es-PE" sz="1000" b="0" i="1">
                                <a:latin typeface="Cambria Math" panose="02040503050406030204" pitchFamily="18" charset="0"/>
                                <a:ea typeface="Cambria Math" panose="02040503050406030204" pitchFamily="18" charset="0"/>
                              </a:rPr>
                              <m:t>𝑤</m:t>
                            </m:r>
                          </m:sub>
                        </m:sSub>
                      </m:num>
                      <m:den>
                        <m:sSub>
                          <m:sSubPr>
                            <m:ctrlPr>
                              <a:rPr lang="es-PE" sz="1000" b="0" i="1">
                                <a:latin typeface="Cambria Math" panose="02040503050406030204" pitchFamily="18" charset="0"/>
                              </a:rPr>
                            </m:ctrlPr>
                          </m:sSubPr>
                          <m:e>
                            <m:r>
                              <a:rPr lang="es-PE" sz="1000" b="0" i="1">
                                <a:latin typeface="Cambria Math" panose="02040503050406030204" pitchFamily="18" charset="0"/>
                              </a:rPr>
                              <m:t>𝑅</m:t>
                            </m:r>
                          </m:e>
                          <m:sub>
                            <m:r>
                              <a:rPr lang="es-PE" sz="1000" b="0" i="1">
                                <a:latin typeface="Cambria Math" panose="02040503050406030204" pitchFamily="18" charset="0"/>
                              </a:rPr>
                              <m:t>𝑤𝑖</m:t>
                            </m:r>
                          </m:sub>
                        </m:sSub>
                      </m:den>
                    </m:f>
                  </m:oMath>
                </m:oMathPara>
              </a14:m>
              <a:endParaRPr lang="es-PE" sz="1000"/>
            </a:p>
          </xdr:txBody>
        </xdr:sp>
      </mc:Choice>
      <mc:Fallback xmlns="">
        <xdr:sp macro="" textlink="">
          <xdr:nvSpPr>
            <xdr:cNvPr id="51" name="CuadroTexto 50">
              <a:extLst>
                <a:ext uri="{FF2B5EF4-FFF2-40B4-BE49-F238E27FC236}">
                  <a16:creationId xmlns:a16="http://schemas.microsoft.com/office/drawing/2014/main" id="{00000000-0008-0000-0000-000033000000}"/>
                </a:ext>
              </a:extLst>
            </xdr:cNvPr>
            <xdr:cNvSpPr txBox="1"/>
          </xdr:nvSpPr>
          <xdr:spPr>
            <a:xfrm>
              <a:off x="6553200" y="22931438"/>
              <a:ext cx="1022909" cy="32682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i="0">
                  <a:latin typeface="Cambria Math" panose="02040503050406030204" pitchFamily="18" charset="0"/>
                </a:rPr>
                <a:t>〖</a:t>
              </a:r>
              <a:r>
                <a:rPr lang="es-PE" sz="1000" b="0" i="0">
                  <a:latin typeface="Cambria Math" panose="02040503050406030204" pitchFamily="18" charset="0"/>
                </a:rPr>
                <a:t>𝑃′〗_𝑤=𝑍𝑆𝐼𝐶_𝑖 </a:t>
              </a:r>
              <a:r>
                <a:rPr lang="es-PE" sz="1000" b="0" i="0">
                  <a:latin typeface="Cambria Math" panose="02040503050406030204" pitchFamily="18" charset="0"/>
                  <a:ea typeface="Cambria Math" panose="02040503050406030204" pitchFamily="18" charset="0"/>
                </a:rPr>
                <a:t> (𝜀〖𝑊′〗_𝑤)/</a:t>
              </a:r>
              <a:r>
                <a:rPr lang="es-PE" sz="1000" b="0" i="0">
                  <a:latin typeface="Cambria Math" panose="02040503050406030204" pitchFamily="18" charset="0"/>
                </a:rPr>
                <a:t>𝑅_𝑤𝑖 </a:t>
              </a:r>
              <a:endParaRPr lang="es-PE" sz="1000"/>
            </a:p>
          </xdr:txBody>
        </xdr:sp>
      </mc:Fallback>
    </mc:AlternateContent>
    <xdr:clientData/>
  </xdr:oneCellAnchor>
  <xdr:oneCellAnchor>
    <xdr:from>
      <xdr:col>7</xdr:col>
      <xdr:colOff>95250</xdr:colOff>
      <xdr:row>130</xdr:row>
      <xdr:rowOff>147638</xdr:rowOff>
    </xdr:from>
    <xdr:ext cx="851002" cy="314125"/>
    <mc:AlternateContent xmlns:mc="http://schemas.openxmlformats.org/markup-compatibility/2006" xmlns:a14="http://schemas.microsoft.com/office/drawing/2010/main">
      <mc:Choice Requires="a14">
        <xdr:sp macro="" textlink="">
          <xdr:nvSpPr>
            <xdr:cNvPr id="52" name="CuadroTexto 51">
              <a:extLst>
                <a:ext uri="{FF2B5EF4-FFF2-40B4-BE49-F238E27FC236}">
                  <a16:creationId xmlns:a16="http://schemas.microsoft.com/office/drawing/2014/main" id="{00000000-0008-0000-0000-000034000000}"/>
                </a:ext>
              </a:extLst>
            </xdr:cNvPr>
            <xdr:cNvSpPr txBox="1"/>
          </xdr:nvSpPr>
          <xdr:spPr>
            <a:xfrm>
              <a:off x="5353050" y="22245638"/>
              <a:ext cx="851002" cy="314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i="1">
                            <a:latin typeface="Cambria Math" panose="02040503050406030204" pitchFamily="18" charset="0"/>
                          </a:rPr>
                        </m:ctrlPr>
                      </m:sSubPr>
                      <m:e>
                        <m:r>
                          <a:rPr lang="es-PE" sz="1000" b="0" i="1">
                            <a:latin typeface="Cambria Math" panose="02040503050406030204" pitchFamily="18" charset="0"/>
                          </a:rPr>
                          <m:t>𝑃</m:t>
                        </m:r>
                      </m:e>
                      <m:sub>
                        <m:r>
                          <a:rPr lang="es-PE" sz="1000" b="0" i="1">
                            <a:latin typeface="Cambria Math" panose="02040503050406030204" pitchFamily="18" charset="0"/>
                          </a:rPr>
                          <m:t>𝑟</m:t>
                        </m:r>
                      </m:sub>
                    </m:sSub>
                    <m:r>
                      <a:rPr lang="es-PE" sz="1000" b="0" i="1">
                        <a:latin typeface="Cambria Math" panose="02040503050406030204" pitchFamily="18" charset="0"/>
                      </a:rPr>
                      <m:t>=</m:t>
                    </m:r>
                    <m:r>
                      <a:rPr lang="es-PE" sz="1000" b="0" i="1">
                        <a:latin typeface="Cambria Math" panose="02040503050406030204" pitchFamily="18" charset="0"/>
                      </a:rPr>
                      <m:t>𝑍𝑆𝐼</m:t>
                    </m:r>
                    <m:sSub>
                      <m:sSubPr>
                        <m:ctrlPr>
                          <a:rPr lang="es-PE" sz="1000" b="0" i="1">
                            <a:latin typeface="Cambria Math" panose="02040503050406030204" pitchFamily="18" charset="0"/>
                          </a:rPr>
                        </m:ctrlPr>
                      </m:sSubPr>
                      <m:e>
                        <m:r>
                          <a:rPr lang="es-PE" sz="1000" b="0" i="1">
                            <a:latin typeface="Cambria Math" panose="02040503050406030204" pitchFamily="18" charset="0"/>
                          </a:rPr>
                          <m:t>𝐶</m:t>
                        </m:r>
                      </m:e>
                      <m:sub>
                        <m:r>
                          <a:rPr lang="es-PE" sz="1000" b="0" i="1">
                            <a:latin typeface="Cambria Math" panose="02040503050406030204" pitchFamily="18" charset="0"/>
                          </a:rPr>
                          <m:t>𝑖</m:t>
                        </m:r>
                      </m:sub>
                    </m:sSub>
                    <m:f>
                      <m:fPr>
                        <m:ctrlPr>
                          <a:rPr lang="es-PE" sz="1000" b="0" i="1">
                            <a:latin typeface="Cambria Math" panose="02040503050406030204" pitchFamily="18" charset="0"/>
                          </a:rPr>
                        </m:ctrlPr>
                      </m:fPr>
                      <m:num>
                        <m:r>
                          <a:rPr lang="es-PE" sz="1000" b="0" i="1">
                            <a:latin typeface="Cambria Math" panose="02040503050406030204" pitchFamily="18" charset="0"/>
                            <a:ea typeface="Cambria Math" panose="02040503050406030204" pitchFamily="18" charset="0"/>
                          </a:rPr>
                          <m:t>𝜀</m:t>
                        </m:r>
                        <m:sSub>
                          <m:sSubPr>
                            <m:ctrlPr>
                              <a:rPr lang="es-PE" sz="1000" b="0" i="1">
                                <a:latin typeface="Cambria Math" panose="02040503050406030204" pitchFamily="18" charset="0"/>
                                <a:ea typeface="Cambria Math" panose="02040503050406030204" pitchFamily="18" charset="0"/>
                              </a:rPr>
                            </m:ctrlPr>
                          </m:sSubPr>
                          <m:e>
                            <m:r>
                              <a:rPr lang="es-PE" sz="1000" b="0" i="1">
                                <a:latin typeface="Cambria Math" panose="02040503050406030204" pitchFamily="18" charset="0"/>
                                <a:ea typeface="Cambria Math" panose="02040503050406030204" pitchFamily="18" charset="0"/>
                              </a:rPr>
                              <m:t>𝑊</m:t>
                            </m:r>
                          </m:e>
                          <m:sub>
                            <m:r>
                              <a:rPr lang="es-PE" sz="1000" b="0" i="1">
                                <a:latin typeface="Cambria Math" panose="02040503050406030204" pitchFamily="18" charset="0"/>
                                <a:ea typeface="Cambria Math" panose="02040503050406030204" pitchFamily="18" charset="0"/>
                              </a:rPr>
                              <m:t>𝑟</m:t>
                            </m:r>
                          </m:sub>
                        </m:sSub>
                      </m:num>
                      <m:den>
                        <m:sSub>
                          <m:sSubPr>
                            <m:ctrlPr>
                              <a:rPr lang="es-PE" sz="1000" b="0" i="1">
                                <a:latin typeface="Cambria Math" panose="02040503050406030204" pitchFamily="18" charset="0"/>
                              </a:rPr>
                            </m:ctrlPr>
                          </m:sSubPr>
                          <m:e>
                            <m:r>
                              <a:rPr lang="es-PE" sz="1000" b="0" i="1">
                                <a:latin typeface="Cambria Math" panose="02040503050406030204" pitchFamily="18" charset="0"/>
                              </a:rPr>
                              <m:t>𝑅</m:t>
                            </m:r>
                          </m:e>
                          <m:sub>
                            <m:r>
                              <a:rPr lang="es-PE" sz="1000" b="0" i="1">
                                <a:latin typeface="Cambria Math" panose="02040503050406030204" pitchFamily="18" charset="0"/>
                              </a:rPr>
                              <m:t>𝑤𝑖</m:t>
                            </m:r>
                          </m:sub>
                        </m:sSub>
                      </m:den>
                    </m:f>
                  </m:oMath>
                </m:oMathPara>
              </a14:m>
              <a:endParaRPr lang="es-PE" sz="1000"/>
            </a:p>
          </xdr:txBody>
        </xdr:sp>
      </mc:Choice>
      <mc:Fallback xmlns="">
        <xdr:sp macro="" textlink="">
          <xdr:nvSpPr>
            <xdr:cNvPr id="52" name="CuadroTexto 51">
              <a:extLst>
                <a:ext uri="{FF2B5EF4-FFF2-40B4-BE49-F238E27FC236}">
                  <a16:creationId xmlns:a16="http://schemas.microsoft.com/office/drawing/2014/main" id="{00000000-0008-0000-0000-000034000000}"/>
                </a:ext>
              </a:extLst>
            </xdr:cNvPr>
            <xdr:cNvSpPr txBox="1"/>
          </xdr:nvSpPr>
          <xdr:spPr>
            <a:xfrm>
              <a:off x="5353050" y="22245638"/>
              <a:ext cx="851002" cy="314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latin typeface="Cambria Math" panose="02040503050406030204" pitchFamily="18" charset="0"/>
                </a:rPr>
                <a:t>𝑃_𝑟=𝑍𝑆𝐼𝐶_𝑖 </a:t>
              </a:r>
              <a:r>
                <a:rPr lang="es-PE" sz="1000" b="0" i="0">
                  <a:latin typeface="Cambria Math" panose="02040503050406030204" pitchFamily="18" charset="0"/>
                  <a:ea typeface="Cambria Math" panose="02040503050406030204" pitchFamily="18" charset="0"/>
                </a:rPr>
                <a:t> (𝜀𝑊_𝑟)/</a:t>
              </a:r>
              <a:r>
                <a:rPr lang="es-PE" sz="1000" b="0" i="0">
                  <a:latin typeface="Cambria Math" panose="02040503050406030204" pitchFamily="18" charset="0"/>
                </a:rPr>
                <a:t>𝑅_𝑤𝑖 </a:t>
              </a:r>
              <a:endParaRPr lang="es-PE" sz="1000"/>
            </a:p>
          </xdr:txBody>
        </xdr:sp>
      </mc:Fallback>
    </mc:AlternateContent>
    <xdr:clientData/>
  </xdr:oneCellAnchor>
  <xdr:oneCellAnchor>
    <xdr:from>
      <xdr:col>7</xdr:col>
      <xdr:colOff>133350</xdr:colOff>
      <xdr:row>132</xdr:row>
      <xdr:rowOff>176213</xdr:rowOff>
    </xdr:from>
    <xdr:ext cx="839845" cy="314125"/>
    <mc:AlternateContent xmlns:mc="http://schemas.openxmlformats.org/markup-compatibility/2006" xmlns:a14="http://schemas.microsoft.com/office/drawing/2010/main">
      <mc:Choice Requires="a14">
        <xdr:sp macro="" textlink="">
          <xdr:nvSpPr>
            <xdr:cNvPr id="53" name="CuadroTexto 52">
              <a:extLst>
                <a:ext uri="{FF2B5EF4-FFF2-40B4-BE49-F238E27FC236}">
                  <a16:creationId xmlns:a16="http://schemas.microsoft.com/office/drawing/2014/main" id="{00000000-0008-0000-0000-000035000000}"/>
                </a:ext>
              </a:extLst>
            </xdr:cNvPr>
            <xdr:cNvSpPr txBox="1"/>
          </xdr:nvSpPr>
          <xdr:spPr>
            <a:xfrm>
              <a:off x="5391150" y="22655213"/>
              <a:ext cx="839845" cy="314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i="1">
                            <a:latin typeface="Cambria Math" panose="02040503050406030204" pitchFamily="18" charset="0"/>
                          </a:rPr>
                        </m:ctrlPr>
                      </m:sSubPr>
                      <m:e>
                        <m:r>
                          <a:rPr lang="es-PE" sz="1000" b="0" i="1">
                            <a:latin typeface="Cambria Math" panose="02040503050406030204" pitchFamily="18" charset="0"/>
                          </a:rPr>
                          <m:t>𝑃</m:t>
                        </m:r>
                      </m:e>
                      <m:sub>
                        <m:r>
                          <a:rPr lang="es-PE" sz="1000" b="0" i="1">
                            <a:latin typeface="Cambria Math" panose="02040503050406030204" pitchFamily="18" charset="0"/>
                          </a:rPr>
                          <m:t>𝑖</m:t>
                        </m:r>
                      </m:sub>
                    </m:sSub>
                    <m:r>
                      <a:rPr lang="es-PE" sz="1000" b="0" i="1">
                        <a:latin typeface="Cambria Math" panose="02040503050406030204" pitchFamily="18" charset="0"/>
                      </a:rPr>
                      <m:t>=</m:t>
                    </m:r>
                    <m:r>
                      <a:rPr lang="es-PE" sz="1000" b="0" i="1">
                        <a:latin typeface="Cambria Math" panose="02040503050406030204" pitchFamily="18" charset="0"/>
                      </a:rPr>
                      <m:t>𝑍𝑆𝐼</m:t>
                    </m:r>
                    <m:sSub>
                      <m:sSubPr>
                        <m:ctrlPr>
                          <a:rPr lang="es-PE" sz="1000" b="0" i="1">
                            <a:latin typeface="Cambria Math" panose="02040503050406030204" pitchFamily="18" charset="0"/>
                          </a:rPr>
                        </m:ctrlPr>
                      </m:sSubPr>
                      <m:e>
                        <m:r>
                          <a:rPr lang="es-PE" sz="1000" b="0" i="1">
                            <a:latin typeface="Cambria Math" panose="02040503050406030204" pitchFamily="18" charset="0"/>
                          </a:rPr>
                          <m:t>𝐶</m:t>
                        </m:r>
                      </m:e>
                      <m:sub>
                        <m:r>
                          <a:rPr lang="es-PE" sz="1000" b="0" i="1">
                            <a:latin typeface="Cambria Math" panose="02040503050406030204" pitchFamily="18" charset="0"/>
                          </a:rPr>
                          <m:t>𝑖</m:t>
                        </m:r>
                      </m:sub>
                    </m:sSub>
                    <m:f>
                      <m:fPr>
                        <m:ctrlPr>
                          <a:rPr lang="es-PE" sz="1000" b="0" i="1">
                            <a:latin typeface="Cambria Math" panose="02040503050406030204" pitchFamily="18" charset="0"/>
                          </a:rPr>
                        </m:ctrlPr>
                      </m:fPr>
                      <m:num>
                        <m:r>
                          <a:rPr lang="es-PE" sz="1000" b="0" i="1">
                            <a:latin typeface="Cambria Math" panose="02040503050406030204" pitchFamily="18" charset="0"/>
                            <a:ea typeface="Cambria Math" panose="02040503050406030204" pitchFamily="18" charset="0"/>
                          </a:rPr>
                          <m:t>𝜀</m:t>
                        </m:r>
                        <m:sSub>
                          <m:sSubPr>
                            <m:ctrlPr>
                              <a:rPr lang="es-PE" sz="1000" b="0" i="1">
                                <a:latin typeface="Cambria Math" panose="02040503050406030204" pitchFamily="18" charset="0"/>
                                <a:ea typeface="Cambria Math" panose="02040503050406030204" pitchFamily="18" charset="0"/>
                              </a:rPr>
                            </m:ctrlPr>
                          </m:sSubPr>
                          <m:e>
                            <m:r>
                              <a:rPr lang="es-PE" sz="1000" b="0" i="1">
                                <a:latin typeface="Cambria Math" panose="02040503050406030204" pitchFamily="18" charset="0"/>
                                <a:ea typeface="Cambria Math" panose="02040503050406030204" pitchFamily="18" charset="0"/>
                              </a:rPr>
                              <m:t>𝑊</m:t>
                            </m:r>
                          </m:e>
                          <m:sub>
                            <m:r>
                              <a:rPr lang="es-PE" sz="1000" b="0" i="1">
                                <a:latin typeface="Cambria Math" panose="02040503050406030204" pitchFamily="18" charset="0"/>
                                <a:ea typeface="Cambria Math" panose="02040503050406030204" pitchFamily="18" charset="0"/>
                              </a:rPr>
                              <m:t>𝑖</m:t>
                            </m:r>
                          </m:sub>
                        </m:sSub>
                      </m:num>
                      <m:den>
                        <m:sSub>
                          <m:sSubPr>
                            <m:ctrlPr>
                              <a:rPr lang="es-PE" sz="1000" b="0" i="1">
                                <a:latin typeface="Cambria Math" panose="02040503050406030204" pitchFamily="18" charset="0"/>
                              </a:rPr>
                            </m:ctrlPr>
                          </m:sSubPr>
                          <m:e>
                            <m:r>
                              <a:rPr lang="es-PE" sz="1000" b="0" i="1">
                                <a:latin typeface="Cambria Math" panose="02040503050406030204" pitchFamily="18" charset="0"/>
                              </a:rPr>
                              <m:t>𝑅</m:t>
                            </m:r>
                          </m:e>
                          <m:sub>
                            <m:r>
                              <a:rPr lang="es-PE" sz="1000" b="0" i="1">
                                <a:latin typeface="Cambria Math" panose="02040503050406030204" pitchFamily="18" charset="0"/>
                              </a:rPr>
                              <m:t>𝑤𝑖</m:t>
                            </m:r>
                          </m:sub>
                        </m:sSub>
                      </m:den>
                    </m:f>
                  </m:oMath>
                </m:oMathPara>
              </a14:m>
              <a:endParaRPr lang="es-PE" sz="1000"/>
            </a:p>
          </xdr:txBody>
        </xdr:sp>
      </mc:Choice>
      <mc:Fallback xmlns="">
        <xdr:sp macro="" textlink="">
          <xdr:nvSpPr>
            <xdr:cNvPr id="53" name="CuadroTexto 52">
              <a:extLst>
                <a:ext uri="{FF2B5EF4-FFF2-40B4-BE49-F238E27FC236}">
                  <a16:creationId xmlns:a16="http://schemas.microsoft.com/office/drawing/2014/main" id="{00000000-0008-0000-0000-000035000000}"/>
                </a:ext>
              </a:extLst>
            </xdr:cNvPr>
            <xdr:cNvSpPr txBox="1"/>
          </xdr:nvSpPr>
          <xdr:spPr>
            <a:xfrm>
              <a:off x="5391150" y="22655213"/>
              <a:ext cx="839845" cy="314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latin typeface="Cambria Math" panose="02040503050406030204" pitchFamily="18" charset="0"/>
                </a:rPr>
                <a:t>𝑃_𝑖=𝑍𝑆𝐼𝐶_𝑖 </a:t>
              </a:r>
              <a:r>
                <a:rPr lang="es-PE" sz="1000" b="0" i="0">
                  <a:latin typeface="Cambria Math" panose="02040503050406030204" pitchFamily="18" charset="0"/>
                  <a:ea typeface="Cambria Math" panose="02040503050406030204" pitchFamily="18" charset="0"/>
                </a:rPr>
                <a:t> (𝜀𝑊_𝑖)/</a:t>
              </a:r>
              <a:r>
                <a:rPr lang="es-PE" sz="1000" b="0" i="0">
                  <a:latin typeface="Cambria Math" panose="02040503050406030204" pitchFamily="18" charset="0"/>
                </a:rPr>
                <a:t>𝑅_𝑤𝑖 </a:t>
              </a:r>
              <a:endParaRPr lang="es-PE" sz="1000"/>
            </a:p>
          </xdr:txBody>
        </xdr:sp>
      </mc:Fallback>
    </mc:AlternateContent>
    <xdr:clientData/>
  </xdr:oneCellAnchor>
  <xdr:oneCellAnchor>
    <xdr:from>
      <xdr:col>7</xdr:col>
      <xdr:colOff>133350</xdr:colOff>
      <xdr:row>135</xdr:row>
      <xdr:rowOff>4763</xdr:rowOff>
    </xdr:from>
    <xdr:ext cx="860556" cy="314125"/>
    <mc:AlternateContent xmlns:mc="http://schemas.openxmlformats.org/markup-compatibility/2006" xmlns:a14="http://schemas.microsoft.com/office/drawing/2010/main">
      <mc:Choice Requires="a14">
        <xdr:sp macro="" textlink="">
          <xdr:nvSpPr>
            <xdr:cNvPr id="55" name="CuadroTexto 54">
              <a:extLst>
                <a:ext uri="{FF2B5EF4-FFF2-40B4-BE49-F238E27FC236}">
                  <a16:creationId xmlns:a16="http://schemas.microsoft.com/office/drawing/2014/main" id="{00000000-0008-0000-0000-000037000000}"/>
                </a:ext>
              </a:extLst>
            </xdr:cNvPr>
            <xdr:cNvSpPr txBox="1"/>
          </xdr:nvSpPr>
          <xdr:spPr>
            <a:xfrm>
              <a:off x="5391150" y="23055263"/>
              <a:ext cx="860556" cy="314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i="1">
                            <a:latin typeface="Cambria Math" panose="02040503050406030204" pitchFamily="18" charset="0"/>
                          </a:rPr>
                        </m:ctrlPr>
                      </m:sSubPr>
                      <m:e>
                        <m:r>
                          <a:rPr lang="es-PE" sz="1000" b="0" i="1">
                            <a:latin typeface="Cambria Math" panose="02040503050406030204" pitchFamily="18" charset="0"/>
                          </a:rPr>
                          <m:t>𝑃</m:t>
                        </m:r>
                      </m:e>
                      <m:sub>
                        <m:r>
                          <a:rPr lang="es-PE" sz="1000" b="0" i="1">
                            <a:latin typeface="Cambria Math" panose="02040503050406030204" pitchFamily="18" charset="0"/>
                          </a:rPr>
                          <m:t>𝑐</m:t>
                        </m:r>
                      </m:sub>
                    </m:sSub>
                    <m:r>
                      <a:rPr lang="es-PE" sz="1000" b="0" i="1">
                        <a:latin typeface="Cambria Math" panose="02040503050406030204" pitchFamily="18" charset="0"/>
                      </a:rPr>
                      <m:t>=</m:t>
                    </m:r>
                    <m:r>
                      <a:rPr lang="es-PE" sz="1000" b="0" i="1">
                        <a:latin typeface="Cambria Math" panose="02040503050406030204" pitchFamily="18" charset="0"/>
                      </a:rPr>
                      <m:t>𝑍𝑆𝐼</m:t>
                    </m:r>
                    <m:sSub>
                      <m:sSubPr>
                        <m:ctrlPr>
                          <a:rPr lang="es-PE" sz="1000" b="0" i="1">
                            <a:latin typeface="Cambria Math" panose="02040503050406030204" pitchFamily="18" charset="0"/>
                          </a:rPr>
                        </m:ctrlPr>
                      </m:sSubPr>
                      <m:e>
                        <m:r>
                          <a:rPr lang="es-PE" sz="1000" b="0" i="1">
                            <a:latin typeface="Cambria Math" panose="02040503050406030204" pitchFamily="18" charset="0"/>
                          </a:rPr>
                          <m:t>𝐶</m:t>
                        </m:r>
                      </m:e>
                      <m:sub>
                        <m:r>
                          <a:rPr lang="es-PE" sz="1000" b="0" i="1">
                            <a:latin typeface="Cambria Math" panose="02040503050406030204" pitchFamily="18" charset="0"/>
                          </a:rPr>
                          <m:t>𝑐</m:t>
                        </m:r>
                      </m:sub>
                    </m:sSub>
                    <m:f>
                      <m:fPr>
                        <m:ctrlPr>
                          <a:rPr lang="es-PE" sz="1000" b="0" i="1">
                            <a:latin typeface="Cambria Math" panose="02040503050406030204" pitchFamily="18" charset="0"/>
                          </a:rPr>
                        </m:ctrlPr>
                      </m:fPr>
                      <m:num>
                        <m:r>
                          <a:rPr lang="es-PE" sz="1000" b="0" i="1">
                            <a:latin typeface="Cambria Math" panose="02040503050406030204" pitchFamily="18" charset="0"/>
                            <a:ea typeface="Cambria Math" panose="02040503050406030204" pitchFamily="18" charset="0"/>
                          </a:rPr>
                          <m:t>𝜀</m:t>
                        </m:r>
                        <m:sSub>
                          <m:sSubPr>
                            <m:ctrlPr>
                              <a:rPr lang="es-PE" sz="1000" b="0" i="1">
                                <a:latin typeface="Cambria Math" panose="02040503050406030204" pitchFamily="18" charset="0"/>
                                <a:ea typeface="Cambria Math" panose="02040503050406030204" pitchFamily="18" charset="0"/>
                              </a:rPr>
                            </m:ctrlPr>
                          </m:sSubPr>
                          <m:e>
                            <m:r>
                              <a:rPr lang="es-PE" sz="1000" b="0" i="1">
                                <a:latin typeface="Cambria Math" panose="02040503050406030204" pitchFamily="18" charset="0"/>
                                <a:ea typeface="Cambria Math" panose="02040503050406030204" pitchFamily="18" charset="0"/>
                              </a:rPr>
                              <m:t>𝑊</m:t>
                            </m:r>
                          </m:e>
                          <m:sub>
                            <m:r>
                              <a:rPr lang="es-PE" sz="1000" b="0" i="1">
                                <a:latin typeface="Cambria Math" panose="02040503050406030204" pitchFamily="18" charset="0"/>
                                <a:ea typeface="Cambria Math" panose="02040503050406030204" pitchFamily="18" charset="0"/>
                              </a:rPr>
                              <m:t>𝑐</m:t>
                            </m:r>
                          </m:sub>
                        </m:sSub>
                      </m:num>
                      <m:den>
                        <m:sSub>
                          <m:sSubPr>
                            <m:ctrlPr>
                              <a:rPr lang="es-PE" sz="1000" b="0" i="1">
                                <a:latin typeface="Cambria Math" panose="02040503050406030204" pitchFamily="18" charset="0"/>
                              </a:rPr>
                            </m:ctrlPr>
                          </m:sSubPr>
                          <m:e>
                            <m:r>
                              <a:rPr lang="es-PE" sz="1000" b="0" i="1">
                                <a:latin typeface="Cambria Math" panose="02040503050406030204" pitchFamily="18" charset="0"/>
                              </a:rPr>
                              <m:t>𝑅</m:t>
                            </m:r>
                          </m:e>
                          <m:sub>
                            <m:r>
                              <a:rPr lang="es-PE" sz="1000" b="0" i="1">
                                <a:latin typeface="Cambria Math" panose="02040503050406030204" pitchFamily="18" charset="0"/>
                              </a:rPr>
                              <m:t>𝑤𝑐</m:t>
                            </m:r>
                          </m:sub>
                        </m:sSub>
                      </m:den>
                    </m:f>
                  </m:oMath>
                </m:oMathPara>
              </a14:m>
              <a:endParaRPr lang="es-PE" sz="1000"/>
            </a:p>
          </xdr:txBody>
        </xdr:sp>
      </mc:Choice>
      <mc:Fallback xmlns="">
        <xdr:sp macro="" textlink="">
          <xdr:nvSpPr>
            <xdr:cNvPr id="55" name="CuadroTexto 54">
              <a:extLst>
                <a:ext uri="{FF2B5EF4-FFF2-40B4-BE49-F238E27FC236}">
                  <a16:creationId xmlns:a16="http://schemas.microsoft.com/office/drawing/2014/main" id="{00000000-0008-0000-0000-000037000000}"/>
                </a:ext>
              </a:extLst>
            </xdr:cNvPr>
            <xdr:cNvSpPr txBox="1"/>
          </xdr:nvSpPr>
          <xdr:spPr>
            <a:xfrm>
              <a:off x="5391150" y="23055263"/>
              <a:ext cx="860556" cy="314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latin typeface="Cambria Math" panose="02040503050406030204" pitchFamily="18" charset="0"/>
                </a:rPr>
                <a:t>𝑃_𝑐=𝑍𝑆𝐼𝐶_𝑐 </a:t>
              </a:r>
              <a:r>
                <a:rPr lang="es-PE" sz="1000" b="0" i="0">
                  <a:latin typeface="Cambria Math" panose="02040503050406030204" pitchFamily="18" charset="0"/>
                  <a:ea typeface="Cambria Math" panose="02040503050406030204" pitchFamily="18" charset="0"/>
                </a:rPr>
                <a:t> (𝜀𝑊_𝑐)/</a:t>
              </a:r>
              <a:r>
                <a:rPr lang="es-PE" sz="1000" b="0" i="0">
                  <a:latin typeface="Cambria Math" panose="02040503050406030204" pitchFamily="18" charset="0"/>
                </a:rPr>
                <a:t>𝑅_𝑤𝑐 </a:t>
              </a:r>
              <a:endParaRPr lang="es-PE" sz="1000"/>
            </a:p>
          </xdr:txBody>
        </xdr:sp>
      </mc:Fallback>
    </mc:AlternateContent>
    <xdr:clientData/>
  </xdr:oneCellAnchor>
  <xdr:oneCellAnchor>
    <xdr:from>
      <xdr:col>4</xdr:col>
      <xdr:colOff>628650</xdr:colOff>
      <xdr:row>136</xdr:row>
      <xdr:rowOff>128587</xdr:rowOff>
    </xdr:from>
    <xdr:ext cx="1528302" cy="313163"/>
    <mc:AlternateContent xmlns:mc="http://schemas.openxmlformats.org/markup-compatibility/2006" xmlns:a14="http://schemas.microsoft.com/office/drawing/2010/main">
      <mc:Choice Requires="a14">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3057525" y="23369587"/>
              <a:ext cx="1528302" cy="313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000" b="0" i="1">
                        <a:latin typeface="Cambria Math" panose="02040503050406030204" pitchFamily="18" charset="0"/>
                      </a:rPr>
                      <m:t>𝑉</m:t>
                    </m:r>
                    <m:r>
                      <a:rPr lang="es-PE" sz="1000" b="0" i="1">
                        <a:latin typeface="Cambria Math" panose="02040503050406030204" pitchFamily="18" charset="0"/>
                      </a:rPr>
                      <m:t>=</m:t>
                    </m:r>
                    <m:rad>
                      <m:radPr>
                        <m:degHide m:val="on"/>
                        <m:ctrlPr>
                          <a:rPr lang="es-PE" sz="1000" b="0" i="1">
                            <a:latin typeface="Cambria Math" panose="02040503050406030204" pitchFamily="18" charset="0"/>
                          </a:rPr>
                        </m:ctrlPr>
                      </m:radPr>
                      <m:deg/>
                      <m:e>
                        <m:sSup>
                          <m:sSupPr>
                            <m:ctrlPr>
                              <a:rPr lang="es-PE" sz="1000" b="0" i="1">
                                <a:latin typeface="Cambria Math" panose="02040503050406030204" pitchFamily="18" charset="0"/>
                              </a:rPr>
                            </m:ctrlPr>
                          </m:sSupPr>
                          <m:e>
                            <m:d>
                              <m:dPr>
                                <m:ctrlPr>
                                  <a:rPr lang="es-PE" sz="1000" b="0" i="1">
                                    <a:latin typeface="Cambria Math" panose="02040503050406030204" pitchFamily="18" charset="0"/>
                                  </a:rPr>
                                </m:ctrlPr>
                              </m:dPr>
                              <m:e>
                                <m:sSub>
                                  <m:sSubPr>
                                    <m:ctrlPr>
                                      <a:rPr lang="es-PE" sz="1000" b="0" i="1">
                                        <a:latin typeface="Cambria Math" panose="02040503050406030204" pitchFamily="18" charset="0"/>
                                      </a:rPr>
                                    </m:ctrlPr>
                                  </m:sSubPr>
                                  <m:e>
                                    <m:r>
                                      <a:rPr lang="es-PE" sz="1000" b="0" i="1">
                                        <a:latin typeface="Cambria Math" panose="02040503050406030204" pitchFamily="18" charset="0"/>
                                      </a:rPr>
                                      <m:t>𝑃</m:t>
                                    </m:r>
                                  </m:e>
                                  <m:sub>
                                    <m:r>
                                      <a:rPr lang="es-PE" sz="1000" b="0" i="1">
                                        <a:latin typeface="Cambria Math" panose="02040503050406030204" pitchFamily="18" charset="0"/>
                                      </a:rPr>
                                      <m:t>𝑖</m:t>
                                    </m:r>
                                  </m:sub>
                                </m:sSub>
                                <m:r>
                                  <a:rPr lang="es-PE" sz="1000" b="0" i="1">
                                    <a:latin typeface="Cambria Math" panose="02040503050406030204" pitchFamily="18" charset="0"/>
                                  </a:rPr>
                                  <m:t>+</m:t>
                                </m:r>
                                <m:sSub>
                                  <m:sSubPr>
                                    <m:ctrlPr>
                                      <a:rPr lang="es-PE" sz="1000" b="0" i="1">
                                        <a:latin typeface="Cambria Math" panose="02040503050406030204" pitchFamily="18" charset="0"/>
                                      </a:rPr>
                                    </m:ctrlPr>
                                  </m:sSubPr>
                                  <m:e>
                                    <m:r>
                                      <a:rPr lang="es-PE" sz="1000" b="0" i="1">
                                        <a:latin typeface="Cambria Math" panose="02040503050406030204" pitchFamily="18" charset="0"/>
                                      </a:rPr>
                                      <m:t>𝑃</m:t>
                                    </m:r>
                                  </m:e>
                                  <m:sub>
                                    <m:r>
                                      <a:rPr lang="es-PE" sz="1000" b="0" i="1">
                                        <a:latin typeface="Cambria Math" panose="02040503050406030204" pitchFamily="18" charset="0"/>
                                      </a:rPr>
                                      <m:t>𝑤</m:t>
                                    </m:r>
                                  </m:sub>
                                </m:sSub>
                                <m:r>
                                  <a:rPr lang="es-PE" sz="1000" b="0" i="1">
                                    <a:latin typeface="Cambria Math" panose="02040503050406030204" pitchFamily="18" charset="0"/>
                                  </a:rPr>
                                  <m:t>+</m:t>
                                </m:r>
                                <m:sSub>
                                  <m:sSubPr>
                                    <m:ctrlPr>
                                      <a:rPr lang="es-PE" sz="1000" b="0" i="1">
                                        <a:latin typeface="Cambria Math" panose="02040503050406030204" pitchFamily="18" charset="0"/>
                                      </a:rPr>
                                    </m:ctrlPr>
                                  </m:sSubPr>
                                  <m:e>
                                    <m:r>
                                      <a:rPr lang="es-PE" sz="1000" b="0" i="1">
                                        <a:latin typeface="Cambria Math" panose="02040503050406030204" pitchFamily="18" charset="0"/>
                                      </a:rPr>
                                      <m:t>𝑃</m:t>
                                    </m:r>
                                  </m:e>
                                  <m:sub>
                                    <m:r>
                                      <a:rPr lang="es-PE" sz="1000" b="0" i="1">
                                        <a:latin typeface="Cambria Math" panose="02040503050406030204" pitchFamily="18" charset="0"/>
                                      </a:rPr>
                                      <m:t>𝑟</m:t>
                                    </m:r>
                                  </m:sub>
                                </m:sSub>
                              </m:e>
                            </m:d>
                          </m:e>
                          <m:sup>
                            <m:r>
                              <a:rPr lang="es-PE" sz="1000" b="0" i="1">
                                <a:latin typeface="Cambria Math" panose="02040503050406030204" pitchFamily="18" charset="0"/>
                              </a:rPr>
                              <m:t>2</m:t>
                            </m:r>
                          </m:sup>
                        </m:sSup>
                        <m:r>
                          <a:rPr lang="es-PE" sz="1000" b="0" i="1">
                            <a:latin typeface="Cambria Math" panose="02040503050406030204" pitchFamily="18" charset="0"/>
                          </a:rPr>
                          <m:t>+</m:t>
                        </m:r>
                        <m:sSup>
                          <m:sSupPr>
                            <m:ctrlPr>
                              <a:rPr lang="es-PE" sz="1000" b="0" i="1">
                                <a:latin typeface="Cambria Math" panose="02040503050406030204" pitchFamily="18" charset="0"/>
                              </a:rPr>
                            </m:ctrlPr>
                          </m:sSupPr>
                          <m:e>
                            <m:sSub>
                              <m:sSubPr>
                                <m:ctrlPr>
                                  <a:rPr lang="es-PE" sz="1000" b="0" i="1">
                                    <a:latin typeface="Cambria Math" panose="02040503050406030204" pitchFamily="18" charset="0"/>
                                  </a:rPr>
                                </m:ctrlPr>
                              </m:sSubPr>
                              <m:e>
                                <m:r>
                                  <a:rPr lang="es-PE" sz="1000" b="0" i="1">
                                    <a:latin typeface="Cambria Math" panose="02040503050406030204" pitchFamily="18" charset="0"/>
                                  </a:rPr>
                                  <m:t>𝑃</m:t>
                                </m:r>
                              </m:e>
                              <m:sub>
                                <m:r>
                                  <a:rPr lang="es-PE" sz="1000" b="0" i="1">
                                    <a:latin typeface="Cambria Math" panose="02040503050406030204" pitchFamily="18" charset="0"/>
                                  </a:rPr>
                                  <m:t>𝑐</m:t>
                                </m:r>
                              </m:sub>
                            </m:sSub>
                          </m:e>
                          <m:sup>
                            <m:r>
                              <a:rPr lang="es-PE" sz="1000" b="0" i="1">
                                <a:latin typeface="Cambria Math" panose="02040503050406030204" pitchFamily="18" charset="0"/>
                              </a:rPr>
                              <m:t>2</m:t>
                            </m:r>
                          </m:sup>
                        </m:sSup>
                      </m:e>
                    </m:rad>
                  </m:oMath>
                </m:oMathPara>
              </a14:m>
              <a:endParaRPr lang="es-PE" sz="1000"/>
            </a:p>
          </xdr:txBody>
        </xdr:sp>
      </mc:Choice>
      <mc:Fallback xmlns="">
        <xdr:sp macro="" textlink="">
          <xdr:nvSpPr>
            <xdr:cNvPr id="5" name="CuadroTexto 4">
              <a:extLst>
                <a:ext uri="{FF2B5EF4-FFF2-40B4-BE49-F238E27FC236}">
                  <a16:creationId xmlns:a16="http://schemas.microsoft.com/office/drawing/2014/main" id="{00000000-0008-0000-0000-000005000000}"/>
                </a:ext>
              </a:extLst>
            </xdr:cNvPr>
            <xdr:cNvSpPr txBox="1"/>
          </xdr:nvSpPr>
          <xdr:spPr>
            <a:xfrm>
              <a:off x="3057525" y="23369587"/>
              <a:ext cx="1528302" cy="313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latin typeface="Cambria Math" panose="02040503050406030204" pitchFamily="18" charset="0"/>
                </a:rPr>
                <a:t>𝑉=√((𝑃_𝑖+𝑃_𝑤+𝑃_𝑟 )^2+〖𝑃_𝑐〗^2 )</a:t>
              </a:r>
              <a:endParaRPr lang="es-PE" sz="1000"/>
            </a:p>
          </xdr:txBody>
        </xdr:sp>
      </mc:Fallback>
    </mc:AlternateContent>
    <xdr:clientData/>
  </xdr:oneCellAnchor>
  <xdr:oneCellAnchor>
    <xdr:from>
      <xdr:col>3</xdr:col>
      <xdr:colOff>257175</xdr:colOff>
      <xdr:row>179</xdr:row>
      <xdr:rowOff>23812</xdr:rowOff>
    </xdr:from>
    <xdr:ext cx="823046" cy="172227"/>
    <mc:AlternateContent xmlns:mc="http://schemas.openxmlformats.org/markup-compatibility/2006" xmlns:a14="http://schemas.microsoft.com/office/drawing/2010/main">
      <mc:Choice Requires="a14">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2047875" y="31837312"/>
              <a:ext cx="8230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𝑀</m:t>
                        </m:r>
                      </m:e>
                      <m:sub>
                        <m:r>
                          <a:rPr lang="es-PE" sz="1100" b="0" i="1">
                            <a:latin typeface="Cambria Math" panose="02040503050406030204" pitchFamily="18" charset="0"/>
                          </a:rPr>
                          <m:t>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𝑤</m:t>
                        </m:r>
                      </m:sub>
                    </m:sSub>
                    <m:r>
                      <a:rPr lang="es-PE" sz="1100" b="0" i="1">
                        <a:latin typeface="Cambria Math" panose="02040503050406030204" pitchFamily="18" charset="0"/>
                      </a:rPr>
                      <m:t>𝑥</m:t>
                    </m:r>
                    <m:sSub>
                      <m:sSubPr>
                        <m:ctrlPr>
                          <a:rPr lang="es-PE" sz="1100" b="0" i="1">
                            <a:latin typeface="Cambria Math" panose="02040503050406030204" pitchFamily="18" charset="0"/>
                          </a:rPr>
                        </m:ctrlPr>
                      </m:sSubPr>
                      <m:e>
                        <m:r>
                          <a:rPr lang="es-PE" sz="1100" b="0" i="1">
                            <a:latin typeface="Cambria Math" panose="02040503050406030204" pitchFamily="18" charset="0"/>
                          </a:rPr>
                          <m:t>h</m:t>
                        </m:r>
                      </m:e>
                      <m:sub>
                        <m:r>
                          <a:rPr lang="es-PE" sz="1100" b="0" i="1">
                            <a:latin typeface="Cambria Math" panose="02040503050406030204" pitchFamily="18" charset="0"/>
                          </a:rPr>
                          <m:t>𝑤</m:t>
                        </m:r>
                      </m:sub>
                    </m:sSub>
                  </m:oMath>
                </m:oMathPara>
              </a14:m>
              <a:endParaRPr lang="es-PE" sz="1100"/>
            </a:p>
          </xdr:txBody>
        </xdr:sp>
      </mc:Choice>
      <mc:Fallback xmlns="">
        <xdr:sp macro="" textlink="">
          <xdr:nvSpPr>
            <xdr:cNvPr id="6" name="CuadroTexto 5">
              <a:extLst>
                <a:ext uri="{FF2B5EF4-FFF2-40B4-BE49-F238E27FC236}">
                  <a16:creationId xmlns:a16="http://schemas.microsoft.com/office/drawing/2014/main" id="{00000000-0008-0000-0000-000006000000}"/>
                </a:ext>
              </a:extLst>
            </xdr:cNvPr>
            <xdr:cNvSpPr txBox="1"/>
          </xdr:nvSpPr>
          <xdr:spPr>
            <a:xfrm>
              <a:off x="2047875" y="31837312"/>
              <a:ext cx="8230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𝑀_𝑤=𝑃_𝑤 𝑥ℎ_𝑤</a:t>
              </a:r>
              <a:endParaRPr lang="es-PE" sz="1100"/>
            </a:p>
          </xdr:txBody>
        </xdr:sp>
      </mc:Fallback>
    </mc:AlternateContent>
    <xdr:clientData/>
  </xdr:oneCellAnchor>
  <xdr:oneCellAnchor>
    <xdr:from>
      <xdr:col>3</xdr:col>
      <xdr:colOff>247650</xdr:colOff>
      <xdr:row>180</xdr:row>
      <xdr:rowOff>33337</xdr:rowOff>
    </xdr:from>
    <xdr:ext cx="735714" cy="172227"/>
    <mc:AlternateContent xmlns:mc="http://schemas.openxmlformats.org/markup-compatibility/2006" xmlns:a14="http://schemas.microsoft.com/office/drawing/2010/main">
      <mc:Choice Requires="a14">
        <xdr:sp macro="" textlink="">
          <xdr:nvSpPr>
            <xdr:cNvPr id="59" name="CuadroTexto 58">
              <a:extLst>
                <a:ext uri="{FF2B5EF4-FFF2-40B4-BE49-F238E27FC236}">
                  <a16:creationId xmlns:a16="http://schemas.microsoft.com/office/drawing/2014/main" id="{00000000-0008-0000-0000-00003B000000}"/>
                </a:ext>
              </a:extLst>
            </xdr:cNvPr>
            <xdr:cNvSpPr txBox="1"/>
          </xdr:nvSpPr>
          <xdr:spPr>
            <a:xfrm>
              <a:off x="2038350" y="32037337"/>
              <a:ext cx="735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𝑀</m:t>
                        </m:r>
                      </m:e>
                      <m:sub>
                        <m:r>
                          <a:rPr lang="es-PE" sz="1100" b="0" i="1">
                            <a:latin typeface="Cambria Math" panose="02040503050406030204" pitchFamily="18" charset="0"/>
                          </a:rPr>
                          <m:t>𝑟</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𝑟</m:t>
                        </m:r>
                      </m:sub>
                    </m:sSub>
                    <m:r>
                      <a:rPr lang="es-PE" sz="1100" b="0" i="1">
                        <a:latin typeface="Cambria Math" panose="02040503050406030204" pitchFamily="18" charset="0"/>
                      </a:rPr>
                      <m:t>𝑥</m:t>
                    </m:r>
                    <m:sSub>
                      <m:sSubPr>
                        <m:ctrlPr>
                          <a:rPr lang="es-PE" sz="1100" b="0" i="1">
                            <a:latin typeface="Cambria Math" panose="02040503050406030204" pitchFamily="18" charset="0"/>
                          </a:rPr>
                        </m:ctrlPr>
                      </m:sSubPr>
                      <m:e>
                        <m:r>
                          <a:rPr lang="es-PE" sz="1100" b="0" i="1">
                            <a:latin typeface="Cambria Math" panose="02040503050406030204" pitchFamily="18" charset="0"/>
                          </a:rPr>
                          <m:t>h</m:t>
                        </m:r>
                      </m:e>
                      <m:sub>
                        <m:r>
                          <a:rPr lang="es-PE" sz="1100" b="0" i="1">
                            <a:latin typeface="Cambria Math" panose="02040503050406030204" pitchFamily="18" charset="0"/>
                          </a:rPr>
                          <m:t>𝑟</m:t>
                        </m:r>
                      </m:sub>
                    </m:sSub>
                  </m:oMath>
                </m:oMathPara>
              </a14:m>
              <a:endParaRPr lang="es-PE" sz="1100"/>
            </a:p>
          </xdr:txBody>
        </xdr:sp>
      </mc:Choice>
      <mc:Fallback xmlns="">
        <xdr:sp macro="" textlink="">
          <xdr:nvSpPr>
            <xdr:cNvPr id="59" name="CuadroTexto 58">
              <a:extLst>
                <a:ext uri="{FF2B5EF4-FFF2-40B4-BE49-F238E27FC236}">
                  <a16:creationId xmlns:a16="http://schemas.microsoft.com/office/drawing/2014/main" id="{00000000-0008-0000-0000-00003B000000}"/>
                </a:ext>
              </a:extLst>
            </xdr:cNvPr>
            <xdr:cNvSpPr txBox="1"/>
          </xdr:nvSpPr>
          <xdr:spPr>
            <a:xfrm>
              <a:off x="2038350" y="32037337"/>
              <a:ext cx="735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𝑀_𝑟=𝑃_𝑟 𝑥ℎ_𝑟</a:t>
              </a:r>
              <a:endParaRPr lang="es-PE" sz="1100"/>
            </a:p>
          </xdr:txBody>
        </xdr:sp>
      </mc:Fallback>
    </mc:AlternateContent>
    <xdr:clientData/>
  </xdr:oneCellAnchor>
  <xdr:oneCellAnchor>
    <xdr:from>
      <xdr:col>3</xdr:col>
      <xdr:colOff>247650</xdr:colOff>
      <xdr:row>181</xdr:row>
      <xdr:rowOff>19050</xdr:rowOff>
    </xdr:from>
    <xdr:ext cx="693716" cy="172227"/>
    <mc:AlternateContent xmlns:mc="http://schemas.openxmlformats.org/markup-compatibility/2006" xmlns:a14="http://schemas.microsoft.com/office/drawing/2010/main">
      <mc:Choice Requires="a14">
        <xdr:sp macro="" textlink="">
          <xdr:nvSpPr>
            <xdr:cNvPr id="60" name="CuadroTexto 59">
              <a:extLst>
                <a:ext uri="{FF2B5EF4-FFF2-40B4-BE49-F238E27FC236}">
                  <a16:creationId xmlns:a16="http://schemas.microsoft.com/office/drawing/2014/main" id="{00000000-0008-0000-0000-00003C000000}"/>
                </a:ext>
              </a:extLst>
            </xdr:cNvPr>
            <xdr:cNvSpPr txBox="1"/>
          </xdr:nvSpPr>
          <xdr:spPr>
            <a:xfrm>
              <a:off x="2038350" y="32213550"/>
              <a:ext cx="693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𝑀</m:t>
                        </m:r>
                      </m:e>
                      <m:sub>
                        <m:r>
                          <a:rPr lang="es-PE" sz="1100" b="0" i="1">
                            <a:latin typeface="Cambria Math" panose="02040503050406030204" pitchFamily="18" charset="0"/>
                          </a:rPr>
                          <m:t>𝑖</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𝑖</m:t>
                        </m:r>
                      </m:sub>
                    </m:sSub>
                    <m:r>
                      <a:rPr lang="es-PE" sz="1100" b="0" i="1">
                        <a:latin typeface="Cambria Math" panose="02040503050406030204" pitchFamily="18" charset="0"/>
                      </a:rPr>
                      <m:t>𝑥</m:t>
                    </m:r>
                    <m:sSub>
                      <m:sSubPr>
                        <m:ctrlPr>
                          <a:rPr lang="es-PE" sz="1100" b="0" i="1">
                            <a:latin typeface="Cambria Math" panose="02040503050406030204" pitchFamily="18" charset="0"/>
                          </a:rPr>
                        </m:ctrlPr>
                      </m:sSubPr>
                      <m:e>
                        <m:r>
                          <a:rPr lang="es-PE" sz="1100" b="0" i="1">
                            <a:latin typeface="Cambria Math" panose="02040503050406030204" pitchFamily="18" charset="0"/>
                          </a:rPr>
                          <m:t>h</m:t>
                        </m:r>
                      </m:e>
                      <m:sub>
                        <m:r>
                          <a:rPr lang="es-PE" sz="1100" b="0" i="1">
                            <a:latin typeface="Cambria Math" panose="02040503050406030204" pitchFamily="18" charset="0"/>
                          </a:rPr>
                          <m:t>𝑖</m:t>
                        </m:r>
                      </m:sub>
                    </m:sSub>
                  </m:oMath>
                </m:oMathPara>
              </a14:m>
              <a:endParaRPr lang="es-PE" sz="1100"/>
            </a:p>
          </xdr:txBody>
        </xdr:sp>
      </mc:Choice>
      <mc:Fallback xmlns="">
        <xdr:sp macro="" textlink="">
          <xdr:nvSpPr>
            <xdr:cNvPr id="60" name="CuadroTexto 59">
              <a:extLst>
                <a:ext uri="{FF2B5EF4-FFF2-40B4-BE49-F238E27FC236}">
                  <a16:creationId xmlns:a16="http://schemas.microsoft.com/office/drawing/2014/main" id="{00000000-0008-0000-0000-00003C000000}"/>
                </a:ext>
              </a:extLst>
            </xdr:cNvPr>
            <xdr:cNvSpPr txBox="1"/>
          </xdr:nvSpPr>
          <xdr:spPr>
            <a:xfrm>
              <a:off x="2038350" y="32213550"/>
              <a:ext cx="69371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𝑀_𝑖=𝑃_𝑖 𝑥ℎ_𝑖</a:t>
              </a:r>
              <a:endParaRPr lang="es-PE" sz="1100"/>
            </a:p>
          </xdr:txBody>
        </xdr:sp>
      </mc:Fallback>
    </mc:AlternateContent>
    <xdr:clientData/>
  </xdr:oneCellAnchor>
  <xdr:oneCellAnchor>
    <xdr:from>
      <xdr:col>3</xdr:col>
      <xdr:colOff>247650</xdr:colOff>
      <xdr:row>182</xdr:row>
      <xdr:rowOff>28575</xdr:rowOff>
    </xdr:from>
    <xdr:ext cx="728213" cy="172227"/>
    <mc:AlternateContent xmlns:mc="http://schemas.openxmlformats.org/markup-compatibility/2006" xmlns:a14="http://schemas.microsoft.com/office/drawing/2010/main">
      <mc:Choice Requires="a14">
        <xdr:sp macro="" textlink="">
          <xdr:nvSpPr>
            <xdr:cNvPr id="61" name="CuadroTexto 60">
              <a:extLst>
                <a:ext uri="{FF2B5EF4-FFF2-40B4-BE49-F238E27FC236}">
                  <a16:creationId xmlns:a16="http://schemas.microsoft.com/office/drawing/2014/main" id="{00000000-0008-0000-0000-00003D000000}"/>
                </a:ext>
              </a:extLst>
            </xdr:cNvPr>
            <xdr:cNvSpPr txBox="1"/>
          </xdr:nvSpPr>
          <xdr:spPr>
            <a:xfrm>
              <a:off x="2038350" y="32413575"/>
              <a:ext cx="7282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𝑀</m:t>
                        </m:r>
                      </m:e>
                      <m:sub>
                        <m:r>
                          <a:rPr lang="es-PE" sz="1100" b="0" i="1">
                            <a:latin typeface="Cambria Math" panose="02040503050406030204" pitchFamily="18" charset="0"/>
                          </a:rPr>
                          <m:t>𝑐</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𝑐</m:t>
                        </m:r>
                      </m:sub>
                    </m:sSub>
                    <m:r>
                      <a:rPr lang="es-PE" sz="1100" b="0" i="1">
                        <a:latin typeface="Cambria Math" panose="02040503050406030204" pitchFamily="18" charset="0"/>
                      </a:rPr>
                      <m:t>𝑥</m:t>
                    </m:r>
                    <m:sSub>
                      <m:sSubPr>
                        <m:ctrlPr>
                          <a:rPr lang="es-PE" sz="1100" b="0" i="1">
                            <a:latin typeface="Cambria Math" panose="02040503050406030204" pitchFamily="18" charset="0"/>
                          </a:rPr>
                        </m:ctrlPr>
                      </m:sSubPr>
                      <m:e>
                        <m:r>
                          <a:rPr lang="es-PE" sz="1100" b="0" i="1">
                            <a:latin typeface="Cambria Math" panose="02040503050406030204" pitchFamily="18" charset="0"/>
                          </a:rPr>
                          <m:t>h</m:t>
                        </m:r>
                      </m:e>
                      <m:sub>
                        <m:r>
                          <a:rPr lang="es-PE" sz="1100" b="0" i="1">
                            <a:latin typeface="Cambria Math" panose="02040503050406030204" pitchFamily="18" charset="0"/>
                          </a:rPr>
                          <m:t>𝑐</m:t>
                        </m:r>
                      </m:sub>
                    </m:sSub>
                  </m:oMath>
                </m:oMathPara>
              </a14:m>
              <a:endParaRPr lang="es-PE" sz="1100"/>
            </a:p>
          </xdr:txBody>
        </xdr:sp>
      </mc:Choice>
      <mc:Fallback xmlns="">
        <xdr:sp macro="" textlink="">
          <xdr:nvSpPr>
            <xdr:cNvPr id="61" name="CuadroTexto 60">
              <a:extLst>
                <a:ext uri="{FF2B5EF4-FFF2-40B4-BE49-F238E27FC236}">
                  <a16:creationId xmlns:a16="http://schemas.microsoft.com/office/drawing/2014/main" id="{00000000-0008-0000-0000-00003D000000}"/>
                </a:ext>
              </a:extLst>
            </xdr:cNvPr>
            <xdr:cNvSpPr txBox="1"/>
          </xdr:nvSpPr>
          <xdr:spPr>
            <a:xfrm>
              <a:off x="2038350" y="32413575"/>
              <a:ext cx="728213"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𝑀_𝑐=𝑃_𝑐 𝑥ℎ_𝑐</a:t>
              </a:r>
              <a:endParaRPr lang="es-PE" sz="1100"/>
            </a:p>
          </xdr:txBody>
        </xdr:sp>
      </mc:Fallback>
    </mc:AlternateContent>
    <xdr:clientData/>
  </xdr:oneCellAnchor>
  <xdr:oneCellAnchor>
    <xdr:from>
      <xdr:col>6</xdr:col>
      <xdr:colOff>913206</xdr:colOff>
      <xdr:row>182</xdr:row>
      <xdr:rowOff>152400</xdr:rowOff>
    </xdr:from>
    <xdr:ext cx="1803251" cy="313163"/>
    <mc:AlternateContent xmlns:mc="http://schemas.openxmlformats.org/markup-compatibility/2006" xmlns:a14="http://schemas.microsoft.com/office/drawing/2010/main">
      <mc:Choice Requires="a14">
        <xdr:sp macro="" textlink="">
          <xdr:nvSpPr>
            <xdr:cNvPr id="62" name="CuadroTexto 61">
              <a:extLst>
                <a:ext uri="{FF2B5EF4-FFF2-40B4-BE49-F238E27FC236}">
                  <a16:creationId xmlns:a16="http://schemas.microsoft.com/office/drawing/2014/main" id="{00000000-0008-0000-0000-00003E000000}"/>
                </a:ext>
              </a:extLst>
            </xdr:cNvPr>
            <xdr:cNvSpPr txBox="1"/>
          </xdr:nvSpPr>
          <xdr:spPr>
            <a:xfrm>
              <a:off x="5211362" y="33299400"/>
              <a:ext cx="1803251" cy="313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b="0" i="1">
                            <a:latin typeface="Cambria Math" panose="02040503050406030204" pitchFamily="18" charset="0"/>
                          </a:rPr>
                        </m:ctrlPr>
                      </m:sSubPr>
                      <m:e>
                        <m:r>
                          <a:rPr lang="es-PE" sz="1000" b="0" i="1">
                            <a:latin typeface="Cambria Math" panose="02040503050406030204" pitchFamily="18" charset="0"/>
                          </a:rPr>
                          <m:t>𝑀</m:t>
                        </m:r>
                      </m:e>
                      <m:sub>
                        <m:r>
                          <a:rPr lang="es-PE" sz="1000" b="0" i="1">
                            <a:latin typeface="Cambria Math" panose="02040503050406030204" pitchFamily="18" charset="0"/>
                          </a:rPr>
                          <m:t>𝑏</m:t>
                        </m:r>
                      </m:sub>
                    </m:sSub>
                    <m:r>
                      <a:rPr lang="es-PE" sz="1000" b="0" i="1">
                        <a:latin typeface="Cambria Math" panose="02040503050406030204" pitchFamily="18" charset="0"/>
                      </a:rPr>
                      <m:t>=</m:t>
                    </m:r>
                    <m:rad>
                      <m:radPr>
                        <m:degHide m:val="on"/>
                        <m:ctrlPr>
                          <a:rPr lang="es-PE" sz="1000" b="0" i="1">
                            <a:latin typeface="Cambria Math" panose="02040503050406030204" pitchFamily="18" charset="0"/>
                          </a:rPr>
                        </m:ctrlPr>
                      </m:radPr>
                      <m:deg/>
                      <m:e>
                        <m:sSup>
                          <m:sSupPr>
                            <m:ctrlPr>
                              <a:rPr lang="es-PE" sz="1000" b="0" i="1">
                                <a:latin typeface="Cambria Math" panose="02040503050406030204" pitchFamily="18" charset="0"/>
                              </a:rPr>
                            </m:ctrlPr>
                          </m:sSupPr>
                          <m:e>
                            <m:d>
                              <m:dPr>
                                <m:ctrlPr>
                                  <a:rPr lang="es-PE" sz="1000" b="0" i="1">
                                    <a:latin typeface="Cambria Math" panose="02040503050406030204" pitchFamily="18" charset="0"/>
                                  </a:rPr>
                                </m:ctrlPr>
                              </m:dPr>
                              <m:e>
                                <m:sSub>
                                  <m:sSubPr>
                                    <m:ctrlPr>
                                      <a:rPr lang="es-PE" sz="1000" b="0" i="1">
                                        <a:latin typeface="Cambria Math" panose="02040503050406030204" pitchFamily="18" charset="0"/>
                                      </a:rPr>
                                    </m:ctrlPr>
                                  </m:sSubPr>
                                  <m:e>
                                    <m:r>
                                      <a:rPr lang="es-PE" sz="1000" b="0" i="1">
                                        <a:latin typeface="Cambria Math" panose="02040503050406030204" pitchFamily="18" charset="0"/>
                                      </a:rPr>
                                      <m:t>𝑀</m:t>
                                    </m:r>
                                  </m:e>
                                  <m:sub>
                                    <m:r>
                                      <a:rPr lang="es-PE" sz="1000" b="0" i="1">
                                        <a:latin typeface="Cambria Math" panose="02040503050406030204" pitchFamily="18" charset="0"/>
                                      </a:rPr>
                                      <m:t>𝑖</m:t>
                                    </m:r>
                                  </m:sub>
                                </m:sSub>
                                <m:r>
                                  <a:rPr lang="es-PE" sz="1000" b="0" i="1">
                                    <a:latin typeface="Cambria Math" panose="02040503050406030204" pitchFamily="18" charset="0"/>
                                  </a:rPr>
                                  <m:t>+</m:t>
                                </m:r>
                                <m:sSub>
                                  <m:sSubPr>
                                    <m:ctrlPr>
                                      <a:rPr lang="es-PE" sz="1000" b="0" i="1">
                                        <a:latin typeface="Cambria Math" panose="02040503050406030204" pitchFamily="18" charset="0"/>
                                      </a:rPr>
                                    </m:ctrlPr>
                                  </m:sSubPr>
                                  <m:e>
                                    <m:r>
                                      <a:rPr lang="es-PE" sz="1000" b="0" i="1">
                                        <a:latin typeface="Cambria Math" panose="02040503050406030204" pitchFamily="18" charset="0"/>
                                      </a:rPr>
                                      <m:t>𝑀</m:t>
                                    </m:r>
                                  </m:e>
                                  <m:sub>
                                    <m:r>
                                      <a:rPr lang="es-PE" sz="1000" b="0" i="1">
                                        <a:latin typeface="Cambria Math" panose="02040503050406030204" pitchFamily="18" charset="0"/>
                                      </a:rPr>
                                      <m:t>𝑤</m:t>
                                    </m:r>
                                  </m:sub>
                                </m:sSub>
                                <m:r>
                                  <a:rPr lang="es-PE" sz="1000" b="0" i="1">
                                    <a:latin typeface="Cambria Math" panose="02040503050406030204" pitchFamily="18" charset="0"/>
                                  </a:rPr>
                                  <m:t>+</m:t>
                                </m:r>
                                <m:sSub>
                                  <m:sSubPr>
                                    <m:ctrlPr>
                                      <a:rPr lang="es-PE" sz="1000" b="0" i="1">
                                        <a:latin typeface="Cambria Math" panose="02040503050406030204" pitchFamily="18" charset="0"/>
                                      </a:rPr>
                                    </m:ctrlPr>
                                  </m:sSubPr>
                                  <m:e>
                                    <m:r>
                                      <a:rPr lang="es-PE" sz="1000" b="0" i="1">
                                        <a:latin typeface="Cambria Math" panose="02040503050406030204" pitchFamily="18" charset="0"/>
                                      </a:rPr>
                                      <m:t>𝑀</m:t>
                                    </m:r>
                                  </m:e>
                                  <m:sub>
                                    <m:r>
                                      <a:rPr lang="es-PE" sz="1000" b="0" i="1">
                                        <a:latin typeface="Cambria Math" panose="02040503050406030204" pitchFamily="18" charset="0"/>
                                      </a:rPr>
                                      <m:t>𝑟</m:t>
                                    </m:r>
                                  </m:sub>
                                </m:sSub>
                              </m:e>
                            </m:d>
                          </m:e>
                          <m:sup>
                            <m:r>
                              <a:rPr lang="es-PE" sz="1000" b="0" i="1">
                                <a:latin typeface="Cambria Math" panose="02040503050406030204" pitchFamily="18" charset="0"/>
                              </a:rPr>
                              <m:t>2</m:t>
                            </m:r>
                          </m:sup>
                        </m:sSup>
                        <m:r>
                          <a:rPr lang="es-PE" sz="1000" b="0" i="1">
                            <a:latin typeface="Cambria Math" panose="02040503050406030204" pitchFamily="18" charset="0"/>
                          </a:rPr>
                          <m:t>+</m:t>
                        </m:r>
                        <m:sSup>
                          <m:sSupPr>
                            <m:ctrlPr>
                              <a:rPr lang="es-PE" sz="1000" b="0" i="1">
                                <a:latin typeface="Cambria Math" panose="02040503050406030204" pitchFamily="18" charset="0"/>
                              </a:rPr>
                            </m:ctrlPr>
                          </m:sSupPr>
                          <m:e>
                            <m:sSub>
                              <m:sSubPr>
                                <m:ctrlPr>
                                  <a:rPr lang="es-PE" sz="1000" b="0" i="1">
                                    <a:latin typeface="Cambria Math" panose="02040503050406030204" pitchFamily="18" charset="0"/>
                                  </a:rPr>
                                </m:ctrlPr>
                              </m:sSubPr>
                              <m:e>
                                <m:r>
                                  <a:rPr lang="es-PE" sz="1000" b="0" i="1">
                                    <a:latin typeface="Cambria Math" panose="02040503050406030204" pitchFamily="18" charset="0"/>
                                  </a:rPr>
                                  <m:t>𝑀</m:t>
                                </m:r>
                              </m:e>
                              <m:sub>
                                <m:r>
                                  <a:rPr lang="es-PE" sz="1000" b="0" i="1">
                                    <a:latin typeface="Cambria Math" panose="02040503050406030204" pitchFamily="18" charset="0"/>
                                  </a:rPr>
                                  <m:t>𝑐</m:t>
                                </m:r>
                              </m:sub>
                            </m:sSub>
                          </m:e>
                          <m:sup>
                            <m:r>
                              <a:rPr lang="es-PE" sz="1000" b="0" i="1">
                                <a:latin typeface="Cambria Math" panose="02040503050406030204" pitchFamily="18" charset="0"/>
                              </a:rPr>
                              <m:t>2</m:t>
                            </m:r>
                          </m:sup>
                        </m:sSup>
                      </m:e>
                    </m:rad>
                  </m:oMath>
                </m:oMathPara>
              </a14:m>
              <a:endParaRPr lang="es-PE" sz="1000"/>
            </a:p>
          </xdr:txBody>
        </xdr:sp>
      </mc:Choice>
      <mc:Fallback xmlns="">
        <xdr:sp macro="" textlink="">
          <xdr:nvSpPr>
            <xdr:cNvPr id="62" name="CuadroTexto 61">
              <a:extLst>
                <a:ext uri="{FF2B5EF4-FFF2-40B4-BE49-F238E27FC236}">
                  <a16:creationId xmlns:a16="http://schemas.microsoft.com/office/drawing/2014/main" id="{00000000-0008-0000-0000-00003E000000}"/>
                </a:ext>
              </a:extLst>
            </xdr:cNvPr>
            <xdr:cNvSpPr txBox="1"/>
          </xdr:nvSpPr>
          <xdr:spPr>
            <a:xfrm>
              <a:off x="5211362" y="33299400"/>
              <a:ext cx="1803251" cy="313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latin typeface="Cambria Math" panose="02040503050406030204" pitchFamily="18" charset="0"/>
                </a:rPr>
                <a:t>𝑀_𝑏=√((𝑀_𝑖+𝑀_𝑤+𝑀_𝑟 )^2+〖𝑀_𝑐〗^2 )</a:t>
              </a:r>
              <a:endParaRPr lang="es-PE" sz="1000"/>
            </a:p>
          </xdr:txBody>
        </xdr:sp>
      </mc:Fallback>
    </mc:AlternateContent>
    <xdr:clientData/>
  </xdr:oneCellAnchor>
  <xdr:oneCellAnchor>
    <xdr:from>
      <xdr:col>4</xdr:col>
      <xdr:colOff>161925</xdr:colOff>
      <xdr:row>252</xdr:row>
      <xdr:rowOff>52387</xdr:rowOff>
    </xdr:from>
    <xdr:ext cx="1670970" cy="316177"/>
    <mc:AlternateContent xmlns:mc="http://schemas.openxmlformats.org/markup-compatibility/2006" xmlns:a14="http://schemas.microsoft.com/office/drawing/2010/main">
      <mc:Choice Requires="a14">
        <xdr:sp macro="" textlink="">
          <xdr:nvSpPr>
            <xdr:cNvPr id="7" name="CuadroTexto 6">
              <a:extLst>
                <a:ext uri="{FF2B5EF4-FFF2-40B4-BE49-F238E27FC236}">
                  <a16:creationId xmlns:a16="http://schemas.microsoft.com/office/drawing/2014/main" id="{00000000-0008-0000-0000-000007000000}"/>
                </a:ext>
              </a:extLst>
            </xdr:cNvPr>
            <xdr:cNvSpPr txBox="1"/>
          </xdr:nvSpPr>
          <xdr:spPr>
            <a:xfrm>
              <a:off x="2590800" y="34913887"/>
              <a:ext cx="1670970" cy="31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i="1">
                            <a:latin typeface="Cambria Math" panose="02040503050406030204" pitchFamily="18" charset="0"/>
                          </a:rPr>
                        </m:ctrlPr>
                      </m:sSubPr>
                      <m:e>
                        <m:r>
                          <a:rPr lang="es-PE" sz="1000" b="0" i="1">
                            <a:latin typeface="Cambria Math" panose="02040503050406030204" pitchFamily="18" charset="0"/>
                          </a:rPr>
                          <m:t>𝑠</m:t>
                        </m:r>
                      </m:e>
                      <m:sub>
                        <m:r>
                          <a:rPr lang="es-PE" sz="1000" b="0" i="1">
                            <a:latin typeface="Cambria Math" panose="02040503050406030204" pitchFamily="18" charset="0"/>
                          </a:rPr>
                          <m:t>𝑚𝑎𝑥</m:t>
                        </m:r>
                      </m:sub>
                    </m:sSub>
                    <m:r>
                      <a:rPr lang="es-PE" sz="1000" b="0" i="1">
                        <a:latin typeface="Cambria Math" panose="02040503050406030204" pitchFamily="18" charset="0"/>
                      </a:rPr>
                      <m:t>=(</m:t>
                    </m:r>
                    <m:f>
                      <m:fPr>
                        <m:ctrlPr>
                          <a:rPr lang="es-PE" sz="1000" b="0" i="1">
                            <a:latin typeface="Cambria Math" panose="02040503050406030204" pitchFamily="18" charset="0"/>
                          </a:rPr>
                        </m:ctrlPr>
                      </m:fPr>
                      <m:num>
                        <m:r>
                          <a:rPr lang="es-PE" sz="1000" b="0" i="1">
                            <a:latin typeface="Cambria Math" panose="02040503050406030204" pitchFamily="18" charset="0"/>
                          </a:rPr>
                          <m:t>107046</m:t>
                        </m:r>
                      </m:num>
                      <m:den>
                        <m:sSub>
                          <m:sSubPr>
                            <m:ctrlPr>
                              <a:rPr lang="es-PE" sz="1000" b="0" i="1">
                                <a:latin typeface="Cambria Math" panose="02040503050406030204" pitchFamily="18" charset="0"/>
                              </a:rPr>
                            </m:ctrlPr>
                          </m:sSubPr>
                          <m:e>
                            <m:r>
                              <a:rPr lang="es-PE" sz="1000" b="0" i="1">
                                <a:latin typeface="Cambria Math" panose="02040503050406030204" pitchFamily="18" charset="0"/>
                              </a:rPr>
                              <m:t>𝑓</m:t>
                            </m:r>
                          </m:e>
                          <m:sub>
                            <m:r>
                              <a:rPr lang="es-PE" sz="1000" b="0" i="1">
                                <a:latin typeface="Cambria Math" panose="02040503050406030204" pitchFamily="18" charset="0"/>
                              </a:rPr>
                              <m:t>𝑠</m:t>
                            </m:r>
                          </m:sub>
                        </m:sSub>
                      </m:den>
                    </m:f>
                    <m:r>
                      <a:rPr lang="es-PE" sz="1000" b="0" i="1">
                        <a:latin typeface="Cambria Math" panose="02040503050406030204" pitchFamily="18" charset="0"/>
                      </a:rPr>
                      <m:t>−2</m:t>
                    </m:r>
                    <m:sSub>
                      <m:sSubPr>
                        <m:ctrlPr>
                          <a:rPr lang="es-PE" sz="1000" b="0" i="1">
                            <a:latin typeface="Cambria Math" panose="02040503050406030204" pitchFamily="18" charset="0"/>
                          </a:rPr>
                        </m:ctrlPr>
                      </m:sSubPr>
                      <m:e>
                        <m:r>
                          <a:rPr lang="es-PE" sz="1000" b="0" i="1">
                            <a:latin typeface="Cambria Math" panose="02040503050406030204" pitchFamily="18" charset="0"/>
                          </a:rPr>
                          <m:t>𝐶</m:t>
                        </m:r>
                      </m:e>
                      <m:sub>
                        <m:r>
                          <a:rPr lang="es-PE" sz="1000" b="0" i="1">
                            <a:latin typeface="Cambria Math" panose="02040503050406030204" pitchFamily="18" charset="0"/>
                          </a:rPr>
                          <m:t>𝑐</m:t>
                        </m:r>
                      </m:sub>
                    </m:sSub>
                    <m:r>
                      <a:rPr lang="es-PE" sz="1000" b="0" i="1">
                        <a:latin typeface="Cambria Math" panose="02040503050406030204" pitchFamily="18" charset="0"/>
                      </a:rPr>
                      <m:t>)</m:t>
                    </m:r>
                    <m:f>
                      <m:fPr>
                        <m:ctrlPr>
                          <a:rPr lang="es-PE" sz="1000" b="0" i="1">
                            <a:latin typeface="Cambria Math" panose="02040503050406030204" pitchFamily="18" charset="0"/>
                          </a:rPr>
                        </m:ctrlPr>
                      </m:fPr>
                      <m:num>
                        <m:r>
                          <a:rPr lang="es-PE" sz="1000" b="0" i="1">
                            <a:latin typeface="Cambria Math" panose="02040503050406030204" pitchFamily="18" charset="0"/>
                          </a:rPr>
                          <m:t>𝑤</m:t>
                        </m:r>
                      </m:num>
                      <m:den>
                        <m:r>
                          <a:rPr lang="es-PE" sz="1000" b="0" i="1">
                            <a:latin typeface="Cambria Math" panose="02040503050406030204" pitchFamily="18" charset="0"/>
                          </a:rPr>
                          <m:t>0.041</m:t>
                        </m:r>
                      </m:den>
                    </m:f>
                  </m:oMath>
                </m:oMathPara>
              </a14:m>
              <a:endParaRPr lang="es-PE" sz="1000"/>
            </a:p>
          </xdr:txBody>
        </xdr:sp>
      </mc:Choice>
      <mc:Fallback xmlns="">
        <xdr:sp macro="" textlink="">
          <xdr:nvSpPr>
            <xdr:cNvPr id="7" name="CuadroTexto 6"/>
            <xdr:cNvSpPr txBox="1"/>
          </xdr:nvSpPr>
          <xdr:spPr>
            <a:xfrm>
              <a:off x="2590800" y="34913887"/>
              <a:ext cx="1670970" cy="31617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000" b="0" i="0">
                  <a:latin typeface="Cambria Math" panose="02040503050406030204" pitchFamily="18" charset="0"/>
                </a:rPr>
                <a:t>𝑠_𝑚𝑎𝑥=(107046/𝑓_𝑠 −2𝐶_𝑐)𝑤/0.041</a:t>
              </a:r>
              <a:endParaRPr lang="es-PE" sz="1000"/>
            </a:p>
          </xdr:txBody>
        </xdr:sp>
      </mc:Fallback>
    </mc:AlternateContent>
    <xdr:clientData/>
  </xdr:oneCellAnchor>
  <xdr:oneCellAnchor>
    <xdr:from>
      <xdr:col>4</xdr:col>
      <xdr:colOff>200025</xdr:colOff>
      <xdr:row>254</xdr:row>
      <xdr:rowOff>33337</xdr:rowOff>
    </xdr:from>
    <xdr:ext cx="1482009" cy="345800"/>
    <mc:AlternateContent xmlns:mc="http://schemas.openxmlformats.org/markup-compatibility/2006" xmlns:a14="http://schemas.microsoft.com/office/drawing/2010/main">
      <mc:Choice Requires="a14">
        <xdr:sp macro="" textlink="">
          <xdr:nvSpPr>
            <xdr:cNvPr id="44" name="CuadroTexto 43">
              <a:extLst>
                <a:ext uri="{FF2B5EF4-FFF2-40B4-BE49-F238E27FC236}">
                  <a16:creationId xmlns:a16="http://schemas.microsoft.com/office/drawing/2014/main" id="{00000000-0008-0000-0000-00002C000000}"/>
                </a:ext>
              </a:extLst>
            </xdr:cNvPr>
            <xdr:cNvSpPr txBox="1"/>
          </xdr:nvSpPr>
          <xdr:spPr>
            <a:xfrm>
              <a:off x="2628900" y="35275837"/>
              <a:ext cx="1482009" cy="34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i="1">
                            <a:latin typeface="Cambria Math" panose="02040503050406030204" pitchFamily="18" charset="0"/>
                          </a:rPr>
                        </m:ctrlPr>
                      </m:sSubPr>
                      <m:e>
                        <m:r>
                          <a:rPr lang="es-PE" sz="1000" b="0" i="1">
                            <a:latin typeface="Cambria Math" panose="02040503050406030204" pitchFamily="18" charset="0"/>
                          </a:rPr>
                          <m:t>𝑠</m:t>
                        </m:r>
                      </m:e>
                      <m:sub>
                        <m:r>
                          <a:rPr lang="es-PE" sz="1000" b="0" i="1">
                            <a:latin typeface="Cambria Math" panose="02040503050406030204" pitchFamily="18" charset="0"/>
                          </a:rPr>
                          <m:t>𝑚𝑎𝑥</m:t>
                        </m:r>
                      </m:sub>
                    </m:sSub>
                    <m:r>
                      <a:rPr lang="es-PE" sz="1000" b="0" i="1">
                        <a:latin typeface="Cambria Math" panose="02040503050406030204" pitchFamily="18" charset="0"/>
                      </a:rPr>
                      <m:t>=30.5</m:t>
                    </m:r>
                    <m:d>
                      <m:dPr>
                        <m:ctrlPr>
                          <a:rPr lang="es-PE" sz="1000" b="0" i="1">
                            <a:latin typeface="Cambria Math" panose="02040503050406030204" pitchFamily="18" charset="0"/>
                          </a:rPr>
                        </m:ctrlPr>
                      </m:dPr>
                      <m:e>
                        <m:f>
                          <m:fPr>
                            <m:ctrlPr>
                              <a:rPr lang="es-PE" sz="1000" b="0" i="1">
                                <a:latin typeface="Cambria Math" panose="02040503050406030204" pitchFamily="18" charset="0"/>
                              </a:rPr>
                            </m:ctrlPr>
                          </m:fPr>
                          <m:num>
                            <m:r>
                              <a:rPr lang="es-PE" sz="1000" b="0" i="1">
                                <a:latin typeface="Cambria Math" panose="02040503050406030204" pitchFamily="18" charset="0"/>
                              </a:rPr>
                              <m:t>2817</m:t>
                            </m:r>
                          </m:num>
                          <m:den>
                            <m:sSub>
                              <m:sSubPr>
                                <m:ctrlPr>
                                  <a:rPr lang="es-PE" sz="1000" b="0" i="1">
                                    <a:latin typeface="Cambria Math" panose="02040503050406030204" pitchFamily="18" charset="0"/>
                                  </a:rPr>
                                </m:ctrlPr>
                              </m:sSubPr>
                              <m:e>
                                <m:r>
                                  <a:rPr lang="es-PE" sz="1000" b="0" i="1">
                                    <a:latin typeface="Cambria Math" panose="02040503050406030204" pitchFamily="18" charset="0"/>
                                  </a:rPr>
                                  <m:t>𝑓</m:t>
                                </m:r>
                              </m:e>
                              <m:sub>
                                <m:r>
                                  <a:rPr lang="es-PE" sz="1000" b="0" i="1">
                                    <a:latin typeface="Cambria Math" panose="02040503050406030204" pitchFamily="18" charset="0"/>
                                  </a:rPr>
                                  <m:t>𝑠</m:t>
                                </m:r>
                              </m:sub>
                            </m:sSub>
                          </m:den>
                        </m:f>
                      </m:e>
                    </m:d>
                    <m:f>
                      <m:fPr>
                        <m:ctrlPr>
                          <a:rPr lang="es-PE" sz="1000" b="0" i="1">
                            <a:latin typeface="Cambria Math" panose="02040503050406030204" pitchFamily="18" charset="0"/>
                          </a:rPr>
                        </m:ctrlPr>
                      </m:fPr>
                      <m:num>
                        <m:r>
                          <a:rPr lang="es-PE" sz="1000" b="0" i="1">
                            <a:latin typeface="Cambria Math" panose="02040503050406030204" pitchFamily="18" charset="0"/>
                          </a:rPr>
                          <m:t>𝑤</m:t>
                        </m:r>
                      </m:num>
                      <m:den>
                        <m:r>
                          <a:rPr lang="es-PE" sz="1000" b="0" i="1">
                            <a:latin typeface="Cambria Math" panose="02040503050406030204" pitchFamily="18" charset="0"/>
                          </a:rPr>
                          <m:t>0.041</m:t>
                        </m:r>
                      </m:den>
                    </m:f>
                  </m:oMath>
                </m:oMathPara>
              </a14:m>
              <a:endParaRPr lang="es-PE" sz="1000"/>
            </a:p>
          </xdr:txBody>
        </xdr:sp>
      </mc:Choice>
      <mc:Fallback xmlns="">
        <xdr:sp macro="" textlink="">
          <xdr:nvSpPr>
            <xdr:cNvPr id="44" name="CuadroTexto 43"/>
            <xdr:cNvSpPr txBox="1"/>
          </xdr:nvSpPr>
          <xdr:spPr>
            <a:xfrm>
              <a:off x="2628900" y="35275837"/>
              <a:ext cx="1482009" cy="345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000" b="0" i="0">
                  <a:latin typeface="Cambria Math" panose="02040503050406030204" pitchFamily="18" charset="0"/>
                </a:rPr>
                <a:t>𝑠_𝑚𝑎𝑥=30.5(2817/𝑓_𝑠 )  𝑤/0.041</a:t>
              </a:r>
              <a:endParaRPr lang="es-PE" sz="1000"/>
            </a:p>
          </xdr:txBody>
        </xdr:sp>
      </mc:Fallback>
    </mc:AlternateContent>
    <xdr:clientData/>
  </xdr:oneCellAnchor>
  <xdr:oneCellAnchor>
    <xdr:from>
      <xdr:col>5</xdr:col>
      <xdr:colOff>295275</xdr:colOff>
      <xdr:row>258</xdr:row>
      <xdr:rowOff>1186</xdr:rowOff>
    </xdr:from>
    <xdr:ext cx="897938" cy="204993"/>
    <mc:AlternateContent xmlns:mc="http://schemas.openxmlformats.org/markup-compatibility/2006" xmlns:a14="http://schemas.microsoft.com/office/drawing/2010/main">
      <mc:Choice Requires="a14">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3688556" y="47435686"/>
              <a:ext cx="89793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𝑉</m:t>
                        </m:r>
                      </m:e>
                      <m:sub>
                        <m:r>
                          <a:rPr lang="es-PE" sz="1100" b="0" i="1">
                            <a:latin typeface="Cambria Math" panose="02040503050406030204" pitchFamily="18" charset="0"/>
                          </a:rPr>
                          <m:t>𝑐</m:t>
                        </m:r>
                      </m:sub>
                    </m:sSub>
                    <m:r>
                      <a:rPr lang="es-PE" sz="1100" b="0" i="1">
                        <a:latin typeface="Cambria Math" panose="02040503050406030204" pitchFamily="18" charset="0"/>
                      </a:rPr>
                      <m:t>=0.53</m:t>
                    </m:r>
                    <m:rad>
                      <m:radPr>
                        <m:degHide m:val="on"/>
                        <m:ctrlPr>
                          <a:rPr lang="es-PE" sz="1100" b="0" i="1">
                            <a:latin typeface="Cambria Math" panose="02040503050406030204" pitchFamily="18" charset="0"/>
                          </a:rPr>
                        </m:ctrlPr>
                      </m:radPr>
                      <m:deg/>
                      <m:e>
                        <m:sSup>
                          <m:sSupPr>
                            <m:ctrlPr>
                              <a:rPr lang="es-PE" sz="1100" b="0" i="1">
                                <a:latin typeface="Cambria Math" panose="02040503050406030204" pitchFamily="18" charset="0"/>
                              </a:rPr>
                            </m:ctrlPr>
                          </m:sSupPr>
                          <m:e>
                            <m:r>
                              <a:rPr lang="es-PE" sz="1100" b="0" i="1">
                                <a:latin typeface="Cambria Math" panose="02040503050406030204" pitchFamily="18" charset="0"/>
                              </a:rPr>
                              <m:t>𝑓</m:t>
                            </m:r>
                          </m:e>
                          <m:sup>
                            <m:r>
                              <a:rPr lang="es-PE" sz="1100" b="0" i="1">
                                <a:latin typeface="Cambria Math" panose="02040503050406030204" pitchFamily="18" charset="0"/>
                              </a:rPr>
                              <m:t>′</m:t>
                            </m:r>
                          </m:sup>
                        </m:sSup>
                        <m:r>
                          <a:rPr lang="es-PE" sz="1100" b="0" i="1">
                            <a:latin typeface="Cambria Math" panose="02040503050406030204" pitchFamily="18" charset="0"/>
                          </a:rPr>
                          <m:t>𝑐</m:t>
                        </m:r>
                      </m:e>
                    </m:rad>
                  </m:oMath>
                </m:oMathPara>
              </a14:m>
              <a:endParaRPr lang="es-PE" sz="1100"/>
            </a:p>
          </xdr:txBody>
        </xdr:sp>
      </mc:Choice>
      <mc:Fallback xmlns="">
        <xdr:sp macro="" textlink="">
          <xdr:nvSpPr>
            <xdr:cNvPr id="8" name="CuadroTexto 7">
              <a:extLst>
                <a:ext uri="{FF2B5EF4-FFF2-40B4-BE49-F238E27FC236}">
                  <a16:creationId xmlns:a16="http://schemas.microsoft.com/office/drawing/2014/main" id="{00000000-0008-0000-0000-000008000000}"/>
                </a:ext>
              </a:extLst>
            </xdr:cNvPr>
            <xdr:cNvSpPr txBox="1"/>
          </xdr:nvSpPr>
          <xdr:spPr>
            <a:xfrm>
              <a:off x="3688556" y="47435686"/>
              <a:ext cx="89793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𝑉_𝑐=0.53√(𝑓^′ 𝑐)</a:t>
              </a:r>
              <a:endParaRPr lang="es-PE" sz="1100"/>
            </a:p>
          </xdr:txBody>
        </xdr:sp>
      </mc:Fallback>
    </mc:AlternateContent>
    <xdr:clientData/>
  </xdr:oneCellAnchor>
  <xdr:twoCellAnchor editAs="oneCell">
    <xdr:from>
      <xdr:col>0</xdr:col>
      <xdr:colOff>76199</xdr:colOff>
      <xdr:row>262</xdr:row>
      <xdr:rowOff>9524</xdr:rowOff>
    </xdr:from>
    <xdr:to>
      <xdr:col>4</xdr:col>
      <xdr:colOff>581025</xdr:colOff>
      <xdr:row>275</xdr:row>
      <xdr:rowOff>189226</xdr:rowOff>
    </xdr:to>
    <xdr:pic>
      <xdr:nvPicPr>
        <xdr:cNvPr id="46" name="Picture 4">
          <a:extLst>
            <a:ext uri="{FF2B5EF4-FFF2-40B4-BE49-F238E27FC236}">
              <a16:creationId xmlns:a16="http://schemas.microsoft.com/office/drawing/2014/main" id="{00000000-0008-0000-0000-00002E000000}"/>
            </a:ext>
          </a:extLst>
        </xdr:cNvPr>
        <xdr:cNvPicPr>
          <a:picLocks noChangeAspect="1" noChangeArrowheads="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l="2145" r="4064"/>
        <a:stretch/>
      </xdr:blipFill>
      <xdr:spPr bwMode="auto">
        <a:xfrm>
          <a:off x="76199" y="49368074"/>
          <a:ext cx="2933701" cy="2656202"/>
        </a:xfrm>
        <a:prstGeom prst="rect">
          <a:avLst/>
        </a:prstGeom>
        <a:noFill/>
        <a:ln>
          <a:noFill/>
        </a:ln>
        <a:effectLst/>
        <a:extLst>
          <a:ext uri="{909E8E84-426E-40DD-AFC4-6F175D3DCCD1}">
            <a14:hiddenFill xmlns:a14="http://schemas.microsoft.com/office/drawing/2010/main">
              <a:solidFill>
                <a:schemeClr val="accent1"/>
              </a:solidFill>
            </a14:hiddenFill>
          </a:ext>
          <a:ext uri="{91240B29-F687-4F45-9708-019B960494DF}">
            <a14:hiddenLine xmlns:a14="http://schemas.microsoft.com/office/drawing/2010/main" w="9525">
              <a:solidFill>
                <a:schemeClr val="tx1"/>
              </a:solidFill>
              <a:miter lim="800000"/>
              <a:headEnd/>
              <a:tailEnd/>
            </a14:hiddenLine>
          </a:ext>
          <a:ext uri="{AF507438-7753-43E0-B8FC-AC1667EBCBE1}">
            <a14:hiddenEffects xmlns:a14="http://schemas.microsoft.com/office/drawing/2010/main">
              <a:effectLst>
                <a:outerShdw dist="35921" dir="2700000" algn="ctr" rotWithShape="0">
                  <a:schemeClr val="bg2"/>
                </a:outerShdw>
              </a:effectLst>
            </a14:hiddenEffects>
          </a:ext>
        </a:extLst>
      </xdr:spPr>
    </xdr:pic>
    <xdr:clientData/>
  </xdr:twoCellAnchor>
  <xdr:oneCellAnchor>
    <xdr:from>
      <xdr:col>5</xdr:col>
      <xdr:colOff>266700</xdr:colOff>
      <xdr:row>281</xdr:row>
      <xdr:rowOff>71437</xdr:rowOff>
    </xdr:from>
    <xdr:ext cx="835100" cy="297646"/>
    <mc:AlternateContent xmlns:mc="http://schemas.openxmlformats.org/markup-compatibility/2006" xmlns:a14="http://schemas.microsoft.com/office/drawing/2010/main">
      <mc:Choice Requires="a14">
        <xdr:sp macro="" textlink="">
          <xdr:nvSpPr>
            <xdr:cNvPr id="9" name="CuadroTexto 8">
              <a:extLst>
                <a:ext uri="{FF2B5EF4-FFF2-40B4-BE49-F238E27FC236}">
                  <a16:creationId xmlns:a16="http://schemas.microsoft.com/office/drawing/2014/main" id="{00000000-0008-0000-0000-000009000000}"/>
                </a:ext>
              </a:extLst>
            </xdr:cNvPr>
            <xdr:cNvSpPr txBox="1"/>
          </xdr:nvSpPr>
          <xdr:spPr>
            <a:xfrm>
              <a:off x="3676650" y="40457437"/>
              <a:ext cx="835100" cy="297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i="1">
                            <a:latin typeface="Cambria Math" panose="02040503050406030204" pitchFamily="18" charset="0"/>
                          </a:rPr>
                        </m:ctrlPr>
                      </m:sSubPr>
                      <m:e>
                        <m:r>
                          <a:rPr lang="es-PE" sz="1000" b="0" i="1">
                            <a:latin typeface="Cambria Math" panose="02040503050406030204" pitchFamily="18" charset="0"/>
                          </a:rPr>
                          <m:t>𝐴</m:t>
                        </m:r>
                      </m:e>
                      <m:sub>
                        <m:r>
                          <a:rPr lang="es-PE" sz="1000" b="0" i="1">
                            <a:latin typeface="Cambria Math" panose="02040503050406030204" pitchFamily="18" charset="0"/>
                          </a:rPr>
                          <m:t>𝑠</m:t>
                        </m:r>
                      </m:sub>
                    </m:sSub>
                    <m:r>
                      <a:rPr lang="es-PE" sz="1000" b="0" i="1">
                        <a:latin typeface="Cambria Math" panose="02040503050406030204" pitchFamily="18" charset="0"/>
                      </a:rPr>
                      <m:t>=</m:t>
                    </m:r>
                    <m:f>
                      <m:fPr>
                        <m:type m:val="skw"/>
                        <m:ctrlPr>
                          <a:rPr lang="es-PE" sz="1000" b="0" i="1">
                            <a:latin typeface="Cambria Math" panose="02040503050406030204" pitchFamily="18" charset="0"/>
                          </a:rPr>
                        </m:ctrlPr>
                      </m:fPr>
                      <m:num>
                        <m:sSub>
                          <m:sSubPr>
                            <m:ctrlPr>
                              <a:rPr lang="es-PE" sz="1000" b="0" i="1">
                                <a:latin typeface="Cambria Math" panose="02040503050406030204" pitchFamily="18" charset="0"/>
                              </a:rPr>
                            </m:ctrlPr>
                          </m:sSubPr>
                          <m:e>
                            <m:r>
                              <a:rPr lang="es-PE" sz="1000" b="0" i="1">
                                <a:latin typeface="Cambria Math" panose="02040503050406030204" pitchFamily="18" charset="0"/>
                              </a:rPr>
                              <m:t>𝑁</m:t>
                            </m:r>
                          </m:e>
                          <m:sub>
                            <m:r>
                              <a:rPr lang="es-PE" sz="1000" b="0" i="1">
                                <a:latin typeface="Cambria Math" panose="02040503050406030204" pitchFamily="18" charset="0"/>
                              </a:rPr>
                              <m:t>𝑈</m:t>
                            </m:r>
                          </m:sub>
                        </m:sSub>
                      </m:num>
                      <m:den>
                        <m:r>
                          <a:rPr lang="es-PE" sz="1000" b="0" i="1">
                            <a:solidFill>
                              <a:schemeClr val="tx1"/>
                            </a:solidFill>
                            <a:effectLst/>
                            <a:latin typeface="Cambria Math" panose="02040503050406030204" pitchFamily="18" charset="0"/>
                            <a:ea typeface="+mn-ea"/>
                            <a:cs typeface="+mn-cs"/>
                          </a:rPr>
                          <m:t>0.9</m:t>
                        </m:r>
                        <m:sSub>
                          <m:sSubPr>
                            <m:ctrlPr>
                              <a:rPr lang="es-PE" sz="1000" b="0" i="1">
                                <a:solidFill>
                                  <a:schemeClr val="tx1"/>
                                </a:solidFill>
                                <a:effectLst/>
                                <a:latin typeface="Cambria Math" panose="02040503050406030204" pitchFamily="18" charset="0"/>
                                <a:ea typeface="+mn-ea"/>
                                <a:cs typeface="+mn-cs"/>
                              </a:rPr>
                            </m:ctrlPr>
                          </m:sSubPr>
                          <m:e>
                            <m:r>
                              <a:rPr lang="es-PE" sz="1000" b="0" i="1">
                                <a:solidFill>
                                  <a:schemeClr val="tx1"/>
                                </a:solidFill>
                                <a:effectLst/>
                                <a:latin typeface="Cambria Math" panose="02040503050406030204" pitchFamily="18" charset="0"/>
                                <a:ea typeface="+mn-ea"/>
                                <a:cs typeface="+mn-cs"/>
                              </a:rPr>
                              <m:t>𝑓</m:t>
                            </m:r>
                          </m:e>
                          <m:sub>
                            <m:r>
                              <a:rPr lang="es-PE" sz="1000" b="0" i="1">
                                <a:solidFill>
                                  <a:schemeClr val="tx1"/>
                                </a:solidFill>
                                <a:effectLst/>
                                <a:latin typeface="Cambria Math" panose="02040503050406030204" pitchFamily="18" charset="0"/>
                                <a:ea typeface="+mn-ea"/>
                                <a:cs typeface="+mn-cs"/>
                              </a:rPr>
                              <m:t>𝑦</m:t>
                            </m:r>
                          </m:sub>
                        </m:sSub>
                      </m:den>
                    </m:f>
                  </m:oMath>
                </m:oMathPara>
              </a14:m>
              <a:endParaRPr lang="es-PE" sz="1000"/>
            </a:p>
          </xdr:txBody>
        </xdr:sp>
      </mc:Choice>
      <mc:Fallback xmlns="">
        <xdr:sp macro="" textlink="">
          <xdr:nvSpPr>
            <xdr:cNvPr id="9" name="CuadroTexto 8"/>
            <xdr:cNvSpPr txBox="1"/>
          </xdr:nvSpPr>
          <xdr:spPr>
            <a:xfrm>
              <a:off x="3676650" y="40457437"/>
              <a:ext cx="835100" cy="2976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latin typeface="Cambria Math" panose="02040503050406030204" pitchFamily="18" charset="0"/>
                </a:rPr>
                <a:t>𝐴_𝑠=𝑁_𝑈⁄(</a:t>
              </a:r>
              <a:r>
                <a:rPr lang="es-PE" sz="1000" b="0" i="0">
                  <a:solidFill>
                    <a:schemeClr val="tx1"/>
                  </a:solidFill>
                  <a:effectLst/>
                  <a:latin typeface="+mn-lt"/>
                  <a:ea typeface="+mn-ea"/>
                  <a:cs typeface="+mn-cs"/>
                </a:rPr>
                <a:t>0.9𝑓_𝑦</a:t>
              </a:r>
              <a:r>
                <a:rPr lang="es-PE" sz="1000" b="0" i="0">
                  <a:solidFill>
                    <a:schemeClr val="tx1"/>
                  </a:solidFill>
                  <a:effectLst/>
                  <a:latin typeface="Cambria Math" panose="02040503050406030204" pitchFamily="18" charset="0"/>
                  <a:ea typeface="+mn-ea"/>
                  <a:cs typeface="+mn-cs"/>
                </a:rPr>
                <a:t> )</a:t>
              </a:r>
              <a:endParaRPr lang="es-PE" sz="1000"/>
            </a:p>
          </xdr:txBody>
        </xdr:sp>
      </mc:Fallback>
    </mc:AlternateContent>
    <xdr:clientData/>
  </xdr:oneCellAnchor>
  <xdr:oneCellAnchor>
    <xdr:from>
      <xdr:col>5</xdr:col>
      <xdr:colOff>590550</xdr:colOff>
      <xdr:row>288</xdr:row>
      <xdr:rowOff>4762</xdr:rowOff>
    </xdr:from>
    <xdr:ext cx="897938" cy="204993"/>
    <mc:AlternateContent xmlns:mc="http://schemas.openxmlformats.org/markup-compatibility/2006" xmlns:a14="http://schemas.microsoft.com/office/drawing/2010/main">
      <mc:Choice Requires="a14">
        <xdr:sp macro="" textlink="">
          <xdr:nvSpPr>
            <xdr:cNvPr id="47" name="CuadroTexto 46">
              <a:extLst>
                <a:ext uri="{FF2B5EF4-FFF2-40B4-BE49-F238E27FC236}">
                  <a16:creationId xmlns:a16="http://schemas.microsoft.com/office/drawing/2014/main" id="{00000000-0008-0000-0000-00002F000000}"/>
                </a:ext>
              </a:extLst>
            </xdr:cNvPr>
            <xdr:cNvSpPr txBox="1"/>
          </xdr:nvSpPr>
          <xdr:spPr>
            <a:xfrm>
              <a:off x="4000500" y="41343262"/>
              <a:ext cx="89793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𝑉</m:t>
                        </m:r>
                      </m:e>
                      <m:sub>
                        <m:r>
                          <a:rPr lang="es-PE" sz="1100" b="0" i="1">
                            <a:latin typeface="Cambria Math" panose="02040503050406030204" pitchFamily="18" charset="0"/>
                          </a:rPr>
                          <m:t>𝑐</m:t>
                        </m:r>
                      </m:sub>
                    </m:sSub>
                    <m:r>
                      <a:rPr lang="es-PE" sz="1100" b="0" i="1">
                        <a:latin typeface="Cambria Math" panose="02040503050406030204" pitchFamily="18" charset="0"/>
                      </a:rPr>
                      <m:t>=0.53</m:t>
                    </m:r>
                    <m:rad>
                      <m:radPr>
                        <m:degHide m:val="on"/>
                        <m:ctrlPr>
                          <a:rPr lang="es-PE" sz="1100" b="0" i="1">
                            <a:latin typeface="Cambria Math" panose="02040503050406030204" pitchFamily="18" charset="0"/>
                          </a:rPr>
                        </m:ctrlPr>
                      </m:radPr>
                      <m:deg/>
                      <m:e>
                        <m:sSup>
                          <m:sSupPr>
                            <m:ctrlPr>
                              <a:rPr lang="es-PE" sz="1100" b="0" i="1">
                                <a:latin typeface="Cambria Math" panose="02040503050406030204" pitchFamily="18" charset="0"/>
                              </a:rPr>
                            </m:ctrlPr>
                          </m:sSupPr>
                          <m:e>
                            <m:r>
                              <a:rPr lang="es-PE" sz="1100" b="0" i="1">
                                <a:latin typeface="Cambria Math" panose="02040503050406030204" pitchFamily="18" charset="0"/>
                              </a:rPr>
                              <m:t>𝑓</m:t>
                            </m:r>
                          </m:e>
                          <m:sup>
                            <m:r>
                              <a:rPr lang="es-PE" sz="1100" b="0" i="1">
                                <a:latin typeface="Cambria Math" panose="02040503050406030204" pitchFamily="18" charset="0"/>
                              </a:rPr>
                              <m:t>′</m:t>
                            </m:r>
                          </m:sup>
                        </m:sSup>
                        <m:r>
                          <a:rPr lang="es-PE" sz="1100" b="0" i="1">
                            <a:latin typeface="Cambria Math" panose="02040503050406030204" pitchFamily="18" charset="0"/>
                          </a:rPr>
                          <m:t>𝑐</m:t>
                        </m:r>
                      </m:e>
                    </m:rad>
                  </m:oMath>
                </m:oMathPara>
              </a14:m>
              <a:endParaRPr lang="es-PE" sz="1100"/>
            </a:p>
          </xdr:txBody>
        </xdr:sp>
      </mc:Choice>
      <mc:Fallback xmlns="">
        <xdr:sp macro="" textlink="">
          <xdr:nvSpPr>
            <xdr:cNvPr id="47" name="CuadroTexto 46"/>
            <xdr:cNvSpPr txBox="1"/>
          </xdr:nvSpPr>
          <xdr:spPr>
            <a:xfrm>
              <a:off x="4000500" y="41343262"/>
              <a:ext cx="89793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𝑉_𝑐=0.53√(𝑓^′ 𝑐)</a:t>
              </a:r>
              <a:endParaRPr lang="es-PE" sz="1100"/>
            </a:p>
          </xdr:txBody>
        </xdr:sp>
      </mc:Fallback>
    </mc:AlternateContent>
    <xdr:clientData/>
  </xdr:oneCellAnchor>
  <xdr:oneCellAnchor>
    <xdr:from>
      <xdr:col>5</xdr:col>
      <xdr:colOff>590550</xdr:colOff>
      <xdr:row>323</xdr:row>
      <xdr:rowOff>4762</xdr:rowOff>
    </xdr:from>
    <xdr:ext cx="897938" cy="204993"/>
    <mc:AlternateContent xmlns:mc="http://schemas.openxmlformats.org/markup-compatibility/2006" xmlns:a14="http://schemas.microsoft.com/office/drawing/2010/main">
      <mc:Choice Requires="a14">
        <xdr:sp macro="" textlink="">
          <xdr:nvSpPr>
            <xdr:cNvPr id="48" name="CuadroTexto 47">
              <a:extLst>
                <a:ext uri="{FF2B5EF4-FFF2-40B4-BE49-F238E27FC236}">
                  <a16:creationId xmlns:a16="http://schemas.microsoft.com/office/drawing/2014/main" id="{00000000-0008-0000-0000-000030000000}"/>
                </a:ext>
              </a:extLst>
            </xdr:cNvPr>
            <xdr:cNvSpPr txBox="1"/>
          </xdr:nvSpPr>
          <xdr:spPr>
            <a:xfrm>
              <a:off x="4000500" y="41343262"/>
              <a:ext cx="89793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𝑉</m:t>
                        </m:r>
                      </m:e>
                      <m:sub>
                        <m:r>
                          <a:rPr lang="es-PE" sz="1100" b="0" i="1">
                            <a:latin typeface="Cambria Math" panose="02040503050406030204" pitchFamily="18" charset="0"/>
                          </a:rPr>
                          <m:t>𝑐</m:t>
                        </m:r>
                      </m:sub>
                    </m:sSub>
                    <m:r>
                      <a:rPr lang="es-PE" sz="1100" b="0" i="1">
                        <a:latin typeface="Cambria Math" panose="02040503050406030204" pitchFamily="18" charset="0"/>
                      </a:rPr>
                      <m:t>=0.53</m:t>
                    </m:r>
                    <m:rad>
                      <m:radPr>
                        <m:degHide m:val="on"/>
                        <m:ctrlPr>
                          <a:rPr lang="es-PE" sz="1100" b="0" i="1">
                            <a:latin typeface="Cambria Math" panose="02040503050406030204" pitchFamily="18" charset="0"/>
                          </a:rPr>
                        </m:ctrlPr>
                      </m:radPr>
                      <m:deg/>
                      <m:e>
                        <m:sSup>
                          <m:sSupPr>
                            <m:ctrlPr>
                              <a:rPr lang="es-PE" sz="1100" b="0" i="1">
                                <a:latin typeface="Cambria Math" panose="02040503050406030204" pitchFamily="18" charset="0"/>
                              </a:rPr>
                            </m:ctrlPr>
                          </m:sSupPr>
                          <m:e>
                            <m:r>
                              <a:rPr lang="es-PE" sz="1100" b="0" i="1">
                                <a:latin typeface="Cambria Math" panose="02040503050406030204" pitchFamily="18" charset="0"/>
                              </a:rPr>
                              <m:t>𝑓</m:t>
                            </m:r>
                          </m:e>
                          <m:sup>
                            <m:r>
                              <a:rPr lang="es-PE" sz="1100" b="0" i="1">
                                <a:latin typeface="Cambria Math" panose="02040503050406030204" pitchFamily="18" charset="0"/>
                              </a:rPr>
                              <m:t>′</m:t>
                            </m:r>
                          </m:sup>
                        </m:sSup>
                        <m:r>
                          <a:rPr lang="es-PE" sz="1100" b="0" i="1">
                            <a:latin typeface="Cambria Math" panose="02040503050406030204" pitchFamily="18" charset="0"/>
                          </a:rPr>
                          <m:t>𝑐</m:t>
                        </m:r>
                      </m:e>
                    </m:rad>
                  </m:oMath>
                </m:oMathPara>
              </a14:m>
              <a:endParaRPr lang="es-PE" sz="1100"/>
            </a:p>
          </xdr:txBody>
        </xdr:sp>
      </mc:Choice>
      <mc:Fallback xmlns="">
        <xdr:sp macro="" textlink="">
          <xdr:nvSpPr>
            <xdr:cNvPr id="48" name="CuadroTexto 47"/>
            <xdr:cNvSpPr txBox="1"/>
          </xdr:nvSpPr>
          <xdr:spPr>
            <a:xfrm>
              <a:off x="4000500" y="41343262"/>
              <a:ext cx="89793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𝑉_𝑐=0.53√(𝑓^′ 𝑐)</a:t>
              </a:r>
              <a:endParaRPr lang="es-PE" sz="1100"/>
            </a:p>
          </xdr:txBody>
        </xdr:sp>
      </mc:Fallback>
    </mc:AlternateContent>
    <xdr:clientData/>
  </xdr:oneCellAnchor>
  <xdr:twoCellAnchor editAs="oneCell">
    <xdr:from>
      <xdr:col>1</xdr:col>
      <xdr:colOff>66675</xdr:colOff>
      <xdr:row>213</xdr:row>
      <xdr:rowOff>125584</xdr:rowOff>
    </xdr:from>
    <xdr:to>
      <xdr:col>5</xdr:col>
      <xdr:colOff>742950</xdr:colOff>
      <xdr:row>225</xdr:row>
      <xdr:rowOff>76200</xdr:rowOff>
    </xdr:to>
    <xdr:pic>
      <xdr:nvPicPr>
        <xdr:cNvPr id="56" name="Imagen 55">
          <a:extLst>
            <a:ext uri="{FF2B5EF4-FFF2-40B4-BE49-F238E27FC236}">
              <a16:creationId xmlns:a16="http://schemas.microsoft.com/office/drawing/2014/main" id="{00000000-0008-0000-0000-000038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0975" y="27938584"/>
          <a:ext cx="3962400" cy="2236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76200</xdr:colOff>
      <xdr:row>227</xdr:row>
      <xdr:rowOff>152400</xdr:rowOff>
    </xdr:from>
    <xdr:to>
      <xdr:col>5</xdr:col>
      <xdr:colOff>752475</xdr:colOff>
      <xdr:row>239</xdr:row>
      <xdr:rowOff>103016</xdr:rowOff>
    </xdr:to>
    <xdr:pic>
      <xdr:nvPicPr>
        <xdr:cNvPr id="57" name="Imagen 56">
          <a:extLst>
            <a:ext uri="{FF2B5EF4-FFF2-40B4-BE49-F238E27FC236}">
              <a16:creationId xmlns:a16="http://schemas.microsoft.com/office/drawing/2014/main" id="{00000000-0008-0000-0000-000039000000}"/>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90500" y="30632400"/>
          <a:ext cx="3962400" cy="22366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5</xdr:col>
      <xdr:colOff>590550</xdr:colOff>
      <xdr:row>371</xdr:row>
      <xdr:rowOff>4762</xdr:rowOff>
    </xdr:from>
    <xdr:ext cx="897938" cy="204993"/>
    <mc:AlternateContent xmlns:mc="http://schemas.openxmlformats.org/markup-compatibility/2006" xmlns:a14="http://schemas.microsoft.com/office/drawing/2010/main">
      <mc:Choice Requires="a14">
        <xdr:sp macro="" textlink="">
          <xdr:nvSpPr>
            <xdr:cNvPr id="58" name="CuadroTexto 57">
              <a:extLst>
                <a:ext uri="{FF2B5EF4-FFF2-40B4-BE49-F238E27FC236}">
                  <a16:creationId xmlns:a16="http://schemas.microsoft.com/office/drawing/2014/main" id="{00000000-0008-0000-0000-00003A000000}"/>
                </a:ext>
              </a:extLst>
            </xdr:cNvPr>
            <xdr:cNvSpPr txBox="1"/>
          </xdr:nvSpPr>
          <xdr:spPr>
            <a:xfrm>
              <a:off x="4000500" y="48963262"/>
              <a:ext cx="89793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𝑉</m:t>
                        </m:r>
                      </m:e>
                      <m:sub>
                        <m:r>
                          <a:rPr lang="es-PE" sz="1100" b="0" i="1">
                            <a:latin typeface="Cambria Math" panose="02040503050406030204" pitchFamily="18" charset="0"/>
                          </a:rPr>
                          <m:t>𝑐</m:t>
                        </m:r>
                      </m:sub>
                    </m:sSub>
                    <m:r>
                      <a:rPr lang="es-PE" sz="1100" b="0" i="1">
                        <a:latin typeface="Cambria Math" panose="02040503050406030204" pitchFamily="18" charset="0"/>
                      </a:rPr>
                      <m:t>=0.53</m:t>
                    </m:r>
                    <m:rad>
                      <m:radPr>
                        <m:degHide m:val="on"/>
                        <m:ctrlPr>
                          <a:rPr lang="es-PE" sz="1100" b="0" i="1">
                            <a:latin typeface="Cambria Math" panose="02040503050406030204" pitchFamily="18" charset="0"/>
                          </a:rPr>
                        </m:ctrlPr>
                      </m:radPr>
                      <m:deg/>
                      <m:e>
                        <m:sSup>
                          <m:sSupPr>
                            <m:ctrlPr>
                              <a:rPr lang="es-PE" sz="1100" b="0" i="1">
                                <a:latin typeface="Cambria Math" panose="02040503050406030204" pitchFamily="18" charset="0"/>
                              </a:rPr>
                            </m:ctrlPr>
                          </m:sSupPr>
                          <m:e>
                            <m:r>
                              <a:rPr lang="es-PE" sz="1100" b="0" i="1">
                                <a:latin typeface="Cambria Math" panose="02040503050406030204" pitchFamily="18" charset="0"/>
                              </a:rPr>
                              <m:t>𝑓</m:t>
                            </m:r>
                          </m:e>
                          <m:sup>
                            <m:r>
                              <a:rPr lang="es-PE" sz="1100" b="0" i="1">
                                <a:latin typeface="Cambria Math" panose="02040503050406030204" pitchFamily="18" charset="0"/>
                              </a:rPr>
                              <m:t>′</m:t>
                            </m:r>
                          </m:sup>
                        </m:sSup>
                        <m:r>
                          <a:rPr lang="es-PE" sz="1100" b="0" i="1">
                            <a:latin typeface="Cambria Math" panose="02040503050406030204" pitchFamily="18" charset="0"/>
                          </a:rPr>
                          <m:t>𝑐</m:t>
                        </m:r>
                      </m:e>
                    </m:rad>
                  </m:oMath>
                </m:oMathPara>
              </a14:m>
              <a:endParaRPr lang="es-PE" sz="1100"/>
            </a:p>
          </xdr:txBody>
        </xdr:sp>
      </mc:Choice>
      <mc:Fallback xmlns="">
        <xdr:sp macro="" textlink="">
          <xdr:nvSpPr>
            <xdr:cNvPr id="58" name="CuadroTexto 57"/>
            <xdr:cNvSpPr txBox="1"/>
          </xdr:nvSpPr>
          <xdr:spPr>
            <a:xfrm>
              <a:off x="4000500" y="48963262"/>
              <a:ext cx="897938" cy="20499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𝑉_𝑐=0.53√(𝑓^′ 𝑐)</a:t>
              </a:r>
              <a:endParaRPr lang="es-PE" sz="1100"/>
            </a:p>
          </xdr:txBody>
        </xdr:sp>
      </mc:Fallback>
    </mc:AlternateContent>
    <xdr:clientData/>
  </xdr:oneCellAnchor>
  <xdr:oneCellAnchor>
    <xdr:from>
      <xdr:col>4</xdr:col>
      <xdr:colOff>809625</xdr:colOff>
      <xdr:row>245</xdr:row>
      <xdr:rowOff>157162</xdr:rowOff>
    </xdr:from>
    <xdr:ext cx="65" cy="172227"/>
    <xdr:sp macro="" textlink="">
      <xdr:nvSpPr>
        <xdr:cNvPr id="11" name="CuadroTexto 10">
          <a:extLst>
            <a:ext uri="{FF2B5EF4-FFF2-40B4-BE49-F238E27FC236}">
              <a16:creationId xmlns:a16="http://schemas.microsoft.com/office/drawing/2014/main" id="{00000000-0008-0000-0000-00000B000000}"/>
            </a:ext>
          </a:extLst>
        </xdr:cNvPr>
        <xdr:cNvSpPr txBox="1"/>
      </xdr:nvSpPr>
      <xdr:spPr>
        <a:xfrm>
          <a:off x="3238500" y="33685162"/>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mc:AlternateContent xmlns:mc="http://schemas.openxmlformats.org/markup-compatibility/2006">
    <mc:Choice xmlns:a14="http://schemas.microsoft.com/office/drawing/2010/main" Requires="a14">
      <xdr:twoCellAnchor editAs="oneCell">
        <xdr:from>
          <xdr:col>6</xdr:col>
          <xdr:colOff>213360</xdr:colOff>
          <xdr:row>247</xdr:row>
          <xdr:rowOff>0</xdr:rowOff>
        </xdr:from>
        <xdr:to>
          <xdr:col>6</xdr:col>
          <xdr:colOff>754380</xdr:colOff>
          <xdr:row>248</xdr:row>
          <xdr:rowOff>7620</xdr:rowOff>
        </xdr:to>
        <xdr:sp macro="" textlink="">
          <xdr:nvSpPr>
            <xdr:cNvPr id="3090" name="Drop Down 18" hidden="1">
              <a:extLst>
                <a:ext uri="{63B3BB69-23CF-44E3-9099-C40C66FF867C}">
                  <a14:compatExt spid="_x0000_s3090"/>
                </a:ext>
                <a:ext uri="{FF2B5EF4-FFF2-40B4-BE49-F238E27FC236}">
                  <a16:creationId xmlns:a16="http://schemas.microsoft.com/office/drawing/2014/main" id="{00000000-0008-0000-0000-000012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213360</xdr:colOff>
          <xdr:row>248</xdr:row>
          <xdr:rowOff>0</xdr:rowOff>
        </xdr:from>
        <xdr:to>
          <xdr:col>6</xdr:col>
          <xdr:colOff>754380</xdr:colOff>
          <xdr:row>249</xdr:row>
          <xdr:rowOff>7620</xdr:rowOff>
        </xdr:to>
        <xdr:sp macro="" textlink="">
          <xdr:nvSpPr>
            <xdr:cNvPr id="3091" name="Drop Down 19" hidden="1">
              <a:extLst>
                <a:ext uri="{63B3BB69-23CF-44E3-9099-C40C66FF867C}">
                  <a14:compatExt spid="_x0000_s3091"/>
                </a:ext>
                <a:ext uri="{FF2B5EF4-FFF2-40B4-BE49-F238E27FC236}">
                  <a16:creationId xmlns:a16="http://schemas.microsoft.com/office/drawing/2014/main" id="{00000000-0008-0000-0000-000013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213360</xdr:colOff>
          <xdr:row>269</xdr:row>
          <xdr:rowOff>0</xdr:rowOff>
        </xdr:from>
        <xdr:to>
          <xdr:col>8</xdr:col>
          <xdr:colOff>754380</xdr:colOff>
          <xdr:row>270</xdr:row>
          <xdr:rowOff>7620</xdr:rowOff>
        </xdr:to>
        <xdr:sp macro="" textlink="">
          <xdr:nvSpPr>
            <xdr:cNvPr id="3093" name="Drop Down 21" hidden="1">
              <a:extLst>
                <a:ext uri="{63B3BB69-23CF-44E3-9099-C40C66FF867C}">
                  <a14:compatExt spid="_x0000_s3093"/>
                </a:ext>
                <a:ext uri="{FF2B5EF4-FFF2-40B4-BE49-F238E27FC236}">
                  <a16:creationId xmlns:a16="http://schemas.microsoft.com/office/drawing/2014/main" id="{00000000-0008-0000-0000-00001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213360</xdr:colOff>
          <xdr:row>278</xdr:row>
          <xdr:rowOff>0</xdr:rowOff>
        </xdr:from>
        <xdr:to>
          <xdr:col>6</xdr:col>
          <xdr:colOff>754380</xdr:colOff>
          <xdr:row>279</xdr:row>
          <xdr:rowOff>7620</xdr:rowOff>
        </xdr:to>
        <xdr:sp macro="" textlink="">
          <xdr:nvSpPr>
            <xdr:cNvPr id="3094" name="Drop Down 22" hidden="1">
              <a:extLst>
                <a:ext uri="{63B3BB69-23CF-44E3-9099-C40C66FF867C}">
                  <a14:compatExt spid="_x0000_s3094"/>
                </a:ext>
                <a:ext uri="{FF2B5EF4-FFF2-40B4-BE49-F238E27FC236}">
                  <a16:creationId xmlns:a16="http://schemas.microsoft.com/office/drawing/2014/main" id="{00000000-0008-0000-0000-000016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213360</xdr:colOff>
          <xdr:row>279</xdr:row>
          <xdr:rowOff>0</xdr:rowOff>
        </xdr:from>
        <xdr:to>
          <xdr:col>6</xdr:col>
          <xdr:colOff>754380</xdr:colOff>
          <xdr:row>280</xdr:row>
          <xdr:rowOff>7620</xdr:rowOff>
        </xdr:to>
        <xdr:sp macro="" textlink="">
          <xdr:nvSpPr>
            <xdr:cNvPr id="3095" name="Drop Down 23" hidden="1">
              <a:extLst>
                <a:ext uri="{63B3BB69-23CF-44E3-9099-C40C66FF867C}">
                  <a14:compatExt spid="_x0000_s3095"/>
                </a:ext>
                <a:ext uri="{FF2B5EF4-FFF2-40B4-BE49-F238E27FC236}">
                  <a16:creationId xmlns:a16="http://schemas.microsoft.com/office/drawing/2014/main" id="{00000000-0008-0000-0000-000017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213360</xdr:colOff>
          <xdr:row>283</xdr:row>
          <xdr:rowOff>0</xdr:rowOff>
        </xdr:from>
        <xdr:to>
          <xdr:col>6</xdr:col>
          <xdr:colOff>754380</xdr:colOff>
          <xdr:row>284</xdr:row>
          <xdr:rowOff>7620</xdr:rowOff>
        </xdr:to>
        <xdr:sp macro="" textlink="">
          <xdr:nvSpPr>
            <xdr:cNvPr id="3096" name="Drop Down 24" hidden="1">
              <a:extLst>
                <a:ext uri="{63B3BB69-23CF-44E3-9099-C40C66FF867C}">
                  <a14:compatExt spid="_x0000_s3096"/>
                </a:ext>
                <a:ext uri="{FF2B5EF4-FFF2-40B4-BE49-F238E27FC236}">
                  <a16:creationId xmlns:a16="http://schemas.microsoft.com/office/drawing/2014/main" id="{00000000-0008-0000-0000-000018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213360</xdr:colOff>
          <xdr:row>318</xdr:row>
          <xdr:rowOff>0</xdr:rowOff>
        </xdr:from>
        <xdr:to>
          <xdr:col>6</xdr:col>
          <xdr:colOff>754380</xdr:colOff>
          <xdr:row>319</xdr:row>
          <xdr:rowOff>7620</xdr:rowOff>
        </xdr:to>
        <xdr:sp macro="" textlink="">
          <xdr:nvSpPr>
            <xdr:cNvPr id="3097" name="Drop Down 25" hidden="1">
              <a:extLst>
                <a:ext uri="{63B3BB69-23CF-44E3-9099-C40C66FF867C}">
                  <a14:compatExt spid="_x0000_s3097"/>
                </a:ext>
                <a:ext uri="{FF2B5EF4-FFF2-40B4-BE49-F238E27FC236}">
                  <a16:creationId xmlns:a16="http://schemas.microsoft.com/office/drawing/2014/main" id="{00000000-0008-0000-0000-000019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6</xdr:col>
          <xdr:colOff>213360</xdr:colOff>
          <xdr:row>320</xdr:row>
          <xdr:rowOff>0</xdr:rowOff>
        </xdr:from>
        <xdr:to>
          <xdr:col>6</xdr:col>
          <xdr:colOff>754380</xdr:colOff>
          <xdr:row>321</xdr:row>
          <xdr:rowOff>7620</xdr:rowOff>
        </xdr:to>
        <xdr:sp macro="" textlink="">
          <xdr:nvSpPr>
            <xdr:cNvPr id="3099" name="Drop Down 27" hidden="1">
              <a:extLst>
                <a:ext uri="{63B3BB69-23CF-44E3-9099-C40C66FF867C}">
                  <a14:compatExt spid="_x0000_s3099"/>
                </a:ext>
                <a:ext uri="{FF2B5EF4-FFF2-40B4-BE49-F238E27FC236}">
                  <a16:creationId xmlns:a16="http://schemas.microsoft.com/office/drawing/2014/main" id="{00000000-0008-0000-0000-00001B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363</xdr:row>
          <xdr:rowOff>0</xdr:rowOff>
        </xdr:from>
        <xdr:to>
          <xdr:col>7</xdr:col>
          <xdr:colOff>754380</xdr:colOff>
          <xdr:row>364</xdr:row>
          <xdr:rowOff>7620</xdr:rowOff>
        </xdr:to>
        <xdr:sp macro="" textlink="">
          <xdr:nvSpPr>
            <xdr:cNvPr id="3100" name="Drop Down 28" hidden="1">
              <a:extLst>
                <a:ext uri="{63B3BB69-23CF-44E3-9099-C40C66FF867C}">
                  <a14:compatExt spid="_x0000_s3100"/>
                </a:ext>
                <a:ext uri="{FF2B5EF4-FFF2-40B4-BE49-F238E27FC236}">
                  <a16:creationId xmlns:a16="http://schemas.microsoft.com/office/drawing/2014/main" id="{00000000-0008-0000-0000-00001C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366</xdr:row>
          <xdr:rowOff>0</xdr:rowOff>
        </xdr:from>
        <xdr:to>
          <xdr:col>7</xdr:col>
          <xdr:colOff>754380</xdr:colOff>
          <xdr:row>367</xdr:row>
          <xdr:rowOff>7620</xdr:rowOff>
        </xdr:to>
        <xdr:sp macro="" textlink="">
          <xdr:nvSpPr>
            <xdr:cNvPr id="3101" name="Drop Down 29" hidden="1">
              <a:extLst>
                <a:ext uri="{63B3BB69-23CF-44E3-9099-C40C66FF867C}">
                  <a14:compatExt spid="_x0000_s3101"/>
                </a:ext>
                <a:ext uri="{FF2B5EF4-FFF2-40B4-BE49-F238E27FC236}">
                  <a16:creationId xmlns:a16="http://schemas.microsoft.com/office/drawing/2014/main" id="{00000000-0008-0000-0000-00001D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213360</xdr:colOff>
          <xdr:row>368</xdr:row>
          <xdr:rowOff>0</xdr:rowOff>
        </xdr:from>
        <xdr:to>
          <xdr:col>7</xdr:col>
          <xdr:colOff>754380</xdr:colOff>
          <xdr:row>369</xdr:row>
          <xdr:rowOff>7620</xdr:rowOff>
        </xdr:to>
        <xdr:sp macro="" textlink="">
          <xdr:nvSpPr>
            <xdr:cNvPr id="3102" name="Drop Down 30" hidden="1">
              <a:extLst>
                <a:ext uri="{63B3BB69-23CF-44E3-9099-C40C66FF867C}">
                  <a14:compatExt spid="_x0000_s3102"/>
                </a:ext>
                <a:ext uri="{FF2B5EF4-FFF2-40B4-BE49-F238E27FC236}">
                  <a16:creationId xmlns:a16="http://schemas.microsoft.com/office/drawing/2014/main" id="{00000000-0008-0000-0000-00001E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twoCellAnchor editAs="oneCell">
    <xdr:from>
      <xdr:col>5</xdr:col>
      <xdr:colOff>885825</xdr:colOff>
      <xdr:row>14</xdr:row>
      <xdr:rowOff>27324</xdr:rowOff>
    </xdr:from>
    <xdr:to>
      <xdr:col>9</xdr:col>
      <xdr:colOff>66675</xdr:colOff>
      <xdr:row>29</xdr:row>
      <xdr:rowOff>56322</xdr:rowOff>
    </xdr:to>
    <xdr:pic>
      <xdr:nvPicPr>
        <xdr:cNvPr id="64" name="Imagen 63">
          <a:extLst>
            <a:ext uri="{FF2B5EF4-FFF2-40B4-BE49-F238E27FC236}">
              <a16:creationId xmlns:a16="http://schemas.microsoft.com/office/drawing/2014/main" id="{00000000-0008-0000-0000-000040000000}"/>
            </a:ext>
          </a:extLst>
        </xdr:cNvPr>
        <xdr:cNvPicPr>
          <a:picLocks noChangeAspect="1" noChangeArrowheads="1"/>
        </xdr:cNvPicPr>
      </xdr:nvPicPr>
      <xdr:blipFill>
        <a:blip xmlns:r="http://schemas.openxmlformats.org/officeDocument/2006/relationships" r:embed="rId7">
          <a:extLst>
            <a:ext uri="{BEBA8EAE-BF5A-486C-A8C5-ECC9F3942E4B}">
              <a14:imgProps xmlns:a14="http://schemas.microsoft.com/office/drawing/2010/main">
                <a14:imgLayer r:embed="rId8">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4286250" y="3046749"/>
          <a:ext cx="2990850" cy="2695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4</xdr:col>
      <xdr:colOff>895350</xdr:colOff>
      <xdr:row>141</xdr:row>
      <xdr:rowOff>0</xdr:rowOff>
    </xdr:from>
    <xdr:ext cx="1086644" cy="182935"/>
    <mc:AlternateContent xmlns:mc="http://schemas.openxmlformats.org/markup-compatibility/2006" xmlns:a14="http://schemas.microsoft.com/office/drawing/2010/main">
      <mc:Choice Requires="a14">
        <xdr:sp macro="" textlink="">
          <xdr:nvSpPr>
            <xdr:cNvPr id="10" name="CuadroTexto 9">
              <a:extLst>
                <a:ext uri="{FF2B5EF4-FFF2-40B4-BE49-F238E27FC236}">
                  <a16:creationId xmlns:a16="http://schemas.microsoft.com/office/drawing/2014/main" id="{00000000-0008-0000-0000-00000A000000}"/>
                </a:ext>
              </a:extLst>
            </xdr:cNvPr>
            <xdr:cNvSpPr txBox="1"/>
          </xdr:nvSpPr>
          <xdr:spPr>
            <a:xfrm>
              <a:off x="3324225" y="24193500"/>
              <a:ext cx="108664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𝑞</m:t>
                        </m:r>
                      </m:e>
                      <m:sub>
                        <m:r>
                          <a:rPr lang="es-PE" sz="1100" b="0" i="1">
                            <a:latin typeface="Cambria Math" panose="02040503050406030204" pitchFamily="18" charset="0"/>
                          </a:rPr>
                          <m:t>h𝑦</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𝛾</m:t>
                        </m:r>
                      </m:e>
                      <m:sub>
                        <m:r>
                          <a:rPr lang="es-PE" sz="1100" b="0" i="1">
                            <a:latin typeface="Cambria Math" panose="02040503050406030204" pitchFamily="18" charset="0"/>
                          </a:rPr>
                          <m:t>𝐿</m:t>
                        </m:r>
                      </m:sub>
                    </m:sSub>
                    <m:d>
                      <m:dPr>
                        <m:ctrlPr>
                          <a:rPr lang="es-PE" sz="1100" b="0" i="1">
                            <a:latin typeface="Cambria Math" panose="02040503050406030204" pitchFamily="18" charset="0"/>
                          </a:rPr>
                        </m:ctrlPr>
                      </m:dPr>
                      <m:e>
                        <m:sSub>
                          <m:sSubPr>
                            <m:ctrlPr>
                              <a:rPr lang="es-PE" sz="1100" b="0" i="1">
                                <a:latin typeface="Cambria Math" panose="02040503050406030204" pitchFamily="18" charset="0"/>
                              </a:rPr>
                            </m:ctrlPr>
                          </m:sSubPr>
                          <m:e>
                            <m:r>
                              <a:rPr lang="es-PE" sz="1100" b="0" i="1">
                                <a:latin typeface="Cambria Math" panose="02040503050406030204" pitchFamily="18" charset="0"/>
                              </a:rPr>
                              <m:t>𝐻</m:t>
                            </m:r>
                          </m:e>
                          <m:sub>
                            <m:r>
                              <a:rPr lang="es-PE" sz="1100" b="0" i="1">
                                <a:latin typeface="Cambria Math" panose="02040503050406030204" pitchFamily="18" charset="0"/>
                              </a:rPr>
                              <m:t>𝐿</m:t>
                            </m:r>
                          </m:sub>
                        </m:sSub>
                        <m:r>
                          <a:rPr lang="es-PE" sz="1100" b="0" i="1">
                            <a:latin typeface="Cambria Math" panose="02040503050406030204" pitchFamily="18" charset="0"/>
                          </a:rPr>
                          <m:t>−</m:t>
                        </m:r>
                        <m:r>
                          <a:rPr lang="es-PE" sz="1100" b="0" i="1">
                            <a:latin typeface="Cambria Math" panose="02040503050406030204" pitchFamily="18" charset="0"/>
                          </a:rPr>
                          <m:t>𝑦</m:t>
                        </m:r>
                      </m:e>
                    </m:d>
                  </m:oMath>
                </m:oMathPara>
              </a14:m>
              <a:endParaRPr lang="es-ES" sz="1100"/>
            </a:p>
          </xdr:txBody>
        </xdr:sp>
      </mc:Choice>
      <mc:Fallback xmlns="">
        <xdr:sp macro="" textlink="">
          <xdr:nvSpPr>
            <xdr:cNvPr id="10" name="CuadroTexto 9">
              <a:extLst>
                <a:ext uri="{FF2B5EF4-FFF2-40B4-BE49-F238E27FC236}">
                  <a16:creationId xmlns:a16="http://schemas.microsoft.com/office/drawing/2014/main" id="{8D3114D7-47AF-4F31-900B-4CFF54C59CD7}"/>
                </a:ext>
              </a:extLst>
            </xdr:cNvPr>
            <xdr:cNvSpPr txBox="1"/>
          </xdr:nvSpPr>
          <xdr:spPr>
            <a:xfrm>
              <a:off x="3324225" y="24193500"/>
              <a:ext cx="108664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𝑞</a:t>
              </a:r>
              <a:r>
                <a:rPr lang="es-ES" sz="1100" b="0" i="0">
                  <a:latin typeface="Cambria Math" panose="02040503050406030204" pitchFamily="18" charset="0"/>
                </a:rPr>
                <a:t>_</a:t>
              </a:r>
              <a:r>
                <a:rPr lang="es-PE" sz="1100" b="0" i="0">
                  <a:latin typeface="Cambria Math" panose="02040503050406030204" pitchFamily="18" charset="0"/>
                </a:rPr>
                <a:t>ℎ𝑦=</a:t>
              </a:r>
              <a:r>
                <a:rPr lang="es-PE" sz="1100" b="0" i="0">
                  <a:latin typeface="Cambria Math" panose="02040503050406030204" pitchFamily="18" charset="0"/>
                  <a:ea typeface="Cambria Math" panose="02040503050406030204" pitchFamily="18" charset="0"/>
                </a:rPr>
                <a:t>𝛾_</a:t>
              </a:r>
              <a:r>
                <a:rPr lang="es-PE" sz="1100" b="0" i="0">
                  <a:latin typeface="Cambria Math" panose="02040503050406030204" pitchFamily="18" charset="0"/>
                </a:rPr>
                <a:t>𝐿 (𝐻_𝐿−𝑦)</a:t>
              </a:r>
              <a:endParaRPr lang="es-ES" sz="1100"/>
            </a:p>
          </xdr:txBody>
        </xdr:sp>
      </mc:Fallback>
    </mc:AlternateContent>
    <xdr:clientData/>
  </xdr:oneCellAnchor>
  <xdr:oneCellAnchor>
    <xdr:from>
      <xdr:col>4</xdr:col>
      <xdr:colOff>904875</xdr:colOff>
      <xdr:row>142</xdr:row>
      <xdr:rowOff>0</xdr:rowOff>
    </xdr:from>
    <xdr:ext cx="835870" cy="182935"/>
    <mc:AlternateContent xmlns:mc="http://schemas.openxmlformats.org/markup-compatibility/2006" xmlns:a14="http://schemas.microsoft.com/office/drawing/2010/main">
      <mc:Choice Requires="a14">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3333750" y="24384000"/>
              <a:ext cx="835870"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h𝑦</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𝑎</m:t>
                        </m:r>
                      </m:e>
                      <m:sub>
                        <m:r>
                          <a:rPr lang="es-PE" sz="1100" b="0" i="1">
                            <a:latin typeface="Cambria Math" panose="02040503050406030204" pitchFamily="18" charset="0"/>
                          </a:rPr>
                          <m:t>𝑣</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𝑞</m:t>
                        </m:r>
                      </m:e>
                      <m:sub>
                        <m:r>
                          <a:rPr lang="es-PE" sz="1100" b="0" i="1">
                            <a:latin typeface="Cambria Math" panose="02040503050406030204" pitchFamily="18" charset="0"/>
                          </a:rPr>
                          <m:t>h𝑦</m:t>
                        </m:r>
                      </m:sub>
                    </m:sSub>
                  </m:oMath>
                </m:oMathPara>
              </a14:m>
              <a:endParaRPr lang="es-ES" sz="1100"/>
            </a:p>
          </xdr:txBody>
        </xdr:sp>
      </mc:Choice>
      <mc:Fallback xmlns="">
        <xdr:sp macro="" textlink="">
          <xdr:nvSpPr>
            <xdr:cNvPr id="12" name="CuadroTexto 11">
              <a:extLst>
                <a:ext uri="{FF2B5EF4-FFF2-40B4-BE49-F238E27FC236}">
                  <a16:creationId xmlns:a16="http://schemas.microsoft.com/office/drawing/2014/main" id="{00000000-0008-0000-0000-00000C000000}"/>
                </a:ext>
              </a:extLst>
            </xdr:cNvPr>
            <xdr:cNvSpPr txBox="1"/>
          </xdr:nvSpPr>
          <xdr:spPr>
            <a:xfrm>
              <a:off x="3333750" y="24384000"/>
              <a:ext cx="835870"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ℎ𝑦=𝑎_𝑣.𝑞_ℎ𝑦</a:t>
              </a:r>
              <a:endParaRPr lang="es-ES" sz="1100"/>
            </a:p>
          </xdr:txBody>
        </xdr:sp>
      </mc:Fallback>
    </mc:AlternateContent>
    <xdr:clientData/>
  </xdr:oneCellAnchor>
  <xdr:oneCellAnchor>
    <xdr:from>
      <xdr:col>6</xdr:col>
      <xdr:colOff>152400</xdr:colOff>
      <xdr:row>141</xdr:row>
      <xdr:rowOff>133350</xdr:rowOff>
    </xdr:from>
    <xdr:ext cx="1313565" cy="349968"/>
    <mc:AlternateContent xmlns:mc="http://schemas.openxmlformats.org/markup-compatibility/2006" xmlns:a14="http://schemas.microsoft.com/office/drawing/2010/main">
      <mc:Choice Requires="a14">
        <xdr:sp macro="" textlink="">
          <xdr:nvSpPr>
            <xdr:cNvPr id="65" name="CuadroTexto 64">
              <a:extLst>
                <a:ext uri="{FF2B5EF4-FFF2-40B4-BE49-F238E27FC236}">
                  <a16:creationId xmlns:a16="http://schemas.microsoft.com/office/drawing/2014/main" id="{00000000-0008-0000-0000-000041000000}"/>
                </a:ext>
              </a:extLst>
            </xdr:cNvPr>
            <xdr:cNvSpPr txBox="1"/>
          </xdr:nvSpPr>
          <xdr:spPr>
            <a:xfrm>
              <a:off x="4400550" y="24326850"/>
              <a:ext cx="1313565"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h𝑦</m:t>
                        </m:r>
                      </m:sub>
                    </m:sSub>
                    <m:r>
                      <a:rPr lang="es-PE" sz="1100" b="0" i="1">
                        <a:latin typeface="Cambria Math" panose="02040503050406030204" pitchFamily="18" charset="0"/>
                      </a:rPr>
                      <m:t>=</m:t>
                    </m:r>
                    <m:r>
                      <a:rPr lang="es-PE" sz="1100" b="0" i="1">
                        <a:latin typeface="Cambria Math" panose="02040503050406030204" pitchFamily="18" charset="0"/>
                      </a:rPr>
                      <m:t>𝑍𝑆𝐼</m:t>
                    </m:r>
                    <m:sSub>
                      <m:sSubPr>
                        <m:ctrlPr>
                          <a:rPr lang="es-PE" sz="1100" b="0" i="1">
                            <a:latin typeface="Cambria Math" panose="02040503050406030204" pitchFamily="18" charset="0"/>
                          </a:rPr>
                        </m:ctrlPr>
                      </m:sSubPr>
                      <m:e>
                        <m:r>
                          <a:rPr lang="es-PE" sz="1100" b="0" i="1">
                            <a:latin typeface="Cambria Math" panose="02040503050406030204" pitchFamily="18" charset="0"/>
                          </a:rPr>
                          <m:t>𝐶</m:t>
                        </m:r>
                      </m:e>
                      <m:sub>
                        <m:r>
                          <a:rPr lang="es-PE" sz="1100" b="0" i="1">
                            <a:latin typeface="Cambria Math" panose="02040503050406030204" pitchFamily="18" charset="0"/>
                          </a:rPr>
                          <m:t>𝑣</m:t>
                        </m:r>
                      </m:sub>
                    </m:sSub>
                    <m:f>
                      <m:fPr>
                        <m:ctrlPr>
                          <a:rPr lang="es-PE" sz="1100" b="0" i="1">
                            <a:latin typeface="Cambria Math" panose="02040503050406030204" pitchFamily="18" charset="0"/>
                          </a:rPr>
                        </m:ctrlPr>
                      </m:fPr>
                      <m:num>
                        <m:r>
                          <a:rPr lang="es-PE" sz="1100" b="0" i="1">
                            <a:latin typeface="Cambria Math" panose="02040503050406030204" pitchFamily="18" charset="0"/>
                          </a:rPr>
                          <m:t>𝑏</m:t>
                        </m:r>
                      </m:num>
                      <m:den>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𝑤𝑖</m:t>
                            </m:r>
                          </m:sub>
                        </m:sSub>
                      </m:den>
                    </m:f>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𝑞</m:t>
                        </m:r>
                      </m:e>
                      <m:sub>
                        <m:r>
                          <a:rPr lang="es-PE" sz="1100" b="0" i="1">
                            <a:latin typeface="Cambria Math" panose="02040503050406030204" pitchFamily="18" charset="0"/>
                          </a:rPr>
                          <m:t>h𝑦</m:t>
                        </m:r>
                      </m:sub>
                    </m:sSub>
                  </m:oMath>
                </m:oMathPara>
              </a14:m>
              <a:endParaRPr lang="es-ES" sz="1100"/>
            </a:p>
          </xdr:txBody>
        </xdr:sp>
      </mc:Choice>
      <mc:Fallback xmlns="">
        <xdr:sp macro="" textlink="">
          <xdr:nvSpPr>
            <xdr:cNvPr id="65" name="CuadroTexto 64">
              <a:extLst>
                <a:ext uri="{FF2B5EF4-FFF2-40B4-BE49-F238E27FC236}">
                  <a16:creationId xmlns:a16="http://schemas.microsoft.com/office/drawing/2014/main" id="{00000000-0008-0000-0000-000041000000}"/>
                </a:ext>
              </a:extLst>
            </xdr:cNvPr>
            <xdr:cNvSpPr txBox="1"/>
          </xdr:nvSpPr>
          <xdr:spPr>
            <a:xfrm>
              <a:off x="4400550" y="24326850"/>
              <a:ext cx="1313565"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ℎ𝑦=𝑍𝑆𝐼𝐶_𝑣  𝑏/𝑅_𝑤𝑖 .𝑞_ℎ𝑦</a:t>
              </a:r>
              <a:endParaRPr lang="es-ES" sz="1100"/>
            </a:p>
          </xdr:txBody>
        </xdr:sp>
      </mc:Fallback>
    </mc:AlternateContent>
    <xdr:clientData/>
  </xdr:oneCellAnchor>
  <xdr:twoCellAnchor>
    <xdr:from>
      <xdr:col>3</xdr:col>
      <xdr:colOff>4763</xdr:colOff>
      <xdr:row>148</xdr:row>
      <xdr:rowOff>4763</xdr:rowOff>
    </xdr:from>
    <xdr:to>
      <xdr:col>3</xdr:col>
      <xdr:colOff>633413</xdr:colOff>
      <xdr:row>155</xdr:row>
      <xdr:rowOff>0</xdr:rowOff>
    </xdr:to>
    <xdr:cxnSp macro="">
      <xdr:nvCxnSpPr>
        <xdr:cNvPr id="15" name="Conector recto 14">
          <a:extLst>
            <a:ext uri="{FF2B5EF4-FFF2-40B4-BE49-F238E27FC236}">
              <a16:creationId xmlns:a16="http://schemas.microsoft.com/office/drawing/2014/main" id="{00000000-0008-0000-0000-00000F000000}"/>
            </a:ext>
          </a:extLst>
        </xdr:cNvPr>
        <xdr:cNvCxnSpPr/>
      </xdr:nvCxnSpPr>
      <xdr:spPr>
        <a:xfrm flipH="1">
          <a:off x="1795463" y="25341263"/>
          <a:ext cx="628650" cy="1328737"/>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42863</xdr:colOff>
      <xdr:row>154</xdr:row>
      <xdr:rowOff>123825</xdr:rowOff>
    </xdr:from>
    <xdr:to>
      <xdr:col>4</xdr:col>
      <xdr:colOff>0</xdr:colOff>
      <xdr:row>154</xdr:row>
      <xdr:rowOff>123825</xdr:rowOff>
    </xdr:to>
    <xdr:cxnSp macro="">
      <xdr:nvCxnSpPr>
        <xdr:cNvPr id="20" name="Conector recto de flecha 19">
          <a:extLst>
            <a:ext uri="{FF2B5EF4-FFF2-40B4-BE49-F238E27FC236}">
              <a16:creationId xmlns:a16="http://schemas.microsoft.com/office/drawing/2014/main" id="{00000000-0008-0000-0000-000014000000}"/>
            </a:ext>
          </a:extLst>
        </xdr:cNvPr>
        <xdr:cNvCxnSpPr/>
      </xdr:nvCxnSpPr>
      <xdr:spPr>
        <a:xfrm>
          <a:off x="1833563" y="26603325"/>
          <a:ext cx="595312"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109538</xdr:colOff>
      <xdr:row>153</xdr:row>
      <xdr:rowOff>161925</xdr:rowOff>
    </xdr:from>
    <xdr:to>
      <xdr:col>4</xdr:col>
      <xdr:colOff>9525</xdr:colOff>
      <xdr:row>153</xdr:row>
      <xdr:rowOff>161925</xdr:rowOff>
    </xdr:to>
    <xdr:cxnSp macro="">
      <xdr:nvCxnSpPr>
        <xdr:cNvPr id="72" name="Conector recto de flecha 71">
          <a:extLst>
            <a:ext uri="{FF2B5EF4-FFF2-40B4-BE49-F238E27FC236}">
              <a16:creationId xmlns:a16="http://schemas.microsoft.com/office/drawing/2014/main" id="{00000000-0008-0000-0000-000048000000}"/>
            </a:ext>
          </a:extLst>
        </xdr:cNvPr>
        <xdr:cNvCxnSpPr/>
      </xdr:nvCxnSpPr>
      <xdr:spPr>
        <a:xfrm>
          <a:off x="1900238" y="26450925"/>
          <a:ext cx="538162"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176213</xdr:colOff>
      <xdr:row>153</xdr:row>
      <xdr:rowOff>19050</xdr:rowOff>
    </xdr:from>
    <xdr:to>
      <xdr:col>4</xdr:col>
      <xdr:colOff>9525</xdr:colOff>
      <xdr:row>153</xdr:row>
      <xdr:rowOff>19050</xdr:rowOff>
    </xdr:to>
    <xdr:cxnSp macro="">
      <xdr:nvCxnSpPr>
        <xdr:cNvPr id="74" name="Conector recto de flecha 73">
          <a:extLst>
            <a:ext uri="{FF2B5EF4-FFF2-40B4-BE49-F238E27FC236}">
              <a16:creationId xmlns:a16="http://schemas.microsoft.com/office/drawing/2014/main" id="{00000000-0008-0000-0000-00004A000000}"/>
            </a:ext>
          </a:extLst>
        </xdr:cNvPr>
        <xdr:cNvCxnSpPr/>
      </xdr:nvCxnSpPr>
      <xdr:spPr>
        <a:xfrm>
          <a:off x="1966913" y="26308050"/>
          <a:ext cx="471487"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242888</xdr:colOff>
      <xdr:row>152</xdr:row>
      <xdr:rowOff>80963</xdr:rowOff>
    </xdr:from>
    <xdr:to>
      <xdr:col>4</xdr:col>
      <xdr:colOff>9525</xdr:colOff>
      <xdr:row>152</xdr:row>
      <xdr:rowOff>80963</xdr:rowOff>
    </xdr:to>
    <xdr:cxnSp macro="">
      <xdr:nvCxnSpPr>
        <xdr:cNvPr id="76" name="Conector recto de flecha 75">
          <a:extLst>
            <a:ext uri="{FF2B5EF4-FFF2-40B4-BE49-F238E27FC236}">
              <a16:creationId xmlns:a16="http://schemas.microsoft.com/office/drawing/2014/main" id="{00000000-0008-0000-0000-00004C000000}"/>
            </a:ext>
          </a:extLst>
        </xdr:cNvPr>
        <xdr:cNvCxnSpPr/>
      </xdr:nvCxnSpPr>
      <xdr:spPr>
        <a:xfrm>
          <a:off x="2033588" y="26179463"/>
          <a:ext cx="404812"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304800</xdr:colOff>
      <xdr:row>151</xdr:row>
      <xdr:rowOff>133351</xdr:rowOff>
    </xdr:from>
    <xdr:to>
      <xdr:col>4</xdr:col>
      <xdr:colOff>4763</xdr:colOff>
      <xdr:row>151</xdr:row>
      <xdr:rowOff>133351</xdr:rowOff>
    </xdr:to>
    <xdr:cxnSp macro="">
      <xdr:nvCxnSpPr>
        <xdr:cNvPr id="78" name="Conector recto de flecha 77">
          <a:extLst>
            <a:ext uri="{FF2B5EF4-FFF2-40B4-BE49-F238E27FC236}">
              <a16:creationId xmlns:a16="http://schemas.microsoft.com/office/drawing/2014/main" id="{00000000-0008-0000-0000-00004E000000}"/>
            </a:ext>
          </a:extLst>
        </xdr:cNvPr>
        <xdr:cNvCxnSpPr/>
      </xdr:nvCxnSpPr>
      <xdr:spPr>
        <a:xfrm>
          <a:off x="2095500" y="26041351"/>
          <a:ext cx="338138"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361950</xdr:colOff>
      <xdr:row>150</xdr:row>
      <xdr:rowOff>185738</xdr:rowOff>
    </xdr:from>
    <xdr:to>
      <xdr:col>4</xdr:col>
      <xdr:colOff>14285</xdr:colOff>
      <xdr:row>150</xdr:row>
      <xdr:rowOff>185738</xdr:rowOff>
    </xdr:to>
    <xdr:cxnSp macro="">
      <xdr:nvCxnSpPr>
        <xdr:cNvPr id="80" name="Conector recto de flecha 79">
          <a:extLst>
            <a:ext uri="{FF2B5EF4-FFF2-40B4-BE49-F238E27FC236}">
              <a16:creationId xmlns:a16="http://schemas.microsoft.com/office/drawing/2014/main" id="{00000000-0008-0000-0000-000050000000}"/>
            </a:ext>
          </a:extLst>
        </xdr:cNvPr>
        <xdr:cNvCxnSpPr/>
      </xdr:nvCxnSpPr>
      <xdr:spPr>
        <a:xfrm>
          <a:off x="2152650" y="25903238"/>
          <a:ext cx="290510"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428625</xdr:colOff>
      <xdr:row>150</xdr:row>
      <xdr:rowOff>66675</xdr:rowOff>
    </xdr:from>
    <xdr:to>
      <xdr:col>4</xdr:col>
      <xdr:colOff>9523</xdr:colOff>
      <xdr:row>150</xdr:row>
      <xdr:rowOff>66675</xdr:rowOff>
    </xdr:to>
    <xdr:cxnSp macro="">
      <xdr:nvCxnSpPr>
        <xdr:cNvPr id="82" name="Conector recto de flecha 81">
          <a:extLst>
            <a:ext uri="{FF2B5EF4-FFF2-40B4-BE49-F238E27FC236}">
              <a16:creationId xmlns:a16="http://schemas.microsoft.com/office/drawing/2014/main" id="{00000000-0008-0000-0000-000052000000}"/>
            </a:ext>
          </a:extLst>
        </xdr:cNvPr>
        <xdr:cNvCxnSpPr/>
      </xdr:nvCxnSpPr>
      <xdr:spPr>
        <a:xfrm>
          <a:off x="2219325" y="25784175"/>
          <a:ext cx="219073"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490538</xdr:colOff>
      <xdr:row>149</xdr:row>
      <xdr:rowOff>128588</xdr:rowOff>
    </xdr:from>
    <xdr:to>
      <xdr:col>4</xdr:col>
      <xdr:colOff>4761</xdr:colOff>
      <xdr:row>149</xdr:row>
      <xdr:rowOff>128588</xdr:rowOff>
    </xdr:to>
    <xdr:cxnSp macro="">
      <xdr:nvCxnSpPr>
        <xdr:cNvPr id="84" name="Conector recto de flecha 83">
          <a:extLst>
            <a:ext uri="{FF2B5EF4-FFF2-40B4-BE49-F238E27FC236}">
              <a16:creationId xmlns:a16="http://schemas.microsoft.com/office/drawing/2014/main" id="{00000000-0008-0000-0000-000054000000}"/>
            </a:ext>
          </a:extLst>
        </xdr:cNvPr>
        <xdr:cNvCxnSpPr/>
      </xdr:nvCxnSpPr>
      <xdr:spPr>
        <a:xfrm>
          <a:off x="2281238" y="25655588"/>
          <a:ext cx="152398"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4763</xdr:colOff>
      <xdr:row>148</xdr:row>
      <xdr:rowOff>0</xdr:rowOff>
    </xdr:from>
    <xdr:to>
      <xdr:col>7</xdr:col>
      <xdr:colOff>4763</xdr:colOff>
      <xdr:row>154</xdr:row>
      <xdr:rowOff>185739</xdr:rowOff>
    </xdr:to>
    <xdr:cxnSp macro="">
      <xdr:nvCxnSpPr>
        <xdr:cNvPr id="16" name="Conector recto 15">
          <a:extLst>
            <a:ext uri="{FF2B5EF4-FFF2-40B4-BE49-F238E27FC236}">
              <a16:creationId xmlns:a16="http://schemas.microsoft.com/office/drawing/2014/main" id="{00000000-0008-0000-0000-000010000000}"/>
            </a:ext>
          </a:extLst>
        </xdr:cNvPr>
        <xdr:cNvCxnSpPr/>
      </xdr:nvCxnSpPr>
      <xdr:spPr>
        <a:xfrm flipV="1">
          <a:off x="4252913" y="25336500"/>
          <a:ext cx="1009650" cy="1328739"/>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106551</xdr:colOff>
      <xdr:row>154</xdr:row>
      <xdr:rowOff>76200</xdr:rowOff>
    </xdr:from>
    <xdr:to>
      <xdr:col>7</xdr:col>
      <xdr:colOff>19051</xdr:colOff>
      <xdr:row>154</xdr:row>
      <xdr:rowOff>80720</xdr:rowOff>
    </xdr:to>
    <xdr:cxnSp macro="">
      <xdr:nvCxnSpPr>
        <xdr:cNvPr id="75" name="Conector recto de flecha 74">
          <a:extLst>
            <a:ext uri="{FF2B5EF4-FFF2-40B4-BE49-F238E27FC236}">
              <a16:creationId xmlns:a16="http://schemas.microsoft.com/office/drawing/2014/main" id="{00000000-0008-0000-0000-00004B000000}"/>
            </a:ext>
          </a:extLst>
        </xdr:cNvPr>
        <xdr:cNvCxnSpPr/>
      </xdr:nvCxnSpPr>
      <xdr:spPr>
        <a:xfrm flipV="1">
          <a:off x="4410559" y="27889200"/>
          <a:ext cx="997382" cy="452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195263</xdr:colOff>
      <xdr:row>153</xdr:row>
      <xdr:rowOff>138113</xdr:rowOff>
    </xdr:from>
    <xdr:to>
      <xdr:col>7</xdr:col>
      <xdr:colOff>14289</xdr:colOff>
      <xdr:row>153</xdr:row>
      <xdr:rowOff>138113</xdr:rowOff>
    </xdr:to>
    <xdr:cxnSp macro="">
      <xdr:nvCxnSpPr>
        <xdr:cNvPr id="77" name="Conector recto de flecha 76">
          <a:extLst>
            <a:ext uri="{FF2B5EF4-FFF2-40B4-BE49-F238E27FC236}">
              <a16:creationId xmlns:a16="http://schemas.microsoft.com/office/drawing/2014/main" id="{00000000-0008-0000-0000-00004D000000}"/>
            </a:ext>
          </a:extLst>
        </xdr:cNvPr>
        <xdr:cNvCxnSpPr/>
      </xdr:nvCxnSpPr>
      <xdr:spPr>
        <a:xfrm>
          <a:off x="4443413" y="26427113"/>
          <a:ext cx="828676"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319653</xdr:colOff>
      <xdr:row>152</xdr:row>
      <xdr:rowOff>185738</xdr:rowOff>
    </xdr:from>
    <xdr:to>
      <xdr:col>7</xdr:col>
      <xdr:colOff>9526</xdr:colOff>
      <xdr:row>153</xdr:row>
      <xdr:rowOff>0</xdr:rowOff>
    </xdr:to>
    <xdr:cxnSp macro="">
      <xdr:nvCxnSpPr>
        <xdr:cNvPr id="79" name="Conector recto de flecha 78">
          <a:extLst>
            <a:ext uri="{FF2B5EF4-FFF2-40B4-BE49-F238E27FC236}">
              <a16:creationId xmlns:a16="http://schemas.microsoft.com/office/drawing/2014/main" id="{00000000-0008-0000-0000-00004F000000}"/>
            </a:ext>
          </a:extLst>
        </xdr:cNvPr>
        <xdr:cNvCxnSpPr/>
      </xdr:nvCxnSpPr>
      <xdr:spPr>
        <a:xfrm flipV="1">
          <a:off x="4623661" y="27617738"/>
          <a:ext cx="774755" cy="4762"/>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429433</xdr:colOff>
      <xdr:row>152</xdr:row>
      <xdr:rowOff>51661</xdr:rowOff>
    </xdr:from>
    <xdr:to>
      <xdr:col>7</xdr:col>
      <xdr:colOff>9526</xdr:colOff>
      <xdr:row>152</xdr:row>
      <xdr:rowOff>52388</xdr:rowOff>
    </xdr:to>
    <xdr:cxnSp macro="">
      <xdr:nvCxnSpPr>
        <xdr:cNvPr id="81" name="Conector recto de flecha 80">
          <a:extLst>
            <a:ext uri="{FF2B5EF4-FFF2-40B4-BE49-F238E27FC236}">
              <a16:creationId xmlns:a16="http://schemas.microsoft.com/office/drawing/2014/main" id="{00000000-0008-0000-0000-000051000000}"/>
            </a:ext>
          </a:extLst>
        </xdr:cNvPr>
        <xdr:cNvCxnSpPr/>
      </xdr:nvCxnSpPr>
      <xdr:spPr>
        <a:xfrm>
          <a:off x="4733441" y="27483661"/>
          <a:ext cx="664975" cy="727"/>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532755</xdr:colOff>
      <xdr:row>151</xdr:row>
      <xdr:rowOff>113008</xdr:rowOff>
    </xdr:from>
    <xdr:to>
      <xdr:col>7</xdr:col>
      <xdr:colOff>4763</xdr:colOff>
      <xdr:row>151</xdr:row>
      <xdr:rowOff>114300</xdr:rowOff>
    </xdr:to>
    <xdr:cxnSp macro="">
      <xdr:nvCxnSpPr>
        <xdr:cNvPr id="83" name="Conector recto de flecha 82">
          <a:extLst>
            <a:ext uri="{FF2B5EF4-FFF2-40B4-BE49-F238E27FC236}">
              <a16:creationId xmlns:a16="http://schemas.microsoft.com/office/drawing/2014/main" id="{00000000-0008-0000-0000-000053000000}"/>
            </a:ext>
          </a:extLst>
        </xdr:cNvPr>
        <xdr:cNvCxnSpPr/>
      </xdr:nvCxnSpPr>
      <xdr:spPr>
        <a:xfrm>
          <a:off x="4836763" y="27354508"/>
          <a:ext cx="556890" cy="1292"/>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642534</xdr:colOff>
      <xdr:row>150</xdr:row>
      <xdr:rowOff>180814</xdr:rowOff>
    </xdr:from>
    <xdr:to>
      <xdr:col>7</xdr:col>
      <xdr:colOff>0</xdr:colOff>
      <xdr:row>150</xdr:row>
      <xdr:rowOff>185739</xdr:rowOff>
    </xdr:to>
    <xdr:cxnSp macro="">
      <xdr:nvCxnSpPr>
        <xdr:cNvPr id="85" name="Conector recto de flecha 84">
          <a:extLst>
            <a:ext uri="{FF2B5EF4-FFF2-40B4-BE49-F238E27FC236}">
              <a16:creationId xmlns:a16="http://schemas.microsoft.com/office/drawing/2014/main" id="{00000000-0008-0000-0000-000055000000}"/>
            </a:ext>
          </a:extLst>
        </xdr:cNvPr>
        <xdr:cNvCxnSpPr/>
      </xdr:nvCxnSpPr>
      <xdr:spPr>
        <a:xfrm>
          <a:off x="4946542" y="27231814"/>
          <a:ext cx="442348" cy="4925"/>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745788</xdr:colOff>
      <xdr:row>150</xdr:row>
      <xdr:rowOff>47625</xdr:rowOff>
    </xdr:from>
    <xdr:to>
      <xdr:col>7</xdr:col>
      <xdr:colOff>4762</xdr:colOff>
      <xdr:row>150</xdr:row>
      <xdr:rowOff>52691</xdr:rowOff>
    </xdr:to>
    <xdr:cxnSp macro="">
      <xdr:nvCxnSpPr>
        <xdr:cNvPr id="87" name="Conector recto de flecha 86">
          <a:extLst>
            <a:ext uri="{FF2B5EF4-FFF2-40B4-BE49-F238E27FC236}">
              <a16:creationId xmlns:a16="http://schemas.microsoft.com/office/drawing/2014/main" id="{00000000-0008-0000-0000-000057000000}"/>
            </a:ext>
          </a:extLst>
        </xdr:cNvPr>
        <xdr:cNvCxnSpPr/>
      </xdr:nvCxnSpPr>
      <xdr:spPr>
        <a:xfrm flipV="1">
          <a:off x="5050277" y="27098625"/>
          <a:ext cx="345230" cy="5066"/>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862013</xdr:colOff>
      <xdr:row>149</xdr:row>
      <xdr:rowOff>100013</xdr:rowOff>
    </xdr:from>
    <xdr:to>
      <xdr:col>6</xdr:col>
      <xdr:colOff>1076324</xdr:colOff>
      <xdr:row>149</xdr:row>
      <xdr:rowOff>100013</xdr:rowOff>
    </xdr:to>
    <xdr:cxnSp macro="">
      <xdr:nvCxnSpPr>
        <xdr:cNvPr id="89" name="Conector recto de flecha 88">
          <a:extLst>
            <a:ext uri="{FF2B5EF4-FFF2-40B4-BE49-F238E27FC236}">
              <a16:creationId xmlns:a16="http://schemas.microsoft.com/office/drawing/2014/main" id="{00000000-0008-0000-0000-000059000000}"/>
            </a:ext>
          </a:extLst>
        </xdr:cNvPr>
        <xdr:cNvCxnSpPr/>
      </xdr:nvCxnSpPr>
      <xdr:spPr>
        <a:xfrm>
          <a:off x="5167313" y="26960513"/>
          <a:ext cx="214311" cy="0"/>
        </a:xfrm>
        <a:prstGeom prst="straightConnector1">
          <a:avLst/>
        </a:prstGeom>
        <a:ln>
          <a:solidFill>
            <a:schemeClr val="tx1"/>
          </a:solidFill>
          <a:tailEnd type="arrow" w="sm" len="med"/>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4</xdr:col>
      <xdr:colOff>133350</xdr:colOff>
      <xdr:row>159</xdr:row>
      <xdr:rowOff>95250</xdr:rowOff>
    </xdr:from>
    <xdr:ext cx="1473672" cy="346570"/>
    <mc:AlternateContent xmlns:mc="http://schemas.openxmlformats.org/markup-compatibility/2006" xmlns:a14="http://schemas.microsoft.com/office/drawing/2010/main">
      <mc:Choice Requires="a14">
        <xdr:sp macro="" textlink="">
          <xdr:nvSpPr>
            <xdr:cNvPr id="41" name="CuadroTexto 40">
              <a:extLst>
                <a:ext uri="{FF2B5EF4-FFF2-40B4-BE49-F238E27FC236}">
                  <a16:creationId xmlns:a16="http://schemas.microsoft.com/office/drawing/2014/main" id="{00000000-0008-0000-0000-000029000000}"/>
                </a:ext>
              </a:extLst>
            </xdr:cNvPr>
            <xdr:cNvSpPr txBox="1"/>
          </xdr:nvSpPr>
          <xdr:spPr>
            <a:xfrm>
              <a:off x="2562225" y="27717750"/>
              <a:ext cx="1473672"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𝑤𝑦</m:t>
                        </m:r>
                      </m:sub>
                    </m:sSub>
                    <m:r>
                      <a:rPr lang="es-PE" sz="1100" b="0" i="1">
                        <a:latin typeface="Cambria Math" panose="02040503050406030204" pitchFamily="18" charset="0"/>
                      </a:rPr>
                      <m:t>=</m:t>
                    </m:r>
                    <m:r>
                      <a:rPr lang="es-PE" sz="1100" b="0" i="1">
                        <a:latin typeface="Cambria Math" panose="02040503050406030204" pitchFamily="18" charset="0"/>
                      </a:rPr>
                      <m:t>𝑍𝑆𝐼</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𝐶</m:t>
                            </m:r>
                          </m:e>
                          <m:sub>
                            <m:r>
                              <a:rPr lang="es-PE" sz="1100" b="0" i="1">
                                <a:latin typeface="Cambria Math" panose="02040503050406030204" pitchFamily="18" charset="0"/>
                              </a:rPr>
                              <m:t>𝑖</m:t>
                            </m:r>
                          </m:sub>
                        </m:sSub>
                      </m:num>
                      <m:den>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𝑤𝑖</m:t>
                            </m:r>
                          </m:sub>
                        </m:sSub>
                      </m:den>
                    </m:f>
                    <m:d>
                      <m:dPr>
                        <m:ctrlPr>
                          <a:rPr lang="es-PE" sz="1100" b="0" i="1">
                            <a:latin typeface="Cambria Math" panose="02040503050406030204" pitchFamily="18" charset="0"/>
                          </a:rPr>
                        </m:ctrlPr>
                      </m:dPr>
                      <m:e>
                        <m:r>
                          <a:rPr lang="es-PE" sz="1100" b="0" i="1">
                            <a:latin typeface="Cambria Math" panose="02040503050406030204" pitchFamily="18" charset="0"/>
                            <a:ea typeface="Cambria Math" panose="02040503050406030204" pitchFamily="18" charset="0"/>
                          </a:rPr>
                          <m:t>𝜀</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𝛾</m:t>
                            </m:r>
                          </m:e>
                          <m:sub>
                            <m:r>
                              <a:rPr lang="es-PE" sz="1100" b="0" i="1">
                                <a:latin typeface="Cambria Math" panose="02040503050406030204" pitchFamily="18" charset="0"/>
                                <a:ea typeface="Cambria Math" panose="02040503050406030204" pitchFamily="18" charset="0"/>
                              </a:rPr>
                              <m:t>𝑐</m:t>
                            </m:r>
                          </m:sub>
                        </m:sSub>
                        <m:r>
                          <a:rPr lang="es-PE" sz="1100" b="0" i="1">
                            <a:latin typeface="Cambria Math" panose="02040503050406030204" pitchFamily="18" charset="0"/>
                            <a:ea typeface="Cambria Math" panose="02040503050406030204" pitchFamily="18" charset="0"/>
                          </a:rPr>
                          <m:t>𝐵</m:t>
                        </m:r>
                        <m:sSub>
                          <m:sSubPr>
                            <m:ctrlPr>
                              <a:rPr lang="es-PE" sz="1100" b="0" i="1">
                                <a:latin typeface="Cambria Math" panose="02040503050406030204" pitchFamily="18" charset="0"/>
                                <a:ea typeface="Cambria Math" panose="02040503050406030204" pitchFamily="18" charset="0"/>
                              </a:rPr>
                            </m:ctrlPr>
                          </m:sSubPr>
                          <m:e>
                            <m:r>
                              <a:rPr lang="es-PE" sz="1100" b="0" i="1">
                                <a:latin typeface="Cambria Math" panose="02040503050406030204" pitchFamily="18" charset="0"/>
                                <a:ea typeface="Cambria Math" panose="02040503050406030204" pitchFamily="18" charset="0"/>
                              </a:rPr>
                              <m:t>𝑡</m:t>
                            </m:r>
                          </m:e>
                          <m:sub>
                            <m:r>
                              <a:rPr lang="es-PE" sz="1100" b="0" i="1">
                                <a:latin typeface="Cambria Math" panose="02040503050406030204" pitchFamily="18" charset="0"/>
                                <a:ea typeface="Cambria Math" panose="02040503050406030204" pitchFamily="18" charset="0"/>
                              </a:rPr>
                              <m:t>𝑤</m:t>
                            </m:r>
                          </m:sub>
                        </m:sSub>
                      </m:e>
                    </m:d>
                  </m:oMath>
                </m:oMathPara>
              </a14:m>
              <a:endParaRPr lang="es-ES" sz="1100"/>
            </a:p>
          </xdr:txBody>
        </xdr:sp>
      </mc:Choice>
      <mc:Fallback xmlns="">
        <xdr:sp macro="" textlink="">
          <xdr:nvSpPr>
            <xdr:cNvPr id="41" name="CuadroTexto 40">
              <a:extLst>
                <a:ext uri="{FF2B5EF4-FFF2-40B4-BE49-F238E27FC236}">
                  <a16:creationId xmlns:a16="http://schemas.microsoft.com/office/drawing/2014/main" id="{68F1B3C4-9726-4648-90B8-72060AB32C11}"/>
                </a:ext>
              </a:extLst>
            </xdr:cNvPr>
            <xdr:cNvSpPr txBox="1"/>
          </xdr:nvSpPr>
          <xdr:spPr>
            <a:xfrm>
              <a:off x="2562225" y="27717750"/>
              <a:ext cx="1473672" cy="3465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𝑃</a:t>
              </a:r>
              <a:r>
                <a:rPr lang="es-ES" sz="1100" b="0" i="0">
                  <a:latin typeface="Cambria Math" panose="02040503050406030204" pitchFamily="18" charset="0"/>
                </a:rPr>
                <a:t>_</a:t>
              </a:r>
              <a:r>
                <a:rPr lang="es-PE" sz="1100" b="0" i="0">
                  <a:latin typeface="Cambria Math" panose="02040503050406030204" pitchFamily="18" charset="0"/>
                </a:rPr>
                <a:t>𝑤𝑦=𝑍𝑆𝐼 𝐶_𝑖/𝑅_𝑤𝑖  (</a:t>
              </a:r>
              <a:r>
                <a:rPr lang="es-PE" sz="1100" b="0" i="0">
                  <a:latin typeface="Cambria Math" panose="02040503050406030204" pitchFamily="18" charset="0"/>
                  <a:ea typeface="Cambria Math" panose="02040503050406030204" pitchFamily="18" charset="0"/>
                </a:rPr>
                <a:t>𝜀𝛾_𝑐 𝐵𝑡_𝑤 )</a:t>
              </a:r>
              <a:endParaRPr lang="es-ES" sz="1100"/>
            </a:p>
          </xdr:txBody>
        </xdr:sp>
      </mc:Fallback>
    </mc:AlternateContent>
    <xdr:clientData/>
  </xdr:oneCellAnchor>
  <xdr:oneCellAnchor>
    <xdr:from>
      <xdr:col>7</xdr:col>
      <xdr:colOff>342901</xdr:colOff>
      <xdr:row>160</xdr:row>
      <xdr:rowOff>0</xdr:rowOff>
    </xdr:from>
    <xdr:ext cx="523874" cy="182935"/>
    <mc:AlternateContent xmlns:mc="http://schemas.openxmlformats.org/markup-compatibility/2006" xmlns:a14="http://schemas.microsoft.com/office/drawing/2010/main">
      <mc:Choice Requires="a14">
        <xdr:sp macro="" textlink="">
          <xdr:nvSpPr>
            <xdr:cNvPr id="92" name="CuadroTexto 91">
              <a:extLst>
                <a:ext uri="{FF2B5EF4-FFF2-40B4-BE49-F238E27FC236}">
                  <a16:creationId xmlns:a16="http://schemas.microsoft.com/office/drawing/2014/main" id="{00000000-0008-0000-0000-00005C000000}"/>
                </a:ext>
              </a:extLst>
            </xdr:cNvPr>
            <xdr:cNvSpPr txBox="1"/>
          </xdr:nvSpPr>
          <xdr:spPr>
            <a:xfrm>
              <a:off x="5600701" y="27622500"/>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𝑤𝑦</m:t>
                        </m:r>
                      </m:sub>
                    </m:sSub>
                    <m:r>
                      <a:rPr lang="es-PE" sz="1100" b="0" i="1">
                        <a:latin typeface="Cambria Math" panose="02040503050406030204" pitchFamily="18" charset="0"/>
                      </a:rPr>
                      <m:t>=</m:t>
                    </m:r>
                  </m:oMath>
                </m:oMathPara>
              </a14:m>
              <a:endParaRPr lang="es-ES" sz="1100"/>
            </a:p>
          </xdr:txBody>
        </xdr:sp>
      </mc:Choice>
      <mc:Fallback xmlns="">
        <xdr:sp macro="" textlink="">
          <xdr:nvSpPr>
            <xdr:cNvPr id="92" name="CuadroTexto 91">
              <a:extLst>
                <a:ext uri="{FF2B5EF4-FFF2-40B4-BE49-F238E27FC236}">
                  <a16:creationId xmlns:a16="http://schemas.microsoft.com/office/drawing/2014/main" id="{29EF3497-45B7-4DCE-BF80-9B2527CC809A}"/>
                </a:ext>
              </a:extLst>
            </xdr:cNvPr>
            <xdr:cNvSpPr txBox="1"/>
          </xdr:nvSpPr>
          <xdr:spPr>
            <a:xfrm>
              <a:off x="5600701" y="27622500"/>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100" b="0" i="0">
                  <a:latin typeface="Cambria Math" panose="02040503050406030204" pitchFamily="18" charset="0"/>
                </a:rPr>
                <a:t>𝑃</a:t>
              </a:r>
              <a:r>
                <a:rPr lang="es-ES" sz="1100" b="0" i="0">
                  <a:latin typeface="Cambria Math" panose="02040503050406030204" pitchFamily="18" charset="0"/>
                </a:rPr>
                <a:t>_</a:t>
              </a:r>
              <a:r>
                <a:rPr lang="es-PE" sz="1100" b="0" i="0">
                  <a:latin typeface="Cambria Math" panose="02040503050406030204" pitchFamily="18" charset="0"/>
                </a:rPr>
                <a:t>𝑤𝑦=</a:t>
              </a:r>
              <a:endParaRPr lang="es-ES" sz="1100"/>
            </a:p>
          </xdr:txBody>
        </xdr:sp>
      </mc:Fallback>
    </mc:AlternateContent>
    <xdr:clientData/>
  </xdr:oneCellAnchor>
  <xdr:oneCellAnchor>
    <xdr:from>
      <xdr:col>4</xdr:col>
      <xdr:colOff>123825</xdr:colOff>
      <xdr:row>161</xdr:row>
      <xdr:rowOff>95250</xdr:rowOff>
    </xdr:from>
    <xdr:ext cx="2763064" cy="360612"/>
    <mc:AlternateContent xmlns:mc="http://schemas.openxmlformats.org/markup-compatibility/2006" xmlns:a14="http://schemas.microsoft.com/office/drawing/2010/main">
      <mc:Choice Requires="a14">
        <xdr:sp macro="" textlink="">
          <xdr:nvSpPr>
            <xdr:cNvPr id="49" name="CuadroTexto 48">
              <a:extLst>
                <a:ext uri="{FF2B5EF4-FFF2-40B4-BE49-F238E27FC236}">
                  <a16:creationId xmlns:a16="http://schemas.microsoft.com/office/drawing/2014/main" id="{00000000-0008-0000-0000-000031000000}"/>
                </a:ext>
              </a:extLst>
            </xdr:cNvPr>
            <xdr:cNvSpPr txBox="1"/>
          </xdr:nvSpPr>
          <xdr:spPr>
            <a:xfrm>
              <a:off x="2552700" y="27908250"/>
              <a:ext cx="2763064" cy="360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𝑖𝑦</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𝑖</m:t>
                            </m:r>
                          </m:sub>
                        </m:sSub>
                      </m:num>
                      <m:den>
                        <m:r>
                          <a:rPr lang="es-PE" sz="1100" b="0" i="1">
                            <a:latin typeface="Cambria Math" panose="02040503050406030204" pitchFamily="18" charset="0"/>
                          </a:rPr>
                          <m:t>2</m:t>
                        </m:r>
                        <m:sSubSup>
                          <m:sSubSupPr>
                            <m:ctrlPr>
                              <a:rPr lang="es-PE" sz="1100" b="0" i="1">
                                <a:latin typeface="Cambria Math" panose="02040503050406030204" pitchFamily="18" charset="0"/>
                              </a:rPr>
                            </m:ctrlPr>
                          </m:sSubSupPr>
                          <m:e>
                            <m:r>
                              <a:rPr lang="es-PE" sz="1100" b="0" i="1">
                                <a:latin typeface="Cambria Math" panose="02040503050406030204" pitchFamily="18" charset="0"/>
                              </a:rPr>
                              <m:t>𝐻</m:t>
                            </m:r>
                          </m:e>
                          <m:sub>
                            <m:r>
                              <a:rPr lang="es-PE" sz="1100" b="0" i="1">
                                <a:latin typeface="Cambria Math" panose="02040503050406030204" pitchFamily="18" charset="0"/>
                              </a:rPr>
                              <m:t>𝐿</m:t>
                            </m:r>
                          </m:sub>
                          <m:sup>
                            <m:r>
                              <a:rPr lang="es-PE" sz="1100" b="0" i="1">
                                <a:latin typeface="Cambria Math" panose="02040503050406030204" pitchFamily="18" charset="0"/>
                              </a:rPr>
                              <m:t>2</m:t>
                            </m:r>
                          </m:sup>
                        </m:sSubSup>
                      </m:den>
                    </m:f>
                    <m:d>
                      <m:dPr>
                        <m:ctrlPr>
                          <a:rPr lang="es-PE" sz="1100" b="0" i="1">
                            <a:latin typeface="Cambria Math" panose="02040503050406030204" pitchFamily="18" charset="0"/>
                          </a:rPr>
                        </m:ctrlPr>
                      </m:dPr>
                      <m:e>
                        <m:r>
                          <a:rPr lang="es-PE" sz="1100" b="0" i="1">
                            <a:latin typeface="Cambria Math" panose="02040503050406030204" pitchFamily="18" charset="0"/>
                          </a:rPr>
                          <m:t>4</m:t>
                        </m:r>
                        <m:sSub>
                          <m:sSubPr>
                            <m:ctrlPr>
                              <a:rPr lang="es-PE" sz="1100" b="0" i="1">
                                <a:latin typeface="Cambria Math" panose="02040503050406030204" pitchFamily="18" charset="0"/>
                              </a:rPr>
                            </m:ctrlPr>
                          </m:sSubPr>
                          <m:e>
                            <m:r>
                              <a:rPr lang="es-PE" sz="1100" b="0" i="1">
                                <a:latin typeface="Cambria Math" panose="02040503050406030204" pitchFamily="18" charset="0"/>
                              </a:rPr>
                              <m:t>𝐻</m:t>
                            </m:r>
                          </m:e>
                          <m:sub>
                            <m:r>
                              <a:rPr lang="es-PE" sz="1100" b="0" i="1">
                                <a:latin typeface="Cambria Math" panose="02040503050406030204" pitchFamily="18" charset="0"/>
                              </a:rPr>
                              <m:t>𝐿</m:t>
                            </m:r>
                          </m:sub>
                        </m:sSub>
                        <m:r>
                          <a:rPr lang="es-PE" sz="1100" b="0" i="1">
                            <a:latin typeface="Cambria Math" panose="02040503050406030204" pitchFamily="18" charset="0"/>
                          </a:rPr>
                          <m:t>−6</m:t>
                        </m:r>
                        <m:sSub>
                          <m:sSubPr>
                            <m:ctrlPr>
                              <a:rPr lang="es-PE" sz="1100" b="0" i="1">
                                <a:latin typeface="Cambria Math" panose="02040503050406030204" pitchFamily="18" charset="0"/>
                              </a:rPr>
                            </m:ctrlPr>
                          </m:sSubPr>
                          <m:e>
                            <m:r>
                              <a:rPr lang="es-PE" sz="1100" b="0" i="1">
                                <a:latin typeface="Cambria Math" panose="02040503050406030204" pitchFamily="18" charset="0"/>
                              </a:rPr>
                              <m:t>𝐻</m:t>
                            </m:r>
                          </m:e>
                          <m:sub>
                            <m:r>
                              <a:rPr lang="es-PE" sz="1100" b="0" i="1">
                                <a:latin typeface="Cambria Math" panose="02040503050406030204" pitchFamily="18" charset="0"/>
                              </a:rPr>
                              <m:t>𝑖</m:t>
                            </m:r>
                          </m:sub>
                        </m:sSub>
                      </m:e>
                    </m:d>
                    <m:r>
                      <a:rPr lang="es-PE" sz="1100" b="0" i="1">
                        <a:latin typeface="Cambria Math" panose="02040503050406030204" pitchFamily="18" charset="0"/>
                      </a:rPr>
                      <m:t>−</m:t>
                    </m:r>
                    <m:f>
                      <m:fPr>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𝑃</m:t>
                            </m:r>
                          </m:e>
                          <m:sub>
                            <m:r>
                              <a:rPr lang="es-PE" sz="1100" b="0" i="1">
                                <a:solidFill>
                                  <a:schemeClr val="tx1"/>
                                </a:solidFill>
                                <a:effectLst/>
                                <a:latin typeface="Cambria Math" panose="02040503050406030204" pitchFamily="18" charset="0"/>
                                <a:ea typeface="+mn-ea"/>
                                <a:cs typeface="+mn-cs"/>
                              </a:rPr>
                              <m:t>𝑖</m:t>
                            </m:r>
                          </m:sub>
                        </m:sSub>
                      </m:num>
                      <m:den>
                        <m:r>
                          <a:rPr lang="es-PE" sz="1100" b="0" i="1">
                            <a:solidFill>
                              <a:schemeClr val="tx1"/>
                            </a:solidFill>
                            <a:effectLst/>
                            <a:latin typeface="Cambria Math" panose="02040503050406030204" pitchFamily="18" charset="0"/>
                            <a:ea typeface="+mn-ea"/>
                            <a:cs typeface="+mn-cs"/>
                          </a:rPr>
                          <m:t>2</m:t>
                        </m:r>
                        <m:sSubSup>
                          <m:sSubSupPr>
                            <m:ctrlPr>
                              <a:rPr lang="es-PE" sz="1100" b="0" i="1">
                                <a:solidFill>
                                  <a:schemeClr val="tx1"/>
                                </a:solidFill>
                                <a:effectLst/>
                                <a:latin typeface="Cambria Math" panose="02040503050406030204" pitchFamily="18" charset="0"/>
                                <a:ea typeface="+mn-ea"/>
                                <a:cs typeface="+mn-cs"/>
                              </a:rPr>
                            </m:ctrlPr>
                          </m:sSubSupPr>
                          <m:e>
                            <m:r>
                              <a:rPr lang="es-PE" sz="1100" b="0" i="1">
                                <a:solidFill>
                                  <a:schemeClr val="tx1"/>
                                </a:solidFill>
                                <a:effectLst/>
                                <a:latin typeface="Cambria Math" panose="02040503050406030204" pitchFamily="18" charset="0"/>
                                <a:ea typeface="+mn-ea"/>
                                <a:cs typeface="+mn-cs"/>
                              </a:rPr>
                              <m:t>𝐻</m:t>
                            </m:r>
                          </m:e>
                          <m:sub>
                            <m:r>
                              <a:rPr lang="es-PE" sz="1100" b="0" i="1">
                                <a:solidFill>
                                  <a:schemeClr val="tx1"/>
                                </a:solidFill>
                                <a:effectLst/>
                                <a:latin typeface="Cambria Math" panose="02040503050406030204" pitchFamily="18" charset="0"/>
                                <a:ea typeface="+mn-ea"/>
                                <a:cs typeface="+mn-cs"/>
                              </a:rPr>
                              <m:t>𝐿</m:t>
                            </m:r>
                          </m:sub>
                          <m:sup>
                            <m:r>
                              <a:rPr lang="es-PE" sz="1100" b="0" i="1">
                                <a:solidFill>
                                  <a:schemeClr val="tx1"/>
                                </a:solidFill>
                                <a:effectLst/>
                                <a:latin typeface="Cambria Math" panose="02040503050406030204" pitchFamily="18" charset="0"/>
                                <a:ea typeface="+mn-ea"/>
                                <a:cs typeface="+mn-cs"/>
                              </a:rPr>
                              <m:t>3</m:t>
                            </m:r>
                          </m:sup>
                        </m:sSubSup>
                      </m:den>
                    </m:f>
                    <m:d>
                      <m:dPr>
                        <m:ctrlPr>
                          <a:rPr lang="es-PE" sz="1100" b="0" i="1">
                            <a:solidFill>
                              <a:schemeClr val="tx1"/>
                            </a:solidFill>
                            <a:effectLst/>
                            <a:latin typeface="Cambria Math" panose="02040503050406030204" pitchFamily="18" charset="0"/>
                            <a:ea typeface="+mn-ea"/>
                            <a:cs typeface="+mn-cs"/>
                          </a:rPr>
                        </m:ctrlPr>
                      </m:dPr>
                      <m:e>
                        <m:r>
                          <a:rPr lang="es-PE" sz="1100" b="0" i="1">
                            <a:solidFill>
                              <a:schemeClr val="tx1"/>
                            </a:solidFill>
                            <a:effectLst/>
                            <a:latin typeface="Cambria Math" panose="02040503050406030204" pitchFamily="18" charset="0"/>
                            <a:ea typeface="+mn-ea"/>
                            <a:cs typeface="+mn-cs"/>
                          </a:rPr>
                          <m:t>6</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𝐻</m:t>
                            </m:r>
                          </m:e>
                          <m:sub>
                            <m:r>
                              <a:rPr lang="es-PE" sz="1100" b="0" i="1">
                                <a:solidFill>
                                  <a:schemeClr val="tx1"/>
                                </a:solidFill>
                                <a:effectLst/>
                                <a:latin typeface="Cambria Math" panose="02040503050406030204" pitchFamily="18" charset="0"/>
                                <a:ea typeface="+mn-ea"/>
                                <a:cs typeface="+mn-cs"/>
                              </a:rPr>
                              <m:t>𝐿</m:t>
                            </m:r>
                          </m:sub>
                        </m:sSub>
                        <m:r>
                          <a:rPr lang="es-PE" sz="1100" b="0" i="1">
                            <a:solidFill>
                              <a:schemeClr val="tx1"/>
                            </a:solidFill>
                            <a:effectLst/>
                            <a:latin typeface="Cambria Math" panose="02040503050406030204" pitchFamily="18" charset="0"/>
                            <a:ea typeface="+mn-ea"/>
                            <a:cs typeface="+mn-cs"/>
                          </a:rPr>
                          <m:t>−12</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𝐻</m:t>
                            </m:r>
                          </m:e>
                          <m:sub>
                            <m:r>
                              <a:rPr lang="es-PE" sz="1100" b="0" i="1">
                                <a:solidFill>
                                  <a:schemeClr val="tx1"/>
                                </a:solidFill>
                                <a:effectLst/>
                                <a:latin typeface="Cambria Math" panose="02040503050406030204" pitchFamily="18" charset="0"/>
                                <a:ea typeface="+mn-ea"/>
                                <a:cs typeface="+mn-cs"/>
                              </a:rPr>
                              <m:t>𝑖</m:t>
                            </m:r>
                          </m:sub>
                        </m:sSub>
                      </m:e>
                    </m:d>
                    <m:r>
                      <a:rPr lang="es-PE" sz="1100" b="0" i="1">
                        <a:solidFill>
                          <a:schemeClr val="tx1"/>
                        </a:solidFill>
                        <a:effectLst/>
                        <a:latin typeface="Cambria Math" panose="02040503050406030204" pitchFamily="18" charset="0"/>
                        <a:ea typeface="+mn-ea"/>
                        <a:cs typeface="+mn-cs"/>
                      </a:rPr>
                      <m:t>𝑦</m:t>
                    </m:r>
                  </m:oMath>
                </m:oMathPara>
              </a14:m>
              <a:endParaRPr lang="es-ES" sz="1100"/>
            </a:p>
          </xdr:txBody>
        </xdr:sp>
      </mc:Choice>
      <mc:Fallback xmlns="">
        <xdr:sp macro="" textlink="">
          <xdr:nvSpPr>
            <xdr:cNvPr id="49" name="CuadroTexto 48">
              <a:extLst>
                <a:ext uri="{FF2B5EF4-FFF2-40B4-BE49-F238E27FC236}">
                  <a16:creationId xmlns:a16="http://schemas.microsoft.com/office/drawing/2014/main" id="{0D6AAC19-6A00-4A27-B141-A6AC4CA1017E}"/>
                </a:ext>
              </a:extLst>
            </xdr:cNvPr>
            <xdr:cNvSpPr txBox="1"/>
          </xdr:nvSpPr>
          <xdr:spPr>
            <a:xfrm>
              <a:off x="2552700" y="27908250"/>
              <a:ext cx="2763064" cy="360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𝑃</a:t>
              </a:r>
              <a:r>
                <a:rPr lang="es-ES" sz="1100" b="0" i="0">
                  <a:latin typeface="Cambria Math" panose="02040503050406030204" pitchFamily="18" charset="0"/>
                </a:rPr>
                <a:t>_</a:t>
              </a:r>
              <a:r>
                <a:rPr lang="es-PE" sz="1100" b="0" i="0">
                  <a:latin typeface="Cambria Math" panose="02040503050406030204" pitchFamily="18" charset="0"/>
                </a:rPr>
                <a:t>𝑖𝑦=𝑃_𝑖/(2𝐻_𝐿^2 ) (4𝐻_𝐿−6𝐻_𝑖 )−</a:t>
              </a:r>
              <a:r>
                <a:rPr lang="es-PE" sz="1100" b="0" i="0">
                  <a:solidFill>
                    <a:schemeClr val="tx1"/>
                  </a:solidFill>
                  <a:effectLst/>
                  <a:latin typeface="+mn-lt"/>
                  <a:ea typeface="+mn-ea"/>
                  <a:cs typeface="+mn-cs"/>
                </a:rPr>
                <a:t>𝑃_𝑖/(2𝐻_𝐿^</a:t>
              </a:r>
              <a:r>
                <a:rPr lang="es-PE" sz="1100" b="0" i="0">
                  <a:solidFill>
                    <a:schemeClr val="tx1"/>
                  </a:solidFill>
                  <a:effectLst/>
                  <a:latin typeface="Cambria Math" panose="02040503050406030204" pitchFamily="18" charset="0"/>
                  <a:ea typeface="+mn-ea"/>
                  <a:cs typeface="+mn-cs"/>
                </a:rPr>
                <a:t>3</a:t>
              </a:r>
              <a:r>
                <a:rPr lang="es-PE" sz="1100" b="0" i="0">
                  <a:solidFill>
                    <a:schemeClr val="tx1"/>
                  </a:solidFill>
                  <a:effectLst/>
                  <a:latin typeface="+mn-lt"/>
                  <a:ea typeface="+mn-ea"/>
                  <a:cs typeface="+mn-cs"/>
                </a:rPr>
                <a:t> )</a:t>
              </a:r>
              <a:r>
                <a:rPr lang="es-PE" sz="1100" b="0" i="0">
                  <a:solidFill>
                    <a:schemeClr val="tx1"/>
                  </a:solidFill>
                  <a:effectLst/>
                  <a:latin typeface="Cambria Math" panose="02040503050406030204" pitchFamily="18" charset="0"/>
                  <a:ea typeface="+mn-ea"/>
                  <a:cs typeface="+mn-cs"/>
                </a:rPr>
                <a:t> (6𝐻_𝐿−12𝐻_𝑖 )𝑦</a:t>
              </a:r>
              <a:endParaRPr lang="es-ES" sz="1100"/>
            </a:p>
          </xdr:txBody>
        </xdr:sp>
      </mc:Fallback>
    </mc:AlternateContent>
    <xdr:clientData/>
  </xdr:oneCellAnchor>
  <xdr:oneCellAnchor>
    <xdr:from>
      <xdr:col>4</xdr:col>
      <xdr:colOff>114300</xdr:colOff>
      <xdr:row>163</xdr:row>
      <xdr:rowOff>95250</xdr:rowOff>
    </xdr:from>
    <xdr:ext cx="2820965" cy="360612"/>
    <mc:AlternateContent xmlns:mc="http://schemas.openxmlformats.org/markup-compatibility/2006" xmlns:a14="http://schemas.microsoft.com/office/drawing/2010/main">
      <mc:Choice Requires="a14">
        <xdr:sp macro="" textlink="">
          <xdr:nvSpPr>
            <xdr:cNvPr id="94" name="CuadroTexto 93">
              <a:extLst>
                <a:ext uri="{FF2B5EF4-FFF2-40B4-BE49-F238E27FC236}">
                  <a16:creationId xmlns:a16="http://schemas.microsoft.com/office/drawing/2014/main" id="{00000000-0008-0000-0000-00005E000000}"/>
                </a:ext>
              </a:extLst>
            </xdr:cNvPr>
            <xdr:cNvSpPr txBox="1"/>
          </xdr:nvSpPr>
          <xdr:spPr>
            <a:xfrm>
              <a:off x="2543175" y="28289250"/>
              <a:ext cx="2820965" cy="360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𝑐𝑦</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𝑐</m:t>
                            </m:r>
                          </m:sub>
                        </m:sSub>
                      </m:num>
                      <m:den>
                        <m:r>
                          <a:rPr lang="es-PE" sz="1100" b="0" i="1">
                            <a:latin typeface="Cambria Math" panose="02040503050406030204" pitchFamily="18" charset="0"/>
                          </a:rPr>
                          <m:t>2</m:t>
                        </m:r>
                        <m:sSubSup>
                          <m:sSubSupPr>
                            <m:ctrlPr>
                              <a:rPr lang="es-PE" sz="1100" b="0" i="1">
                                <a:latin typeface="Cambria Math" panose="02040503050406030204" pitchFamily="18" charset="0"/>
                              </a:rPr>
                            </m:ctrlPr>
                          </m:sSubSupPr>
                          <m:e>
                            <m:r>
                              <a:rPr lang="es-PE" sz="1100" b="0" i="1">
                                <a:latin typeface="Cambria Math" panose="02040503050406030204" pitchFamily="18" charset="0"/>
                              </a:rPr>
                              <m:t>𝐻</m:t>
                            </m:r>
                          </m:e>
                          <m:sub>
                            <m:r>
                              <a:rPr lang="es-PE" sz="1100" b="0" i="1">
                                <a:latin typeface="Cambria Math" panose="02040503050406030204" pitchFamily="18" charset="0"/>
                              </a:rPr>
                              <m:t>𝐿</m:t>
                            </m:r>
                          </m:sub>
                          <m:sup>
                            <m:r>
                              <a:rPr lang="es-PE" sz="1100" b="0" i="1">
                                <a:latin typeface="Cambria Math" panose="02040503050406030204" pitchFamily="18" charset="0"/>
                              </a:rPr>
                              <m:t>2</m:t>
                            </m:r>
                          </m:sup>
                        </m:sSubSup>
                      </m:den>
                    </m:f>
                    <m:d>
                      <m:dPr>
                        <m:ctrlPr>
                          <a:rPr lang="es-PE" sz="1100" b="0" i="1">
                            <a:latin typeface="Cambria Math" panose="02040503050406030204" pitchFamily="18" charset="0"/>
                          </a:rPr>
                        </m:ctrlPr>
                      </m:dPr>
                      <m:e>
                        <m:r>
                          <a:rPr lang="es-PE" sz="1100" b="0" i="1">
                            <a:latin typeface="Cambria Math" panose="02040503050406030204" pitchFamily="18" charset="0"/>
                          </a:rPr>
                          <m:t>4</m:t>
                        </m:r>
                        <m:sSub>
                          <m:sSubPr>
                            <m:ctrlPr>
                              <a:rPr lang="es-PE" sz="1100" b="0" i="1">
                                <a:latin typeface="Cambria Math" panose="02040503050406030204" pitchFamily="18" charset="0"/>
                              </a:rPr>
                            </m:ctrlPr>
                          </m:sSubPr>
                          <m:e>
                            <m:r>
                              <a:rPr lang="es-PE" sz="1100" b="0" i="1">
                                <a:latin typeface="Cambria Math" panose="02040503050406030204" pitchFamily="18" charset="0"/>
                              </a:rPr>
                              <m:t>𝐻</m:t>
                            </m:r>
                          </m:e>
                          <m:sub>
                            <m:r>
                              <a:rPr lang="es-PE" sz="1100" b="0" i="1">
                                <a:latin typeface="Cambria Math" panose="02040503050406030204" pitchFamily="18" charset="0"/>
                              </a:rPr>
                              <m:t>𝐿</m:t>
                            </m:r>
                          </m:sub>
                        </m:sSub>
                        <m:r>
                          <a:rPr lang="es-PE" sz="1100" b="0" i="1">
                            <a:latin typeface="Cambria Math" panose="02040503050406030204" pitchFamily="18" charset="0"/>
                          </a:rPr>
                          <m:t>−6</m:t>
                        </m:r>
                        <m:sSub>
                          <m:sSubPr>
                            <m:ctrlPr>
                              <a:rPr lang="es-PE" sz="1100" b="0" i="1">
                                <a:latin typeface="Cambria Math" panose="02040503050406030204" pitchFamily="18" charset="0"/>
                              </a:rPr>
                            </m:ctrlPr>
                          </m:sSubPr>
                          <m:e>
                            <m:r>
                              <a:rPr lang="es-PE" sz="1100" b="0" i="1">
                                <a:latin typeface="Cambria Math" panose="02040503050406030204" pitchFamily="18" charset="0"/>
                              </a:rPr>
                              <m:t>𝐻</m:t>
                            </m:r>
                          </m:e>
                          <m:sub>
                            <m:r>
                              <a:rPr lang="es-PE" sz="1100" b="0" i="1">
                                <a:latin typeface="Cambria Math" panose="02040503050406030204" pitchFamily="18" charset="0"/>
                              </a:rPr>
                              <m:t>𝑐</m:t>
                            </m:r>
                          </m:sub>
                        </m:sSub>
                      </m:e>
                    </m:d>
                    <m:r>
                      <a:rPr lang="es-PE" sz="1100" b="0" i="1">
                        <a:latin typeface="Cambria Math" panose="02040503050406030204" pitchFamily="18" charset="0"/>
                      </a:rPr>
                      <m:t>−</m:t>
                    </m:r>
                    <m:f>
                      <m:fPr>
                        <m:ctrlPr>
                          <a:rPr lang="es-PE" sz="1100" b="0" i="1">
                            <a:solidFill>
                              <a:schemeClr val="tx1"/>
                            </a:solidFill>
                            <a:effectLst/>
                            <a:latin typeface="Cambria Math" panose="02040503050406030204" pitchFamily="18" charset="0"/>
                            <a:ea typeface="+mn-ea"/>
                            <a:cs typeface="+mn-cs"/>
                          </a:rPr>
                        </m:ctrlPr>
                      </m:fPr>
                      <m:num>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𝑃</m:t>
                            </m:r>
                          </m:e>
                          <m:sub>
                            <m:r>
                              <a:rPr lang="es-PE" sz="1100" b="0" i="1">
                                <a:solidFill>
                                  <a:schemeClr val="tx1"/>
                                </a:solidFill>
                                <a:effectLst/>
                                <a:latin typeface="Cambria Math" panose="02040503050406030204" pitchFamily="18" charset="0"/>
                                <a:ea typeface="+mn-ea"/>
                                <a:cs typeface="+mn-cs"/>
                              </a:rPr>
                              <m:t>𝑐</m:t>
                            </m:r>
                          </m:sub>
                        </m:sSub>
                      </m:num>
                      <m:den>
                        <m:r>
                          <a:rPr lang="es-PE" sz="1100" b="0" i="1">
                            <a:solidFill>
                              <a:schemeClr val="tx1"/>
                            </a:solidFill>
                            <a:effectLst/>
                            <a:latin typeface="Cambria Math" panose="02040503050406030204" pitchFamily="18" charset="0"/>
                            <a:ea typeface="+mn-ea"/>
                            <a:cs typeface="+mn-cs"/>
                          </a:rPr>
                          <m:t>2</m:t>
                        </m:r>
                        <m:sSubSup>
                          <m:sSubSupPr>
                            <m:ctrlPr>
                              <a:rPr lang="es-PE" sz="1100" b="0" i="1">
                                <a:solidFill>
                                  <a:schemeClr val="tx1"/>
                                </a:solidFill>
                                <a:effectLst/>
                                <a:latin typeface="Cambria Math" panose="02040503050406030204" pitchFamily="18" charset="0"/>
                                <a:ea typeface="+mn-ea"/>
                                <a:cs typeface="+mn-cs"/>
                              </a:rPr>
                            </m:ctrlPr>
                          </m:sSubSupPr>
                          <m:e>
                            <m:r>
                              <a:rPr lang="es-PE" sz="1100" b="0" i="1">
                                <a:solidFill>
                                  <a:schemeClr val="tx1"/>
                                </a:solidFill>
                                <a:effectLst/>
                                <a:latin typeface="Cambria Math" panose="02040503050406030204" pitchFamily="18" charset="0"/>
                                <a:ea typeface="+mn-ea"/>
                                <a:cs typeface="+mn-cs"/>
                              </a:rPr>
                              <m:t>𝐻</m:t>
                            </m:r>
                          </m:e>
                          <m:sub>
                            <m:r>
                              <a:rPr lang="es-PE" sz="1100" b="0" i="1">
                                <a:solidFill>
                                  <a:schemeClr val="tx1"/>
                                </a:solidFill>
                                <a:effectLst/>
                                <a:latin typeface="Cambria Math" panose="02040503050406030204" pitchFamily="18" charset="0"/>
                                <a:ea typeface="+mn-ea"/>
                                <a:cs typeface="+mn-cs"/>
                              </a:rPr>
                              <m:t>𝐿</m:t>
                            </m:r>
                          </m:sub>
                          <m:sup>
                            <m:r>
                              <a:rPr lang="es-PE" sz="1100" b="0" i="1">
                                <a:solidFill>
                                  <a:schemeClr val="tx1"/>
                                </a:solidFill>
                                <a:effectLst/>
                                <a:latin typeface="Cambria Math" panose="02040503050406030204" pitchFamily="18" charset="0"/>
                                <a:ea typeface="+mn-ea"/>
                                <a:cs typeface="+mn-cs"/>
                              </a:rPr>
                              <m:t>3</m:t>
                            </m:r>
                          </m:sup>
                        </m:sSubSup>
                      </m:den>
                    </m:f>
                    <m:d>
                      <m:dPr>
                        <m:ctrlPr>
                          <a:rPr lang="es-PE" sz="1100" b="0" i="1">
                            <a:solidFill>
                              <a:schemeClr val="tx1"/>
                            </a:solidFill>
                            <a:effectLst/>
                            <a:latin typeface="Cambria Math" panose="02040503050406030204" pitchFamily="18" charset="0"/>
                            <a:ea typeface="+mn-ea"/>
                            <a:cs typeface="+mn-cs"/>
                          </a:rPr>
                        </m:ctrlPr>
                      </m:dPr>
                      <m:e>
                        <m:r>
                          <a:rPr lang="es-PE" sz="1100" b="0" i="1">
                            <a:solidFill>
                              <a:schemeClr val="tx1"/>
                            </a:solidFill>
                            <a:effectLst/>
                            <a:latin typeface="Cambria Math" panose="02040503050406030204" pitchFamily="18" charset="0"/>
                            <a:ea typeface="+mn-ea"/>
                            <a:cs typeface="+mn-cs"/>
                          </a:rPr>
                          <m:t>6</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𝐻</m:t>
                            </m:r>
                          </m:e>
                          <m:sub>
                            <m:r>
                              <a:rPr lang="es-PE" sz="1100" b="0" i="1">
                                <a:solidFill>
                                  <a:schemeClr val="tx1"/>
                                </a:solidFill>
                                <a:effectLst/>
                                <a:latin typeface="Cambria Math" panose="02040503050406030204" pitchFamily="18" charset="0"/>
                                <a:ea typeface="+mn-ea"/>
                                <a:cs typeface="+mn-cs"/>
                              </a:rPr>
                              <m:t>𝐿</m:t>
                            </m:r>
                          </m:sub>
                        </m:sSub>
                        <m:r>
                          <a:rPr lang="es-PE" sz="1100" b="0" i="1">
                            <a:solidFill>
                              <a:schemeClr val="tx1"/>
                            </a:solidFill>
                            <a:effectLst/>
                            <a:latin typeface="Cambria Math" panose="02040503050406030204" pitchFamily="18" charset="0"/>
                            <a:ea typeface="+mn-ea"/>
                            <a:cs typeface="+mn-cs"/>
                          </a:rPr>
                          <m:t>−12</m:t>
                        </m:r>
                        <m:sSub>
                          <m:sSubPr>
                            <m:ctrlPr>
                              <a:rPr lang="es-PE" sz="1100" b="0" i="1">
                                <a:solidFill>
                                  <a:schemeClr val="tx1"/>
                                </a:solidFill>
                                <a:effectLst/>
                                <a:latin typeface="Cambria Math" panose="02040503050406030204" pitchFamily="18" charset="0"/>
                                <a:ea typeface="+mn-ea"/>
                                <a:cs typeface="+mn-cs"/>
                              </a:rPr>
                            </m:ctrlPr>
                          </m:sSubPr>
                          <m:e>
                            <m:r>
                              <a:rPr lang="es-PE" sz="1100" b="0" i="1">
                                <a:solidFill>
                                  <a:schemeClr val="tx1"/>
                                </a:solidFill>
                                <a:effectLst/>
                                <a:latin typeface="Cambria Math" panose="02040503050406030204" pitchFamily="18" charset="0"/>
                                <a:ea typeface="+mn-ea"/>
                                <a:cs typeface="+mn-cs"/>
                              </a:rPr>
                              <m:t>𝐻</m:t>
                            </m:r>
                          </m:e>
                          <m:sub>
                            <m:r>
                              <a:rPr lang="es-PE" sz="1100" b="0" i="1">
                                <a:solidFill>
                                  <a:schemeClr val="tx1"/>
                                </a:solidFill>
                                <a:effectLst/>
                                <a:latin typeface="Cambria Math" panose="02040503050406030204" pitchFamily="18" charset="0"/>
                                <a:ea typeface="+mn-ea"/>
                                <a:cs typeface="+mn-cs"/>
                              </a:rPr>
                              <m:t>𝑐</m:t>
                            </m:r>
                          </m:sub>
                        </m:sSub>
                      </m:e>
                    </m:d>
                    <m:r>
                      <a:rPr lang="es-PE" sz="1100" b="0" i="1">
                        <a:solidFill>
                          <a:schemeClr val="tx1"/>
                        </a:solidFill>
                        <a:effectLst/>
                        <a:latin typeface="Cambria Math" panose="02040503050406030204" pitchFamily="18" charset="0"/>
                        <a:ea typeface="+mn-ea"/>
                        <a:cs typeface="+mn-cs"/>
                      </a:rPr>
                      <m:t>𝑦</m:t>
                    </m:r>
                  </m:oMath>
                </m:oMathPara>
              </a14:m>
              <a:endParaRPr lang="es-ES" sz="1100"/>
            </a:p>
          </xdr:txBody>
        </xdr:sp>
      </mc:Choice>
      <mc:Fallback xmlns="">
        <xdr:sp macro="" textlink="">
          <xdr:nvSpPr>
            <xdr:cNvPr id="94" name="CuadroTexto 93">
              <a:extLst>
                <a:ext uri="{FF2B5EF4-FFF2-40B4-BE49-F238E27FC236}">
                  <a16:creationId xmlns:a16="http://schemas.microsoft.com/office/drawing/2014/main" id="{04885800-A38F-4192-A153-2AE089492BFE}"/>
                </a:ext>
              </a:extLst>
            </xdr:cNvPr>
            <xdr:cNvSpPr txBox="1"/>
          </xdr:nvSpPr>
          <xdr:spPr>
            <a:xfrm>
              <a:off x="2543175" y="28289250"/>
              <a:ext cx="2820965" cy="360612"/>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latin typeface="Cambria Math" panose="02040503050406030204" pitchFamily="18" charset="0"/>
                </a:rPr>
                <a:t>𝑃</a:t>
              </a:r>
              <a:r>
                <a:rPr lang="es-ES" sz="1100" b="0" i="0">
                  <a:latin typeface="Cambria Math" panose="02040503050406030204" pitchFamily="18" charset="0"/>
                </a:rPr>
                <a:t>_</a:t>
              </a:r>
              <a:r>
                <a:rPr lang="es-PE" sz="1100" b="0" i="0">
                  <a:latin typeface="Cambria Math" panose="02040503050406030204" pitchFamily="18" charset="0"/>
                </a:rPr>
                <a:t>𝑐𝑦=𝑃_𝑐/(2𝐻_𝐿^2 ) (4𝐻_𝐿−6𝐻_𝑐 )−</a:t>
              </a:r>
              <a:r>
                <a:rPr lang="es-PE" sz="1100" b="0" i="0">
                  <a:solidFill>
                    <a:schemeClr val="tx1"/>
                  </a:solidFill>
                  <a:effectLst/>
                  <a:latin typeface="+mn-lt"/>
                  <a:ea typeface="+mn-ea"/>
                  <a:cs typeface="+mn-cs"/>
                </a:rPr>
                <a:t>𝑃_</a:t>
              </a:r>
              <a:r>
                <a:rPr lang="es-PE" sz="1100" b="0" i="0">
                  <a:solidFill>
                    <a:schemeClr val="tx1"/>
                  </a:solidFill>
                  <a:effectLst/>
                  <a:latin typeface="Cambria Math" panose="02040503050406030204" pitchFamily="18" charset="0"/>
                  <a:ea typeface="+mn-ea"/>
                  <a:cs typeface="+mn-cs"/>
                </a:rPr>
                <a:t>𝑐</a:t>
              </a:r>
              <a:r>
                <a:rPr lang="es-PE" sz="1100" b="0" i="0">
                  <a:solidFill>
                    <a:schemeClr val="tx1"/>
                  </a:solidFill>
                  <a:effectLst/>
                  <a:latin typeface="+mn-lt"/>
                  <a:ea typeface="+mn-ea"/>
                  <a:cs typeface="+mn-cs"/>
                </a:rPr>
                <a:t>/(2𝐻_𝐿^</a:t>
              </a:r>
              <a:r>
                <a:rPr lang="es-PE" sz="1100" b="0" i="0">
                  <a:solidFill>
                    <a:schemeClr val="tx1"/>
                  </a:solidFill>
                  <a:effectLst/>
                  <a:latin typeface="Cambria Math" panose="02040503050406030204" pitchFamily="18" charset="0"/>
                  <a:ea typeface="+mn-ea"/>
                  <a:cs typeface="+mn-cs"/>
                </a:rPr>
                <a:t>3</a:t>
              </a:r>
              <a:r>
                <a:rPr lang="es-PE" sz="1100" b="0" i="0">
                  <a:solidFill>
                    <a:schemeClr val="tx1"/>
                  </a:solidFill>
                  <a:effectLst/>
                  <a:latin typeface="+mn-lt"/>
                  <a:ea typeface="+mn-ea"/>
                  <a:cs typeface="+mn-cs"/>
                </a:rPr>
                <a:t> )</a:t>
              </a:r>
              <a:r>
                <a:rPr lang="es-PE" sz="1100" b="0" i="0">
                  <a:solidFill>
                    <a:schemeClr val="tx1"/>
                  </a:solidFill>
                  <a:effectLst/>
                  <a:latin typeface="Cambria Math" panose="02040503050406030204" pitchFamily="18" charset="0"/>
                  <a:ea typeface="+mn-ea"/>
                  <a:cs typeface="+mn-cs"/>
                </a:rPr>
                <a:t> (6𝐻_𝐿−12𝐻_𝑐 )𝑦</a:t>
              </a:r>
              <a:endParaRPr lang="es-ES" sz="1100"/>
            </a:p>
          </xdr:txBody>
        </xdr:sp>
      </mc:Fallback>
    </mc:AlternateContent>
    <xdr:clientData/>
  </xdr:oneCellAnchor>
  <xdr:oneCellAnchor>
    <xdr:from>
      <xdr:col>7</xdr:col>
      <xdr:colOff>323851</xdr:colOff>
      <xdr:row>162</xdr:row>
      <xdr:rowOff>38100</xdr:rowOff>
    </xdr:from>
    <xdr:ext cx="523874" cy="182935"/>
    <mc:AlternateContent xmlns:mc="http://schemas.openxmlformats.org/markup-compatibility/2006" xmlns:a14="http://schemas.microsoft.com/office/drawing/2010/main">
      <mc:Choice Requires="a14">
        <xdr:sp macro="" textlink="">
          <xdr:nvSpPr>
            <xdr:cNvPr id="95" name="CuadroTexto 94">
              <a:extLst>
                <a:ext uri="{FF2B5EF4-FFF2-40B4-BE49-F238E27FC236}">
                  <a16:creationId xmlns:a16="http://schemas.microsoft.com/office/drawing/2014/main" id="{00000000-0008-0000-0000-00005F000000}"/>
                </a:ext>
              </a:extLst>
            </xdr:cNvPr>
            <xdr:cNvSpPr txBox="1"/>
          </xdr:nvSpPr>
          <xdr:spPr>
            <a:xfrm>
              <a:off x="5581651" y="28041600"/>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𝑖𝑦</m:t>
                        </m:r>
                      </m:sub>
                    </m:sSub>
                    <m:r>
                      <a:rPr lang="es-PE" sz="1100" b="0" i="1">
                        <a:latin typeface="Cambria Math" panose="02040503050406030204" pitchFamily="18" charset="0"/>
                      </a:rPr>
                      <m:t>=</m:t>
                    </m:r>
                  </m:oMath>
                </m:oMathPara>
              </a14:m>
              <a:endParaRPr lang="es-ES" sz="1100"/>
            </a:p>
          </xdr:txBody>
        </xdr:sp>
      </mc:Choice>
      <mc:Fallback xmlns="">
        <xdr:sp macro="" textlink="">
          <xdr:nvSpPr>
            <xdr:cNvPr id="95" name="CuadroTexto 94">
              <a:extLst>
                <a:ext uri="{FF2B5EF4-FFF2-40B4-BE49-F238E27FC236}">
                  <a16:creationId xmlns:a16="http://schemas.microsoft.com/office/drawing/2014/main" id="{609709D3-D77D-4E29-853B-1A3BC6D34A26}"/>
                </a:ext>
              </a:extLst>
            </xdr:cNvPr>
            <xdr:cNvSpPr txBox="1"/>
          </xdr:nvSpPr>
          <xdr:spPr>
            <a:xfrm>
              <a:off x="5581651" y="28041600"/>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100" b="0" i="0">
                  <a:latin typeface="Cambria Math" panose="02040503050406030204" pitchFamily="18" charset="0"/>
                </a:rPr>
                <a:t>𝑃</a:t>
              </a:r>
              <a:r>
                <a:rPr lang="es-ES" sz="1100" b="0" i="0">
                  <a:latin typeface="Cambria Math" panose="02040503050406030204" pitchFamily="18" charset="0"/>
                </a:rPr>
                <a:t>_</a:t>
              </a:r>
              <a:r>
                <a:rPr lang="es-PE" sz="1100" b="0" i="0">
                  <a:latin typeface="Cambria Math" panose="02040503050406030204" pitchFamily="18" charset="0"/>
                </a:rPr>
                <a:t>𝑖𝑦=</a:t>
              </a:r>
              <a:endParaRPr lang="es-ES" sz="1100"/>
            </a:p>
          </xdr:txBody>
        </xdr:sp>
      </mc:Fallback>
    </mc:AlternateContent>
    <xdr:clientData/>
  </xdr:oneCellAnchor>
  <xdr:oneCellAnchor>
    <xdr:from>
      <xdr:col>7</xdr:col>
      <xdr:colOff>342901</xdr:colOff>
      <xdr:row>164</xdr:row>
      <xdr:rowOff>28575</xdr:rowOff>
    </xdr:from>
    <xdr:ext cx="523874" cy="182935"/>
    <mc:AlternateContent xmlns:mc="http://schemas.openxmlformats.org/markup-compatibility/2006" xmlns:a14="http://schemas.microsoft.com/office/drawing/2010/main">
      <mc:Choice Requires="a14">
        <xdr:sp macro="" textlink="">
          <xdr:nvSpPr>
            <xdr:cNvPr id="96" name="CuadroTexto 95">
              <a:extLst>
                <a:ext uri="{FF2B5EF4-FFF2-40B4-BE49-F238E27FC236}">
                  <a16:creationId xmlns:a16="http://schemas.microsoft.com/office/drawing/2014/main" id="{00000000-0008-0000-0000-000060000000}"/>
                </a:ext>
              </a:extLst>
            </xdr:cNvPr>
            <xdr:cNvSpPr txBox="1"/>
          </xdr:nvSpPr>
          <xdr:spPr>
            <a:xfrm>
              <a:off x="5600701" y="28413075"/>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𝑐𝑦</m:t>
                        </m:r>
                      </m:sub>
                    </m:sSub>
                    <m:r>
                      <a:rPr lang="es-PE" sz="1100" b="0" i="1">
                        <a:latin typeface="Cambria Math" panose="02040503050406030204" pitchFamily="18" charset="0"/>
                      </a:rPr>
                      <m:t>=</m:t>
                    </m:r>
                  </m:oMath>
                </m:oMathPara>
              </a14:m>
              <a:endParaRPr lang="es-ES" sz="1100"/>
            </a:p>
          </xdr:txBody>
        </xdr:sp>
      </mc:Choice>
      <mc:Fallback xmlns="">
        <xdr:sp macro="" textlink="">
          <xdr:nvSpPr>
            <xdr:cNvPr id="96" name="CuadroTexto 95">
              <a:extLst>
                <a:ext uri="{FF2B5EF4-FFF2-40B4-BE49-F238E27FC236}">
                  <a16:creationId xmlns:a16="http://schemas.microsoft.com/office/drawing/2014/main" id="{152DA288-2BA0-430F-952B-EFEB4F434459}"/>
                </a:ext>
              </a:extLst>
            </xdr:cNvPr>
            <xdr:cNvSpPr txBox="1"/>
          </xdr:nvSpPr>
          <xdr:spPr>
            <a:xfrm>
              <a:off x="5600701" y="28413075"/>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100" b="0" i="0">
                  <a:latin typeface="Cambria Math" panose="02040503050406030204" pitchFamily="18" charset="0"/>
                </a:rPr>
                <a:t>𝑃</a:t>
              </a:r>
              <a:r>
                <a:rPr lang="es-ES" sz="1100" b="0" i="0">
                  <a:latin typeface="Cambria Math" panose="02040503050406030204" pitchFamily="18" charset="0"/>
                </a:rPr>
                <a:t>_</a:t>
              </a:r>
              <a:r>
                <a:rPr lang="es-PE" sz="1100" b="0" i="0">
                  <a:latin typeface="Cambria Math" panose="02040503050406030204" pitchFamily="18" charset="0"/>
                </a:rPr>
                <a:t>𝑐𝑦=</a:t>
              </a:r>
              <a:endParaRPr lang="es-ES" sz="1100"/>
            </a:p>
          </xdr:txBody>
        </xdr:sp>
      </mc:Fallback>
    </mc:AlternateContent>
    <xdr:clientData/>
  </xdr:oneCellAnchor>
  <xdr:oneCellAnchor>
    <xdr:from>
      <xdr:col>7</xdr:col>
      <xdr:colOff>342901</xdr:colOff>
      <xdr:row>158</xdr:row>
      <xdr:rowOff>19050</xdr:rowOff>
    </xdr:from>
    <xdr:ext cx="523874" cy="182935"/>
    <mc:AlternateContent xmlns:mc="http://schemas.openxmlformats.org/markup-compatibility/2006" xmlns:a14="http://schemas.microsoft.com/office/drawing/2010/main">
      <mc:Choice Requires="a14">
        <xdr:sp macro="" textlink="">
          <xdr:nvSpPr>
            <xdr:cNvPr id="97" name="CuadroTexto 96">
              <a:extLst>
                <a:ext uri="{FF2B5EF4-FFF2-40B4-BE49-F238E27FC236}">
                  <a16:creationId xmlns:a16="http://schemas.microsoft.com/office/drawing/2014/main" id="{00000000-0008-0000-0000-000061000000}"/>
                </a:ext>
              </a:extLst>
            </xdr:cNvPr>
            <xdr:cNvSpPr txBox="1"/>
          </xdr:nvSpPr>
          <xdr:spPr>
            <a:xfrm>
              <a:off x="5600701" y="27641550"/>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h𝑦</m:t>
                        </m:r>
                      </m:sub>
                    </m:sSub>
                    <m:r>
                      <a:rPr lang="es-PE" sz="1100" b="0" i="1">
                        <a:latin typeface="Cambria Math" panose="02040503050406030204" pitchFamily="18" charset="0"/>
                      </a:rPr>
                      <m:t>=</m:t>
                    </m:r>
                  </m:oMath>
                </m:oMathPara>
              </a14:m>
              <a:endParaRPr lang="es-ES" sz="1100"/>
            </a:p>
          </xdr:txBody>
        </xdr:sp>
      </mc:Choice>
      <mc:Fallback xmlns="">
        <xdr:sp macro="" textlink="">
          <xdr:nvSpPr>
            <xdr:cNvPr id="97" name="CuadroTexto 96">
              <a:extLst>
                <a:ext uri="{FF2B5EF4-FFF2-40B4-BE49-F238E27FC236}">
                  <a16:creationId xmlns:a16="http://schemas.microsoft.com/office/drawing/2014/main" id="{B9D325AF-68B1-44ED-8143-CF0A654F41DB}"/>
                </a:ext>
              </a:extLst>
            </xdr:cNvPr>
            <xdr:cNvSpPr txBox="1"/>
          </xdr:nvSpPr>
          <xdr:spPr>
            <a:xfrm>
              <a:off x="5600701" y="27641550"/>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ℎ𝑦=</a:t>
              </a:r>
              <a:endParaRPr lang="es-ES" sz="1100"/>
            </a:p>
          </xdr:txBody>
        </xdr:sp>
      </mc:Fallback>
    </mc:AlternateContent>
    <xdr:clientData/>
  </xdr:oneCellAnchor>
  <xdr:oneCellAnchor>
    <xdr:from>
      <xdr:col>4</xdr:col>
      <xdr:colOff>123825</xdr:colOff>
      <xdr:row>157</xdr:row>
      <xdr:rowOff>76200</xdr:rowOff>
    </xdr:from>
    <xdr:ext cx="1313565" cy="349968"/>
    <mc:AlternateContent xmlns:mc="http://schemas.openxmlformats.org/markup-compatibility/2006" xmlns:a14="http://schemas.microsoft.com/office/drawing/2010/main">
      <mc:Choice Requires="a14">
        <xdr:sp macro="" textlink="">
          <xdr:nvSpPr>
            <xdr:cNvPr id="98" name="CuadroTexto 97">
              <a:extLst>
                <a:ext uri="{FF2B5EF4-FFF2-40B4-BE49-F238E27FC236}">
                  <a16:creationId xmlns:a16="http://schemas.microsoft.com/office/drawing/2014/main" id="{00000000-0008-0000-0000-000062000000}"/>
                </a:ext>
              </a:extLst>
            </xdr:cNvPr>
            <xdr:cNvSpPr txBox="1"/>
          </xdr:nvSpPr>
          <xdr:spPr>
            <a:xfrm>
              <a:off x="2552700" y="27508200"/>
              <a:ext cx="1313565"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h𝑦</m:t>
                        </m:r>
                      </m:sub>
                    </m:sSub>
                    <m:r>
                      <a:rPr lang="es-PE" sz="1100" b="0" i="1">
                        <a:latin typeface="Cambria Math" panose="02040503050406030204" pitchFamily="18" charset="0"/>
                      </a:rPr>
                      <m:t>=</m:t>
                    </m:r>
                    <m:r>
                      <a:rPr lang="es-PE" sz="1100" b="0" i="1">
                        <a:latin typeface="Cambria Math" panose="02040503050406030204" pitchFamily="18" charset="0"/>
                      </a:rPr>
                      <m:t>𝑍𝑆𝐼</m:t>
                    </m:r>
                    <m:sSub>
                      <m:sSubPr>
                        <m:ctrlPr>
                          <a:rPr lang="es-PE" sz="1100" b="0" i="1">
                            <a:latin typeface="Cambria Math" panose="02040503050406030204" pitchFamily="18" charset="0"/>
                          </a:rPr>
                        </m:ctrlPr>
                      </m:sSubPr>
                      <m:e>
                        <m:r>
                          <a:rPr lang="es-PE" sz="1100" b="0" i="1">
                            <a:latin typeface="Cambria Math" panose="02040503050406030204" pitchFamily="18" charset="0"/>
                          </a:rPr>
                          <m:t>𝐶</m:t>
                        </m:r>
                      </m:e>
                      <m:sub>
                        <m:r>
                          <a:rPr lang="es-PE" sz="1100" b="0" i="1">
                            <a:latin typeface="Cambria Math" panose="02040503050406030204" pitchFamily="18" charset="0"/>
                          </a:rPr>
                          <m:t>𝑣</m:t>
                        </m:r>
                      </m:sub>
                    </m:sSub>
                    <m:f>
                      <m:fPr>
                        <m:ctrlPr>
                          <a:rPr lang="es-PE" sz="1100" b="0" i="1">
                            <a:latin typeface="Cambria Math" panose="02040503050406030204" pitchFamily="18" charset="0"/>
                          </a:rPr>
                        </m:ctrlPr>
                      </m:fPr>
                      <m:num>
                        <m:r>
                          <a:rPr lang="es-PE" sz="1100" b="0" i="1">
                            <a:latin typeface="Cambria Math" panose="02040503050406030204" pitchFamily="18" charset="0"/>
                          </a:rPr>
                          <m:t>𝑏</m:t>
                        </m:r>
                      </m:num>
                      <m:den>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𝑤𝑖</m:t>
                            </m:r>
                          </m:sub>
                        </m:sSub>
                      </m:den>
                    </m:f>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𝑞</m:t>
                        </m:r>
                      </m:e>
                      <m:sub>
                        <m:r>
                          <a:rPr lang="es-PE" sz="1100" b="0" i="1">
                            <a:latin typeface="Cambria Math" panose="02040503050406030204" pitchFamily="18" charset="0"/>
                          </a:rPr>
                          <m:t>h𝑦</m:t>
                        </m:r>
                      </m:sub>
                    </m:sSub>
                  </m:oMath>
                </m:oMathPara>
              </a14:m>
              <a:endParaRPr lang="es-ES" sz="1100"/>
            </a:p>
          </xdr:txBody>
        </xdr:sp>
      </mc:Choice>
      <mc:Fallback xmlns="">
        <xdr:sp macro="" textlink="">
          <xdr:nvSpPr>
            <xdr:cNvPr id="98" name="CuadroTexto 97">
              <a:extLst>
                <a:ext uri="{FF2B5EF4-FFF2-40B4-BE49-F238E27FC236}">
                  <a16:creationId xmlns:a16="http://schemas.microsoft.com/office/drawing/2014/main" id="{49027CD7-786B-44C1-A03A-97EB19366E50}"/>
                </a:ext>
              </a:extLst>
            </xdr:cNvPr>
            <xdr:cNvSpPr txBox="1"/>
          </xdr:nvSpPr>
          <xdr:spPr>
            <a:xfrm>
              <a:off x="2552700" y="27508200"/>
              <a:ext cx="1313565" cy="34996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ℎ𝑦=𝑍𝑆𝐼𝐶_𝑣  𝑏/𝑅_𝑤𝑖 .𝑞_ℎ𝑦</a:t>
              </a:r>
              <a:endParaRPr lang="es-ES" sz="1100"/>
            </a:p>
          </xdr:txBody>
        </xdr:sp>
      </mc:Fallback>
    </mc:AlternateContent>
    <xdr:clientData/>
  </xdr:oneCellAnchor>
  <xdr:oneCellAnchor>
    <xdr:from>
      <xdr:col>4</xdr:col>
      <xdr:colOff>76200</xdr:colOff>
      <xdr:row>168</xdr:row>
      <xdr:rowOff>123825</xdr:rowOff>
    </xdr:from>
    <xdr:ext cx="1324658" cy="349070"/>
    <mc:AlternateContent xmlns:mc="http://schemas.openxmlformats.org/markup-compatibility/2006" xmlns:a14="http://schemas.microsoft.com/office/drawing/2010/main">
      <mc:Choice Requires="a14">
        <xdr:sp macro="" textlink="">
          <xdr:nvSpPr>
            <xdr:cNvPr id="99" name="CuadroTexto 98">
              <a:extLst>
                <a:ext uri="{FF2B5EF4-FFF2-40B4-BE49-F238E27FC236}">
                  <a16:creationId xmlns:a16="http://schemas.microsoft.com/office/drawing/2014/main" id="{00000000-0008-0000-0000-000063000000}"/>
                </a:ext>
              </a:extLst>
            </xdr:cNvPr>
            <xdr:cNvSpPr txBox="1"/>
          </xdr:nvSpPr>
          <xdr:spPr>
            <a:xfrm>
              <a:off x="2505075" y="30603825"/>
              <a:ext cx="1324658"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h𝑦</m:t>
                        </m:r>
                      </m:sub>
                    </m:sSub>
                    <m:r>
                      <a:rPr lang="es-PE" sz="1100" b="0" i="1">
                        <a:latin typeface="Cambria Math" panose="02040503050406030204" pitchFamily="18" charset="0"/>
                      </a:rPr>
                      <m:t>=</m:t>
                    </m:r>
                    <m:r>
                      <a:rPr lang="es-PE" sz="1100" b="0" i="1">
                        <a:latin typeface="Cambria Math" panose="02040503050406030204" pitchFamily="18" charset="0"/>
                      </a:rPr>
                      <m:t>𝑍𝑆𝐼</m:t>
                    </m:r>
                    <m:sSub>
                      <m:sSubPr>
                        <m:ctrlPr>
                          <a:rPr lang="es-PE" sz="1100" b="0" i="1">
                            <a:latin typeface="Cambria Math" panose="02040503050406030204" pitchFamily="18" charset="0"/>
                          </a:rPr>
                        </m:ctrlPr>
                      </m:sSubPr>
                      <m:e>
                        <m:r>
                          <a:rPr lang="es-PE" sz="1100" b="0" i="1">
                            <a:latin typeface="Cambria Math" panose="02040503050406030204" pitchFamily="18" charset="0"/>
                          </a:rPr>
                          <m:t>𝐶</m:t>
                        </m:r>
                      </m:e>
                      <m:sub>
                        <m:r>
                          <a:rPr lang="es-PE" sz="1100" b="0" i="1">
                            <a:latin typeface="Cambria Math" panose="02040503050406030204" pitchFamily="18" charset="0"/>
                          </a:rPr>
                          <m:t>𝑣</m:t>
                        </m:r>
                      </m:sub>
                    </m:sSub>
                    <m:f>
                      <m:fPr>
                        <m:ctrlPr>
                          <a:rPr lang="es-PE" sz="1100" b="0" i="1">
                            <a:latin typeface="Cambria Math" panose="02040503050406030204" pitchFamily="18" charset="0"/>
                          </a:rPr>
                        </m:ctrlPr>
                      </m:fPr>
                      <m:num>
                        <m:r>
                          <a:rPr lang="es-PE" sz="1100" b="0" i="1">
                            <a:latin typeface="Cambria Math" panose="02040503050406030204" pitchFamily="18" charset="0"/>
                          </a:rPr>
                          <m:t>𝑏</m:t>
                        </m:r>
                      </m:num>
                      <m:den>
                        <m:sSub>
                          <m:sSubPr>
                            <m:ctrlPr>
                              <a:rPr lang="es-PE" sz="1100" b="0" i="1">
                                <a:latin typeface="Cambria Math" panose="02040503050406030204" pitchFamily="18" charset="0"/>
                              </a:rPr>
                            </m:ctrlPr>
                          </m:sSubPr>
                          <m:e>
                            <m:r>
                              <a:rPr lang="es-PE" sz="1100" b="0" i="1">
                                <a:latin typeface="Cambria Math" panose="02040503050406030204" pitchFamily="18" charset="0"/>
                              </a:rPr>
                              <m:t>𝑅</m:t>
                            </m:r>
                          </m:e>
                          <m:sub>
                            <m:r>
                              <a:rPr lang="es-PE" sz="1100" b="0" i="1">
                                <a:latin typeface="Cambria Math" panose="02040503050406030204" pitchFamily="18" charset="0"/>
                              </a:rPr>
                              <m:t>𝑤𝑖</m:t>
                            </m:r>
                          </m:sub>
                        </m:sSub>
                      </m:den>
                    </m:f>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𝑞</m:t>
                        </m:r>
                      </m:e>
                      <m:sub>
                        <m:r>
                          <a:rPr lang="es-PE" sz="1100" b="0" i="1">
                            <a:latin typeface="Cambria Math" panose="02040503050406030204" pitchFamily="18" charset="0"/>
                          </a:rPr>
                          <m:t>h𝑦</m:t>
                        </m:r>
                      </m:sub>
                    </m:sSub>
                  </m:oMath>
                </m:oMathPara>
              </a14:m>
              <a:endParaRPr lang="es-ES" sz="1100"/>
            </a:p>
          </xdr:txBody>
        </xdr:sp>
      </mc:Choice>
      <mc:Fallback xmlns="">
        <xdr:sp macro="" textlink="">
          <xdr:nvSpPr>
            <xdr:cNvPr id="99" name="CuadroTexto 98">
              <a:extLst>
                <a:ext uri="{FF2B5EF4-FFF2-40B4-BE49-F238E27FC236}">
                  <a16:creationId xmlns:a16="http://schemas.microsoft.com/office/drawing/2014/main" id="{00000000-0008-0000-0000-000063000000}"/>
                </a:ext>
              </a:extLst>
            </xdr:cNvPr>
            <xdr:cNvSpPr txBox="1"/>
          </xdr:nvSpPr>
          <xdr:spPr>
            <a:xfrm>
              <a:off x="2505075" y="30603825"/>
              <a:ext cx="1324658" cy="34907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ℎ𝑦=𝑍𝑆𝐼𝐶_𝑣  𝑏/𝑅_𝑤𝑖 .𝑞_ℎ𝑦</a:t>
              </a:r>
              <a:endParaRPr lang="es-ES" sz="1100"/>
            </a:p>
          </xdr:txBody>
        </xdr:sp>
      </mc:Fallback>
    </mc:AlternateContent>
    <xdr:clientData/>
  </xdr:oneCellAnchor>
  <xdr:oneCellAnchor>
    <xdr:from>
      <xdr:col>4</xdr:col>
      <xdr:colOff>104775</xdr:colOff>
      <xdr:row>170</xdr:row>
      <xdr:rowOff>85725</xdr:rowOff>
    </xdr:from>
    <xdr:ext cx="664284" cy="320344"/>
    <mc:AlternateContent xmlns:mc="http://schemas.openxmlformats.org/markup-compatibility/2006" xmlns:a14="http://schemas.microsoft.com/office/drawing/2010/main">
      <mc:Choice Requires="a14">
        <xdr:sp macro="" textlink="">
          <xdr:nvSpPr>
            <xdr:cNvPr id="100" name="CuadroTexto 99">
              <a:extLst>
                <a:ext uri="{FF2B5EF4-FFF2-40B4-BE49-F238E27FC236}">
                  <a16:creationId xmlns:a16="http://schemas.microsoft.com/office/drawing/2014/main" id="{00000000-0008-0000-0000-000064000000}"/>
                </a:ext>
              </a:extLst>
            </xdr:cNvPr>
            <xdr:cNvSpPr txBox="1"/>
          </xdr:nvSpPr>
          <xdr:spPr>
            <a:xfrm>
              <a:off x="2533650" y="30184725"/>
              <a:ext cx="66428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𝑤𝑦</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𝑤𝑦</m:t>
                            </m:r>
                          </m:sub>
                        </m:sSub>
                      </m:num>
                      <m:den>
                        <m:r>
                          <a:rPr lang="es-PE" sz="1100" b="0" i="1">
                            <a:latin typeface="Cambria Math" panose="02040503050406030204" pitchFamily="18" charset="0"/>
                          </a:rPr>
                          <m:t>𝐵</m:t>
                        </m:r>
                      </m:den>
                    </m:f>
                  </m:oMath>
                </m:oMathPara>
              </a14:m>
              <a:endParaRPr lang="es-ES" sz="1100"/>
            </a:p>
          </xdr:txBody>
        </xdr:sp>
      </mc:Choice>
      <mc:Fallback xmlns="">
        <xdr:sp macro="" textlink="">
          <xdr:nvSpPr>
            <xdr:cNvPr id="100" name="CuadroTexto 99">
              <a:extLst>
                <a:ext uri="{FF2B5EF4-FFF2-40B4-BE49-F238E27FC236}">
                  <a16:creationId xmlns:a16="http://schemas.microsoft.com/office/drawing/2014/main" id="{D208F816-507D-4FFC-A9C1-7258C4F6F33C}"/>
                </a:ext>
              </a:extLst>
            </xdr:cNvPr>
            <xdr:cNvSpPr txBox="1"/>
          </xdr:nvSpPr>
          <xdr:spPr>
            <a:xfrm>
              <a:off x="2533650" y="30184725"/>
              <a:ext cx="664284"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𝑤𝑦=𝑃_𝑤𝑦/𝐵</a:t>
              </a:r>
              <a:endParaRPr lang="es-ES" sz="1100"/>
            </a:p>
          </xdr:txBody>
        </xdr:sp>
      </mc:Fallback>
    </mc:AlternateContent>
    <xdr:clientData/>
  </xdr:oneCellAnchor>
  <xdr:oneCellAnchor>
    <xdr:from>
      <xdr:col>4</xdr:col>
      <xdr:colOff>85725</xdr:colOff>
      <xdr:row>172</xdr:row>
      <xdr:rowOff>104775</xdr:rowOff>
    </xdr:from>
    <xdr:ext cx="581441" cy="320344"/>
    <mc:AlternateContent xmlns:mc="http://schemas.openxmlformats.org/markup-compatibility/2006" xmlns:a14="http://schemas.microsoft.com/office/drawing/2010/main">
      <mc:Choice Requires="a14">
        <xdr:sp macro="" textlink="">
          <xdr:nvSpPr>
            <xdr:cNvPr id="101" name="CuadroTexto 100">
              <a:extLst>
                <a:ext uri="{FF2B5EF4-FFF2-40B4-BE49-F238E27FC236}">
                  <a16:creationId xmlns:a16="http://schemas.microsoft.com/office/drawing/2014/main" id="{00000000-0008-0000-0000-000065000000}"/>
                </a:ext>
              </a:extLst>
            </xdr:cNvPr>
            <xdr:cNvSpPr txBox="1"/>
          </xdr:nvSpPr>
          <xdr:spPr>
            <a:xfrm>
              <a:off x="2514600" y="30584775"/>
              <a:ext cx="58144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𝑖𝑦</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𝑖𝑦</m:t>
                            </m:r>
                          </m:sub>
                        </m:sSub>
                      </m:num>
                      <m:den>
                        <m:r>
                          <a:rPr lang="es-PE" sz="1100" b="0" i="1">
                            <a:latin typeface="Cambria Math" panose="02040503050406030204" pitchFamily="18" charset="0"/>
                          </a:rPr>
                          <m:t>𝐵</m:t>
                        </m:r>
                      </m:den>
                    </m:f>
                  </m:oMath>
                </m:oMathPara>
              </a14:m>
              <a:endParaRPr lang="es-ES" sz="1100"/>
            </a:p>
          </xdr:txBody>
        </xdr:sp>
      </mc:Choice>
      <mc:Fallback xmlns="">
        <xdr:sp macro="" textlink="">
          <xdr:nvSpPr>
            <xdr:cNvPr id="101" name="CuadroTexto 100">
              <a:extLst>
                <a:ext uri="{FF2B5EF4-FFF2-40B4-BE49-F238E27FC236}">
                  <a16:creationId xmlns:a16="http://schemas.microsoft.com/office/drawing/2014/main" id="{DD8A4945-0A45-472D-9ADC-2D7C35F11C1C}"/>
                </a:ext>
              </a:extLst>
            </xdr:cNvPr>
            <xdr:cNvSpPr txBox="1"/>
          </xdr:nvSpPr>
          <xdr:spPr>
            <a:xfrm>
              <a:off x="2514600" y="30584775"/>
              <a:ext cx="581441"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𝑖𝑦=𝑃_𝑖𝑦/𝐵</a:t>
              </a:r>
              <a:endParaRPr lang="es-ES" sz="1100"/>
            </a:p>
          </xdr:txBody>
        </xdr:sp>
      </mc:Fallback>
    </mc:AlternateContent>
    <xdr:clientData/>
  </xdr:oneCellAnchor>
  <xdr:oneCellAnchor>
    <xdr:from>
      <xdr:col>4</xdr:col>
      <xdr:colOff>85725</xdr:colOff>
      <xdr:row>174</xdr:row>
      <xdr:rowOff>95250</xdr:rowOff>
    </xdr:from>
    <xdr:ext cx="599780" cy="320344"/>
    <mc:AlternateContent xmlns:mc="http://schemas.openxmlformats.org/markup-compatibility/2006" xmlns:a14="http://schemas.microsoft.com/office/drawing/2010/main">
      <mc:Choice Requires="a14">
        <xdr:sp macro="" textlink="">
          <xdr:nvSpPr>
            <xdr:cNvPr id="102" name="CuadroTexto 101">
              <a:extLst>
                <a:ext uri="{FF2B5EF4-FFF2-40B4-BE49-F238E27FC236}">
                  <a16:creationId xmlns:a16="http://schemas.microsoft.com/office/drawing/2014/main" id="{00000000-0008-0000-0000-000066000000}"/>
                </a:ext>
              </a:extLst>
            </xdr:cNvPr>
            <xdr:cNvSpPr txBox="1"/>
          </xdr:nvSpPr>
          <xdr:spPr>
            <a:xfrm>
              <a:off x="2514600" y="30956250"/>
              <a:ext cx="599780"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𝑐𝑦</m:t>
                        </m:r>
                      </m:sub>
                    </m:sSub>
                    <m:r>
                      <a:rPr lang="es-PE" sz="1100" b="0" i="1">
                        <a:latin typeface="Cambria Math" panose="02040503050406030204" pitchFamily="18" charset="0"/>
                      </a:rPr>
                      <m:t>=</m:t>
                    </m:r>
                    <m:f>
                      <m:fPr>
                        <m:ctrlPr>
                          <a:rPr lang="es-PE" sz="1100" b="0" i="1">
                            <a:latin typeface="Cambria Math" panose="02040503050406030204" pitchFamily="18" charset="0"/>
                          </a:rPr>
                        </m:ctrlPr>
                      </m:fPr>
                      <m:num>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𝑐𝑦</m:t>
                            </m:r>
                          </m:sub>
                        </m:sSub>
                      </m:num>
                      <m:den>
                        <m:r>
                          <a:rPr lang="es-PE" sz="1100" b="0" i="1">
                            <a:latin typeface="Cambria Math" panose="02040503050406030204" pitchFamily="18" charset="0"/>
                          </a:rPr>
                          <m:t>𝐵</m:t>
                        </m:r>
                      </m:den>
                    </m:f>
                  </m:oMath>
                </m:oMathPara>
              </a14:m>
              <a:endParaRPr lang="es-ES" sz="1100"/>
            </a:p>
          </xdr:txBody>
        </xdr:sp>
      </mc:Choice>
      <mc:Fallback xmlns="">
        <xdr:sp macro="" textlink="">
          <xdr:nvSpPr>
            <xdr:cNvPr id="102" name="CuadroTexto 101">
              <a:extLst>
                <a:ext uri="{FF2B5EF4-FFF2-40B4-BE49-F238E27FC236}">
                  <a16:creationId xmlns:a16="http://schemas.microsoft.com/office/drawing/2014/main" id="{CD2F3C8A-229D-4A98-B7F9-B06E9B025402}"/>
                </a:ext>
              </a:extLst>
            </xdr:cNvPr>
            <xdr:cNvSpPr txBox="1"/>
          </xdr:nvSpPr>
          <xdr:spPr>
            <a:xfrm>
              <a:off x="2514600" y="30956250"/>
              <a:ext cx="599780" cy="32034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𝑐𝑦=𝑃_𝑐𝑦/𝐵</a:t>
              </a:r>
              <a:endParaRPr lang="es-ES" sz="1100"/>
            </a:p>
          </xdr:txBody>
        </xdr:sp>
      </mc:Fallback>
    </mc:AlternateContent>
    <xdr:clientData/>
  </xdr:oneCellAnchor>
  <xdr:oneCellAnchor>
    <xdr:from>
      <xdr:col>7</xdr:col>
      <xdr:colOff>390526</xdr:colOff>
      <xdr:row>171</xdr:row>
      <xdr:rowOff>9525</xdr:rowOff>
    </xdr:from>
    <xdr:ext cx="523874" cy="182935"/>
    <mc:AlternateContent xmlns:mc="http://schemas.openxmlformats.org/markup-compatibility/2006" xmlns:a14="http://schemas.microsoft.com/office/drawing/2010/main">
      <mc:Choice Requires="a14">
        <xdr:sp macro="" textlink="">
          <xdr:nvSpPr>
            <xdr:cNvPr id="103" name="CuadroTexto 102">
              <a:extLst>
                <a:ext uri="{FF2B5EF4-FFF2-40B4-BE49-F238E27FC236}">
                  <a16:creationId xmlns:a16="http://schemas.microsoft.com/office/drawing/2014/main" id="{00000000-0008-0000-0000-000067000000}"/>
                </a:ext>
              </a:extLst>
            </xdr:cNvPr>
            <xdr:cNvSpPr txBox="1"/>
          </xdr:nvSpPr>
          <xdr:spPr>
            <a:xfrm>
              <a:off x="5648326" y="30299025"/>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𝑤𝑦</m:t>
                        </m:r>
                      </m:sub>
                    </m:sSub>
                    <m:r>
                      <a:rPr lang="es-PE" sz="1100" b="0" i="1">
                        <a:latin typeface="Cambria Math" panose="02040503050406030204" pitchFamily="18" charset="0"/>
                      </a:rPr>
                      <m:t>=</m:t>
                    </m:r>
                  </m:oMath>
                </m:oMathPara>
              </a14:m>
              <a:endParaRPr lang="es-ES" sz="1100"/>
            </a:p>
          </xdr:txBody>
        </xdr:sp>
      </mc:Choice>
      <mc:Fallback xmlns="">
        <xdr:sp macro="" textlink="">
          <xdr:nvSpPr>
            <xdr:cNvPr id="103" name="CuadroTexto 102">
              <a:extLst>
                <a:ext uri="{FF2B5EF4-FFF2-40B4-BE49-F238E27FC236}">
                  <a16:creationId xmlns:a16="http://schemas.microsoft.com/office/drawing/2014/main" id="{585A8AA3-0614-4631-9C76-102B7AAB5ADF}"/>
                </a:ext>
              </a:extLst>
            </xdr:cNvPr>
            <xdr:cNvSpPr txBox="1"/>
          </xdr:nvSpPr>
          <xdr:spPr>
            <a:xfrm>
              <a:off x="5648326" y="30299025"/>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𝑤𝑦=</a:t>
              </a:r>
              <a:endParaRPr lang="es-ES" sz="1100"/>
            </a:p>
          </xdr:txBody>
        </xdr:sp>
      </mc:Fallback>
    </mc:AlternateContent>
    <xdr:clientData/>
  </xdr:oneCellAnchor>
  <xdr:oneCellAnchor>
    <xdr:from>
      <xdr:col>7</xdr:col>
      <xdr:colOff>371476</xdr:colOff>
      <xdr:row>173</xdr:row>
      <xdr:rowOff>47625</xdr:rowOff>
    </xdr:from>
    <xdr:ext cx="523874" cy="182935"/>
    <mc:AlternateContent xmlns:mc="http://schemas.openxmlformats.org/markup-compatibility/2006" xmlns:a14="http://schemas.microsoft.com/office/drawing/2010/main">
      <mc:Choice Requires="a14">
        <xdr:sp macro="" textlink="">
          <xdr:nvSpPr>
            <xdr:cNvPr id="104" name="CuadroTexto 103">
              <a:extLst>
                <a:ext uri="{FF2B5EF4-FFF2-40B4-BE49-F238E27FC236}">
                  <a16:creationId xmlns:a16="http://schemas.microsoft.com/office/drawing/2014/main" id="{00000000-0008-0000-0000-000068000000}"/>
                </a:ext>
              </a:extLst>
            </xdr:cNvPr>
            <xdr:cNvSpPr txBox="1"/>
          </xdr:nvSpPr>
          <xdr:spPr>
            <a:xfrm>
              <a:off x="5629276" y="30718125"/>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𝑖𝑦</m:t>
                        </m:r>
                      </m:sub>
                    </m:sSub>
                    <m:r>
                      <a:rPr lang="es-PE" sz="1100" b="0" i="1">
                        <a:latin typeface="Cambria Math" panose="02040503050406030204" pitchFamily="18" charset="0"/>
                      </a:rPr>
                      <m:t>=</m:t>
                    </m:r>
                  </m:oMath>
                </m:oMathPara>
              </a14:m>
              <a:endParaRPr lang="es-ES" sz="1100"/>
            </a:p>
          </xdr:txBody>
        </xdr:sp>
      </mc:Choice>
      <mc:Fallback xmlns="">
        <xdr:sp macro="" textlink="">
          <xdr:nvSpPr>
            <xdr:cNvPr id="104" name="CuadroTexto 103">
              <a:extLst>
                <a:ext uri="{FF2B5EF4-FFF2-40B4-BE49-F238E27FC236}">
                  <a16:creationId xmlns:a16="http://schemas.microsoft.com/office/drawing/2014/main" id="{436B8008-6CD4-4C18-AB31-9DE4719362CC}"/>
                </a:ext>
              </a:extLst>
            </xdr:cNvPr>
            <xdr:cNvSpPr txBox="1"/>
          </xdr:nvSpPr>
          <xdr:spPr>
            <a:xfrm>
              <a:off x="5629276" y="30718125"/>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𝑖𝑦=</a:t>
              </a:r>
              <a:endParaRPr lang="es-ES" sz="1100"/>
            </a:p>
          </xdr:txBody>
        </xdr:sp>
      </mc:Fallback>
    </mc:AlternateContent>
    <xdr:clientData/>
  </xdr:oneCellAnchor>
  <xdr:oneCellAnchor>
    <xdr:from>
      <xdr:col>7</xdr:col>
      <xdr:colOff>390526</xdr:colOff>
      <xdr:row>175</xdr:row>
      <xdr:rowOff>38100</xdr:rowOff>
    </xdr:from>
    <xdr:ext cx="523874" cy="182935"/>
    <mc:AlternateContent xmlns:mc="http://schemas.openxmlformats.org/markup-compatibility/2006" xmlns:a14="http://schemas.microsoft.com/office/drawing/2010/main">
      <mc:Choice Requires="a14">
        <xdr:sp macro="" textlink="">
          <xdr:nvSpPr>
            <xdr:cNvPr id="105" name="CuadroTexto 104">
              <a:extLst>
                <a:ext uri="{FF2B5EF4-FFF2-40B4-BE49-F238E27FC236}">
                  <a16:creationId xmlns:a16="http://schemas.microsoft.com/office/drawing/2014/main" id="{00000000-0008-0000-0000-000069000000}"/>
                </a:ext>
              </a:extLst>
            </xdr:cNvPr>
            <xdr:cNvSpPr txBox="1"/>
          </xdr:nvSpPr>
          <xdr:spPr>
            <a:xfrm>
              <a:off x="5648326" y="31089600"/>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𝑐𝑦</m:t>
                        </m:r>
                      </m:sub>
                    </m:sSub>
                    <m:r>
                      <a:rPr lang="es-PE" sz="1100" b="0" i="1">
                        <a:latin typeface="Cambria Math" panose="02040503050406030204" pitchFamily="18" charset="0"/>
                      </a:rPr>
                      <m:t>=</m:t>
                    </m:r>
                  </m:oMath>
                </m:oMathPara>
              </a14:m>
              <a:endParaRPr lang="es-ES" sz="1100"/>
            </a:p>
          </xdr:txBody>
        </xdr:sp>
      </mc:Choice>
      <mc:Fallback xmlns="">
        <xdr:sp macro="" textlink="">
          <xdr:nvSpPr>
            <xdr:cNvPr id="105" name="CuadroTexto 104">
              <a:extLst>
                <a:ext uri="{FF2B5EF4-FFF2-40B4-BE49-F238E27FC236}">
                  <a16:creationId xmlns:a16="http://schemas.microsoft.com/office/drawing/2014/main" id="{C86A953F-7FC6-40F0-9343-31FF079A2CBD}"/>
                </a:ext>
              </a:extLst>
            </xdr:cNvPr>
            <xdr:cNvSpPr txBox="1"/>
          </xdr:nvSpPr>
          <xdr:spPr>
            <a:xfrm>
              <a:off x="5648326" y="31089600"/>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𝑐𝑦=</a:t>
              </a:r>
              <a:endParaRPr lang="es-ES" sz="1100"/>
            </a:p>
          </xdr:txBody>
        </xdr:sp>
      </mc:Fallback>
    </mc:AlternateContent>
    <xdr:clientData/>
  </xdr:oneCellAnchor>
  <xdr:oneCellAnchor>
    <xdr:from>
      <xdr:col>7</xdr:col>
      <xdr:colOff>390526</xdr:colOff>
      <xdr:row>169</xdr:row>
      <xdr:rowOff>28575</xdr:rowOff>
    </xdr:from>
    <xdr:ext cx="523874" cy="182935"/>
    <mc:AlternateContent xmlns:mc="http://schemas.openxmlformats.org/markup-compatibility/2006" xmlns:a14="http://schemas.microsoft.com/office/drawing/2010/main">
      <mc:Choice Requires="a14">
        <xdr:sp macro="" textlink="">
          <xdr:nvSpPr>
            <xdr:cNvPr id="106" name="CuadroTexto 105">
              <a:extLst>
                <a:ext uri="{FF2B5EF4-FFF2-40B4-BE49-F238E27FC236}">
                  <a16:creationId xmlns:a16="http://schemas.microsoft.com/office/drawing/2014/main" id="{00000000-0008-0000-0000-00006A000000}"/>
                </a:ext>
              </a:extLst>
            </xdr:cNvPr>
            <xdr:cNvSpPr txBox="1"/>
          </xdr:nvSpPr>
          <xdr:spPr>
            <a:xfrm>
              <a:off x="5648326" y="29937075"/>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ES" sz="1100" i="1">
                            <a:latin typeface="Cambria Math" panose="02040503050406030204" pitchFamily="18" charset="0"/>
                          </a:rPr>
                        </m:ctrlPr>
                      </m:sSubPr>
                      <m:e>
                        <m:r>
                          <a:rPr lang="es-PE" sz="1100" b="0" i="1">
                            <a:latin typeface="Cambria Math" panose="02040503050406030204" pitchFamily="18" charset="0"/>
                          </a:rPr>
                          <m:t>𝑝</m:t>
                        </m:r>
                      </m:e>
                      <m:sub>
                        <m:r>
                          <a:rPr lang="es-PE" sz="1100" b="0" i="1">
                            <a:latin typeface="Cambria Math" panose="02040503050406030204" pitchFamily="18" charset="0"/>
                          </a:rPr>
                          <m:t>h𝑦</m:t>
                        </m:r>
                      </m:sub>
                    </m:sSub>
                    <m:r>
                      <a:rPr lang="es-PE" sz="1100" b="0" i="1">
                        <a:latin typeface="Cambria Math" panose="02040503050406030204" pitchFamily="18" charset="0"/>
                      </a:rPr>
                      <m:t>=</m:t>
                    </m:r>
                  </m:oMath>
                </m:oMathPara>
              </a14:m>
              <a:endParaRPr lang="es-ES" sz="1100"/>
            </a:p>
          </xdr:txBody>
        </xdr:sp>
      </mc:Choice>
      <mc:Fallback xmlns="">
        <xdr:sp macro="" textlink="">
          <xdr:nvSpPr>
            <xdr:cNvPr id="106" name="CuadroTexto 105">
              <a:extLst>
                <a:ext uri="{FF2B5EF4-FFF2-40B4-BE49-F238E27FC236}">
                  <a16:creationId xmlns:a16="http://schemas.microsoft.com/office/drawing/2014/main" id="{5BB7CF54-DF8C-4D8C-806A-066BB8A096DC}"/>
                </a:ext>
              </a:extLst>
            </xdr:cNvPr>
            <xdr:cNvSpPr txBox="1"/>
          </xdr:nvSpPr>
          <xdr:spPr>
            <a:xfrm>
              <a:off x="5648326" y="29937075"/>
              <a:ext cx="523874" cy="18293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lIns="0" tIns="0" rIns="0" bIns="0" rtlCol="0" anchor="t">
              <a:spAutoFit/>
            </a:bodyPr>
            <a:lstStyle/>
            <a:p>
              <a:r>
                <a:rPr lang="es-PE" sz="1100" b="0" i="0">
                  <a:latin typeface="Cambria Math" panose="02040503050406030204" pitchFamily="18" charset="0"/>
                </a:rPr>
                <a:t>𝑝</a:t>
              </a:r>
              <a:r>
                <a:rPr lang="es-ES" sz="1100" b="0" i="0">
                  <a:latin typeface="Cambria Math" panose="02040503050406030204" pitchFamily="18" charset="0"/>
                </a:rPr>
                <a:t>_</a:t>
              </a:r>
              <a:r>
                <a:rPr lang="es-PE" sz="1100" b="0" i="0">
                  <a:latin typeface="Cambria Math" panose="02040503050406030204" pitchFamily="18" charset="0"/>
                </a:rPr>
                <a:t>ℎ𝑦=</a:t>
              </a:r>
              <a:endParaRPr lang="es-ES" sz="1100"/>
            </a:p>
          </xdr:txBody>
        </xdr:sp>
      </mc:Fallback>
    </mc:AlternateContent>
    <xdr:clientData/>
  </xdr:oneCellAnchor>
  <xdr:oneCellAnchor>
    <xdr:from>
      <xdr:col>3</xdr:col>
      <xdr:colOff>257175</xdr:colOff>
      <xdr:row>187</xdr:row>
      <xdr:rowOff>23812</xdr:rowOff>
    </xdr:from>
    <xdr:ext cx="823046" cy="172227"/>
    <mc:AlternateContent xmlns:mc="http://schemas.openxmlformats.org/markup-compatibility/2006" xmlns:a14="http://schemas.microsoft.com/office/drawing/2010/main">
      <mc:Choice Requires="a14">
        <xdr:sp macro="" textlink="">
          <xdr:nvSpPr>
            <xdr:cNvPr id="107" name="CuadroTexto 106">
              <a:extLst>
                <a:ext uri="{FF2B5EF4-FFF2-40B4-BE49-F238E27FC236}">
                  <a16:creationId xmlns:a16="http://schemas.microsoft.com/office/drawing/2014/main" id="{00000000-0008-0000-0000-00006B000000}"/>
                </a:ext>
              </a:extLst>
            </xdr:cNvPr>
            <xdr:cNvSpPr txBox="1"/>
          </xdr:nvSpPr>
          <xdr:spPr>
            <a:xfrm>
              <a:off x="2047875" y="31837312"/>
              <a:ext cx="8230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𝑀</m:t>
                        </m:r>
                      </m:e>
                      <m:sub>
                        <m:r>
                          <a:rPr lang="es-PE" sz="1100" b="0" i="1">
                            <a:latin typeface="Cambria Math" panose="02040503050406030204" pitchFamily="18" charset="0"/>
                          </a:rPr>
                          <m:t>𝑤</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𝑤</m:t>
                        </m:r>
                      </m:sub>
                    </m:sSub>
                    <m:r>
                      <a:rPr lang="es-PE" sz="1100" b="0" i="1">
                        <a:latin typeface="Cambria Math" panose="02040503050406030204" pitchFamily="18" charset="0"/>
                      </a:rPr>
                      <m:t>𝑥</m:t>
                    </m:r>
                    <m:sSub>
                      <m:sSubPr>
                        <m:ctrlPr>
                          <a:rPr lang="es-PE" sz="1100" b="0" i="1">
                            <a:latin typeface="Cambria Math" panose="02040503050406030204" pitchFamily="18" charset="0"/>
                          </a:rPr>
                        </m:ctrlPr>
                      </m:sSubPr>
                      <m:e>
                        <m:r>
                          <a:rPr lang="es-PE" sz="1100" b="0" i="1">
                            <a:latin typeface="Cambria Math" panose="02040503050406030204" pitchFamily="18" charset="0"/>
                          </a:rPr>
                          <m:t>h</m:t>
                        </m:r>
                      </m:e>
                      <m:sub>
                        <m:r>
                          <a:rPr lang="es-PE" sz="1100" b="0" i="1">
                            <a:latin typeface="Cambria Math" panose="02040503050406030204" pitchFamily="18" charset="0"/>
                          </a:rPr>
                          <m:t>𝑤</m:t>
                        </m:r>
                      </m:sub>
                    </m:sSub>
                  </m:oMath>
                </m:oMathPara>
              </a14:m>
              <a:endParaRPr lang="es-PE" sz="1100"/>
            </a:p>
          </xdr:txBody>
        </xdr:sp>
      </mc:Choice>
      <mc:Fallback xmlns="">
        <xdr:sp macro="" textlink="">
          <xdr:nvSpPr>
            <xdr:cNvPr id="107" name="CuadroTexto 106">
              <a:extLst>
                <a:ext uri="{FF2B5EF4-FFF2-40B4-BE49-F238E27FC236}">
                  <a16:creationId xmlns:a16="http://schemas.microsoft.com/office/drawing/2014/main" id="{08EC1ECE-F572-41FF-8443-8A8C0F621994}"/>
                </a:ext>
              </a:extLst>
            </xdr:cNvPr>
            <xdr:cNvSpPr txBox="1"/>
          </xdr:nvSpPr>
          <xdr:spPr>
            <a:xfrm>
              <a:off x="2047875" y="31837312"/>
              <a:ext cx="823046"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𝑀_𝑤=𝑃_𝑤 𝑥ℎ_𝑤</a:t>
              </a:r>
              <a:endParaRPr lang="es-PE" sz="1100"/>
            </a:p>
          </xdr:txBody>
        </xdr:sp>
      </mc:Fallback>
    </mc:AlternateContent>
    <xdr:clientData/>
  </xdr:oneCellAnchor>
  <xdr:oneCellAnchor>
    <xdr:from>
      <xdr:col>3</xdr:col>
      <xdr:colOff>247650</xdr:colOff>
      <xdr:row>188</xdr:row>
      <xdr:rowOff>33337</xdr:rowOff>
    </xdr:from>
    <xdr:ext cx="735714" cy="172227"/>
    <mc:AlternateContent xmlns:mc="http://schemas.openxmlformats.org/markup-compatibility/2006" xmlns:a14="http://schemas.microsoft.com/office/drawing/2010/main">
      <mc:Choice Requires="a14">
        <xdr:sp macro="" textlink="">
          <xdr:nvSpPr>
            <xdr:cNvPr id="108" name="CuadroTexto 107">
              <a:extLst>
                <a:ext uri="{FF2B5EF4-FFF2-40B4-BE49-F238E27FC236}">
                  <a16:creationId xmlns:a16="http://schemas.microsoft.com/office/drawing/2014/main" id="{00000000-0008-0000-0000-00006C000000}"/>
                </a:ext>
              </a:extLst>
            </xdr:cNvPr>
            <xdr:cNvSpPr txBox="1"/>
          </xdr:nvSpPr>
          <xdr:spPr>
            <a:xfrm>
              <a:off x="2038350" y="32037337"/>
              <a:ext cx="735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𝑀</m:t>
                        </m:r>
                      </m:e>
                      <m:sub>
                        <m:r>
                          <a:rPr lang="es-PE" sz="1100" b="0" i="1">
                            <a:latin typeface="Cambria Math" panose="02040503050406030204" pitchFamily="18" charset="0"/>
                          </a:rPr>
                          <m:t>𝑟</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𝑟</m:t>
                        </m:r>
                      </m:sub>
                    </m:sSub>
                    <m:r>
                      <a:rPr lang="es-PE" sz="1100" b="0" i="1">
                        <a:latin typeface="Cambria Math" panose="02040503050406030204" pitchFamily="18" charset="0"/>
                      </a:rPr>
                      <m:t>𝑥</m:t>
                    </m:r>
                    <m:sSub>
                      <m:sSubPr>
                        <m:ctrlPr>
                          <a:rPr lang="es-PE" sz="1100" b="0" i="1">
                            <a:latin typeface="Cambria Math" panose="02040503050406030204" pitchFamily="18" charset="0"/>
                          </a:rPr>
                        </m:ctrlPr>
                      </m:sSubPr>
                      <m:e>
                        <m:r>
                          <a:rPr lang="es-PE" sz="1100" b="0" i="1">
                            <a:latin typeface="Cambria Math" panose="02040503050406030204" pitchFamily="18" charset="0"/>
                          </a:rPr>
                          <m:t>h</m:t>
                        </m:r>
                      </m:e>
                      <m:sub>
                        <m:r>
                          <a:rPr lang="es-PE" sz="1100" b="0" i="1">
                            <a:latin typeface="Cambria Math" panose="02040503050406030204" pitchFamily="18" charset="0"/>
                          </a:rPr>
                          <m:t>𝑟</m:t>
                        </m:r>
                      </m:sub>
                    </m:sSub>
                  </m:oMath>
                </m:oMathPara>
              </a14:m>
              <a:endParaRPr lang="es-PE" sz="1100"/>
            </a:p>
          </xdr:txBody>
        </xdr:sp>
      </mc:Choice>
      <mc:Fallback xmlns="">
        <xdr:sp macro="" textlink="">
          <xdr:nvSpPr>
            <xdr:cNvPr id="108" name="CuadroTexto 107">
              <a:extLst>
                <a:ext uri="{FF2B5EF4-FFF2-40B4-BE49-F238E27FC236}">
                  <a16:creationId xmlns:a16="http://schemas.microsoft.com/office/drawing/2014/main" id="{80BD7708-51A6-4D81-8E54-D0CAF233E5E5}"/>
                </a:ext>
              </a:extLst>
            </xdr:cNvPr>
            <xdr:cNvSpPr txBox="1"/>
          </xdr:nvSpPr>
          <xdr:spPr>
            <a:xfrm>
              <a:off x="2038350" y="32037337"/>
              <a:ext cx="73571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b="0" i="0">
                  <a:latin typeface="Cambria Math" panose="02040503050406030204" pitchFamily="18" charset="0"/>
                </a:rPr>
                <a:t>𝑀_𝑟=𝑃_𝑟 𝑥ℎ_𝑟</a:t>
              </a:r>
              <a:endParaRPr lang="es-PE" sz="1100"/>
            </a:p>
          </xdr:txBody>
        </xdr:sp>
      </mc:Fallback>
    </mc:AlternateContent>
    <xdr:clientData/>
  </xdr:oneCellAnchor>
  <xdr:oneCellAnchor>
    <xdr:from>
      <xdr:col>3</xdr:col>
      <xdr:colOff>247650</xdr:colOff>
      <xdr:row>189</xdr:row>
      <xdr:rowOff>19050</xdr:rowOff>
    </xdr:from>
    <xdr:ext cx="774827" cy="172227"/>
    <mc:AlternateContent xmlns:mc="http://schemas.openxmlformats.org/markup-compatibility/2006" xmlns:a14="http://schemas.microsoft.com/office/drawing/2010/main">
      <mc:Choice Requires="a14">
        <xdr:sp macro="" textlink="">
          <xdr:nvSpPr>
            <xdr:cNvPr id="109" name="CuadroTexto 108">
              <a:extLst>
                <a:ext uri="{FF2B5EF4-FFF2-40B4-BE49-F238E27FC236}">
                  <a16:creationId xmlns:a16="http://schemas.microsoft.com/office/drawing/2014/main" id="{00000000-0008-0000-0000-00006D000000}"/>
                </a:ext>
              </a:extLst>
            </xdr:cNvPr>
            <xdr:cNvSpPr txBox="1"/>
          </xdr:nvSpPr>
          <xdr:spPr>
            <a:xfrm>
              <a:off x="2038350" y="33737550"/>
              <a:ext cx="774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𝑀</m:t>
                        </m:r>
                        <m:r>
                          <a:rPr lang="es-PE" sz="1100" b="0" i="1">
                            <a:latin typeface="Cambria Math" panose="02040503050406030204" pitchFamily="18" charset="0"/>
                          </a:rPr>
                          <m:t>′</m:t>
                        </m:r>
                      </m:e>
                      <m:sub>
                        <m:r>
                          <a:rPr lang="es-PE" sz="1100" b="0" i="1">
                            <a:latin typeface="Cambria Math" panose="02040503050406030204" pitchFamily="18" charset="0"/>
                          </a:rPr>
                          <m:t>𝑖</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𝑖</m:t>
                        </m:r>
                      </m:sub>
                    </m:sSub>
                    <m:r>
                      <a:rPr lang="es-PE" sz="1100" b="0" i="1">
                        <a:latin typeface="Cambria Math" panose="02040503050406030204" pitchFamily="18" charset="0"/>
                      </a:rPr>
                      <m:t>𝑥</m:t>
                    </m:r>
                    <m:sSub>
                      <m:sSubPr>
                        <m:ctrlPr>
                          <a:rPr lang="es-PE" sz="1100" b="0" i="1">
                            <a:latin typeface="Cambria Math" panose="02040503050406030204" pitchFamily="18" charset="0"/>
                          </a:rPr>
                        </m:ctrlPr>
                      </m:sSubPr>
                      <m:e>
                        <m:r>
                          <a:rPr lang="es-PE" sz="1100" b="0" i="1">
                            <a:latin typeface="Cambria Math" panose="02040503050406030204" pitchFamily="18" charset="0"/>
                          </a:rPr>
                          <m:t>h</m:t>
                        </m:r>
                        <m:r>
                          <a:rPr lang="es-PE" sz="1100" b="0" i="1">
                            <a:latin typeface="Cambria Math" panose="02040503050406030204" pitchFamily="18" charset="0"/>
                          </a:rPr>
                          <m:t>′</m:t>
                        </m:r>
                      </m:e>
                      <m:sub>
                        <m:r>
                          <a:rPr lang="es-PE" sz="1100" b="0" i="1">
                            <a:latin typeface="Cambria Math" panose="02040503050406030204" pitchFamily="18" charset="0"/>
                          </a:rPr>
                          <m:t>𝑖</m:t>
                        </m:r>
                      </m:sub>
                    </m:sSub>
                  </m:oMath>
                </m:oMathPara>
              </a14:m>
              <a:endParaRPr lang="es-PE" sz="1100"/>
            </a:p>
          </xdr:txBody>
        </xdr:sp>
      </mc:Choice>
      <mc:Fallback xmlns="">
        <xdr:sp macro="" textlink="">
          <xdr:nvSpPr>
            <xdr:cNvPr id="109" name="CuadroTexto 108">
              <a:extLst>
                <a:ext uri="{FF2B5EF4-FFF2-40B4-BE49-F238E27FC236}">
                  <a16:creationId xmlns:a16="http://schemas.microsoft.com/office/drawing/2014/main" id="{063D12A9-8861-4660-BDD7-AA8FE61EAC31}"/>
                </a:ext>
              </a:extLst>
            </xdr:cNvPr>
            <xdr:cNvSpPr txBox="1"/>
          </xdr:nvSpPr>
          <xdr:spPr>
            <a:xfrm>
              <a:off x="2038350" y="33737550"/>
              <a:ext cx="774827"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𝑀′〗_𝑖=𝑃_𝑖 𝑥〖ℎ′〗_𝑖</a:t>
              </a:r>
              <a:endParaRPr lang="es-PE" sz="1100"/>
            </a:p>
          </xdr:txBody>
        </xdr:sp>
      </mc:Fallback>
    </mc:AlternateContent>
    <xdr:clientData/>
  </xdr:oneCellAnchor>
  <xdr:oneCellAnchor>
    <xdr:from>
      <xdr:col>3</xdr:col>
      <xdr:colOff>247650</xdr:colOff>
      <xdr:row>190</xdr:row>
      <xdr:rowOff>28575</xdr:rowOff>
    </xdr:from>
    <xdr:ext cx="809324" cy="172227"/>
    <mc:AlternateContent xmlns:mc="http://schemas.openxmlformats.org/markup-compatibility/2006" xmlns:a14="http://schemas.microsoft.com/office/drawing/2010/main">
      <mc:Choice Requires="a14">
        <xdr:sp macro="" textlink="">
          <xdr:nvSpPr>
            <xdr:cNvPr id="110" name="CuadroTexto 109">
              <a:extLst>
                <a:ext uri="{FF2B5EF4-FFF2-40B4-BE49-F238E27FC236}">
                  <a16:creationId xmlns:a16="http://schemas.microsoft.com/office/drawing/2014/main" id="{00000000-0008-0000-0000-00006E000000}"/>
                </a:ext>
              </a:extLst>
            </xdr:cNvPr>
            <xdr:cNvSpPr txBox="1"/>
          </xdr:nvSpPr>
          <xdr:spPr>
            <a:xfrm>
              <a:off x="2038350" y="33937575"/>
              <a:ext cx="8093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100" i="1">
                            <a:latin typeface="Cambria Math" panose="02040503050406030204" pitchFamily="18" charset="0"/>
                          </a:rPr>
                        </m:ctrlPr>
                      </m:sSubPr>
                      <m:e>
                        <m:r>
                          <a:rPr lang="es-PE" sz="1100" b="0" i="1">
                            <a:latin typeface="Cambria Math" panose="02040503050406030204" pitchFamily="18" charset="0"/>
                          </a:rPr>
                          <m:t>𝑀</m:t>
                        </m:r>
                        <m:r>
                          <a:rPr lang="es-PE" sz="1100" b="0" i="1">
                            <a:latin typeface="Cambria Math" panose="02040503050406030204" pitchFamily="18" charset="0"/>
                          </a:rPr>
                          <m:t>′</m:t>
                        </m:r>
                      </m:e>
                      <m:sub>
                        <m:r>
                          <a:rPr lang="es-PE" sz="1100" b="0" i="1">
                            <a:latin typeface="Cambria Math" panose="02040503050406030204" pitchFamily="18" charset="0"/>
                          </a:rPr>
                          <m:t>𝑐</m:t>
                        </m:r>
                      </m:sub>
                    </m:sSub>
                    <m:r>
                      <a:rPr lang="es-PE" sz="1100" b="0" i="1">
                        <a:latin typeface="Cambria Math" panose="02040503050406030204" pitchFamily="18" charset="0"/>
                      </a:rPr>
                      <m:t>=</m:t>
                    </m:r>
                    <m:sSub>
                      <m:sSubPr>
                        <m:ctrlPr>
                          <a:rPr lang="es-PE" sz="1100" b="0" i="1">
                            <a:latin typeface="Cambria Math" panose="02040503050406030204" pitchFamily="18" charset="0"/>
                          </a:rPr>
                        </m:ctrlPr>
                      </m:sSubPr>
                      <m:e>
                        <m:r>
                          <a:rPr lang="es-PE" sz="1100" b="0" i="1">
                            <a:latin typeface="Cambria Math" panose="02040503050406030204" pitchFamily="18" charset="0"/>
                          </a:rPr>
                          <m:t>𝑃</m:t>
                        </m:r>
                      </m:e>
                      <m:sub>
                        <m:r>
                          <a:rPr lang="es-PE" sz="1100" b="0" i="1">
                            <a:latin typeface="Cambria Math" panose="02040503050406030204" pitchFamily="18" charset="0"/>
                          </a:rPr>
                          <m:t>𝑐</m:t>
                        </m:r>
                      </m:sub>
                    </m:sSub>
                    <m:r>
                      <a:rPr lang="es-PE" sz="1100" b="0" i="1">
                        <a:latin typeface="Cambria Math" panose="02040503050406030204" pitchFamily="18" charset="0"/>
                      </a:rPr>
                      <m:t>𝑥</m:t>
                    </m:r>
                    <m:sSub>
                      <m:sSubPr>
                        <m:ctrlPr>
                          <a:rPr lang="es-PE" sz="1100" b="0" i="1">
                            <a:latin typeface="Cambria Math" panose="02040503050406030204" pitchFamily="18" charset="0"/>
                          </a:rPr>
                        </m:ctrlPr>
                      </m:sSubPr>
                      <m:e>
                        <m:r>
                          <a:rPr lang="es-PE" sz="1100" b="0" i="1">
                            <a:latin typeface="Cambria Math" panose="02040503050406030204" pitchFamily="18" charset="0"/>
                          </a:rPr>
                          <m:t>h</m:t>
                        </m:r>
                        <m:r>
                          <a:rPr lang="es-PE" sz="1100" b="0" i="1">
                            <a:latin typeface="Cambria Math" panose="02040503050406030204" pitchFamily="18" charset="0"/>
                          </a:rPr>
                          <m:t>′</m:t>
                        </m:r>
                      </m:e>
                      <m:sub>
                        <m:r>
                          <a:rPr lang="es-PE" sz="1100" b="0" i="1">
                            <a:latin typeface="Cambria Math" panose="02040503050406030204" pitchFamily="18" charset="0"/>
                          </a:rPr>
                          <m:t>𝑐</m:t>
                        </m:r>
                      </m:sub>
                    </m:sSub>
                  </m:oMath>
                </m:oMathPara>
              </a14:m>
              <a:endParaRPr lang="es-PE" sz="1100"/>
            </a:p>
          </xdr:txBody>
        </xdr:sp>
      </mc:Choice>
      <mc:Fallback xmlns="">
        <xdr:sp macro="" textlink="">
          <xdr:nvSpPr>
            <xdr:cNvPr id="110" name="CuadroTexto 109">
              <a:extLst>
                <a:ext uri="{FF2B5EF4-FFF2-40B4-BE49-F238E27FC236}">
                  <a16:creationId xmlns:a16="http://schemas.microsoft.com/office/drawing/2014/main" id="{9FDCB88C-F5A8-4375-BEFF-3F6418364EA7}"/>
                </a:ext>
              </a:extLst>
            </xdr:cNvPr>
            <xdr:cNvSpPr txBox="1"/>
          </xdr:nvSpPr>
          <xdr:spPr>
            <a:xfrm>
              <a:off x="2038350" y="33937575"/>
              <a:ext cx="809324"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100" i="0">
                  <a:latin typeface="Cambria Math" panose="02040503050406030204" pitchFamily="18" charset="0"/>
                </a:rPr>
                <a:t>〖</a:t>
              </a:r>
              <a:r>
                <a:rPr lang="es-PE" sz="1100" b="0" i="0">
                  <a:latin typeface="Cambria Math" panose="02040503050406030204" pitchFamily="18" charset="0"/>
                </a:rPr>
                <a:t>𝑀′〗_𝑐=𝑃_𝑐 𝑥〖ℎ′〗_𝑐</a:t>
              </a:r>
              <a:endParaRPr lang="es-PE" sz="1100"/>
            </a:p>
          </xdr:txBody>
        </xdr:sp>
      </mc:Fallback>
    </mc:AlternateContent>
    <xdr:clientData/>
  </xdr:oneCellAnchor>
  <xdr:oneCellAnchor>
    <xdr:from>
      <xdr:col>6</xdr:col>
      <xdr:colOff>723900</xdr:colOff>
      <xdr:row>190</xdr:row>
      <xdr:rowOff>114300</xdr:rowOff>
    </xdr:from>
    <xdr:ext cx="1866986" cy="313163"/>
    <mc:AlternateContent xmlns:mc="http://schemas.openxmlformats.org/markup-compatibility/2006" xmlns:a14="http://schemas.microsoft.com/office/drawing/2010/main">
      <mc:Choice Requires="a14">
        <xdr:sp macro="" textlink="">
          <xdr:nvSpPr>
            <xdr:cNvPr id="111" name="CuadroTexto 110">
              <a:extLst>
                <a:ext uri="{FF2B5EF4-FFF2-40B4-BE49-F238E27FC236}">
                  <a16:creationId xmlns:a16="http://schemas.microsoft.com/office/drawing/2014/main" id="{00000000-0008-0000-0000-00006F000000}"/>
                </a:ext>
              </a:extLst>
            </xdr:cNvPr>
            <xdr:cNvSpPr txBox="1"/>
          </xdr:nvSpPr>
          <xdr:spPr>
            <a:xfrm>
              <a:off x="4972050" y="34023300"/>
              <a:ext cx="1866986" cy="313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sSub>
                      <m:sSubPr>
                        <m:ctrlPr>
                          <a:rPr lang="es-PE" sz="1000" b="0" i="1">
                            <a:latin typeface="Cambria Math" panose="02040503050406030204" pitchFamily="18" charset="0"/>
                          </a:rPr>
                        </m:ctrlPr>
                      </m:sSubPr>
                      <m:e>
                        <m:r>
                          <a:rPr lang="es-PE" sz="1000" b="0" i="1">
                            <a:latin typeface="Cambria Math" panose="02040503050406030204" pitchFamily="18" charset="0"/>
                          </a:rPr>
                          <m:t>𝑀</m:t>
                        </m:r>
                      </m:e>
                      <m:sub>
                        <m:r>
                          <a:rPr lang="es-PE" sz="1000" b="0" i="1">
                            <a:latin typeface="Cambria Math" panose="02040503050406030204" pitchFamily="18" charset="0"/>
                          </a:rPr>
                          <m:t>𝑜</m:t>
                        </m:r>
                      </m:sub>
                    </m:sSub>
                    <m:r>
                      <a:rPr lang="es-PE" sz="1000" b="0" i="1">
                        <a:latin typeface="Cambria Math" panose="02040503050406030204" pitchFamily="18" charset="0"/>
                      </a:rPr>
                      <m:t>=</m:t>
                    </m:r>
                    <m:rad>
                      <m:radPr>
                        <m:degHide m:val="on"/>
                        <m:ctrlPr>
                          <a:rPr lang="es-PE" sz="1000" b="0" i="1">
                            <a:latin typeface="Cambria Math" panose="02040503050406030204" pitchFamily="18" charset="0"/>
                          </a:rPr>
                        </m:ctrlPr>
                      </m:radPr>
                      <m:deg/>
                      <m:e>
                        <m:sSup>
                          <m:sSupPr>
                            <m:ctrlPr>
                              <a:rPr lang="es-PE" sz="1000" b="0" i="1">
                                <a:latin typeface="Cambria Math" panose="02040503050406030204" pitchFamily="18" charset="0"/>
                              </a:rPr>
                            </m:ctrlPr>
                          </m:sSupPr>
                          <m:e>
                            <m:d>
                              <m:dPr>
                                <m:ctrlPr>
                                  <a:rPr lang="es-PE" sz="1000" b="0" i="1">
                                    <a:latin typeface="Cambria Math" panose="02040503050406030204" pitchFamily="18" charset="0"/>
                                  </a:rPr>
                                </m:ctrlPr>
                              </m:dPr>
                              <m:e>
                                <m:sSub>
                                  <m:sSubPr>
                                    <m:ctrlPr>
                                      <a:rPr lang="es-PE" sz="1000" b="0" i="1">
                                        <a:latin typeface="Cambria Math" panose="02040503050406030204" pitchFamily="18" charset="0"/>
                                      </a:rPr>
                                    </m:ctrlPr>
                                  </m:sSubPr>
                                  <m:e>
                                    <m:r>
                                      <a:rPr lang="es-PE" sz="1000" b="0" i="1">
                                        <a:latin typeface="Cambria Math" panose="02040503050406030204" pitchFamily="18" charset="0"/>
                                      </a:rPr>
                                      <m:t>𝑀</m:t>
                                    </m:r>
                                    <m:r>
                                      <a:rPr lang="es-PE" sz="1000" b="0" i="1">
                                        <a:latin typeface="Cambria Math" panose="02040503050406030204" pitchFamily="18" charset="0"/>
                                      </a:rPr>
                                      <m:t>′</m:t>
                                    </m:r>
                                  </m:e>
                                  <m:sub>
                                    <m:r>
                                      <a:rPr lang="es-PE" sz="1000" b="0" i="1">
                                        <a:latin typeface="Cambria Math" panose="02040503050406030204" pitchFamily="18" charset="0"/>
                                      </a:rPr>
                                      <m:t>𝑖</m:t>
                                    </m:r>
                                  </m:sub>
                                </m:sSub>
                                <m:r>
                                  <a:rPr lang="es-PE" sz="1000" b="0" i="1">
                                    <a:latin typeface="Cambria Math" panose="02040503050406030204" pitchFamily="18" charset="0"/>
                                  </a:rPr>
                                  <m:t>+</m:t>
                                </m:r>
                                <m:sSub>
                                  <m:sSubPr>
                                    <m:ctrlPr>
                                      <a:rPr lang="es-PE" sz="1000" b="0" i="1">
                                        <a:latin typeface="Cambria Math" panose="02040503050406030204" pitchFamily="18" charset="0"/>
                                      </a:rPr>
                                    </m:ctrlPr>
                                  </m:sSubPr>
                                  <m:e>
                                    <m:r>
                                      <a:rPr lang="es-PE" sz="1000" b="0" i="1">
                                        <a:latin typeface="Cambria Math" panose="02040503050406030204" pitchFamily="18" charset="0"/>
                                      </a:rPr>
                                      <m:t>𝑀</m:t>
                                    </m:r>
                                  </m:e>
                                  <m:sub>
                                    <m:r>
                                      <a:rPr lang="es-PE" sz="1000" b="0" i="1">
                                        <a:latin typeface="Cambria Math" panose="02040503050406030204" pitchFamily="18" charset="0"/>
                                      </a:rPr>
                                      <m:t>𝑤</m:t>
                                    </m:r>
                                  </m:sub>
                                </m:sSub>
                                <m:r>
                                  <a:rPr lang="es-PE" sz="1000" b="0" i="1">
                                    <a:latin typeface="Cambria Math" panose="02040503050406030204" pitchFamily="18" charset="0"/>
                                  </a:rPr>
                                  <m:t>+</m:t>
                                </m:r>
                                <m:sSub>
                                  <m:sSubPr>
                                    <m:ctrlPr>
                                      <a:rPr lang="es-PE" sz="1000" b="0" i="1">
                                        <a:latin typeface="Cambria Math" panose="02040503050406030204" pitchFamily="18" charset="0"/>
                                      </a:rPr>
                                    </m:ctrlPr>
                                  </m:sSubPr>
                                  <m:e>
                                    <m:r>
                                      <a:rPr lang="es-PE" sz="1000" b="0" i="1">
                                        <a:latin typeface="Cambria Math" panose="02040503050406030204" pitchFamily="18" charset="0"/>
                                      </a:rPr>
                                      <m:t>𝑀</m:t>
                                    </m:r>
                                  </m:e>
                                  <m:sub>
                                    <m:r>
                                      <a:rPr lang="es-PE" sz="1000" b="0" i="1">
                                        <a:latin typeface="Cambria Math" panose="02040503050406030204" pitchFamily="18" charset="0"/>
                                      </a:rPr>
                                      <m:t>𝑟</m:t>
                                    </m:r>
                                  </m:sub>
                                </m:sSub>
                              </m:e>
                            </m:d>
                          </m:e>
                          <m:sup>
                            <m:r>
                              <a:rPr lang="es-PE" sz="1000" b="0" i="1">
                                <a:latin typeface="Cambria Math" panose="02040503050406030204" pitchFamily="18" charset="0"/>
                              </a:rPr>
                              <m:t>2</m:t>
                            </m:r>
                          </m:sup>
                        </m:sSup>
                        <m:r>
                          <a:rPr lang="es-PE" sz="1000" b="0" i="1">
                            <a:latin typeface="Cambria Math" panose="02040503050406030204" pitchFamily="18" charset="0"/>
                          </a:rPr>
                          <m:t>+</m:t>
                        </m:r>
                        <m:sSup>
                          <m:sSupPr>
                            <m:ctrlPr>
                              <a:rPr lang="es-PE" sz="1000" b="0" i="1">
                                <a:latin typeface="Cambria Math" panose="02040503050406030204" pitchFamily="18" charset="0"/>
                              </a:rPr>
                            </m:ctrlPr>
                          </m:sSupPr>
                          <m:e>
                            <m:sSub>
                              <m:sSubPr>
                                <m:ctrlPr>
                                  <a:rPr lang="es-PE" sz="1000" b="0" i="1">
                                    <a:latin typeface="Cambria Math" panose="02040503050406030204" pitchFamily="18" charset="0"/>
                                  </a:rPr>
                                </m:ctrlPr>
                              </m:sSubPr>
                              <m:e>
                                <m:r>
                                  <a:rPr lang="es-PE" sz="1000" b="0" i="1">
                                    <a:latin typeface="Cambria Math" panose="02040503050406030204" pitchFamily="18" charset="0"/>
                                  </a:rPr>
                                  <m:t>𝑀</m:t>
                                </m:r>
                                <m:r>
                                  <a:rPr lang="es-PE" sz="1000" b="0" i="1">
                                    <a:latin typeface="Cambria Math" panose="02040503050406030204" pitchFamily="18" charset="0"/>
                                  </a:rPr>
                                  <m:t>′</m:t>
                                </m:r>
                              </m:e>
                              <m:sub>
                                <m:r>
                                  <a:rPr lang="es-PE" sz="1000" b="0" i="1">
                                    <a:latin typeface="Cambria Math" panose="02040503050406030204" pitchFamily="18" charset="0"/>
                                  </a:rPr>
                                  <m:t>𝑐</m:t>
                                </m:r>
                              </m:sub>
                            </m:sSub>
                          </m:e>
                          <m:sup>
                            <m:r>
                              <a:rPr lang="es-PE" sz="1000" b="0" i="1">
                                <a:latin typeface="Cambria Math" panose="02040503050406030204" pitchFamily="18" charset="0"/>
                              </a:rPr>
                              <m:t>2</m:t>
                            </m:r>
                          </m:sup>
                        </m:sSup>
                      </m:e>
                    </m:rad>
                  </m:oMath>
                </m:oMathPara>
              </a14:m>
              <a:endParaRPr lang="es-PE" sz="1000"/>
            </a:p>
          </xdr:txBody>
        </xdr:sp>
      </mc:Choice>
      <mc:Fallback xmlns="">
        <xdr:sp macro="" textlink="">
          <xdr:nvSpPr>
            <xdr:cNvPr id="111" name="CuadroTexto 110">
              <a:extLst>
                <a:ext uri="{FF2B5EF4-FFF2-40B4-BE49-F238E27FC236}">
                  <a16:creationId xmlns:a16="http://schemas.microsoft.com/office/drawing/2014/main" id="{A965CCB4-6859-4E00-B024-865199472874}"/>
                </a:ext>
              </a:extLst>
            </xdr:cNvPr>
            <xdr:cNvSpPr txBox="1"/>
          </xdr:nvSpPr>
          <xdr:spPr>
            <a:xfrm>
              <a:off x="4972050" y="34023300"/>
              <a:ext cx="1866986" cy="31316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PE" sz="1000" b="0" i="0">
                  <a:latin typeface="Cambria Math" panose="02040503050406030204" pitchFamily="18" charset="0"/>
                </a:rPr>
                <a:t>𝑀_𝑜=√((〖𝑀′〗_𝑖+𝑀_𝑤+𝑀_𝑟 )^2+〖〖𝑀′〗_𝑐〗^2 )</a:t>
              </a:r>
              <a:endParaRPr lang="es-PE" sz="1000"/>
            </a:p>
          </xdr:txBody>
        </xdr:sp>
      </mc:Fallback>
    </mc:AlternateContent>
    <xdr:clientData/>
  </xdr:oneCellAnchor>
  <xdr:oneCellAnchor>
    <xdr:from>
      <xdr:col>3</xdr:col>
      <xdr:colOff>276225</xdr:colOff>
      <xdr:row>94</xdr:row>
      <xdr:rowOff>95249</xdr:rowOff>
    </xdr:from>
    <xdr:ext cx="1371600" cy="352425"/>
    <mc:AlternateContent xmlns:mc="http://schemas.openxmlformats.org/markup-compatibility/2006" xmlns:a14="http://schemas.microsoft.com/office/drawing/2010/main">
      <mc:Choice Requires="a14">
        <xdr:sp macro="" textlink="">
          <xdr:nvSpPr>
            <xdr:cNvPr id="112" name="CuadroTexto 111">
              <a:extLst>
                <a:ext uri="{FF2B5EF4-FFF2-40B4-BE49-F238E27FC236}">
                  <a16:creationId xmlns:a16="http://schemas.microsoft.com/office/drawing/2014/main" id="{00000000-0008-0000-0000-000070000000}"/>
                </a:ext>
              </a:extLst>
            </xdr:cNvPr>
            <xdr:cNvSpPr txBox="1"/>
          </xdr:nvSpPr>
          <xdr:spPr>
            <a:xfrm>
              <a:off x="2066925" y="16287749"/>
              <a:ext cx="1371600"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ea typeface="Cambria Math" panose="02040503050406030204" pitchFamily="18" charset="0"/>
                      </a:rPr>
                      <m:t>&lt;0.75→</m:t>
                    </m:r>
                    <m:f>
                      <m:fPr>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h</m:t>
                            </m:r>
                            <m:r>
                              <a:rPr lang="es-PE" sz="1000" b="0" i="1">
                                <a:solidFill>
                                  <a:schemeClr val="tx1">
                                    <a:lumMod val="85000"/>
                                    <a:lumOff val="15000"/>
                                  </a:schemeClr>
                                </a:solidFill>
                                <a:latin typeface="Cambria Math" panose="02040503050406030204" pitchFamily="18" charset="0"/>
                              </a:rPr>
                              <m:t>′</m:t>
                            </m:r>
                          </m:e>
                          <m:sub>
                            <m:r>
                              <a:rPr lang="es-PE" sz="1000" b="0" i="1">
                                <a:solidFill>
                                  <a:schemeClr val="tx1">
                                    <a:lumMod val="85000"/>
                                    <a:lumOff val="15000"/>
                                  </a:schemeClr>
                                </a:solidFill>
                                <a:latin typeface="Cambria Math" panose="02040503050406030204" pitchFamily="18" charset="0"/>
                              </a:rPr>
                              <m:t>𝑖</m:t>
                            </m:r>
                          </m:sub>
                        </m:sSub>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rPr>
                      <m:t>=0.45</m:t>
                    </m:r>
                  </m:oMath>
                </m:oMathPara>
              </a14:m>
              <a:endParaRPr lang="es-ES" sz="1000">
                <a:solidFill>
                  <a:schemeClr val="tx1">
                    <a:lumMod val="85000"/>
                    <a:lumOff val="15000"/>
                  </a:schemeClr>
                </a:solidFill>
              </a:endParaRPr>
            </a:p>
          </xdr:txBody>
        </xdr:sp>
      </mc:Choice>
      <mc:Fallback xmlns="">
        <xdr:sp macro="" textlink="">
          <xdr:nvSpPr>
            <xdr:cNvPr id="112" name="CuadroTexto 111">
              <a:extLst>
                <a:ext uri="{FF2B5EF4-FFF2-40B4-BE49-F238E27FC236}">
                  <a16:creationId xmlns:a16="http://schemas.microsoft.com/office/drawing/2014/main" id="{D0DD2749-75EA-45A2-8671-A41DB399040B}"/>
                </a:ext>
              </a:extLst>
            </xdr:cNvPr>
            <xdr:cNvSpPr txBox="1"/>
          </xdr:nvSpPr>
          <xdr:spPr>
            <a:xfrm>
              <a:off x="2066925" y="16287749"/>
              <a:ext cx="1371600" cy="3524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PE" sz="1000" b="0" i="0">
                  <a:solidFill>
                    <a:schemeClr val="tx1">
                      <a:lumMod val="85000"/>
                      <a:lumOff val="15000"/>
                    </a:schemeClr>
                  </a:solidFill>
                  <a:latin typeface="Cambria Math" panose="02040503050406030204" pitchFamily="18" charset="0"/>
                </a:rPr>
                <a:t>𝐿/𝐻_𝐿 </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&lt;0.75→</a:t>
              </a:r>
              <a:r>
                <a:rPr lang="es-PE" sz="1000" b="0" i="0">
                  <a:solidFill>
                    <a:schemeClr val="tx1">
                      <a:lumMod val="85000"/>
                      <a:lumOff val="15000"/>
                    </a:schemeClr>
                  </a:solidFill>
                  <a:latin typeface="Cambria Math" panose="02040503050406030204" pitchFamily="18" charset="0"/>
                </a:rPr>
                <a:t>〖ℎ′〗_𝑖/𝐻_𝐿 =0.45</a:t>
              </a:r>
              <a:endParaRPr lang="es-ES" sz="1000">
                <a:solidFill>
                  <a:schemeClr val="tx1">
                    <a:lumMod val="85000"/>
                    <a:lumOff val="15000"/>
                  </a:schemeClr>
                </a:solidFill>
              </a:endParaRPr>
            </a:p>
          </xdr:txBody>
        </xdr:sp>
      </mc:Fallback>
    </mc:AlternateContent>
    <xdr:clientData/>
  </xdr:oneCellAnchor>
  <xdr:oneCellAnchor>
    <xdr:from>
      <xdr:col>3</xdr:col>
      <xdr:colOff>161924</xdr:colOff>
      <xdr:row>95</xdr:row>
      <xdr:rowOff>190499</xdr:rowOff>
    </xdr:from>
    <xdr:ext cx="2752726" cy="600076"/>
    <mc:AlternateContent xmlns:mc="http://schemas.openxmlformats.org/markup-compatibility/2006" xmlns:a14="http://schemas.microsoft.com/office/drawing/2010/main">
      <mc:Choice Requires="a14">
        <xdr:sp macro="" textlink="">
          <xdr:nvSpPr>
            <xdr:cNvPr id="113" name="CuadroTexto 112">
              <a:extLst>
                <a:ext uri="{FF2B5EF4-FFF2-40B4-BE49-F238E27FC236}">
                  <a16:creationId xmlns:a16="http://schemas.microsoft.com/office/drawing/2014/main" id="{00000000-0008-0000-0000-000071000000}"/>
                </a:ext>
              </a:extLst>
            </xdr:cNvPr>
            <xdr:cNvSpPr txBox="1"/>
          </xdr:nvSpPr>
          <xdr:spPr>
            <a:xfrm>
              <a:off x="1952624" y="16573499"/>
              <a:ext cx="2752726" cy="600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14:m>
                <m:oMathPara xmlns:m="http://schemas.openxmlformats.org/officeDocument/2006/math">
                  <m:oMathParaPr>
                    <m:jc m:val="centerGroup"/>
                  </m:oMathParaPr>
                  <m:oMath xmlns:m="http://schemas.openxmlformats.org/officeDocument/2006/math">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ea typeface="Cambria Math" panose="02040503050406030204" pitchFamily="18" charset="0"/>
                      </a:rPr>
                      <m:t>≥0.75→</m:t>
                    </m:r>
                    <m:f>
                      <m:fPr>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sSup>
                              <m:sSupPr>
                                <m:ctrlPr>
                                  <a:rPr lang="es-PE" sz="1000" b="0" i="1">
                                    <a:solidFill>
                                      <a:schemeClr val="tx1">
                                        <a:lumMod val="85000"/>
                                        <a:lumOff val="15000"/>
                                      </a:schemeClr>
                                    </a:solidFill>
                                    <a:latin typeface="Cambria Math" panose="02040503050406030204" pitchFamily="18" charset="0"/>
                                  </a:rPr>
                                </m:ctrlPr>
                              </m:sSupPr>
                              <m:e>
                                <m:r>
                                  <a:rPr lang="es-PE" sz="1000" b="0" i="1">
                                    <a:solidFill>
                                      <a:schemeClr val="tx1">
                                        <a:lumMod val="85000"/>
                                        <a:lumOff val="15000"/>
                                      </a:schemeClr>
                                    </a:solidFill>
                                    <a:latin typeface="Cambria Math" panose="02040503050406030204" pitchFamily="18" charset="0"/>
                                  </a:rPr>
                                  <m:t>h</m:t>
                                </m:r>
                              </m:e>
                              <m:sup>
                                <m:r>
                                  <a:rPr lang="es-PE" sz="1000" b="0" i="1">
                                    <a:solidFill>
                                      <a:schemeClr val="tx1">
                                        <a:lumMod val="85000"/>
                                        <a:lumOff val="15000"/>
                                      </a:schemeClr>
                                    </a:solidFill>
                                    <a:latin typeface="Cambria Math" panose="02040503050406030204" pitchFamily="18" charset="0"/>
                                  </a:rPr>
                                  <m:t>′</m:t>
                                </m:r>
                              </m:sup>
                            </m:sSup>
                          </m:e>
                          <m:sub>
                            <m:r>
                              <a:rPr lang="es-PE" sz="1000" b="0" i="1">
                                <a:solidFill>
                                  <a:schemeClr val="tx1">
                                    <a:lumMod val="85000"/>
                                    <a:lumOff val="15000"/>
                                  </a:schemeClr>
                                </a:solidFill>
                                <a:latin typeface="Cambria Math" panose="02040503050406030204" pitchFamily="18" charset="0"/>
                              </a:rPr>
                              <m:t>𝑖</m:t>
                            </m:r>
                          </m:sub>
                        </m:sSub>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rPr>
                      <m:t>=</m:t>
                    </m:r>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0.866</m:t>
                        </m:r>
                        <m:d>
                          <m:dPr>
                            <m:ctrlPr>
                              <a:rPr lang="es-PE" sz="1000" b="0" i="1">
                                <a:solidFill>
                                  <a:schemeClr val="tx1">
                                    <a:lumMod val="85000"/>
                                    <a:lumOff val="15000"/>
                                  </a:schemeClr>
                                </a:solidFill>
                                <a:latin typeface="Cambria Math" panose="02040503050406030204" pitchFamily="18" charset="0"/>
                              </a:rPr>
                            </m:ctrlPr>
                          </m:dPr>
                          <m:e>
                            <m:f>
                              <m:fPr>
                                <m:ctrlPr>
                                  <a:rPr lang="es-PE" sz="1000" b="0" i="1">
                                    <a:solidFill>
                                      <a:schemeClr val="tx1">
                                        <a:lumMod val="85000"/>
                                        <a:lumOff val="15000"/>
                                      </a:schemeClr>
                                    </a:solidFill>
                                    <a:latin typeface="Cambria Math" panose="02040503050406030204" pitchFamily="18" charset="0"/>
                                  </a:rPr>
                                </m:ctrlPr>
                              </m:fPr>
                              <m:num>
                                <m:r>
                                  <a:rPr lang="es-PE" sz="1000" b="0" i="1">
                                    <a:solidFill>
                                      <a:schemeClr val="tx1">
                                        <a:lumMod val="85000"/>
                                        <a:lumOff val="15000"/>
                                      </a:schemeClr>
                                    </a:solidFill>
                                    <a:latin typeface="Cambria Math" panose="02040503050406030204" pitchFamily="18" charset="0"/>
                                  </a:rPr>
                                  <m:t>𝐿</m:t>
                                </m:r>
                              </m:num>
                              <m:den>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e>
                        </m:d>
                      </m:num>
                      <m:den>
                        <m:r>
                          <a:rPr lang="es-PE" sz="1000" b="0" i="1">
                            <a:solidFill>
                              <a:schemeClr val="tx1">
                                <a:lumMod val="85000"/>
                                <a:lumOff val="15000"/>
                              </a:schemeClr>
                            </a:solidFill>
                            <a:latin typeface="Cambria Math" panose="02040503050406030204" pitchFamily="18" charset="0"/>
                          </a:rPr>
                          <m:t>2</m:t>
                        </m:r>
                        <m:func>
                          <m:funcPr>
                            <m:ctrlPr>
                              <a:rPr lang="es-PE" sz="1000" b="0" i="1">
                                <a:solidFill>
                                  <a:schemeClr val="tx1">
                                    <a:lumMod val="85000"/>
                                    <a:lumOff val="15000"/>
                                  </a:schemeClr>
                                </a:solidFill>
                                <a:latin typeface="Cambria Math" panose="02040503050406030204" pitchFamily="18" charset="0"/>
                              </a:rPr>
                            </m:ctrlPr>
                          </m:funcPr>
                          <m:fName>
                            <m:r>
                              <m:rPr>
                                <m:sty m:val="p"/>
                              </m:rPr>
                              <a:rPr lang="es-PE" sz="1000" b="0" i="0">
                                <a:solidFill>
                                  <a:schemeClr val="tx1">
                                    <a:lumMod val="85000"/>
                                    <a:lumOff val="15000"/>
                                  </a:schemeClr>
                                </a:solidFill>
                                <a:latin typeface="Cambria Math" panose="02040503050406030204" pitchFamily="18" charset="0"/>
                              </a:rPr>
                              <m:t>tanh</m:t>
                            </m:r>
                          </m:fName>
                          <m:e>
                            <m:d>
                              <m:dPr>
                                <m:begChr m:val="["/>
                                <m:endChr m:val="]"/>
                                <m:ctrlPr>
                                  <a:rPr lang="es-PE" sz="1000" b="0" i="1">
                                    <a:solidFill>
                                      <a:schemeClr val="tx1">
                                        <a:lumMod val="85000"/>
                                        <a:lumOff val="15000"/>
                                      </a:schemeClr>
                                    </a:solidFill>
                                    <a:latin typeface="Cambria Math" panose="02040503050406030204" pitchFamily="18" charset="0"/>
                                  </a:rPr>
                                </m:ctrlPr>
                              </m:dPr>
                              <m:e>
                                <m:r>
                                  <a:rPr lang="es-PE" sz="1000" b="0" i="1">
                                    <a:solidFill>
                                      <a:schemeClr val="tx1"/>
                                    </a:solidFill>
                                    <a:effectLst/>
                                    <a:latin typeface="Cambria Math" panose="02040503050406030204" pitchFamily="18" charset="0"/>
                                    <a:ea typeface="+mn-ea"/>
                                    <a:cs typeface="+mn-cs"/>
                                  </a:rPr>
                                  <m:t>0.866</m:t>
                                </m:r>
                                <m:d>
                                  <m:dPr>
                                    <m:ctrlPr>
                                      <a:rPr lang="es-PE" sz="1000" b="0" i="1">
                                        <a:solidFill>
                                          <a:schemeClr val="tx1"/>
                                        </a:solidFill>
                                        <a:effectLst/>
                                        <a:latin typeface="Cambria Math" panose="02040503050406030204" pitchFamily="18" charset="0"/>
                                        <a:ea typeface="+mn-ea"/>
                                        <a:cs typeface="+mn-cs"/>
                                      </a:rPr>
                                    </m:ctrlPr>
                                  </m:dPr>
                                  <m:e>
                                    <m:f>
                                      <m:fPr>
                                        <m:ctrlPr>
                                          <a:rPr lang="es-PE" sz="1000" b="0" i="1">
                                            <a:solidFill>
                                              <a:schemeClr val="tx1"/>
                                            </a:solidFill>
                                            <a:effectLst/>
                                            <a:latin typeface="Cambria Math" panose="02040503050406030204" pitchFamily="18" charset="0"/>
                                            <a:ea typeface="+mn-ea"/>
                                            <a:cs typeface="+mn-cs"/>
                                          </a:rPr>
                                        </m:ctrlPr>
                                      </m:fPr>
                                      <m:num>
                                        <m:r>
                                          <a:rPr lang="es-PE" sz="1000" b="0" i="1">
                                            <a:solidFill>
                                              <a:schemeClr val="tx1"/>
                                            </a:solidFill>
                                            <a:effectLst/>
                                            <a:latin typeface="Cambria Math" panose="02040503050406030204" pitchFamily="18" charset="0"/>
                                            <a:ea typeface="+mn-ea"/>
                                            <a:cs typeface="+mn-cs"/>
                                          </a:rPr>
                                          <m:t>𝐿</m:t>
                                        </m:r>
                                      </m:num>
                                      <m:den>
                                        <m:sSub>
                                          <m:sSubPr>
                                            <m:ctrlPr>
                                              <a:rPr lang="es-PE" sz="1000" b="0" i="1">
                                                <a:solidFill>
                                                  <a:schemeClr val="tx1"/>
                                                </a:solidFill>
                                                <a:effectLst/>
                                                <a:latin typeface="Cambria Math" panose="02040503050406030204" pitchFamily="18" charset="0"/>
                                                <a:ea typeface="+mn-ea"/>
                                                <a:cs typeface="+mn-cs"/>
                                              </a:rPr>
                                            </m:ctrlPr>
                                          </m:sSubPr>
                                          <m:e>
                                            <m:r>
                                              <a:rPr lang="es-PE" sz="1000" b="0" i="1">
                                                <a:solidFill>
                                                  <a:schemeClr val="tx1"/>
                                                </a:solidFill>
                                                <a:effectLst/>
                                                <a:latin typeface="Cambria Math" panose="02040503050406030204" pitchFamily="18" charset="0"/>
                                                <a:ea typeface="+mn-ea"/>
                                                <a:cs typeface="+mn-cs"/>
                                              </a:rPr>
                                              <m:t>𝐻</m:t>
                                            </m:r>
                                          </m:e>
                                          <m:sub>
                                            <m:r>
                                              <a:rPr lang="es-PE" sz="1000" b="0" i="1">
                                                <a:solidFill>
                                                  <a:schemeClr val="tx1"/>
                                                </a:solidFill>
                                                <a:effectLst/>
                                                <a:latin typeface="Cambria Math" panose="02040503050406030204" pitchFamily="18" charset="0"/>
                                                <a:ea typeface="+mn-ea"/>
                                                <a:cs typeface="+mn-cs"/>
                                              </a:rPr>
                                              <m:t>𝐿</m:t>
                                            </m:r>
                                          </m:sub>
                                        </m:sSub>
                                      </m:den>
                                    </m:f>
                                  </m:e>
                                </m:d>
                              </m:e>
                            </m:d>
                          </m:e>
                        </m:func>
                      </m:den>
                    </m:f>
                    <m:r>
                      <a:rPr lang="es-PE" sz="1000" b="0" i="1">
                        <a:solidFill>
                          <a:schemeClr val="tx1">
                            <a:lumMod val="85000"/>
                            <a:lumOff val="15000"/>
                          </a:schemeClr>
                        </a:solidFill>
                        <a:latin typeface="Cambria Math" panose="02040503050406030204" pitchFamily="18" charset="0"/>
                      </a:rPr>
                      <m:t>−1/8</m:t>
                    </m:r>
                  </m:oMath>
                </m:oMathPara>
              </a14:m>
              <a:endParaRPr lang="es-ES" sz="1000">
                <a:solidFill>
                  <a:schemeClr val="tx1">
                    <a:lumMod val="85000"/>
                    <a:lumOff val="15000"/>
                  </a:schemeClr>
                </a:solidFill>
              </a:endParaRPr>
            </a:p>
          </xdr:txBody>
        </xdr:sp>
      </mc:Choice>
      <mc:Fallback xmlns="">
        <xdr:sp macro="" textlink="">
          <xdr:nvSpPr>
            <xdr:cNvPr id="113" name="CuadroTexto 112">
              <a:extLst>
                <a:ext uri="{FF2B5EF4-FFF2-40B4-BE49-F238E27FC236}">
                  <a16:creationId xmlns:a16="http://schemas.microsoft.com/office/drawing/2014/main" id="{21324487-81F5-4DFE-B5FB-CC7FD4C620C3}"/>
                </a:ext>
              </a:extLst>
            </xdr:cNvPr>
            <xdr:cNvSpPr txBox="1"/>
          </xdr:nvSpPr>
          <xdr:spPr>
            <a:xfrm>
              <a:off x="1952624" y="16573499"/>
              <a:ext cx="2752726" cy="60007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noAutofit/>
            </a:bodyPr>
            <a:lstStyle/>
            <a:p>
              <a:pPr/>
              <a:r>
                <a:rPr lang="es-PE" sz="1000" b="0" i="0">
                  <a:solidFill>
                    <a:schemeClr val="tx1">
                      <a:lumMod val="85000"/>
                      <a:lumOff val="15000"/>
                    </a:schemeClr>
                  </a:solidFill>
                  <a:latin typeface="Cambria Math" panose="02040503050406030204" pitchFamily="18" charset="0"/>
                </a:rPr>
                <a:t>𝐿/𝐻_𝐿 </a:t>
              </a:r>
              <a:r>
                <a:rPr lang="es-PE" sz="1000" b="0" i="0">
                  <a:solidFill>
                    <a:schemeClr val="tx1">
                      <a:lumMod val="85000"/>
                      <a:lumOff val="15000"/>
                    </a:schemeClr>
                  </a:solidFill>
                  <a:latin typeface="Cambria Math" panose="02040503050406030204" pitchFamily="18" charset="0"/>
                  <a:ea typeface="Cambria Math" panose="02040503050406030204" pitchFamily="18" charset="0"/>
                </a:rPr>
                <a:t>≥0.75→</a:t>
              </a:r>
              <a:r>
                <a:rPr lang="es-PE" sz="1000" b="0" i="0">
                  <a:solidFill>
                    <a:schemeClr val="tx1">
                      <a:lumMod val="85000"/>
                      <a:lumOff val="15000"/>
                    </a:schemeClr>
                  </a:solidFill>
                  <a:latin typeface="Cambria Math" panose="02040503050406030204" pitchFamily="18" charset="0"/>
                </a:rPr>
                <a:t>〖ℎ^′〗_𝑖/𝐻_𝐿 =0.866(𝐿/𝐻_𝐿 )/(2 tanh⁡[</a:t>
              </a:r>
              <a:r>
                <a:rPr lang="es-PE" sz="1000" b="0" i="0">
                  <a:solidFill>
                    <a:schemeClr val="tx1"/>
                  </a:solidFill>
                  <a:effectLst/>
                  <a:latin typeface="+mn-lt"/>
                  <a:ea typeface="+mn-ea"/>
                  <a:cs typeface="+mn-cs"/>
                </a:rPr>
                <a:t>0.866(𝐿</a:t>
              </a:r>
              <a:r>
                <a:rPr lang="es-PE" sz="1000" b="0" i="0">
                  <a:solidFill>
                    <a:schemeClr val="tx1"/>
                  </a:solidFill>
                  <a:effectLst/>
                  <a:latin typeface="Cambria Math" panose="02040503050406030204" pitchFamily="18" charset="0"/>
                  <a:ea typeface="+mn-ea"/>
                  <a:cs typeface="+mn-cs"/>
                </a:rPr>
                <a:t>/</a:t>
              </a:r>
              <a:r>
                <a:rPr lang="es-PE" sz="1000" b="0" i="0">
                  <a:solidFill>
                    <a:schemeClr val="tx1"/>
                  </a:solidFill>
                  <a:effectLst/>
                  <a:latin typeface="+mn-lt"/>
                  <a:ea typeface="+mn-ea"/>
                  <a:cs typeface="+mn-cs"/>
                </a:rPr>
                <a:t>𝐻_𝐿</a:t>
              </a:r>
              <a:r>
                <a:rPr lang="es-PE" sz="1000" b="0" i="0">
                  <a:solidFill>
                    <a:schemeClr val="tx1"/>
                  </a:solidFill>
                  <a:effectLst/>
                  <a:latin typeface="Cambria Math" panose="02040503050406030204" pitchFamily="18" charset="0"/>
                  <a:ea typeface="+mn-ea"/>
                  <a:cs typeface="+mn-cs"/>
                </a:rPr>
                <a:t> </a:t>
              </a:r>
              <a:r>
                <a:rPr lang="es-PE" sz="1000" b="0" i="0">
                  <a:solidFill>
                    <a:schemeClr val="tx1"/>
                  </a:solidFill>
                  <a:effectLst/>
                  <a:latin typeface="+mn-lt"/>
                  <a:ea typeface="+mn-ea"/>
                  <a:cs typeface="+mn-cs"/>
                </a:rPr>
                <a:t>)</a:t>
              </a:r>
              <a:r>
                <a:rPr lang="es-PE" sz="1000" b="0" i="0">
                  <a:solidFill>
                    <a:schemeClr val="tx1">
                      <a:lumMod val="85000"/>
                      <a:lumOff val="15000"/>
                    </a:schemeClr>
                  </a:solidFill>
                  <a:effectLst/>
                  <a:latin typeface="Cambria Math" panose="02040503050406030204" pitchFamily="18" charset="0"/>
                  <a:ea typeface="+mn-ea"/>
                  <a:cs typeface="+mn-cs"/>
                </a:rPr>
                <a:t>] )</a:t>
              </a:r>
              <a:r>
                <a:rPr lang="es-PE" sz="1000" b="0" i="0">
                  <a:solidFill>
                    <a:schemeClr val="tx1">
                      <a:lumMod val="85000"/>
                      <a:lumOff val="15000"/>
                    </a:schemeClr>
                  </a:solidFill>
                  <a:latin typeface="Cambria Math" panose="02040503050406030204" pitchFamily="18" charset="0"/>
                </a:rPr>
                <a:t>−1/8</a:t>
              </a:r>
              <a:endParaRPr lang="es-ES" sz="1000">
                <a:solidFill>
                  <a:schemeClr val="tx1">
                    <a:lumMod val="85000"/>
                    <a:lumOff val="15000"/>
                  </a:schemeClr>
                </a:solidFill>
              </a:endParaRPr>
            </a:p>
          </xdr:txBody>
        </xdr:sp>
      </mc:Fallback>
    </mc:AlternateContent>
    <xdr:clientData/>
  </xdr:oneCellAnchor>
  <xdr:oneCellAnchor>
    <xdr:from>
      <xdr:col>7</xdr:col>
      <xdr:colOff>57150</xdr:colOff>
      <xdr:row>91</xdr:row>
      <xdr:rowOff>133350</xdr:rowOff>
    </xdr:from>
    <xdr:ext cx="2169440" cy="324128"/>
    <mc:AlternateContent xmlns:mc="http://schemas.openxmlformats.org/markup-compatibility/2006" xmlns:a14="http://schemas.microsoft.com/office/drawing/2010/main">
      <mc:Choice Requires="a14">
        <xdr:sp macro="" textlink="">
          <xdr:nvSpPr>
            <xdr:cNvPr id="114" name="CuadroTexto 113">
              <a:extLst>
                <a:ext uri="{FF2B5EF4-FFF2-40B4-BE49-F238E27FC236}">
                  <a16:creationId xmlns:a16="http://schemas.microsoft.com/office/drawing/2014/main" id="{00000000-0008-0000-0000-000072000000}"/>
                </a:ext>
              </a:extLst>
            </xdr:cNvPr>
            <xdr:cNvSpPr txBox="1"/>
          </xdr:nvSpPr>
          <xdr:spPr>
            <a:xfrm>
              <a:off x="5314950" y="15754350"/>
              <a:ext cx="2169440" cy="3241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f>
                      <m:fPr>
                        <m:ctrlPr>
                          <a:rPr lang="es-ES" sz="1000" i="1">
                            <a:solidFill>
                              <a:schemeClr val="tx1">
                                <a:lumMod val="85000"/>
                                <a:lumOff val="15000"/>
                              </a:schemeClr>
                            </a:solidFill>
                            <a:latin typeface="Cambria Math" panose="02040503050406030204" pitchFamily="18" charset="0"/>
                          </a:rPr>
                        </m:ctrlPr>
                      </m:fPr>
                      <m:num>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h</m:t>
                            </m:r>
                            <m:r>
                              <a:rPr lang="es-PE" sz="1000" b="0" i="1">
                                <a:solidFill>
                                  <a:schemeClr val="tx1">
                                    <a:lumMod val="85000"/>
                                    <a:lumOff val="15000"/>
                                  </a:schemeClr>
                                </a:solidFill>
                                <a:latin typeface="Cambria Math" panose="02040503050406030204" pitchFamily="18" charset="0"/>
                              </a:rPr>
                              <m:t>′</m:t>
                            </m:r>
                          </m:e>
                          <m:sub>
                            <m:r>
                              <a:rPr lang="es-PE" sz="1000" b="0" i="1">
                                <a:solidFill>
                                  <a:schemeClr val="tx1">
                                    <a:lumMod val="85000"/>
                                    <a:lumOff val="15000"/>
                                  </a:schemeClr>
                                </a:solidFill>
                                <a:latin typeface="Cambria Math" panose="02040503050406030204" pitchFamily="18" charset="0"/>
                              </a:rPr>
                              <m:t>𝑐</m:t>
                            </m:r>
                          </m:sub>
                        </m:sSub>
                      </m:num>
                      <m:den>
                        <m:sSub>
                          <m:sSubPr>
                            <m:ctrlPr>
                              <a:rPr lang="es-ES" sz="100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den>
                    </m:f>
                    <m:r>
                      <a:rPr lang="es-PE" sz="1000" b="0" i="1">
                        <a:solidFill>
                          <a:schemeClr val="tx1">
                            <a:lumMod val="85000"/>
                            <a:lumOff val="15000"/>
                          </a:schemeClr>
                        </a:solidFill>
                        <a:latin typeface="Cambria Math" panose="02040503050406030204" pitchFamily="18" charset="0"/>
                      </a:rPr>
                      <m:t>=1−</m:t>
                    </m:r>
                    <m:f>
                      <m:fPr>
                        <m:ctrlPr>
                          <a:rPr lang="es-PE" sz="1000" b="0" i="1">
                            <a:solidFill>
                              <a:schemeClr val="tx1">
                                <a:lumMod val="85000"/>
                                <a:lumOff val="15000"/>
                              </a:schemeClr>
                            </a:solidFill>
                            <a:latin typeface="Cambria Math" panose="02040503050406030204" pitchFamily="18" charset="0"/>
                          </a:rPr>
                        </m:ctrlPr>
                      </m:fPr>
                      <m:num>
                        <m:func>
                          <m:funcPr>
                            <m:ctrlPr>
                              <a:rPr lang="es-PE" sz="1000" b="0" i="1">
                                <a:solidFill>
                                  <a:schemeClr val="tx1">
                                    <a:lumMod val="85000"/>
                                    <a:lumOff val="15000"/>
                                  </a:schemeClr>
                                </a:solidFill>
                                <a:latin typeface="Cambria Math" panose="02040503050406030204" pitchFamily="18" charset="0"/>
                              </a:rPr>
                            </m:ctrlPr>
                          </m:funcPr>
                          <m:fName>
                            <m:r>
                              <m:rPr>
                                <m:sty m:val="p"/>
                              </m:rPr>
                              <a:rPr lang="es-PE" sz="1000" b="0" i="0">
                                <a:solidFill>
                                  <a:schemeClr val="tx1">
                                    <a:lumMod val="85000"/>
                                    <a:lumOff val="15000"/>
                                  </a:schemeClr>
                                </a:solidFill>
                                <a:latin typeface="Cambria Math" panose="02040503050406030204" pitchFamily="18" charset="0"/>
                              </a:rPr>
                              <m:t>cosh</m:t>
                            </m:r>
                          </m:fName>
                          <m:e>
                            <m:d>
                              <m:dPr>
                                <m:begChr m:val="["/>
                                <m:endChr m:val="]"/>
                                <m:ctrlPr>
                                  <a:rPr lang="es-PE" sz="1000" b="0" i="1">
                                    <a:solidFill>
                                      <a:schemeClr val="tx1">
                                        <a:lumMod val="85000"/>
                                        <a:lumOff val="15000"/>
                                      </a:schemeClr>
                                    </a:solidFill>
                                    <a:latin typeface="Cambria Math" panose="02040503050406030204" pitchFamily="18" charset="0"/>
                                  </a:rPr>
                                </m:ctrlPr>
                              </m:dPr>
                              <m:e>
                                <m:r>
                                  <a:rPr lang="es-PE" sz="1000" b="0" i="1">
                                    <a:solidFill>
                                      <a:schemeClr val="tx1">
                                        <a:lumMod val="85000"/>
                                        <a:lumOff val="15000"/>
                                      </a:schemeClr>
                                    </a:solidFill>
                                    <a:latin typeface="Cambria Math" panose="02040503050406030204" pitchFamily="18" charset="0"/>
                                  </a:rPr>
                                  <m:t>3.16</m:t>
                                </m:r>
                                <m:d>
                                  <m:dPr>
                                    <m:ctrlPr>
                                      <a:rPr lang="es-PE" sz="1000" b="0" i="1">
                                        <a:solidFill>
                                          <a:schemeClr val="tx1">
                                            <a:lumMod val="85000"/>
                                            <a:lumOff val="15000"/>
                                          </a:schemeClr>
                                        </a:solidFill>
                                        <a:latin typeface="Cambria Math" panose="02040503050406030204" pitchFamily="18" charset="0"/>
                                      </a:rPr>
                                    </m:ctrlPr>
                                  </m:dPr>
                                  <m:e>
                                    <m:f>
                                      <m:fPr>
                                        <m:type m:val="lin"/>
                                        <m:ctrlPr>
                                          <a:rPr lang="es-PE" sz="1000" b="0" i="1">
                                            <a:solidFill>
                                              <a:schemeClr val="tx1">
                                                <a:lumMod val="85000"/>
                                                <a:lumOff val="15000"/>
                                              </a:schemeClr>
                                            </a:solidFill>
                                            <a:latin typeface="Cambria Math" panose="02040503050406030204" pitchFamily="18" charset="0"/>
                                          </a:rPr>
                                        </m:ctrlPr>
                                      </m:fPr>
                                      <m:num>
                                        <m:sSub>
                                          <m:sSubPr>
                                            <m:ctrlPr>
                                              <a:rPr lang="es-PE" sz="1000" b="0" i="1">
                                                <a:solidFill>
                                                  <a:schemeClr val="tx1">
                                                    <a:lumMod val="85000"/>
                                                    <a:lumOff val="15000"/>
                                                  </a:schemeClr>
                                                </a:solidFill>
                                                <a:latin typeface="Cambria Math" panose="02040503050406030204" pitchFamily="18" charset="0"/>
                                              </a:rPr>
                                            </m:ctrlPr>
                                          </m:sSubPr>
                                          <m:e>
                                            <m:r>
                                              <a:rPr lang="es-PE" sz="1000" b="0" i="1">
                                                <a:solidFill>
                                                  <a:schemeClr val="tx1">
                                                    <a:lumMod val="85000"/>
                                                    <a:lumOff val="15000"/>
                                                  </a:schemeClr>
                                                </a:solidFill>
                                                <a:latin typeface="Cambria Math" panose="02040503050406030204" pitchFamily="18" charset="0"/>
                                              </a:rPr>
                                              <m:t>𝐻</m:t>
                                            </m:r>
                                          </m:e>
                                          <m:sub>
                                            <m:r>
                                              <a:rPr lang="es-PE" sz="1000" b="0" i="1">
                                                <a:solidFill>
                                                  <a:schemeClr val="tx1">
                                                    <a:lumMod val="85000"/>
                                                    <a:lumOff val="15000"/>
                                                  </a:schemeClr>
                                                </a:solidFill>
                                                <a:latin typeface="Cambria Math" panose="02040503050406030204" pitchFamily="18" charset="0"/>
                                              </a:rPr>
                                              <m:t>𝐿</m:t>
                                            </m:r>
                                          </m:sub>
                                        </m:sSub>
                                      </m:num>
                                      <m:den>
                                        <m:r>
                                          <a:rPr lang="es-PE" sz="1000" b="0" i="1">
                                            <a:solidFill>
                                              <a:schemeClr val="tx1">
                                                <a:lumMod val="85000"/>
                                                <a:lumOff val="15000"/>
                                              </a:schemeClr>
                                            </a:solidFill>
                                            <a:latin typeface="Cambria Math" panose="02040503050406030204" pitchFamily="18" charset="0"/>
                                          </a:rPr>
                                          <m:t>𝐿</m:t>
                                        </m:r>
                                      </m:den>
                                    </m:f>
                                  </m:e>
                                </m:d>
                              </m:e>
                            </m:d>
                            <m:r>
                              <a:rPr lang="es-PE" sz="1000" b="0" i="1">
                                <a:solidFill>
                                  <a:schemeClr val="tx1">
                                    <a:lumMod val="85000"/>
                                    <a:lumOff val="15000"/>
                                  </a:schemeClr>
                                </a:solidFill>
                                <a:latin typeface="Cambria Math" panose="02040503050406030204" pitchFamily="18" charset="0"/>
                              </a:rPr>
                              <m:t>−2.01</m:t>
                            </m:r>
                          </m:e>
                        </m:func>
                      </m:num>
                      <m:den>
                        <m:r>
                          <a:rPr lang="es-PE" sz="1000" b="0" i="1">
                            <a:solidFill>
                              <a:schemeClr val="tx1">
                                <a:lumMod val="85000"/>
                                <a:lumOff val="15000"/>
                              </a:schemeClr>
                            </a:solidFill>
                            <a:latin typeface="Cambria Math" panose="02040503050406030204" pitchFamily="18" charset="0"/>
                          </a:rPr>
                          <m:t>3.16</m:t>
                        </m:r>
                        <m:d>
                          <m:dPr>
                            <m:ctrlPr>
                              <a:rPr lang="es-PE" sz="1000" b="0" i="1">
                                <a:solidFill>
                                  <a:schemeClr val="tx1">
                                    <a:lumMod val="85000"/>
                                    <a:lumOff val="15000"/>
                                  </a:schemeClr>
                                </a:solidFill>
                                <a:latin typeface="Cambria Math" panose="02040503050406030204" pitchFamily="18" charset="0"/>
                              </a:rPr>
                            </m:ctrlPr>
                          </m:dPr>
                          <m:e>
                            <m:f>
                              <m:fPr>
                                <m:type m:val="lin"/>
                                <m:ctrlPr>
                                  <a:rPr lang="es-PE" sz="1000" b="0" i="1">
                                    <a:solidFill>
                                      <a:schemeClr val="tx1">
                                        <a:lumMod val="85000"/>
                                        <a:lumOff val="15000"/>
                                      </a:schemeClr>
                                    </a:solidFill>
                                    <a:effectLst/>
                                    <a:latin typeface="Cambria Math" panose="02040503050406030204" pitchFamily="18" charset="0"/>
                                    <a:ea typeface="+mn-ea"/>
                                    <a:cs typeface="+mn-cs"/>
                                  </a:rPr>
                                </m:ctrlPr>
                              </m:fPr>
                              <m:num>
                                <m:sSub>
                                  <m:sSubPr>
                                    <m:ctrlPr>
                                      <a:rPr lang="es-PE" sz="1000" b="0" i="1">
                                        <a:solidFill>
                                          <a:schemeClr val="tx1">
                                            <a:lumMod val="85000"/>
                                            <a:lumOff val="15000"/>
                                          </a:schemeClr>
                                        </a:solidFill>
                                        <a:effectLst/>
                                        <a:latin typeface="Cambria Math" panose="02040503050406030204" pitchFamily="18" charset="0"/>
                                        <a:ea typeface="+mn-ea"/>
                                        <a:cs typeface="+mn-cs"/>
                                      </a:rPr>
                                    </m:ctrlPr>
                                  </m:sSubPr>
                                  <m:e>
                                    <m:r>
                                      <a:rPr lang="es-PE" sz="1000" b="0" i="1">
                                        <a:solidFill>
                                          <a:schemeClr val="tx1">
                                            <a:lumMod val="85000"/>
                                            <a:lumOff val="15000"/>
                                          </a:schemeClr>
                                        </a:solidFill>
                                        <a:effectLst/>
                                        <a:latin typeface="Cambria Math" panose="02040503050406030204" pitchFamily="18" charset="0"/>
                                        <a:ea typeface="+mn-ea"/>
                                        <a:cs typeface="+mn-cs"/>
                                      </a:rPr>
                                      <m:t>𝐻</m:t>
                                    </m:r>
                                  </m:e>
                                  <m:sub>
                                    <m:r>
                                      <a:rPr lang="es-PE" sz="1000" b="0" i="1">
                                        <a:solidFill>
                                          <a:schemeClr val="tx1">
                                            <a:lumMod val="85000"/>
                                            <a:lumOff val="15000"/>
                                          </a:schemeClr>
                                        </a:solidFill>
                                        <a:effectLst/>
                                        <a:latin typeface="Cambria Math" panose="02040503050406030204" pitchFamily="18" charset="0"/>
                                        <a:ea typeface="+mn-ea"/>
                                        <a:cs typeface="+mn-cs"/>
                                      </a:rPr>
                                      <m:t>𝐿</m:t>
                                    </m:r>
                                  </m:sub>
                                </m:sSub>
                              </m:num>
                              <m:den>
                                <m:r>
                                  <a:rPr lang="es-PE" sz="1000" b="0" i="1">
                                    <a:solidFill>
                                      <a:schemeClr val="tx1">
                                        <a:lumMod val="85000"/>
                                        <a:lumOff val="15000"/>
                                      </a:schemeClr>
                                    </a:solidFill>
                                    <a:effectLst/>
                                    <a:latin typeface="Cambria Math" panose="02040503050406030204" pitchFamily="18" charset="0"/>
                                    <a:ea typeface="+mn-ea"/>
                                    <a:cs typeface="+mn-cs"/>
                                  </a:rPr>
                                  <m:t>𝐿</m:t>
                                </m:r>
                              </m:den>
                            </m:f>
                          </m:e>
                        </m:d>
                        <m:func>
                          <m:funcPr>
                            <m:ctrlPr>
                              <a:rPr lang="es-PE" sz="1000" b="0" i="1">
                                <a:solidFill>
                                  <a:schemeClr val="tx1">
                                    <a:lumMod val="85000"/>
                                    <a:lumOff val="15000"/>
                                  </a:schemeClr>
                                </a:solidFill>
                                <a:latin typeface="Cambria Math" panose="02040503050406030204" pitchFamily="18" charset="0"/>
                              </a:rPr>
                            </m:ctrlPr>
                          </m:funcPr>
                          <m:fName>
                            <m:r>
                              <m:rPr>
                                <m:sty m:val="p"/>
                              </m:rPr>
                              <a:rPr lang="es-PE" sz="1000" b="0" i="0">
                                <a:solidFill>
                                  <a:schemeClr val="tx1">
                                    <a:lumMod val="85000"/>
                                    <a:lumOff val="15000"/>
                                  </a:schemeClr>
                                </a:solidFill>
                                <a:latin typeface="Cambria Math" panose="02040503050406030204" pitchFamily="18" charset="0"/>
                              </a:rPr>
                              <m:t>sinh</m:t>
                            </m:r>
                          </m:fName>
                          <m:e>
                            <m:d>
                              <m:dPr>
                                <m:begChr m:val="["/>
                                <m:endChr m:val="]"/>
                                <m:ctrlPr>
                                  <a:rPr lang="es-PE" sz="1000" b="0" i="1">
                                    <a:solidFill>
                                      <a:schemeClr val="tx1">
                                        <a:lumMod val="85000"/>
                                        <a:lumOff val="15000"/>
                                      </a:schemeClr>
                                    </a:solidFill>
                                    <a:effectLst/>
                                    <a:latin typeface="Cambria Math" panose="02040503050406030204" pitchFamily="18" charset="0"/>
                                    <a:ea typeface="+mn-ea"/>
                                    <a:cs typeface="+mn-cs"/>
                                  </a:rPr>
                                </m:ctrlPr>
                              </m:dPr>
                              <m:e>
                                <m:r>
                                  <a:rPr lang="es-PE" sz="1000" b="0" i="1">
                                    <a:solidFill>
                                      <a:schemeClr val="tx1">
                                        <a:lumMod val="85000"/>
                                        <a:lumOff val="15000"/>
                                      </a:schemeClr>
                                    </a:solidFill>
                                    <a:effectLst/>
                                    <a:latin typeface="Cambria Math" panose="02040503050406030204" pitchFamily="18" charset="0"/>
                                    <a:ea typeface="+mn-ea"/>
                                    <a:cs typeface="+mn-cs"/>
                                  </a:rPr>
                                  <m:t>3.16</m:t>
                                </m:r>
                                <m:d>
                                  <m:dPr>
                                    <m:ctrlPr>
                                      <a:rPr lang="es-PE" sz="1000" b="0" i="1">
                                        <a:solidFill>
                                          <a:schemeClr val="tx1">
                                            <a:lumMod val="85000"/>
                                            <a:lumOff val="15000"/>
                                          </a:schemeClr>
                                        </a:solidFill>
                                        <a:effectLst/>
                                        <a:latin typeface="Cambria Math" panose="02040503050406030204" pitchFamily="18" charset="0"/>
                                        <a:ea typeface="+mn-ea"/>
                                        <a:cs typeface="+mn-cs"/>
                                      </a:rPr>
                                    </m:ctrlPr>
                                  </m:dPr>
                                  <m:e>
                                    <m:f>
                                      <m:fPr>
                                        <m:type m:val="lin"/>
                                        <m:ctrlPr>
                                          <a:rPr lang="es-PE" sz="1000" b="0" i="1">
                                            <a:solidFill>
                                              <a:schemeClr val="tx1">
                                                <a:lumMod val="85000"/>
                                                <a:lumOff val="15000"/>
                                              </a:schemeClr>
                                            </a:solidFill>
                                            <a:effectLst/>
                                            <a:latin typeface="Cambria Math" panose="02040503050406030204" pitchFamily="18" charset="0"/>
                                            <a:ea typeface="+mn-ea"/>
                                            <a:cs typeface="+mn-cs"/>
                                          </a:rPr>
                                        </m:ctrlPr>
                                      </m:fPr>
                                      <m:num>
                                        <m:sSub>
                                          <m:sSubPr>
                                            <m:ctrlPr>
                                              <a:rPr lang="es-PE" sz="1000" b="0" i="1">
                                                <a:solidFill>
                                                  <a:schemeClr val="tx1">
                                                    <a:lumMod val="85000"/>
                                                    <a:lumOff val="15000"/>
                                                  </a:schemeClr>
                                                </a:solidFill>
                                                <a:effectLst/>
                                                <a:latin typeface="Cambria Math" panose="02040503050406030204" pitchFamily="18" charset="0"/>
                                                <a:ea typeface="+mn-ea"/>
                                                <a:cs typeface="+mn-cs"/>
                                              </a:rPr>
                                            </m:ctrlPr>
                                          </m:sSubPr>
                                          <m:e>
                                            <m:r>
                                              <a:rPr lang="es-PE" sz="1000" b="0" i="1">
                                                <a:solidFill>
                                                  <a:schemeClr val="tx1">
                                                    <a:lumMod val="85000"/>
                                                    <a:lumOff val="15000"/>
                                                  </a:schemeClr>
                                                </a:solidFill>
                                                <a:effectLst/>
                                                <a:latin typeface="Cambria Math" panose="02040503050406030204" pitchFamily="18" charset="0"/>
                                                <a:ea typeface="+mn-ea"/>
                                                <a:cs typeface="+mn-cs"/>
                                              </a:rPr>
                                              <m:t>𝐻</m:t>
                                            </m:r>
                                          </m:e>
                                          <m:sub>
                                            <m:r>
                                              <a:rPr lang="es-PE" sz="1000" b="0" i="1">
                                                <a:solidFill>
                                                  <a:schemeClr val="tx1">
                                                    <a:lumMod val="85000"/>
                                                    <a:lumOff val="15000"/>
                                                  </a:schemeClr>
                                                </a:solidFill>
                                                <a:effectLst/>
                                                <a:latin typeface="Cambria Math" panose="02040503050406030204" pitchFamily="18" charset="0"/>
                                                <a:ea typeface="+mn-ea"/>
                                                <a:cs typeface="+mn-cs"/>
                                              </a:rPr>
                                              <m:t>𝐿</m:t>
                                            </m:r>
                                          </m:sub>
                                        </m:sSub>
                                      </m:num>
                                      <m:den>
                                        <m:r>
                                          <a:rPr lang="es-PE" sz="1000" b="0" i="1">
                                            <a:solidFill>
                                              <a:schemeClr val="tx1">
                                                <a:lumMod val="85000"/>
                                                <a:lumOff val="15000"/>
                                              </a:schemeClr>
                                            </a:solidFill>
                                            <a:effectLst/>
                                            <a:latin typeface="Cambria Math" panose="02040503050406030204" pitchFamily="18" charset="0"/>
                                            <a:ea typeface="+mn-ea"/>
                                            <a:cs typeface="+mn-cs"/>
                                          </a:rPr>
                                          <m:t>𝐿</m:t>
                                        </m:r>
                                      </m:den>
                                    </m:f>
                                  </m:e>
                                </m:d>
                              </m:e>
                            </m:d>
                          </m:e>
                        </m:func>
                      </m:den>
                    </m:f>
                  </m:oMath>
                </m:oMathPara>
              </a14:m>
              <a:endParaRPr lang="es-ES" sz="1000">
                <a:solidFill>
                  <a:schemeClr val="tx1">
                    <a:lumMod val="85000"/>
                    <a:lumOff val="15000"/>
                  </a:schemeClr>
                </a:solidFill>
              </a:endParaRPr>
            </a:p>
          </xdr:txBody>
        </xdr:sp>
      </mc:Choice>
      <mc:Fallback xmlns="">
        <xdr:sp macro="" textlink="">
          <xdr:nvSpPr>
            <xdr:cNvPr id="114" name="CuadroTexto 113">
              <a:extLst>
                <a:ext uri="{FF2B5EF4-FFF2-40B4-BE49-F238E27FC236}">
                  <a16:creationId xmlns:a16="http://schemas.microsoft.com/office/drawing/2014/main" id="{48535392-78DD-4894-B69F-17B3071C56A7}"/>
                </a:ext>
              </a:extLst>
            </xdr:cNvPr>
            <xdr:cNvSpPr txBox="1"/>
          </xdr:nvSpPr>
          <xdr:spPr>
            <a:xfrm>
              <a:off x="5314950" y="15754350"/>
              <a:ext cx="2169440" cy="32412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r>
                <a:rPr lang="es-ES" sz="1000" i="0">
                  <a:solidFill>
                    <a:schemeClr val="tx1">
                      <a:lumMod val="85000"/>
                      <a:lumOff val="15000"/>
                    </a:schemeClr>
                  </a:solidFill>
                  <a:latin typeface="Cambria Math" panose="02040503050406030204" pitchFamily="18" charset="0"/>
                </a:rPr>
                <a:t>〖</a:t>
              </a:r>
              <a:r>
                <a:rPr lang="es-PE" sz="1000" b="0" i="0">
                  <a:solidFill>
                    <a:schemeClr val="tx1">
                      <a:lumMod val="85000"/>
                      <a:lumOff val="15000"/>
                    </a:schemeClr>
                  </a:solidFill>
                  <a:latin typeface="Cambria Math" panose="02040503050406030204" pitchFamily="18" charset="0"/>
                </a:rPr>
                <a:t>ℎ′</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𝑐</a:t>
              </a:r>
              <a:r>
                <a:rPr lang="es-ES" sz="1000" b="0" i="0">
                  <a:solidFill>
                    <a:schemeClr val="tx1">
                      <a:lumMod val="85000"/>
                      <a:lumOff val="15000"/>
                    </a:schemeClr>
                  </a:solidFill>
                  <a:latin typeface="Cambria Math" panose="02040503050406030204" pitchFamily="18" charset="0"/>
                </a:rPr>
                <a:t>/</a:t>
              </a:r>
              <a:r>
                <a:rPr lang="es-PE" sz="1000" b="0" i="0">
                  <a:solidFill>
                    <a:schemeClr val="tx1">
                      <a:lumMod val="85000"/>
                      <a:lumOff val="15000"/>
                    </a:schemeClr>
                  </a:solidFill>
                  <a:latin typeface="Cambria Math" panose="02040503050406030204" pitchFamily="18" charset="0"/>
                </a:rPr>
                <a:t>𝐻</a:t>
              </a:r>
              <a:r>
                <a:rPr lang="es-ES" sz="1000" b="0" i="0">
                  <a:solidFill>
                    <a:schemeClr val="tx1">
                      <a:lumMod val="85000"/>
                      <a:lumOff val="15000"/>
                    </a:schemeClr>
                  </a:solidFill>
                  <a:latin typeface="Cambria Math" panose="02040503050406030204" pitchFamily="18" charset="0"/>
                </a:rPr>
                <a:t>_</a:t>
              </a:r>
              <a:r>
                <a:rPr lang="es-PE" sz="1000" b="0" i="0">
                  <a:solidFill>
                    <a:schemeClr val="tx1">
                      <a:lumMod val="85000"/>
                      <a:lumOff val="15000"/>
                    </a:schemeClr>
                  </a:solidFill>
                  <a:latin typeface="Cambria Math" panose="02040503050406030204" pitchFamily="18" charset="0"/>
                </a:rPr>
                <a:t>𝐿 =1−cosh⁡〖[3.16(𝐻_𝐿∕𝐿)]−2.01〗/(3.16(</a:t>
              </a:r>
              <a:r>
                <a:rPr lang="es-PE" sz="1000" b="0" i="0">
                  <a:solidFill>
                    <a:schemeClr val="tx1">
                      <a:lumMod val="85000"/>
                      <a:lumOff val="15000"/>
                    </a:schemeClr>
                  </a:solidFill>
                  <a:effectLst/>
                  <a:latin typeface="Cambria Math" panose="02040503050406030204" pitchFamily="18" charset="0"/>
                  <a:ea typeface="+mn-ea"/>
                  <a:cs typeface="+mn-cs"/>
                </a:rPr>
                <a:t>𝐻_𝐿∕𝐿)  </a:t>
              </a:r>
              <a:r>
                <a:rPr lang="es-PE" sz="1000" b="0" i="0">
                  <a:solidFill>
                    <a:schemeClr val="tx1">
                      <a:lumMod val="85000"/>
                      <a:lumOff val="15000"/>
                    </a:schemeClr>
                  </a:solidFill>
                  <a:latin typeface="Cambria Math" panose="02040503050406030204" pitchFamily="18" charset="0"/>
                </a:rPr>
                <a:t>sinh⁡</a:t>
              </a:r>
              <a:r>
                <a:rPr lang="es-PE" sz="1000" b="0" i="0">
                  <a:solidFill>
                    <a:schemeClr val="tx1">
                      <a:lumMod val="85000"/>
                      <a:lumOff val="15000"/>
                    </a:schemeClr>
                  </a:solidFill>
                  <a:effectLst/>
                  <a:latin typeface="Cambria Math" panose="02040503050406030204" pitchFamily="18" charset="0"/>
                  <a:ea typeface="+mn-ea"/>
                  <a:cs typeface="+mn-cs"/>
                </a:rPr>
                <a:t>[3.16(𝐻_𝐿∕𝐿)] )</a:t>
              </a:r>
              <a:endParaRPr lang="es-ES" sz="1000">
                <a:solidFill>
                  <a:schemeClr val="tx1">
                    <a:lumMod val="85000"/>
                    <a:lumOff val="15000"/>
                  </a:schemeClr>
                </a:solidFill>
              </a:endParaRPr>
            </a:p>
          </xdr:txBody>
        </xdr:sp>
      </mc:Fallback>
    </mc:AlternateContent>
    <xdr:clientData/>
  </xdr:oneCellAnchor>
  <xdr:oneCellAnchor>
    <xdr:from>
      <xdr:col>3</xdr:col>
      <xdr:colOff>247650</xdr:colOff>
      <xdr:row>202</xdr:row>
      <xdr:rowOff>0</xdr:rowOff>
    </xdr:from>
    <xdr:ext cx="1955215" cy="344453"/>
    <mc:AlternateContent xmlns:mc="http://schemas.openxmlformats.org/markup-compatibility/2006" xmlns:a14="http://schemas.microsoft.com/office/drawing/2010/main">
      <mc:Choice Requires="a14">
        <xdr:sp macro="" textlink="">
          <xdr:nvSpPr>
            <xdr:cNvPr id="14" name="CuadroTexto 13">
              <a:extLst>
                <a:ext uri="{FF2B5EF4-FFF2-40B4-BE49-F238E27FC236}">
                  <a16:creationId xmlns:a16="http://schemas.microsoft.com/office/drawing/2014/main" id="{00000000-0008-0000-0000-00000E000000}"/>
                </a:ext>
              </a:extLst>
            </xdr:cNvPr>
            <xdr:cNvSpPr txBox="1"/>
          </xdr:nvSpPr>
          <xdr:spPr>
            <a:xfrm>
              <a:off x="2038350" y="36004500"/>
              <a:ext cx="1955215"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pPr/>
              <a14:m>
                <m:oMathPara xmlns:m="http://schemas.openxmlformats.org/officeDocument/2006/math">
                  <m:oMathParaPr>
                    <m:jc m:val="centerGroup"/>
                  </m:oMathParaPr>
                  <m:oMath xmlns:m="http://schemas.openxmlformats.org/officeDocument/2006/math">
                    <m:r>
                      <a:rPr lang="es-PE" sz="1100" b="0" i="1">
                        <a:solidFill>
                          <a:schemeClr val="tx1">
                            <a:lumMod val="85000"/>
                            <a:lumOff val="15000"/>
                          </a:schemeClr>
                        </a:solidFill>
                        <a:latin typeface="Cambria Math" panose="02040503050406030204" pitchFamily="18" charset="0"/>
                      </a:rPr>
                      <m:t>𝐸</m:t>
                    </m:r>
                    <m:r>
                      <a:rPr lang="es-PE" sz="1100" b="0" i="1">
                        <a:solidFill>
                          <a:schemeClr val="tx1">
                            <a:lumMod val="85000"/>
                            <a:lumOff val="15000"/>
                          </a:schemeClr>
                        </a:solidFill>
                        <a:latin typeface="Cambria Math" panose="02040503050406030204" pitchFamily="18" charset="0"/>
                      </a:rPr>
                      <m:t>=</m:t>
                    </m:r>
                    <m:rad>
                      <m:radPr>
                        <m:degHide m:val="on"/>
                        <m:ctrlPr>
                          <a:rPr lang="es-PE" sz="1100" b="0" i="1">
                            <a:solidFill>
                              <a:schemeClr val="tx1">
                                <a:lumMod val="85000"/>
                                <a:lumOff val="15000"/>
                              </a:schemeClr>
                            </a:solidFill>
                            <a:latin typeface="Cambria Math" panose="02040503050406030204" pitchFamily="18" charset="0"/>
                          </a:rPr>
                        </m:ctrlPr>
                      </m:radPr>
                      <m:deg/>
                      <m:e>
                        <m:sSup>
                          <m:sSupPr>
                            <m:ctrlPr>
                              <a:rPr lang="es-PE" sz="1100" b="0" i="1">
                                <a:solidFill>
                                  <a:schemeClr val="tx1">
                                    <a:lumMod val="85000"/>
                                    <a:lumOff val="15000"/>
                                  </a:schemeClr>
                                </a:solidFill>
                                <a:latin typeface="Cambria Math" panose="02040503050406030204" pitchFamily="18" charset="0"/>
                              </a:rPr>
                            </m:ctrlPr>
                          </m:sSupPr>
                          <m:e>
                            <m:d>
                              <m:dPr>
                                <m:ctrlPr>
                                  <a:rPr lang="es-PE" sz="1100" b="0" i="1">
                                    <a:solidFill>
                                      <a:schemeClr val="tx1">
                                        <a:lumMod val="85000"/>
                                        <a:lumOff val="15000"/>
                                      </a:schemeClr>
                                    </a:solidFill>
                                    <a:latin typeface="Cambria Math" panose="02040503050406030204" pitchFamily="18" charset="0"/>
                                  </a:rPr>
                                </m:ctrlPr>
                              </m:dPr>
                              <m:e>
                                <m:sSub>
                                  <m:sSubPr>
                                    <m:ctrlPr>
                                      <a:rPr lang="es-PE" sz="1100" b="0" i="1">
                                        <a:solidFill>
                                          <a:schemeClr val="tx1">
                                            <a:lumMod val="85000"/>
                                            <a:lumOff val="15000"/>
                                          </a:schemeClr>
                                        </a:solidFill>
                                        <a:latin typeface="Cambria Math" panose="02040503050406030204" pitchFamily="18" charset="0"/>
                                      </a:rPr>
                                    </m:ctrlPr>
                                  </m:sSubPr>
                                  <m:e>
                                    <m:r>
                                      <a:rPr lang="es-PE" sz="1100" b="0" i="1">
                                        <a:solidFill>
                                          <a:schemeClr val="tx1">
                                            <a:lumMod val="85000"/>
                                            <a:lumOff val="15000"/>
                                          </a:schemeClr>
                                        </a:solidFill>
                                        <a:latin typeface="Cambria Math" panose="02040503050406030204" pitchFamily="18" charset="0"/>
                                      </a:rPr>
                                      <m:t>𝑝</m:t>
                                    </m:r>
                                  </m:e>
                                  <m:sub>
                                    <m:r>
                                      <a:rPr lang="es-PE" sz="1100" b="0" i="1">
                                        <a:solidFill>
                                          <a:schemeClr val="tx1">
                                            <a:lumMod val="85000"/>
                                            <a:lumOff val="15000"/>
                                          </a:schemeClr>
                                        </a:solidFill>
                                        <a:latin typeface="Cambria Math" panose="02040503050406030204" pitchFamily="18" charset="0"/>
                                      </a:rPr>
                                      <m:t>𝑖𝑦</m:t>
                                    </m:r>
                                  </m:sub>
                                </m:sSub>
                                <m:r>
                                  <a:rPr lang="es-PE" sz="1100" b="0" i="1">
                                    <a:solidFill>
                                      <a:schemeClr val="tx1">
                                        <a:lumMod val="85000"/>
                                        <a:lumOff val="15000"/>
                                      </a:schemeClr>
                                    </a:solidFill>
                                    <a:latin typeface="Cambria Math" panose="02040503050406030204" pitchFamily="18" charset="0"/>
                                  </a:rPr>
                                  <m:t>+</m:t>
                                </m:r>
                                <m:sSub>
                                  <m:sSubPr>
                                    <m:ctrlPr>
                                      <a:rPr lang="es-PE" sz="1100" b="0" i="1">
                                        <a:solidFill>
                                          <a:schemeClr val="tx1">
                                            <a:lumMod val="85000"/>
                                            <a:lumOff val="15000"/>
                                          </a:schemeClr>
                                        </a:solidFill>
                                        <a:latin typeface="Cambria Math" panose="02040503050406030204" pitchFamily="18" charset="0"/>
                                      </a:rPr>
                                    </m:ctrlPr>
                                  </m:sSubPr>
                                  <m:e>
                                    <m:r>
                                      <a:rPr lang="es-PE" sz="1100" b="0" i="1">
                                        <a:solidFill>
                                          <a:schemeClr val="tx1">
                                            <a:lumMod val="85000"/>
                                            <a:lumOff val="15000"/>
                                          </a:schemeClr>
                                        </a:solidFill>
                                        <a:latin typeface="Cambria Math" panose="02040503050406030204" pitchFamily="18" charset="0"/>
                                      </a:rPr>
                                      <m:t>𝑝</m:t>
                                    </m:r>
                                  </m:e>
                                  <m:sub>
                                    <m:r>
                                      <a:rPr lang="es-PE" sz="1100" b="0" i="1">
                                        <a:solidFill>
                                          <a:schemeClr val="tx1">
                                            <a:lumMod val="85000"/>
                                            <a:lumOff val="15000"/>
                                          </a:schemeClr>
                                        </a:solidFill>
                                        <a:latin typeface="Cambria Math" panose="02040503050406030204" pitchFamily="18" charset="0"/>
                                      </a:rPr>
                                      <m:t>𝑤𝑦</m:t>
                                    </m:r>
                                  </m:sub>
                                </m:sSub>
                              </m:e>
                            </m:d>
                          </m:e>
                          <m:sup>
                            <m:r>
                              <a:rPr lang="es-PE" sz="1100" b="0" i="1">
                                <a:solidFill>
                                  <a:schemeClr val="tx1">
                                    <a:lumMod val="85000"/>
                                    <a:lumOff val="15000"/>
                                  </a:schemeClr>
                                </a:solidFill>
                                <a:latin typeface="Cambria Math" panose="02040503050406030204" pitchFamily="18" charset="0"/>
                              </a:rPr>
                              <m:t>2</m:t>
                            </m:r>
                          </m:sup>
                        </m:sSup>
                        <m:r>
                          <a:rPr lang="es-PE" sz="1100" b="0" i="1">
                            <a:solidFill>
                              <a:schemeClr val="tx1">
                                <a:lumMod val="85000"/>
                                <a:lumOff val="15000"/>
                              </a:schemeClr>
                            </a:solidFill>
                            <a:latin typeface="Cambria Math" panose="02040503050406030204" pitchFamily="18" charset="0"/>
                          </a:rPr>
                          <m:t>+</m:t>
                        </m:r>
                        <m:sSubSup>
                          <m:sSubSupPr>
                            <m:ctrlPr>
                              <a:rPr lang="es-PE" sz="1100" b="0" i="1">
                                <a:solidFill>
                                  <a:schemeClr val="tx1">
                                    <a:lumMod val="85000"/>
                                    <a:lumOff val="15000"/>
                                  </a:schemeClr>
                                </a:solidFill>
                                <a:latin typeface="Cambria Math" panose="02040503050406030204" pitchFamily="18" charset="0"/>
                              </a:rPr>
                            </m:ctrlPr>
                          </m:sSubSupPr>
                          <m:e>
                            <m:r>
                              <a:rPr lang="es-PE" sz="1100" b="0" i="1">
                                <a:solidFill>
                                  <a:schemeClr val="tx1">
                                    <a:lumMod val="85000"/>
                                    <a:lumOff val="15000"/>
                                  </a:schemeClr>
                                </a:solidFill>
                                <a:latin typeface="Cambria Math" panose="02040503050406030204" pitchFamily="18" charset="0"/>
                              </a:rPr>
                              <m:t>𝑝</m:t>
                            </m:r>
                          </m:e>
                          <m:sub>
                            <m:r>
                              <a:rPr lang="es-PE" sz="1100" b="0" i="1">
                                <a:solidFill>
                                  <a:schemeClr val="tx1">
                                    <a:lumMod val="85000"/>
                                    <a:lumOff val="15000"/>
                                  </a:schemeClr>
                                </a:solidFill>
                                <a:latin typeface="Cambria Math" panose="02040503050406030204" pitchFamily="18" charset="0"/>
                              </a:rPr>
                              <m:t>𝑐𝑦</m:t>
                            </m:r>
                          </m:sub>
                          <m:sup>
                            <m:r>
                              <a:rPr lang="es-PE" sz="1100" b="0" i="1">
                                <a:solidFill>
                                  <a:schemeClr val="tx1">
                                    <a:lumMod val="85000"/>
                                    <a:lumOff val="15000"/>
                                  </a:schemeClr>
                                </a:solidFill>
                                <a:latin typeface="Cambria Math" panose="02040503050406030204" pitchFamily="18" charset="0"/>
                              </a:rPr>
                              <m:t>2</m:t>
                            </m:r>
                          </m:sup>
                        </m:sSubSup>
                        <m:r>
                          <a:rPr lang="es-PE" sz="1100" b="0" i="1">
                            <a:solidFill>
                              <a:schemeClr val="tx1">
                                <a:lumMod val="85000"/>
                                <a:lumOff val="15000"/>
                              </a:schemeClr>
                            </a:solidFill>
                            <a:latin typeface="Cambria Math" panose="02040503050406030204" pitchFamily="18" charset="0"/>
                          </a:rPr>
                          <m:t>+</m:t>
                        </m:r>
                        <m:sSubSup>
                          <m:sSubSupPr>
                            <m:ctrlPr>
                              <a:rPr lang="es-PE" sz="1100" b="0" i="1">
                                <a:solidFill>
                                  <a:schemeClr val="tx1">
                                    <a:lumMod val="85000"/>
                                    <a:lumOff val="15000"/>
                                  </a:schemeClr>
                                </a:solidFill>
                                <a:latin typeface="Cambria Math" panose="02040503050406030204" pitchFamily="18" charset="0"/>
                              </a:rPr>
                            </m:ctrlPr>
                          </m:sSubSupPr>
                          <m:e>
                            <m:r>
                              <a:rPr lang="es-PE" sz="1100" b="0" i="1">
                                <a:solidFill>
                                  <a:schemeClr val="tx1">
                                    <a:lumMod val="85000"/>
                                    <a:lumOff val="15000"/>
                                  </a:schemeClr>
                                </a:solidFill>
                                <a:latin typeface="Cambria Math" panose="02040503050406030204" pitchFamily="18" charset="0"/>
                              </a:rPr>
                              <m:t>𝑝</m:t>
                            </m:r>
                          </m:e>
                          <m:sub>
                            <m:r>
                              <a:rPr lang="es-PE" sz="1100" b="0" i="1">
                                <a:solidFill>
                                  <a:schemeClr val="tx1">
                                    <a:lumMod val="85000"/>
                                    <a:lumOff val="15000"/>
                                  </a:schemeClr>
                                </a:solidFill>
                                <a:latin typeface="Cambria Math" panose="02040503050406030204" pitchFamily="18" charset="0"/>
                              </a:rPr>
                              <m:t>h𝑦</m:t>
                            </m:r>
                          </m:sub>
                          <m:sup>
                            <m:r>
                              <a:rPr lang="es-PE" sz="1100" b="0" i="1">
                                <a:solidFill>
                                  <a:schemeClr val="tx1">
                                    <a:lumMod val="85000"/>
                                    <a:lumOff val="15000"/>
                                  </a:schemeClr>
                                </a:solidFill>
                                <a:latin typeface="Cambria Math" panose="02040503050406030204" pitchFamily="18" charset="0"/>
                              </a:rPr>
                              <m:t>2</m:t>
                            </m:r>
                          </m:sup>
                        </m:sSubSup>
                      </m:e>
                    </m:rad>
                  </m:oMath>
                </m:oMathPara>
              </a14:m>
              <a:endParaRPr lang="es-ES" sz="1100">
                <a:solidFill>
                  <a:schemeClr val="tx1">
                    <a:lumMod val="85000"/>
                    <a:lumOff val="15000"/>
                  </a:schemeClr>
                </a:solidFill>
              </a:endParaRPr>
            </a:p>
          </xdr:txBody>
        </xdr:sp>
      </mc:Choice>
      <mc:Fallback xmlns="">
        <xdr:sp macro="" textlink="">
          <xdr:nvSpPr>
            <xdr:cNvPr id="14" name="CuadroTexto 13">
              <a:extLst>
                <a:ext uri="{FF2B5EF4-FFF2-40B4-BE49-F238E27FC236}">
                  <a16:creationId xmlns:a16="http://schemas.microsoft.com/office/drawing/2014/main" id="{668CD4A1-3A5C-4EE7-9CD0-6FD1D8D06606}"/>
                </a:ext>
              </a:extLst>
            </xdr:cNvPr>
            <xdr:cNvSpPr txBox="1"/>
          </xdr:nvSpPr>
          <xdr:spPr>
            <a:xfrm>
              <a:off x="2038350" y="36004500"/>
              <a:ext cx="1955215" cy="34445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lang="es-PE" sz="1100" b="0" i="0">
                  <a:solidFill>
                    <a:schemeClr val="tx1">
                      <a:lumMod val="85000"/>
                      <a:lumOff val="15000"/>
                    </a:schemeClr>
                  </a:solidFill>
                  <a:latin typeface="Cambria Math" panose="02040503050406030204" pitchFamily="18" charset="0"/>
                </a:rPr>
                <a:t>𝐸=√((𝑝_𝑖𝑦+𝑝_𝑤𝑦 )^2+𝑝_𝑐𝑦^2+𝑝_ℎ𝑦^2 )</a:t>
              </a:r>
              <a:endParaRPr lang="es-ES" sz="1100">
                <a:solidFill>
                  <a:schemeClr val="tx1">
                    <a:lumMod val="85000"/>
                    <a:lumOff val="15000"/>
                  </a:schemeClr>
                </a:solidFill>
              </a:endParaRPr>
            </a:p>
          </xdr:txBody>
        </xdr:sp>
      </mc:Fallback>
    </mc:AlternateContent>
    <xdr:clientData/>
  </xdr:oneCellAnchor>
  <xdr:twoCellAnchor editAs="oneCell">
    <xdr:from>
      <xdr:col>5</xdr:col>
      <xdr:colOff>207880</xdr:colOff>
      <xdr:row>2</xdr:row>
      <xdr:rowOff>34600</xdr:rowOff>
    </xdr:from>
    <xdr:to>
      <xdr:col>9</xdr:col>
      <xdr:colOff>400049</xdr:colOff>
      <xdr:row>14</xdr:row>
      <xdr:rowOff>76201</xdr:rowOff>
    </xdr:to>
    <xdr:pic>
      <xdr:nvPicPr>
        <xdr:cNvPr id="115" name="Imagen 114">
          <a:extLst>
            <a:ext uri="{FF2B5EF4-FFF2-40B4-BE49-F238E27FC236}">
              <a16:creationId xmlns:a16="http://schemas.microsoft.com/office/drawing/2014/main" id="{00000000-0008-0000-0000-000073000000}"/>
            </a:ext>
          </a:extLst>
        </xdr:cNvPr>
        <xdr:cNvPicPr>
          <a:picLocks noChangeAspect="1" noChangeArrowheads="1"/>
        </xdr:cNvPicPr>
      </xdr:nvPicPr>
      <xdr:blipFill>
        <a:blip xmlns:r="http://schemas.openxmlformats.org/officeDocument/2006/relationships" r:embed="rId9">
          <a:extLst>
            <a:ext uri="{28A0092B-C50C-407E-A947-70E740481C1C}">
              <a14:useLocalDpi xmlns:a14="http://schemas.microsoft.com/office/drawing/2010/main" val="0"/>
            </a:ext>
          </a:extLst>
        </a:blip>
        <a:srcRect/>
        <a:stretch>
          <a:fillRect/>
        </a:stretch>
      </xdr:blipFill>
      <xdr:spPr bwMode="auto">
        <a:xfrm>
          <a:off x="3608305" y="872800"/>
          <a:ext cx="4002169" cy="2222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419100</xdr:colOff>
      <xdr:row>292</xdr:row>
      <xdr:rowOff>70486</xdr:rowOff>
    </xdr:from>
    <xdr:to>
      <xdr:col>9</xdr:col>
      <xdr:colOff>200026</xdr:colOff>
      <xdr:row>300</xdr:row>
      <xdr:rowOff>130384</xdr:rowOff>
    </xdr:to>
    <xdr:pic>
      <xdr:nvPicPr>
        <xdr:cNvPr id="118" name="Imagen 117">
          <a:extLst>
            <a:ext uri="{FF2B5EF4-FFF2-40B4-BE49-F238E27FC236}">
              <a16:creationId xmlns:a16="http://schemas.microsoft.com/office/drawing/2014/main" id="{00000000-0008-0000-0000-000076000000}"/>
            </a:ext>
          </a:extLst>
        </xdr:cNvPr>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5810250" y="55144036"/>
          <a:ext cx="1600201" cy="15838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123825</xdr:colOff>
      <xdr:row>338</xdr:row>
      <xdr:rowOff>38099</xdr:rowOff>
    </xdr:from>
    <xdr:to>
      <xdr:col>2</xdr:col>
      <xdr:colOff>638175</xdr:colOff>
      <xdr:row>339</xdr:row>
      <xdr:rowOff>95250</xdr:rowOff>
    </xdr:to>
    <xdr:pic>
      <xdr:nvPicPr>
        <xdr:cNvPr id="2" name="7 Imagen" descr="Recorte de pantalla">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2266950" y="67075049"/>
          <a:ext cx="514350" cy="685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133350</xdr:colOff>
      <xdr:row>339</xdr:row>
      <xdr:rowOff>38099</xdr:rowOff>
    </xdr:from>
    <xdr:ext cx="514350" cy="685801"/>
    <xdr:pic>
      <xdr:nvPicPr>
        <xdr:cNvPr id="4" name="7 Imagen" descr="Recorte de pantalla">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2276475" y="67703699"/>
          <a:ext cx="514350" cy="685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0</xdr:col>
      <xdr:colOff>214310</xdr:colOff>
      <xdr:row>338</xdr:row>
      <xdr:rowOff>428625</xdr:rowOff>
    </xdr:from>
    <xdr:ext cx="600075" cy="719137"/>
    <xdr:pic>
      <xdr:nvPicPr>
        <xdr:cNvPr id="5" name="9 Imagen" descr="Recorte de pantalla">
          <a:extLst>
            <a:ext uri="{FF2B5EF4-FFF2-40B4-BE49-F238E27FC236}">
              <a16:creationId xmlns:a16="http://schemas.microsoft.com/office/drawing/2014/main" id="{00000000-0008-0000-03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5400000">
          <a:off x="154779" y="67525106"/>
          <a:ext cx="719137"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2</xdr:col>
      <xdr:colOff>152400</xdr:colOff>
      <xdr:row>337</xdr:row>
      <xdr:rowOff>0</xdr:rowOff>
    </xdr:from>
    <xdr:to>
      <xdr:col>2</xdr:col>
      <xdr:colOff>666750</xdr:colOff>
      <xdr:row>338</xdr:row>
      <xdr:rowOff>57151</xdr:rowOff>
    </xdr:to>
    <xdr:pic>
      <xdr:nvPicPr>
        <xdr:cNvPr id="6" name="7 Imagen" descr="Recorte de pantalla">
          <a:extLst>
            <a:ext uri="{FF2B5EF4-FFF2-40B4-BE49-F238E27FC236}">
              <a16:creationId xmlns:a16="http://schemas.microsoft.com/office/drawing/2014/main" id="{00000000-0008-0000-0300-000006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2295525" y="66408300"/>
          <a:ext cx="514350" cy="685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oneCellAnchor>
    <xdr:from>
      <xdr:col>2</xdr:col>
      <xdr:colOff>123825</xdr:colOff>
      <xdr:row>339</xdr:row>
      <xdr:rowOff>38099</xdr:rowOff>
    </xdr:from>
    <xdr:ext cx="514350" cy="685801"/>
    <xdr:pic>
      <xdr:nvPicPr>
        <xdr:cNvPr id="7" name="7 Imagen" descr="Recorte de pantalla">
          <a:extLst>
            <a:ext uri="{FF2B5EF4-FFF2-40B4-BE49-F238E27FC236}">
              <a16:creationId xmlns:a16="http://schemas.microsoft.com/office/drawing/2014/main" id="{00000000-0008-0000-0300-000007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2266950" y="67075049"/>
          <a:ext cx="514350" cy="685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166684</xdr:colOff>
      <xdr:row>340</xdr:row>
      <xdr:rowOff>60435</xdr:rowOff>
    </xdr:from>
    <xdr:ext cx="271465" cy="325327"/>
    <xdr:pic>
      <xdr:nvPicPr>
        <xdr:cNvPr id="9" name="9 Imagen" descr="Recorte de pantalla">
          <a:extLst>
            <a:ext uri="{FF2B5EF4-FFF2-40B4-BE49-F238E27FC236}">
              <a16:creationId xmlns:a16="http://schemas.microsoft.com/office/drawing/2014/main" id="{00000000-0008-0000-0300-000009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5400000">
          <a:off x="2282878" y="68381616"/>
          <a:ext cx="325327" cy="2714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123825</xdr:colOff>
      <xdr:row>340</xdr:row>
      <xdr:rowOff>314324</xdr:rowOff>
    </xdr:from>
    <xdr:ext cx="514350" cy="685801"/>
    <xdr:pic>
      <xdr:nvPicPr>
        <xdr:cNvPr id="10" name="7 Imagen" descr="Recorte de pantalla">
          <a:extLst>
            <a:ext uri="{FF2B5EF4-FFF2-40B4-BE49-F238E27FC236}">
              <a16:creationId xmlns:a16="http://schemas.microsoft.com/office/drawing/2014/main" id="{00000000-0008-0000-0300-00000A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10800000">
          <a:off x="2266950" y="68608574"/>
          <a:ext cx="514350" cy="68580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oneCellAnchor>
    <xdr:from>
      <xdr:col>2</xdr:col>
      <xdr:colOff>166684</xdr:colOff>
      <xdr:row>342</xdr:row>
      <xdr:rowOff>60435</xdr:rowOff>
    </xdr:from>
    <xdr:ext cx="271465" cy="325327"/>
    <xdr:pic>
      <xdr:nvPicPr>
        <xdr:cNvPr id="13" name="9 Imagen" descr="Recorte de pantalla">
          <a:extLst>
            <a:ext uri="{FF2B5EF4-FFF2-40B4-BE49-F238E27FC236}">
              <a16:creationId xmlns:a16="http://schemas.microsoft.com/office/drawing/2014/main" id="{00000000-0008-0000-0300-00000D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rot="5400000">
          <a:off x="2282878" y="68381616"/>
          <a:ext cx="325327" cy="27146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oneCell">
    <xdr:from>
      <xdr:col>4</xdr:col>
      <xdr:colOff>696995</xdr:colOff>
      <xdr:row>29</xdr:row>
      <xdr:rowOff>164174</xdr:rowOff>
    </xdr:from>
    <xdr:to>
      <xdr:col>8</xdr:col>
      <xdr:colOff>582695</xdr:colOff>
      <xdr:row>44</xdr:row>
      <xdr:rowOff>2672</xdr:rowOff>
    </xdr:to>
    <xdr:pic>
      <xdr:nvPicPr>
        <xdr:cNvPr id="14" name="Imagen 13">
          <a:extLst>
            <a:ext uri="{FF2B5EF4-FFF2-40B4-BE49-F238E27FC236}">
              <a16:creationId xmlns:a16="http://schemas.microsoft.com/office/drawing/2014/main" id="{00000000-0008-0000-0300-00000E000000}"/>
            </a:ext>
          </a:extLst>
        </xdr:cNvPr>
        <xdr:cNvPicPr>
          <a:picLocks noChangeAspect="1" noChangeArrowheads="1"/>
        </xdr:cNvPicPr>
      </xdr:nvPicPr>
      <xdr:blipFill>
        <a:blip xmlns:r="http://schemas.openxmlformats.org/officeDocument/2006/relationships" r:embed="rId2">
          <a:extLst>
            <a:ext uri="{BEBA8EAE-BF5A-486C-A8C5-ECC9F3942E4B}">
              <a14:imgProps xmlns:a14="http://schemas.microsoft.com/office/drawing/2010/main">
                <a14:imgLayer r:embed="rId3">
                  <a14:imgEffect>
                    <a14:sharpenSoften amount="50000"/>
                  </a14:imgEffect>
                </a14:imgLayer>
              </a14:imgProps>
            </a:ext>
            <a:ext uri="{28A0092B-C50C-407E-A947-70E740481C1C}">
              <a14:useLocalDpi xmlns:a14="http://schemas.microsoft.com/office/drawing/2010/main" val="0"/>
            </a:ext>
          </a:extLst>
        </a:blip>
        <a:srcRect/>
        <a:stretch>
          <a:fillRect/>
        </a:stretch>
      </xdr:blipFill>
      <xdr:spPr bwMode="auto">
        <a:xfrm>
          <a:off x="4364120" y="5783924"/>
          <a:ext cx="2990850" cy="269599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0</xdr:col>
      <xdr:colOff>0</xdr:colOff>
      <xdr:row>31</xdr:row>
      <xdr:rowOff>57150</xdr:rowOff>
    </xdr:from>
    <xdr:to>
      <xdr:col>4</xdr:col>
      <xdr:colOff>335044</xdr:colOff>
      <xdr:row>42</xdr:row>
      <xdr:rowOff>184476</xdr:rowOff>
    </xdr:to>
    <xdr:pic>
      <xdr:nvPicPr>
        <xdr:cNvPr id="15" name="Imagen 14">
          <a:extLst>
            <a:ext uri="{FF2B5EF4-FFF2-40B4-BE49-F238E27FC236}">
              <a16:creationId xmlns:a16="http://schemas.microsoft.com/office/drawing/2014/main" id="{00000000-0008-0000-0300-00000F000000}"/>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0" y="6057900"/>
          <a:ext cx="4002169" cy="222282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4</xdr:col>
      <xdr:colOff>209550</xdr:colOff>
      <xdr:row>36</xdr:row>
      <xdr:rowOff>133350</xdr:rowOff>
    </xdr:from>
    <xdr:to>
      <xdr:col>6</xdr:col>
      <xdr:colOff>9525</xdr:colOff>
      <xdr:row>42</xdr:row>
      <xdr:rowOff>171450</xdr:rowOff>
    </xdr:to>
    <xdr:grpSp>
      <xdr:nvGrpSpPr>
        <xdr:cNvPr id="6" name="Grupo 76">
          <a:extLst>
            <a:ext uri="{FF2B5EF4-FFF2-40B4-BE49-F238E27FC236}">
              <a16:creationId xmlns:a16="http://schemas.microsoft.com/office/drawing/2014/main" id="{00000000-0008-0000-0500-000006000000}"/>
            </a:ext>
          </a:extLst>
        </xdr:cNvPr>
        <xdr:cNvGrpSpPr>
          <a:grpSpLocks/>
        </xdr:cNvGrpSpPr>
      </xdr:nvGrpSpPr>
      <xdr:grpSpPr bwMode="auto">
        <a:xfrm>
          <a:off x="3295650" y="6983730"/>
          <a:ext cx="302895" cy="1135380"/>
          <a:chOff x="3286125" y="11721703"/>
          <a:chExt cx="291703" cy="1059656"/>
        </a:xfrm>
      </xdr:grpSpPr>
      <xdr:cxnSp macro="">
        <xdr:nvCxnSpPr>
          <xdr:cNvPr id="7" name="Conector recto 69">
            <a:extLst>
              <a:ext uri="{FF2B5EF4-FFF2-40B4-BE49-F238E27FC236}">
                <a16:creationId xmlns:a16="http://schemas.microsoft.com/office/drawing/2014/main" id="{00000000-0008-0000-0500-000007000000}"/>
              </a:ext>
            </a:extLst>
          </xdr:cNvPr>
          <xdr:cNvCxnSpPr/>
        </xdr:nvCxnSpPr>
        <xdr:spPr>
          <a:xfrm flipV="1">
            <a:off x="3286125" y="12771637"/>
            <a:ext cx="207015" cy="9722"/>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8" name="Conector recto 71">
            <a:extLst>
              <a:ext uri="{FF2B5EF4-FFF2-40B4-BE49-F238E27FC236}">
                <a16:creationId xmlns:a16="http://schemas.microsoft.com/office/drawing/2014/main" id="{00000000-0008-0000-0500-000008000000}"/>
              </a:ext>
            </a:extLst>
          </xdr:cNvPr>
          <xdr:cNvCxnSpPr/>
        </xdr:nvCxnSpPr>
        <xdr:spPr>
          <a:xfrm flipV="1">
            <a:off x="3493140" y="11721703"/>
            <a:ext cx="9410" cy="1049934"/>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xnSp macro="">
        <xdr:nvCxnSpPr>
          <xdr:cNvPr id="9" name="Conector recto 74">
            <a:extLst>
              <a:ext uri="{FF2B5EF4-FFF2-40B4-BE49-F238E27FC236}">
                <a16:creationId xmlns:a16="http://schemas.microsoft.com/office/drawing/2014/main" id="{00000000-0008-0000-0500-000009000000}"/>
              </a:ext>
            </a:extLst>
          </xdr:cNvPr>
          <xdr:cNvCxnSpPr/>
        </xdr:nvCxnSpPr>
        <xdr:spPr>
          <a:xfrm flipV="1">
            <a:off x="3493140" y="11721703"/>
            <a:ext cx="84688" cy="0"/>
          </a:xfrm>
          <a:prstGeom prst="line">
            <a:avLst/>
          </a:prstGeom>
          <a:ln w="3175">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2</xdr:col>
      <xdr:colOff>165907</xdr:colOff>
      <xdr:row>64</xdr:row>
      <xdr:rowOff>77189</xdr:rowOff>
    </xdr:from>
    <xdr:to>
      <xdr:col>9</xdr:col>
      <xdr:colOff>163286</xdr:colOff>
      <xdr:row>64</xdr:row>
      <xdr:rowOff>84325</xdr:rowOff>
    </xdr:to>
    <xdr:cxnSp macro="">
      <xdr:nvCxnSpPr>
        <xdr:cNvPr id="10" name="Conector recto 131">
          <a:extLst>
            <a:ext uri="{FF2B5EF4-FFF2-40B4-BE49-F238E27FC236}">
              <a16:creationId xmlns:a16="http://schemas.microsoft.com/office/drawing/2014/main" id="{00000000-0008-0000-0500-00000A000000}"/>
            </a:ext>
          </a:extLst>
        </xdr:cNvPr>
        <xdr:cNvCxnSpPr/>
      </xdr:nvCxnSpPr>
      <xdr:spPr>
        <a:xfrm flipV="1">
          <a:off x="2890057" y="15574364"/>
          <a:ext cx="1730929" cy="7136"/>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23</xdr:row>
      <xdr:rowOff>108858</xdr:rowOff>
    </xdr:from>
    <xdr:to>
      <xdr:col>9</xdr:col>
      <xdr:colOff>54428</xdr:colOff>
      <xdr:row>23</xdr:row>
      <xdr:rowOff>108858</xdr:rowOff>
    </xdr:to>
    <xdr:cxnSp macro="">
      <xdr:nvCxnSpPr>
        <xdr:cNvPr id="11" name="Conector recto 3">
          <a:extLst>
            <a:ext uri="{FF2B5EF4-FFF2-40B4-BE49-F238E27FC236}">
              <a16:creationId xmlns:a16="http://schemas.microsoft.com/office/drawing/2014/main" id="{00000000-0008-0000-0500-00000B000000}"/>
            </a:ext>
          </a:extLst>
        </xdr:cNvPr>
        <xdr:cNvCxnSpPr/>
      </xdr:nvCxnSpPr>
      <xdr:spPr>
        <a:xfrm>
          <a:off x="2971800" y="5490483"/>
          <a:ext cx="1540328"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2723</xdr:colOff>
      <xdr:row>24</xdr:row>
      <xdr:rowOff>111579</xdr:rowOff>
    </xdr:from>
    <xdr:to>
      <xdr:col>9</xdr:col>
      <xdr:colOff>57151</xdr:colOff>
      <xdr:row>24</xdr:row>
      <xdr:rowOff>111579</xdr:rowOff>
    </xdr:to>
    <xdr:cxnSp macro="">
      <xdr:nvCxnSpPr>
        <xdr:cNvPr id="12" name="Conector recto 50">
          <a:extLst>
            <a:ext uri="{FF2B5EF4-FFF2-40B4-BE49-F238E27FC236}">
              <a16:creationId xmlns:a16="http://schemas.microsoft.com/office/drawing/2014/main" id="{00000000-0008-0000-0500-00000C000000}"/>
            </a:ext>
          </a:extLst>
        </xdr:cNvPr>
        <xdr:cNvCxnSpPr/>
      </xdr:nvCxnSpPr>
      <xdr:spPr>
        <a:xfrm>
          <a:off x="2974523" y="5655129"/>
          <a:ext cx="1540328"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176891</xdr:colOff>
      <xdr:row>54</xdr:row>
      <xdr:rowOff>108856</xdr:rowOff>
    </xdr:from>
    <xdr:to>
      <xdr:col>8</xdr:col>
      <xdr:colOff>231320</xdr:colOff>
      <xdr:row>54</xdr:row>
      <xdr:rowOff>108856</xdr:rowOff>
    </xdr:to>
    <xdr:cxnSp macro="">
      <xdr:nvCxnSpPr>
        <xdr:cNvPr id="13" name="Conector recto 51">
          <a:extLst>
            <a:ext uri="{FF2B5EF4-FFF2-40B4-BE49-F238E27FC236}">
              <a16:creationId xmlns:a16="http://schemas.microsoft.com/office/drawing/2014/main" id="{00000000-0008-0000-0500-00000D000000}"/>
            </a:ext>
          </a:extLst>
        </xdr:cNvPr>
        <xdr:cNvCxnSpPr/>
      </xdr:nvCxnSpPr>
      <xdr:spPr>
        <a:xfrm>
          <a:off x="2901041" y="12815206"/>
          <a:ext cx="1540329"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220435</xdr:colOff>
      <xdr:row>56</xdr:row>
      <xdr:rowOff>84363</xdr:rowOff>
    </xdr:from>
    <xdr:to>
      <xdr:col>9</xdr:col>
      <xdr:colOff>29935</xdr:colOff>
      <xdr:row>56</xdr:row>
      <xdr:rowOff>84363</xdr:rowOff>
    </xdr:to>
    <xdr:cxnSp macro="">
      <xdr:nvCxnSpPr>
        <xdr:cNvPr id="14" name="Conector recto 52">
          <a:extLst>
            <a:ext uri="{FF2B5EF4-FFF2-40B4-BE49-F238E27FC236}">
              <a16:creationId xmlns:a16="http://schemas.microsoft.com/office/drawing/2014/main" id="{00000000-0008-0000-0500-00000E000000}"/>
            </a:ext>
          </a:extLst>
        </xdr:cNvPr>
        <xdr:cNvCxnSpPr/>
      </xdr:nvCxnSpPr>
      <xdr:spPr>
        <a:xfrm>
          <a:off x="2944585" y="13924188"/>
          <a:ext cx="1543050"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165907</xdr:colOff>
      <xdr:row>67</xdr:row>
      <xdr:rowOff>77189</xdr:rowOff>
    </xdr:from>
    <xdr:to>
      <xdr:col>9</xdr:col>
      <xdr:colOff>163286</xdr:colOff>
      <xdr:row>67</xdr:row>
      <xdr:rowOff>84325</xdr:rowOff>
    </xdr:to>
    <xdr:cxnSp macro="">
      <xdr:nvCxnSpPr>
        <xdr:cNvPr id="15" name="Conector recto 131">
          <a:extLst>
            <a:ext uri="{FF2B5EF4-FFF2-40B4-BE49-F238E27FC236}">
              <a16:creationId xmlns:a16="http://schemas.microsoft.com/office/drawing/2014/main" id="{00000000-0008-0000-0500-00000F000000}"/>
            </a:ext>
          </a:extLst>
        </xdr:cNvPr>
        <xdr:cNvCxnSpPr/>
      </xdr:nvCxnSpPr>
      <xdr:spPr>
        <a:xfrm flipV="1">
          <a:off x="2890057" y="15898214"/>
          <a:ext cx="1730929" cy="7136"/>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28575</xdr:colOff>
      <xdr:row>73</xdr:row>
      <xdr:rowOff>133350</xdr:rowOff>
    </xdr:from>
    <xdr:to>
      <xdr:col>8</xdr:col>
      <xdr:colOff>0</xdr:colOff>
      <xdr:row>77</xdr:row>
      <xdr:rowOff>95250</xdr:rowOff>
    </xdr:to>
    <xdr:grpSp>
      <xdr:nvGrpSpPr>
        <xdr:cNvPr id="16" name="31 Grupo">
          <a:extLst>
            <a:ext uri="{FF2B5EF4-FFF2-40B4-BE49-F238E27FC236}">
              <a16:creationId xmlns:a16="http://schemas.microsoft.com/office/drawing/2014/main" id="{00000000-0008-0000-0500-000010000000}"/>
            </a:ext>
          </a:extLst>
        </xdr:cNvPr>
        <xdr:cNvGrpSpPr>
          <a:grpSpLocks/>
        </xdr:cNvGrpSpPr>
      </xdr:nvGrpSpPr>
      <xdr:grpSpPr bwMode="auto">
        <a:xfrm>
          <a:off x="3366135" y="13780770"/>
          <a:ext cx="725805" cy="693420"/>
          <a:chOff x="4115129" y="13009427"/>
          <a:chExt cx="241235" cy="682078"/>
        </a:xfrm>
      </xdr:grpSpPr>
      <xdr:cxnSp macro="">
        <xdr:nvCxnSpPr>
          <xdr:cNvPr id="17" name="Conector recto 135">
            <a:extLst>
              <a:ext uri="{FF2B5EF4-FFF2-40B4-BE49-F238E27FC236}">
                <a16:creationId xmlns:a16="http://schemas.microsoft.com/office/drawing/2014/main" id="{00000000-0008-0000-0500-000011000000}"/>
              </a:ext>
            </a:extLst>
          </xdr:cNvPr>
          <xdr:cNvCxnSpPr/>
        </xdr:nvCxnSpPr>
        <xdr:spPr>
          <a:xfrm flipV="1">
            <a:off x="4127995" y="13015018"/>
            <a:ext cx="215503"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xnSp macro="">
        <xdr:nvCxnSpPr>
          <xdr:cNvPr id="18" name="Conector recto 136">
            <a:extLst>
              <a:ext uri="{FF2B5EF4-FFF2-40B4-BE49-F238E27FC236}">
                <a16:creationId xmlns:a16="http://schemas.microsoft.com/office/drawing/2014/main" id="{00000000-0008-0000-0500-000012000000}"/>
              </a:ext>
            </a:extLst>
          </xdr:cNvPr>
          <xdr:cNvCxnSpPr/>
        </xdr:nvCxnSpPr>
        <xdr:spPr>
          <a:xfrm flipH="1">
            <a:off x="4121562" y="13009427"/>
            <a:ext cx="3216" cy="682078"/>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xnSp macro="">
        <xdr:nvCxnSpPr>
          <xdr:cNvPr id="19" name="Conector recto 135">
            <a:extLst>
              <a:ext uri="{FF2B5EF4-FFF2-40B4-BE49-F238E27FC236}">
                <a16:creationId xmlns:a16="http://schemas.microsoft.com/office/drawing/2014/main" id="{00000000-0008-0000-0500-000013000000}"/>
              </a:ext>
            </a:extLst>
          </xdr:cNvPr>
          <xdr:cNvCxnSpPr/>
        </xdr:nvCxnSpPr>
        <xdr:spPr>
          <a:xfrm flipV="1">
            <a:off x="4115129" y="13691505"/>
            <a:ext cx="241235"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133350</xdr:colOff>
      <xdr:row>70</xdr:row>
      <xdr:rowOff>38100</xdr:rowOff>
    </xdr:from>
    <xdr:to>
      <xdr:col>6</xdr:col>
      <xdr:colOff>190500</xdr:colOff>
      <xdr:row>72</xdr:row>
      <xdr:rowOff>152400</xdr:rowOff>
    </xdr:to>
    <xdr:grpSp>
      <xdr:nvGrpSpPr>
        <xdr:cNvPr id="24" name="42 Grupo">
          <a:extLst>
            <a:ext uri="{FF2B5EF4-FFF2-40B4-BE49-F238E27FC236}">
              <a16:creationId xmlns:a16="http://schemas.microsoft.com/office/drawing/2014/main" id="{00000000-0008-0000-0500-000018000000}"/>
            </a:ext>
          </a:extLst>
        </xdr:cNvPr>
        <xdr:cNvGrpSpPr>
          <a:grpSpLocks/>
        </xdr:cNvGrpSpPr>
      </xdr:nvGrpSpPr>
      <xdr:grpSpPr bwMode="auto">
        <a:xfrm rot="10800000">
          <a:off x="3470910" y="13136880"/>
          <a:ext cx="308610" cy="480060"/>
          <a:chOff x="4115129" y="13009427"/>
          <a:chExt cx="241235" cy="682078"/>
        </a:xfrm>
      </xdr:grpSpPr>
      <xdr:cxnSp macro="">
        <xdr:nvCxnSpPr>
          <xdr:cNvPr id="25" name="Conector recto 136">
            <a:extLst>
              <a:ext uri="{FF2B5EF4-FFF2-40B4-BE49-F238E27FC236}">
                <a16:creationId xmlns:a16="http://schemas.microsoft.com/office/drawing/2014/main" id="{00000000-0008-0000-0500-000019000000}"/>
              </a:ext>
            </a:extLst>
          </xdr:cNvPr>
          <xdr:cNvCxnSpPr/>
        </xdr:nvCxnSpPr>
        <xdr:spPr>
          <a:xfrm flipH="1">
            <a:off x="4122668" y="13009427"/>
            <a:ext cx="0" cy="682078"/>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xnSp macro="">
        <xdr:nvCxnSpPr>
          <xdr:cNvPr id="26" name="Conector recto 135">
            <a:extLst>
              <a:ext uri="{FF2B5EF4-FFF2-40B4-BE49-F238E27FC236}">
                <a16:creationId xmlns:a16="http://schemas.microsoft.com/office/drawing/2014/main" id="{00000000-0008-0000-0500-00001A000000}"/>
              </a:ext>
            </a:extLst>
          </xdr:cNvPr>
          <xdr:cNvCxnSpPr/>
        </xdr:nvCxnSpPr>
        <xdr:spPr>
          <a:xfrm flipV="1">
            <a:off x="4115129" y="13691505"/>
            <a:ext cx="241235"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5</xdr:col>
      <xdr:colOff>66675</xdr:colOff>
      <xdr:row>79</xdr:row>
      <xdr:rowOff>38100</xdr:rowOff>
    </xdr:from>
    <xdr:to>
      <xdr:col>6</xdr:col>
      <xdr:colOff>228600</xdr:colOff>
      <xdr:row>83</xdr:row>
      <xdr:rowOff>104775</xdr:rowOff>
    </xdr:to>
    <xdr:grpSp>
      <xdr:nvGrpSpPr>
        <xdr:cNvPr id="27" name="50 Grupo">
          <a:extLst>
            <a:ext uri="{FF2B5EF4-FFF2-40B4-BE49-F238E27FC236}">
              <a16:creationId xmlns:a16="http://schemas.microsoft.com/office/drawing/2014/main" id="{00000000-0008-0000-0500-00001B000000}"/>
            </a:ext>
          </a:extLst>
        </xdr:cNvPr>
        <xdr:cNvGrpSpPr>
          <a:grpSpLocks/>
        </xdr:cNvGrpSpPr>
      </xdr:nvGrpSpPr>
      <xdr:grpSpPr bwMode="auto">
        <a:xfrm>
          <a:off x="3404235" y="14782800"/>
          <a:ext cx="413385" cy="798195"/>
          <a:chOff x="1428715" y="22356538"/>
          <a:chExt cx="1034178" cy="2081881"/>
        </a:xfrm>
      </xdr:grpSpPr>
      <xdr:grpSp>
        <xdr:nvGrpSpPr>
          <xdr:cNvPr id="28" name="35 Grupo">
            <a:extLst>
              <a:ext uri="{FF2B5EF4-FFF2-40B4-BE49-F238E27FC236}">
                <a16:creationId xmlns:a16="http://schemas.microsoft.com/office/drawing/2014/main" id="{00000000-0008-0000-0500-00001C000000}"/>
              </a:ext>
            </a:extLst>
          </xdr:cNvPr>
          <xdr:cNvGrpSpPr>
            <a:grpSpLocks/>
          </xdr:cNvGrpSpPr>
        </xdr:nvGrpSpPr>
        <xdr:grpSpPr bwMode="auto">
          <a:xfrm>
            <a:off x="1428715" y="22356538"/>
            <a:ext cx="544255" cy="2081881"/>
            <a:chOff x="4078658" y="13009427"/>
            <a:chExt cx="45947" cy="682078"/>
          </a:xfrm>
        </xdr:grpSpPr>
        <xdr:cxnSp macro="">
          <xdr:nvCxnSpPr>
            <xdr:cNvPr id="30" name="Conector recto 136">
              <a:extLst>
                <a:ext uri="{FF2B5EF4-FFF2-40B4-BE49-F238E27FC236}">
                  <a16:creationId xmlns:a16="http://schemas.microsoft.com/office/drawing/2014/main" id="{00000000-0008-0000-0500-00001E000000}"/>
                </a:ext>
              </a:extLst>
            </xdr:cNvPr>
            <xdr:cNvCxnSpPr/>
          </xdr:nvCxnSpPr>
          <xdr:spPr>
            <a:xfrm flipH="1">
              <a:off x="4123327" y="13009427"/>
              <a:ext cx="2030" cy="682078"/>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xnSp macro="">
          <xdr:nvCxnSpPr>
            <xdr:cNvPr id="31" name="Conector recto 135">
              <a:extLst>
                <a:ext uri="{FF2B5EF4-FFF2-40B4-BE49-F238E27FC236}">
                  <a16:creationId xmlns:a16="http://schemas.microsoft.com/office/drawing/2014/main" id="{00000000-0008-0000-0500-00001F000000}"/>
                </a:ext>
              </a:extLst>
            </xdr:cNvPr>
            <xdr:cNvCxnSpPr/>
          </xdr:nvCxnSpPr>
          <xdr:spPr>
            <a:xfrm>
              <a:off x="4078658" y="13686377"/>
              <a:ext cx="46699"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grpSp>
      <xdr:cxnSp macro="">
        <xdr:nvCxnSpPr>
          <xdr:cNvPr id="29" name="Conector recto 135">
            <a:extLst>
              <a:ext uri="{FF2B5EF4-FFF2-40B4-BE49-F238E27FC236}">
                <a16:creationId xmlns:a16="http://schemas.microsoft.com/office/drawing/2014/main" id="{00000000-0008-0000-0500-00001D000000}"/>
              </a:ext>
            </a:extLst>
          </xdr:cNvPr>
          <xdr:cNvCxnSpPr/>
        </xdr:nvCxnSpPr>
        <xdr:spPr>
          <a:xfrm>
            <a:off x="1981880" y="22356538"/>
            <a:ext cx="481013" cy="15653"/>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grpSp>
    <xdr:clientData/>
  </xdr:twoCellAnchor>
  <xdr:twoCellAnchor>
    <xdr:from>
      <xdr:col>2</xdr:col>
      <xdr:colOff>234950</xdr:colOff>
      <xdr:row>12</xdr:row>
      <xdr:rowOff>85725</xdr:rowOff>
    </xdr:from>
    <xdr:to>
      <xdr:col>10</xdr:col>
      <xdr:colOff>9525</xdr:colOff>
      <xdr:row>12</xdr:row>
      <xdr:rowOff>88750</xdr:rowOff>
    </xdr:to>
    <xdr:cxnSp macro="">
      <xdr:nvCxnSpPr>
        <xdr:cNvPr id="32" name="Conector recto 3">
          <a:extLst>
            <a:ext uri="{FF2B5EF4-FFF2-40B4-BE49-F238E27FC236}">
              <a16:creationId xmlns:a16="http://schemas.microsoft.com/office/drawing/2014/main" id="{00000000-0008-0000-0500-000020000000}"/>
            </a:ext>
          </a:extLst>
        </xdr:cNvPr>
        <xdr:cNvCxnSpPr/>
      </xdr:nvCxnSpPr>
      <xdr:spPr>
        <a:xfrm flipV="1">
          <a:off x="2540000" y="2438400"/>
          <a:ext cx="1755775" cy="3025"/>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161925</xdr:colOff>
      <xdr:row>9</xdr:row>
      <xdr:rowOff>0</xdr:rowOff>
    </xdr:from>
    <xdr:to>
      <xdr:col>2</xdr:col>
      <xdr:colOff>161925</xdr:colOff>
      <xdr:row>11</xdr:row>
      <xdr:rowOff>0</xdr:rowOff>
    </xdr:to>
    <xdr:cxnSp macro="">
      <xdr:nvCxnSpPr>
        <xdr:cNvPr id="35" name="Conector recto 34">
          <a:extLst>
            <a:ext uri="{FF2B5EF4-FFF2-40B4-BE49-F238E27FC236}">
              <a16:creationId xmlns:a16="http://schemas.microsoft.com/office/drawing/2014/main" id="{00000000-0008-0000-0500-000023000000}"/>
            </a:ext>
          </a:extLst>
        </xdr:cNvPr>
        <xdr:cNvCxnSpPr/>
      </xdr:nvCxnSpPr>
      <xdr:spPr>
        <a:xfrm>
          <a:off x="2466975" y="1781175"/>
          <a:ext cx="0" cy="38100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152400</xdr:colOff>
      <xdr:row>11</xdr:row>
      <xdr:rowOff>19050</xdr:rowOff>
    </xdr:from>
    <xdr:to>
      <xdr:col>6</xdr:col>
      <xdr:colOff>161925</xdr:colOff>
      <xdr:row>11</xdr:row>
      <xdr:rowOff>19050</xdr:rowOff>
    </xdr:to>
    <xdr:cxnSp macro="">
      <xdr:nvCxnSpPr>
        <xdr:cNvPr id="37" name="Conector recto 36">
          <a:extLst>
            <a:ext uri="{FF2B5EF4-FFF2-40B4-BE49-F238E27FC236}">
              <a16:creationId xmlns:a16="http://schemas.microsoft.com/office/drawing/2014/main" id="{00000000-0008-0000-0500-000025000000}"/>
            </a:ext>
          </a:extLst>
        </xdr:cNvPr>
        <xdr:cNvCxnSpPr/>
      </xdr:nvCxnSpPr>
      <xdr:spPr>
        <a:xfrm>
          <a:off x="2457450" y="2181225"/>
          <a:ext cx="1000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171450</xdr:colOff>
      <xdr:row>8</xdr:row>
      <xdr:rowOff>161925</xdr:rowOff>
    </xdr:from>
    <xdr:to>
      <xdr:col>8</xdr:col>
      <xdr:colOff>28575</xdr:colOff>
      <xdr:row>11</xdr:row>
      <xdr:rowOff>19050</xdr:rowOff>
    </xdr:to>
    <xdr:cxnSp macro="">
      <xdr:nvCxnSpPr>
        <xdr:cNvPr id="39" name="Conector recto 38">
          <a:extLst>
            <a:ext uri="{FF2B5EF4-FFF2-40B4-BE49-F238E27FC236}">
              <a16:creationId xmlns:a16="http://schemas.microsoft.com/office/drawing/2014/main" id="{00000000-0008-0000-0500-000027000000}"/>
            </a:ext>
          </a:extLst>
        </xdr:cNvPr>
        <xdr:cNvCxnSpPr/>
      </xdr:nvCxnSpPr>
      <xdr:spPr>
        <a:xfrm flipV="1">
          <a:off x="3467100" y="1752600"/>
          <a:ext cx="352425" cy="4286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28575</xdr:colOff>
      <xdr:row>8</xdr:row>
      <xdr:rowOff>171450</xdr:rowOff>
    </xdr:from>
    <xdr:to>
      <xdr:col>10</xdr:col>
      <xdr:colOff>66675</xdr:colOff>
      <xdr:row>8</xdr:row>
      <xdr:rowOff>180975</xdr:rowOff>
    </xdr:to>
    <xdr:cxnSp macro="">
      <xdr:nvCxnSpPr>
        <xdr:cNvPr id="41" name="Conector recto 40">
          <a:extLst>
            <a:ext uri="{FF2B5EF4-FFF2-40B4-BE49-F238E27FC236}">
              <a16:creationId xmlns:a16="http://schemas.microsoft.com/office/drawing/2014/main" id="{00000000-0008-0000-0500-000029000000}"/>
            </a:ext>
          </a:extLst>
        </xdr:cNvPr>
        <xdr:cNvCxnSpPr/>
      </xdr:nvCxnSpPr>
      <xdr:spPr>
        <a:xfrm>
          <a:off x="3819525" y="1762125"/>
          <a:ext cx="533400" cy="9525"/>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0</xdr:colOff>
      <xdr:row>25</xdr:row>
      <xdr:rowOff>85725</xdr:rowOff>
    </xdr:from>
    <xdr:to>
      <xdr:col>9</xdr:col>
      <xdr:colOff>54428</xdr:colOff>
      <xdr:row>25</xdr:row>
      <xdr:rowOff>85725</xdr:rowOff>
    </xdr:to>
    <xdr:cxnSp macro="">
      <xdr:nvCxnSpPr>
        <xdr:cNvPr id="43" name="Conector recto 50">
          <a:extLst>
            <a:ext uri="{FF2B5EF4-FFF2-40B4-BE49-F238E27FC236}">
              <a16:creationId xmlns:a16="http://schemas.microsoft.com/office/drawing/2014/main" id="{00000000-0008-0000-0500-00002B000000}"/>
            </a:ext>
          </a:extLst>
        </xdr:cNvPr>
        <xdr:cNvCxnSpPr/>
      </xdr:nvCxnSpPr>
      <xdr:spPr>
        <a:xfrm>
          <a:off x="2552700" y="5095875"/>
          <a:ext cx="1540328"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9525</xdr:colOff>
      <xdr:row>26</xdr:row>
      <xdr:rowOff>76200</xdr:rowOff>
    </xdr:from>
    <xdr:to>
      <xdr:col>9</xdr:col>
      <xdr:colOff>63953</xdr:colOff>
      <xdr:row>26</xdr:row>
      <xdr:rowOff>76200</xdr:rowOff>
    </xdr:to>
    <xdr:cxnSp macro="">
      <xdr:nvCxnSpPr>
        <xdr:cNvPr id="44" name="Conector recto 50">
          <a:extLst>
            <a:ext uri="{FF2B5EF4-FFF2-40B4-BE49-F238E27FC236}">
              <a16:creationId xmlns:a16="http://schemas.microsoft.com/office/drawing/2014/main" id="{00000000-0008-0000-0500-00002C000000}"/>
            </a:ext>
          </a:extLst>
        </xdr:cNvPr>
        <xdr:cNvCxnSpPr/>
      </xdr:nvCxnSpPr>
      <xdr:spPr>
        <a:xfrm>
          <a:off x="2562225" y="5276850"/>
          <a:ext cx="1540328"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xdr:col>
      <xdr:colOff>114300</xdr:colOff>
      <xdr:row>35</xdr:row>
      <xdr:rowOff>95250</xdr:rowOff>
    </xdr:from>
    <xdr:to>
      <xdr:col>8</xdr:col>
      <xdr:colOff>168728</xdr:colOff>
      <xdr:row>35</xdr:row>
      <xdr:rowOff>95250</xdr:rowOff>
    </xdr:to>
    <xdr:cxnSp macro="">
      <xdr:nvCxnSpPr>
        <xdr:cNvPr id="45" name="Conector recto 50">
          <a:extLst>
            <a:ext uri="{FF2B5EF4-FFF2-40B4-BE49-F238E27FC236}">
              <a16:creationId xmlns:a16="http://schemas.microsoft.com/office/drawing/2014/main" id="{00000000-0008-0000-0500-00002D000000}"/>
            </a:ext>
          </a:extLst>
        </xdr:cNvPr>
        <xdr:cNvCxnSpPr/>
      </xdr:nvCxnSpPr>
      <xdr:spPr>
        <a:xfrm>
          <a:off x="2419350" y="7791450"/>
          <a:ext cx="1540328" cy="0"/>
        </a:xfrm>
        <a:prstGeom prst="line">
          <a:avLst/>
        </a:prstGeom>
        <a:ln w="3175">
          <a:solidFill>
            <a:sysClr val="windowText" lastClr="000000"/>
          </a:solidFill>
        </a:ln>
      </xdr:spPr>
      <xdr:style>
        <a:lnRef idx="1">
          <a:schemeClr val="dk1"/>
        </a:lnRef>
        <a:fillRef idx="0">
          <a:schemeClr val="dk1"/>
        </a:fillRef>
        <a:effectRef idx="0">
          <a:schemeClr val="dk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00%20CONSULTORIA%202018/001%20SAP%20AMARU/01%20ET%20AMARU/14%20Planilla%20de%20Metrados/6.%20Metrados%20Reservorio%205%20M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RESERV. 10 m3"/>
      <sheetName val="5 Acero. Reserv. 10 m3"/>
      <sheetName val="6 CERCO PER."/>
    </sheetNames>
    <sheetDataSet>
      <sheetData sheetId="0">
        <row r="201">
          <cell r="A201">
            <v>1.0205020301029999</v>
          </cell>
          <cell r="B201" t="str">
            <v>ACERO CORRUGADO fy=4200 kg/cm2 GRADO 60, PARA ZAPATA</v>
          </cell>
        </row>
        <row r="211">
          <cell r="A211">
            <v>1.0205020302019998</v>
          </cell>
          <cell r="B211" t="str">
            <v>ACERO CORRUGADO fy=4200 kg/cm2 GRADO 60, PARA LOSA DE CIMENTACIÓN</v>
          </cell>
        </row>
        <row r="225">
          <cell r="A225">
            <v>1.0205020303029999</v>
          </cell>
          <cell r="B225" t="str">
            <v>ACERO CORRUGADO fy=4200 kg/cm2 PARA MURO DE CUBA</v>
          </cell>
        </row>
        <row r="242">
          <cell r="A242">
            <v>1.0205020304020098</v>
          </cell>
          <cell r="B242" t="str">
            <v>ACERO CORRUGADO fy=4200 kg/cm2 PARA LOSA DE TECHO</v>
          </cell>
        </row>
        <row r="418">
          <cell r="A418">
            <v>1.0205049999999996</v>
          </cell>
        </row>
        <row r="476">
          <cell r="A476">
            <v>1.0205050202999995</v>
          </cell>
          <cell r="B476" t="str">
            <v>ACERO fy=4,200 kg/cm2</v>
          </cell>
        </row>
      </sheetData>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RESISTENCIA" displayName="RESISTENCIA" ref="K3:K6" totalsRowShown="0" headerRowDxfId="5" dataDxfId="4">
  <autoFilter ref="K3:K6" xr:uid="{00000000-0009-0000-0100-000001000000}"/>
  <tableColumns count="1">
    <tableColumn id="1" xr3:uid="{00000000-0010-0000-0000-000001000000}" name="Resistencia" dataDxfId="3"/>
  </tableColumns>
  <tableStyleInfo name="TableStyleLight1" showFirstColumn="0" showLastColumn="0" showRowStripes="0"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a2" displayName="Tabla2" ref="I3:I5" totalsRowShown="0" headerRowDxfId="2" dataDxfId="1">
  <autoFilter ref="I3:I5" xr:uid="{00000000-0009-0000-0100-000002000000}"/>
  <tableColumns count="1">
    <tableColumn id="1" xr3:uid="{00000000-0010-0000-0100-000001000000}" name="Conexión" dataDxfId="0"/>
  </tableColumns>
  <tableStyleInfo name="TableStyleLight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trlProp" Target="../ctrlProps/ctrlProp9.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omments" Target="../comments1.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499984740745262"/>
  </sheetPr>
  <dimension ref="A1:T402"/>
  <sheetViews>
    <sheetView showGridLines="0" tabSelected="1" view="pageBreakPreview" zoomScaleNormal="100" zoomScaleSheetLayoutView="100" workbookViewId="0">
      <selection activeCell="B121" sqref="B121:H138"/>
    </sheetView>
  </sheetViews>
  <sheetFormatPr baseColWidth="10" defaultColWidth="10.6640625" defaultRowHeight="15" customHeight="1" x14ac:dyDescent="0.25"/>
  <cols>
    <col min="1" max="1" width="1.6640625" style="345" customWidth="1"/>
    <col min="2" max="2" width="11.6640625" style="345" customWidth="1"/>
    <col min="3" max="3" width="13.44140625" style="345" customWidth="1"/>
    <col min="4" max="4" width="9.5546875" style="345" customWidth="1"/>
    <col min="5" max="5" width="14.5546875" style="345" customWidth="1"/>
    <col min="6" max="6" width="13.5546875" style="345" customWidth="1"/>
    <col min="7" max="7" width="16.33203125" style="345" customWidth="1"/>
    <col min="8" max="8" width="13.5546875" style="345" bestFit="1" customWidth="1"/>
    <col min="9" max="9" width="13.6640625" style="345" bestFit="1" customWidth="1"/>
    <col min="10" max="10" width="10.33203125" style="345" customWidth="1"/>
    <col min="11" max="11" width="2" style="345" customWidth="1"/>
    <col min="12" max="12" width="11" style="348" customWidth="1"/>
    <col min="13" max="13" width="16.88671875" style="349" customWidth="1"/>
    <col min="14" max="14" width="17" style="349" customWidth="1"/>
    <col min="15" max="16384" width="10.6640625" style="349"/>
  </cols>
  <sheetData>
    <row r="1" spans="1:14" ht="6.9" customHeight="1" x14ac:dyDescent="0.3">
      <c r="B1" s="346"/>
      <c r="C1" s="346"/>
      <c r="D1" s="346"/>
      <c r="E1" s="346"/>
      <c r="F1" s="346"/>
      <c r="G1" s="347"/>
      <c r="H1" s="350"/>
      <c r="I1" s="350"/>
      <c r="J1" s="350"/>
    </row>
    <row r="2" spans="1:14" ht="13.8" x14ac:dyDescent="0.25">
      <c r="B2" s="541" t="s">
        <v>0</v>
      </c>
      <c r="C2" s="541"/>
      <c r="D2" s="541"/>
      <c r="E2" s="541"/>
      <c r="F2" s="541"/>
      <c r="G2" s="541"/>
      <c r="H2" s="541"/>
      <c r="I2" s="541"/>
      <c r="J2" s="541"/>
    </row>
    <row r="3" spans="1:14" ht="6.9" customHeight="1" x14ac:dyDescent="0.25">
      <c r="B3" s="351"/>
      <c r="C3" s="351"/>
      <c r="D3" s="351"/>
      <c r="E3" s="351"/>
      <c r="F3" s="351"/>
      <c r="G3" s="351"/>
      <c r="H3" s="351"/>
      <c r="I3" s="351"/>
      <c r="J3" s="351"/>
    </row>
    <row r="4" spans="1:14" ht="15" customHeight="1" x14ac:dyDescent="0.25">
      <c r="B4" s="537" t="s">
        <v>1</v>
      </c>
      <c r="C4" s="537"/>
      <c r="D4" s="537"/>
      <c r="E4" s="537"/>
    </row>
    <row r="5" spans="1:14" s="355" customFormat="1" ht="15" customHeight="1" x14ac:dyDescent="0.3">
      <c r="A5" s="352"/>
      <c r="B5" s="536" t="s">
        <v>2</v>
      </c>
      <c r="C5" s="536"/>
      <c r="D5" s="536"/>
      <c r="E5" s="353">
        <v>12</v>
      </c>
      <c r="F5" s="352"/>
      <c r="G5" s="352"/>
      <c r="H5" s="352"/>
      <c r="I5" s="352"/>
      <c r="J5" s="352"/>
      <c r="K5" s="352"/>
      <c r="L5" s="354"/>
    </row>
    <row r="6" spans="1:14" s="355" customFormat="1" ht="15" customHeight="1" x14ac:dyDescent="0.3">
      <c r="A6" s="352"/>
      <c r="B6" s="536" t="s">
        <v>3</v>
      </c>
      <c r="C6" s="536"/>
      <c r="D6" s="536"/>
      <c r="E6" s="621">
        <f>(E5/E8)^(1/2)</f>
        <v>2.5131234497501729</v>
      </c>
      <c r="F6" s="352"/>
      <c r="G6" s="352"/>
      <c r="H6" s="352"/>
      <c r="I6" s="352"/>
      <c r="J6" s="352"/>
      <c r="K6" s="352"/>
      <c r="L6" s="354"/>
    </row>
    <row r="7" spans="1:14" s="355" customFormat="1" ht="15" customHeight="1" x14ac:dyDescent="0.3">
      <c r="A7" s="352"/>
      <c r="B7" s="536" t="s">
        <v>4</v>
      </c>
      <c r="C7" s="536"/>
      <c r="D7" s="536"/>
      <c r="E7" s="621">
        <f>E6</f>
        <v>2.5131234497501729</v>
      </c>
      <c r="F7" s="352"/>
      <c r="G7" s="352"/>
      <c r="H7" s="352"/>
      <c r="I7" s="352"/>
      <c r="J7" s="352"/>
      <c r="K7" s="352"/>
      <c r="L7" s="354"/>
    </row>
    <row r="8" spans="1:14" s="355" customFormat="1" ht="15" customHeight="1" x14ac:dyDescent="0.3">
      <c r="A8" s="352"/>
      <c r="B8" s="536" t="s">
        <v>5</v>
      </c>
      <c r="C8" s="536"/>
      <c r="D8" s="536"/>
      <c r="E8" s="356">
        <v>1.9</v>
      </c>
      <c r="F8" s="352"/>
      <c r="G8" s="352"/>
      <c r="H8" s="352"/>
      <c r="I8" s="352"/>
      <c r="J8" s="352"/>
      <c r="K8" s="352"/>
      <c r="L8" s="354"/>
    </row>
    <row r="9" spans="1:14" s="355" customFormat="1" ht="15" customHeight="1" x14ac:dyDescent="0.3">
      <c r="A9" s="352"/>
      <c r="B9" s="536" t="s">
        <v>6</v>
      </c>
      <c r="C9" s="536"/>
      <c r="D9" s="536"/>
      <c r="E9" s="356">
        <v>0.45</v>
      </c>
      <c r="F9" s="352"/>
      <c r="G9" s="352"/>
      <c r="H9" s="352"/>
      <c r="I9" s="352"/>
      <c r="J9" s="352"/>
      <c r="K9" s="352"/>
      <c r="L9" s="354"/>
    </row>
    <row r="10" spans="1:14" s="355" customFormat="1" ht="15" customHeight="1" x14ac:dyDescent="0.3">
      <c r="A10" s="352"/>
      <c r="B10" s="536" t="s">
        <v>7</v>
      </c>
      <c r="C10" s="536"/>
      <c r="D10" s="536"/>
      <c r="E10" s="357">
        <f>+E8+E9</f>
        <v>2.35</v>
      </c>
      <c r="F10" s="352"/>
      <c r="G10" s="352"/>
      <c r="H10" s="352"/>
      <c r="I10" s="352"/>
      <c r="J10" s="352"/>
      <c r="K10" s="352"/>
      <c r="L10" s="354"/>
    </row>
    <row r="11" spans="1:14" s="355" customFormat="1" ht="15" customHeight="1" x14ac:dyDescent="0.3">
      <c r="A11" s="352"/>
      <c r="B11" s="536" t="s">
        <v>8</v>
      </c>
      <c r="C11" s="536"/>
      <c r="D11" s="536"/>
      <c r="E11" s="358">
        <f>+E6*E7*E8</f>
        <v>11.999999999999998</v>
      </c>
      <c r="F11" s="352"/>
      <c r="G11" s="352"/>
      <c r="H11" s="352"/>
      <c r="I11" s="352"/>
      <c r="J11" s="352"/>
      <c r="K11" s="352"/>
      <c r="L11" s="354"/>
    </row>
    <row r="12" spans="1:14" s="355" customFormat="1" ht="15" customHeight="1" x14ac:dyDescent="0.3">
      <c r="A12" s="352"/>
      <c r="B12" s="536" t="s">
        <v>9</v>
      </c>
      <c r="C12" s="536"/>
      <c r="D12" s="536"/>
      <c r="E12" s="356">
        <v>0.15</v>
      </c>
      <c r="F12" s="352"/>
      <c r="G12" s="352"/>
      <c r="H12" s="352"/>
      <c r="I12" s="352"/>
      <c r="J12" s="352"/>
      <c r="K12" s="352"/>
      <c r="L12" s="354"/>
    </row>
    <row r="13" spans="1:14" s="355" customFormat="1" ht="15" customHeight="1" x14ac:dyDescent="0.3">
      <c r="A13" s="352"/>
      <c r="B13" s="536" t="s">
        <v>10</v>
      </c>
      <c r="C13" s="536"/>
      <c r="D13" s="536"/>
      <c r="E13" s="356">
        <v>0.15</v>
      </c>
      <c r="F13" s="352"/>
      <c r="G13" s="352"/>
      <c r="H13" s="352"/>
      <c r="I13" s="352"/>
      <c r="J13" s="352"/>
      <c r="K13" s="352"/>
      <c r="L13" s="354"/>
    </row>
    <row r="14" spans="1:14" s="355" customFormat="1" ht="15" customHeight="1" x14ac:dyDescent="0.3">
      <c r="A14" s="352"/>
      <c r="B14" s="536" t="s">
        <v>11</v>
      </c>
      <c r="C14" s="536"/>
      <c r="D14" s="536"/>
      <c r="E14" s="356">
        <v>0.1</v>
      </c>
      <c r="F14" s="352"/>
      <c r="G14" s="352"/>
      <c r="H14" s="352"/>
      <c r="I14" s="352"/>
      <c r="J14" s="352"/>
      <c r="K14" s="352"/>
      <c r="L14" s="354"/>
    </row>
    <row r="15" spans="1:14" s="355" customFormat="1" ht="15" customHeight="1" x14ac:dyDescent="0.3">
      <c r="A15" s="352"/>
      <c r="B15" s="536" t="s">
        <v>12</v>
      </c>
      <c r="C15" s="536"/>
      <c r="D15" s="536"/>
      <c r="E15" s="359">
        <v>100</v>
      </c>
      <c r="F15" s="352"/>
      <c r="G15" s="352"/>
      <c r="H15" s="352"/>
      <c r="I15" s="352"/>
      <c r="J15" s="352"/>
      <c r="K15" s="352"/>
      <c r="L15" s="354"/>
      <c r="N15" s="354"/>
    </row>
    <row r="16" spans="1:14" s="355" customFormat="1" ht="15" customHeight="1" x14ac:dyDescent="0.3">
      <c r="A16" s="352"/>
      <c r="B16" s="536" t="s">
        <v>13</v>
      </c>
      <c r="C16" s="536"/>
      <c r="D16" s="536"/>
      <c r="E16" s="356">
        <v>0.15</v>
      </c>
      <c r="F16" s="352"/>
      <c r="G16" s="352"/>
      <c r="H16" s="360"/>
      <c r="I16" s="352"/>
      <c r="J16" s="352"/>
      <c r="K16" s="352"/>
      <c r="L16" s="354"/>
    </row>
    <row r="17" spans="1:12" s="355" customFormat="1" ht="15" customHeight="1" x14ac:dyDescent="0.3">
      <c r="A17" s="352"/>
      <c r="B17" s="536" t="s">
        <v>14</v>
      </c>
      <c r="C17" s="536"/>
      <c r="D17" s="536"/>
      <c r="E17" s="356">
        <v>0.35</v>
      </c>
      <c r="F17" s="352"/>
      <c r="G17" s="352"/>
      <c r="H17" s="360"/>
      <c r="I17" s="352"/>
      <c r="J17" s="352"/>
      <c r="K17" s="352"/>
      <c r="L17" s="354"/>
    </row>
    <row r="18" spans="1:12" s="355" customFormat="1" ht="15" customHeight="1" x14ac:dyDescent="0.3">
      <c r="A18" s="352"/>
      <c r="B18" s="536" t="s">
        <v>15</v>
      </c>
      <c r="C18" s="536"/>
      <c r="D18" s="536"/>
      <c r="E18" s="356">
        <v>0.2</v>
      </c>
      <c r="F18" s="352"/>
      <c r="G18" s="352"/>
      <c r="H18" s="360"/>
      <c r="I18" s="352"/>
      <c r="J18" s="352"/>
      <c r="K18" s="352"/>
      <c r="L18" s="354"/>
    </row>
    <row r="19" spans="1:12" s="355" customFormat="1" ht="15" customHeight="1" x14ac:dyDescent="0.3">
      <c r="A19" s="352"/>
      <c r="B19" s="352" t="s">
        <v>16</v>
      </c>
      <c r="C19" s="352"/>
      <c r="D19" s="352"/>
      <c r="E19" s="361" t="s">
        <v>17</v>
      </c>
      <c r="F19" s="352"/>
      <c r="G19" s="352"/>
      <c r="H19" s="362"/>
      <c r="I19" s="352"/>
      <c r="J19" s="352"/>
      <c r="K19" s="352"/>
      <c r="L19" s="354"/>
    </row>
    <row r="20" spans="1:12" s="355" customFormat="1" ht="6.9" customHeight="1" x14ac:dyDescent="0.3">
      <c r="A20" s="352"/>
      <c r="B20" s="352"/>
      <c r="C20" s="352"/>
      <c r="D20" s="352"/>
      <c r="E20" s="363"/>
      <c r="F20" s="352"/>
      <c r="G20" s="352"/>
      <c r="H20" s="352"/>
      <c r="I20" s="352"/>
      <c r="J20" s="352"/>
      <c r="K20" s="352"/>
      <c r="L20" s="354"/>
    </row>
    <row r="21" spans="1:12" s="355" customFormat="1" ht="15" customHeight="1" x14ac:dyDescent="0.3">
      <c r="A21" s="352"/>
      <c r="B21" s="352" t="s">
        <v>18</v>
      </c>
      <c r="C21" s="352"/>
      <c r="D21" s="352"/>
      <c r="E21" s="356">
        <v>1.05</v>
      </c>
      <c r="F21" s="352"/>
      <c r="G21" s="352"/>
      <c r="H21" s="364"/>
      <c r="I21" s="352"/>
      <c r="J21" s="352"/>
      <c r="K21" s="352"/>
      <c r="L21" s="354"/>
    </row>
    <row r="22" spans="1:12" s="355" customFormat="1" ht="15" customHeight="1" x14ac:dyDescent="0.3">
      <c r="A22" s="352"/>
      <c r="B22" s="352" t="s">
        <v>19</v>
      </c>
      <c r="C22" s="352"/>
      <c r="D22" s="352"/>
      <c r="E22" s="356">
        <v>0.8</v>
      </c>
      <c r="F22" s="352"/>
      <c r="G22" s="352"/>
      <c r="H22" s="364"/>
      <c r="I22" s="352"/>
      <c r="J22" s="352"/>
      <c r="K22" s="352"/>
      <c r="L22" s="354"/>
    </row>
    <row r="23" spans="1:12" s="355" customFormat="1" ht="15" customHeight="1" x14ac:dyDescent="0.3">
      <c r="A23" s="352"/>
      <c r="B23" s="352" t="s">
        <v>20</v>
      </c>
      <c r="C23" s="352"/>
      <c r="D23" s="352"/>
      <c r="E23" s="356">
        <v>0.1</v>
      </c>
      <c r="F23" s="352"/>
      <c r="G23" s="352"/>
      <c r="H23" s="364"/>
      <c r="I23" s="352"/>
      <c r="J23" s="352"/>
      <c r="K23" s="352"/>
      <c r="L23" s="354"/>
    </row>
    <row r="24" spans="1:12" s="355" customFormat="1" ht="15" customHeight="1" x14ac:dyDescent="0.3">
      <c r="A24" s="352"/>
      <c r="B24" s="352" t="s">
        <v>21</v>
      </c>
      <c r="C24" s="352"/>
      <c r="D24" s="352"/>
      <c r="E24" s="356">
        <v>1.22</v>
      </c>
      <c r="F24" s="352"/>
      <c r="G24" s="352"/>
      <c r="H24" s="365"/>
      <c r="I24" s="352"/>
      <c r="J24" s="352"/>
      <c r="K24" s="352"/>
      <c r="L24" s="354"/>
    </row>
    <row r="25" spans="1:12" s="355" customFormat="1" ht="15" customHeight="1" x14ac:dyDescent="0.3">
      <c r="A25" s="352"/>
      <c r="B25" s="352" t="s">
        <v>22</v>
      </c>
      <c r="C25" s="352"/>
      <c r="D25" s="352"/>
      <c r="E25" s="356">
        <v>0.1</v>
      </c>
      <c r="F25" s="352"/>
      <c r="G25" s="352"/>
      <c r="H25" s="365"/>
      <c r="I25" s="352"/>
      <c r="J25" s="352"/>
      <c r="K25" s="352"/>
      <c r="L25" s="354"/>
    </row>
    <row r="26" spans="1:12" s="355" customFormat="1" ht="15" customHeight="1" x14ac:dyDescent="0.3">
      <c r="A26" s="352"/>
      <c r="B26" s="352" t="s">
        <v>23</v>
      </c>
      <c r="C26" s="352"/>
      <c r="D26" s="352"/>
      <c r="E26" s="366">
        <v>60</v>
      </c>
      <c r="F26" s="352"/>
      <c r="G26" s="352"/>
      <c r="H26" s="365"/>
      <c r="I26" s="352"/>
      <c r="J26" s="352"/>
      <c r="K26" s="352"/>
      <c r="L26" s="354"/>
    </row>
    <row r="27" spans="1:12" s="355" customFormat="1" ht="13.8" x14ac:dyDescent="0.3">
      <c r="A27" s="352"/>
      <c r="B27" s="352" t="s">
        <v>24</v>
      </c>
      <c r="C27" s="352"/>
      <c r="D27" s="352"/>
      <c r="E27" s="367">
        <f>+(E38*(E21*E22*E23+E24*E25*(2*E22+E21-2*E25))+E26)</f>
        <v>978.96</v>
      </c>
      <c r="F27" s="352"/>
      <c r="G27" s="352"/>
      <c r="H27" s="368"/>
      <c r="I27" s="352"/>
      <c r="J27" s="352"/>
      <c r="K27" s="352"/>
      <c r="L27" s="354"/>
    </row>
    <row r="28" spans="1:12" s="355" customFormat="1" ht="13.8" x14ac:dyDescent="0.3">
      <c r="A28" s="352"/>
      <c r="B28" s="352" t="s">
        <v>25</v>
      </c>
      <c r="C28" s="352"/>
      <c r="D28" s="352"/>
      <c r="E28" s="369">
        <f>+E27/((E6+2*E14+2*E12)*(E7+2*E14+2*E12))</f>
        <v>107.82788735346499</v>
      </c>
      <c r="F28" s="352"/>
      <c r="G28" s="352"/>
      <c r="H28" s="368"/>
      <c r="I28" s="352"/>
      <c r="J28" s="352"/>
      <c r="K28" s="352"/>
      <c r="L28" s="354"/>
    </row>
    <row r="29" spans="1:12" s="355" customFormat="1" ht="13.8" x14ac:dyDescent="0.3">
      <c r="A29" s="352"/>
      <c r="B29" s="352"/>
      <c r="C29" s="352"/>
      <c r="D29" s="352"/>
      <c r="E29" s="363"/>
      <c r="F29" s="352"/>
      <c r="G29" s="352"/>
      <c r="H29" s="368"/>
      <c r="I29" s="352"/>
      <c r="J29" s="352"/>
      <c r="K29" s="352"/>
      <c r="L29" s="354"/>
    </row>
    <row r="30" spans="1:12" s="355" customFormat="1" ht="15" customHeight="1" x14ac:dyDescent="0.3">
      <c r="A30" s="352"/>
      <c r="B30" s="533" t="s">
        <v>26</v>
      </c>
      <c r="C30" s="533"/>
      <c r="D30" s="533"/>
      <c r="E30" s="370">
        <v>2</v>
      </c>
      <c r="F30" s="352"/>
      <c r="G30" s="352"/>
      <c r="H30" s="352"/>
      <c r="I30" s="352"/>
      <c r="J30" s="352"/>
      <c r="K30" s="352"/>
      <c r="L30" s="354"/>
    </row>
    <row r="31" spans="1:12" s="355" customFormat="1" ht="15" customHeight="1" x14ac:dyDescent="0.3">
      <c r="A31" s="352"/>
      <c r="B31" s="533" t="s">
        <v>27</v>
      </c>
      <c r="C31" s="533"/>
      <c r="D31" s="533"/>
      <c r="E31" s="356">
        <v>0.5</v>
      </c>
      <c r="F31" s="352"/>
      <c r="G31" s="352"/>
      <c r="H31" s="371"/>
      <c r="I31" s="352"/>
      <c r="J31" s="352"/>
      <c r="K31" s="352"/>
      <c r="L31" s="354"/>
    </row>
    <row r="32" spans="1:12" s="355" customFormat="1" ht="15" customHeight="1" x14ac:dyDescent="0.3">
      <c r="A32" s="352"/>
      <c r="B32" s="533" t="s">
        <v>28</v>
      </c>
      <c r="C32" s="533"/>
      <c r="D32" s="533"/>
      <c r="E32" s="372">
        <v>30</v>
      </c>
      <c r="F32" s="352"/>
      <c r="G32" s="352"/>
      <c r="H32" s="373"/>
      <c r="I32" s="352"/>
      <c r="J32" s="352"/>
      <c r="K32" s="352"/>
      <c r="L32" s="354"/>
    </row>
    <row r="33" spans="1:12" s="355" customFormat="1" ht="15" customHeight="1" x14ac:dyDescent="0.3">
      <c r="A33" s="352"/>
      <c r="B33" s="533" t="s">
        <v>29</v>
      </c>
      <c r="C33" s="533"/>
      <c r="D33" s="533"/>
      <c r="E33" s="374">
        <v>1</v>
      </c>
      <c r="F33" s="363"/>
      <c r="G33" s="352"/>
      <c r="H33" s="352"/>
      <c r="I33" s="352"/>
      <c r="J33" s="352"/>
      <c r="K33" s="352"/>
      <c r="L33" s="354"/>
    </row>
    <row r="34" spans="1:12" s="355" customFormat="1" ht="6.9" customHeight="1" x14ac:dyDescent="0.3">
      <c r="A34" s="352"/>
      <c r="B34" s="352"/>
      <c r="C34" s="352"/>
      <c r="D34" s="352"/>
      <c r="F34" s="352"/>
      <c r="G34" s="352"/>
      <c r="H34" s="352"/>
      <c r="I34" s="352"/>
      <c r="J34" s="352"/>
      <c r="K34" s="352"/>
      <c r="L34" s="354"/>
    </row>
    <row r="35" spans="1:12" s="355" customFormat="1" ht="15" customHeight="1" x14ac:dyDescent="0.3">
      <c r="A35" s="352"/>
      <c r="B35" s="533" t="s">
        <v>30</v>
      </c>
      <c r="C35" s="533"/>
      <c r="D35" s="533"/>
      <c r="E35" s="375">
        <v>210</v>
      </c>
      <c r="F35" s="352"/>
      <c r="G35" s="352"/>
      <c r="H35" s="352"/>
      <c r="I35" s="352"/>
      <c r="J35" s="352"/>
      <c r="K35" s="352"/>
      <c r="L35" s="354"/>
    </row>
    <row r="36" spans="1:12" s="355" customFormat="1" ht="15" customHeight="1" x14ac:dyDescent="0.3">
      <c r="A36" s="352"/>
      <c r="B36" s="533" t="s">
        <v>31</v>
      </c>
      <c r="C36" s="533"/>
      <c r="D36" s="533"/>
      <c r="E36" s="376">
        <f>15100*SQRT(E35)</f>
        <v>218819.78886746051</v>
      </c>
      <c r="F36" s="352"/>
      <c r="G36" s="352"/>
      <c r="H36" s="352"/>
      <c r="I36" s="352"/>
      <c r="J36" s="352"/>
      <c r="K36" s="352"/>
      <c r="L36" s="354"/>
    </row>
    <row r="37" spans="1:12" s="355" customFormat="1" ht="15" customHeight="1" x14ac:dyDescent="0.3">
      <c r="A37" s="352"/>
      <c r="B37" s="533" t="s">
        <v>32</v>
      </c>
      <c r="C37" s="533"/>
      <c r="D37" s="533"/>
      <c r="E37" s="376">
        <v>4200</v>
      </c>
      <c r="F37" s="352"/>
      <c r="G37" s="352"/>
      <c r="H37" s="352"/>
      <c r="I37" s="352"/>
      <c r="J37" s="352"/>
      <c r="K37" s="352"/>
      <c r="L37" s="354"/>
    </row>
    <row r="38" spans="1:12" ht="15" customHeight="1" x14ac:dyDescent="0.3">
      <c r="B38" s="533" t="s">
        <v>33</v>
      </c>
      <c r="C38" s="533"/>
      <c r="D38" s="533"/>
      <c r="E38" s="377">
        <v>2400</v>
      </c>
      <c r="F38" s="352"/>
    </row>
    <row r="39" spans="1:12" ht="15" customHeight="1" x14ac:dyDescent="0.3">
      <c r="B39" s="533" t="s">
        <v>34</v>
      </c>
      <c r="C39" s="533"/>
      <c r="D39" s="533"/>
      <c r="E39" s="377">
        <v>1000</v>
      </c>
      <c r="F39" s="352"/>
    </row>
    <row r="40" spans="1:12" ht="15" customHeight="1" x14ac:dyDescent="0.3">
      <c r="B40" s="533" t="s">
        <v>35</v>
      </c>
      <c r="C40" s="533"/>
      <c r="D40" s="533"/>
      <c r="E40" s="378">
        <v>9.81</v>
      </c>
      <c r="F40" s="352"/>
    </row>
    <row r="41" spans="1:12" ht="15" customHeight="1" x14ac:dyDescent="0.3">
      <c r="B41" s="533" t="s">
        <v>36</v>
      </c>
      <c r="C41" s="533"/>
      <c r="D41" s="533"/>
      <c r="E41" s="379">
        <f>(E6+E12+E7+E12)*2*E12*E10*E38</f>
        <v>9012.0097539545859</v>
      </c>
      <c r="L41" s="355"/>
    </row>
    <row r="42" spans="1:12" ht="15" customHeight="1" x14ac:dyDescent="0.3">
      <c r="B42" s="533" t="s">
        <v>37</v>
      </c>
      <c r="C42" s="533"/>
      <c r="D42" s="533"/>
      <c r="E42" s="379">
        <f>(E6+(E14+E12)*2)*(E7+(E14+E12)*2)*E13*E38</f>
        <v>3268.4086524363775</v>
      </c>
      <c r="F42" s="352"/>
      <c r="L42" s="355"/>
    </row>
    <row r="43" spans="1:12" ht="15" customHeight="1" x14ac:dyDescent="0.3">
      <c r="B43" s="533" t="s">
        <v>38</v>
      </c>
      <c r="C43" s="533"/>
      <c r="D43" s="533"/>
      <c r="E43" s="356">
        <v>0.05</v>
      </c>
      <c r="F43" s="352"/>
    </row>
    <row r="44" spans="1:12" ht="15" customHeight="1" x14ac:dyDescent="0.3">
      <c r="B44" s="533" t="s">
        <v>39</v>
      </c>
      <c r="C44" s="533"/>
      <c r="D44" s="533"/>
      <c r="E44" s="356">
        <v>2.5000000000000001E-2</v>
      </c>
      <c r="F44" s="352"/>
    </row>
    <row r="45" spans="1:12" ht="15" customHeight="1" x14ac:dyDescent="0.3">
      <c r="B45" s="533" t="s">
        <v>40</v>
      </c>
      <c r="C45" s="533"/>
      <c r="D45" s="533"/>
      <c r="E45" s="356">
        <v>0.05</v>
      </c>
      <c r="F45" s="352"/>
    </row>
    <row r="46" spans="1:12" ht="15" customHeight="1" x14ac:dyDescent="0.3">
      <c r="B46" s="533" t="s">
        <v>41</v>
      </c>
      <c r="C46" s="533"/>
      <c r="D46" s="533"/>
      <c r="E46" s="356">
        <v>0.1</v>
      </c>
    </row>
    <row r="48" spans="1:12" s="355" customFormat="1" ht="15" customHeight="1" x14ac:dyDescent="0.3">
      <c r="A48" s="352"/>
      <c r="B48" s="380" t="s">
        <v>42</v>
      </c>
      <c r="C48" s="352"/>
      <c r="D48" s="352"/>
      <c r="E48" s="352"/>
      <c r="F48" s="352"/>
      <c r="G48" s="352"/>
      <c r="H48" s="352"/>
      <c r="I48" s="352"/>
      <c r="J48" s="352"/>
      <c r="K48" s="352"/>
      <c r="L48" s="354"/>
    </row>
    <row r="49" spans="1:12" s="355" customFormat="1" ht="15" customHeight="1" x14ac:dyDescent="0.3">
      <c r="A49" s="352"/>
      <c r="B49" s="381" t="s">
        <v>43</v>
      </c>
      <c r="C49" s="382">
        <v>0.25</v>
      </c>
      <c r="D49" s="352"/>
      <c r="E49" s="352"/>
      <c r="F49" s="352"/>
      <c r="G49" s="352"/>
      <c r="H49" s="352"/>
      <c r="I49" s="352"/>
      <c r="J49" s="352"/>
      <c r="K49" s="352"/>
      <c r="L49" s="354"/>
    </row>
    <row r="50" spans="1:12" s="355" customFormat="1" ht="15" customHeight="1" x14ac:dyDescent="0.3">
      <c r="A50" s="352"/>
      <c r="B50" s="381" t="s">
        <v>44</v>
      </c>
      <c r="C50" s="383">
        <v>1.5</v>
      </c>
      <c r="D50" s="352"/>
      <c r="E50" s="352"/>
      <c r="F50" s="352"/>
      <c r="G50" s="352"/>
      <c r="H50" s="352"/>
      <c r="I50" s="352"/>
      <c r="J50" s="352"/>
      <c r="K50" s="352"/>
      <c r="L50" s="354"/>
    </row>
    <row r="51" spans="1:12" s="355" customFormat="1" ht="15" customHeight="1" x14ac:dyDescent="0.3">
      <c r="A51" s="352"/>
      <c r="B51" s="381" t="s">
        <v>45</v>
      </c>
      <c r="C51" s="382">
        <v>1.1000000000000001</v>
      </c>
      <c r="D51" s="384"/>
      <c r="E51" s="385"/>
      <c r="F51" s="352"/>
      <c r="G51" s="352"/>
      <c r="H51" s="352"/>
      <c r="I51" s="352"/>
      <c r="J51" s="352"/>
      <c r="K51" s="352"/>
      <c r="L51" s="354"/>
    </row>
    <row r="52" spans="1:12" s="355" customFormat="1" ht="15" customHeight="1" x14ac:dyDescent="0.3">
      <c r="A52" s="352"/>
      <c r="B52" s="381"/>
      <c r="C52" s="386"/>
      <c r="D52" s="352"/>
      <c r="E52" s="352"/>
      <c r="F52" s="352"/>
      <c r="G52" s="352"/>
      <c r="H52" s="352"/>
      <c r="I52" s="352"/>
      <c r="J52" s="352"/>
      <c r="K52" s="352"/>
      <c r="L52" s="354"/>
    </row>
    <row r="53" spans="1:12" s="355" customFormat="1" ht="15" customHeight="1" x14ac:dyDescent="0.3">
      <c r="A53" s="352"/>
      <c r="B53" s="380" t="s">
        <v>46</v>
      </c>
      <c r="C53" s="387"/>
      <c r="D53" s="387"/>
      <c r="E53" s="387"/>
      <c r="F53" s="387"/>
      <c r="G53" s="352"/>
      <c r="H53" s="352"/>
      <c r="I53" s="352"/>
      <c r="J53" s="352"/>
      <c r="K53" s="352"/>
      <c r="L53" s="354"/>
    </row>
    <row r="54" spans="1:12" s="355" customFormat="1" ht="15" customHeight="1" x14ac:dyDescent="0.3">
      <c r="A54" s="352"/>
      <c r="B54" s="388" t="s">
        <v>47</v>
      </c>
      <c r="C54" s="387"/>
      <c r="D54" s="387"/>
      <c r="E54" s="387"/>
      <c r="F54" s="387"/>
      <c r="G54" s="352"/>
      <c r="H54" s="352"/>
      <c r="I54" s="352"/>
      <c r="J54" s="352"/>
      <c r="K54" s="352"/>
      <c r="L54" s="354"/>
    </row>
    <row r="55" spans="1:12" s="355" customFormat="1" ht="15" customHeight="1" x14ac:dyDescent="0.3">
      <c r="A55" s="352"/>
      <c r="B55" s="352"/>
      <c r="C55" s="352"/>
      <c r="D55" s="352"/>
      <c r="E55" s="352"/>
      <c r="F55" s="352"/>
      <c r="G55" s="352"/>
      <c r="H55" s="352"/>
      <c r="I55" s="352"/>
      <c r="J55" s="352"/>
      <c r="K55" s="352"/>
      <c r="L55" s="354"/>
    </row>
    <row r="56" spans="1:12" s="355" customFormat="1" ht="15" customHeight="1" x14ac:dyDescent="0.3">
      <c r="A56" s="352"/>
      <c r="B56" s="352"/>
      <c r="C56" s="352"/>
      <c r="D56" s="352"/>
      <c r="E56" s="352"/>
      <c r="F56" s="352"/>
      <c r="G56" s="389" t="s">
        <v>48</v>
      </c>
      <c r="H56" s="352"/>
      <c r="I56" s="352"/>
      <c r="J56" s="352"/>
      <c r="K56" s="352"/>
      <c r="L56" s="354"/>
    </row>
    <row r="57" spans="1:12" s="355" customFormat="1" ht="15" customHeight="1" x14ac:dyDescent="0.3">
      <c r="A57" s="352"/>
      <c r="B57" s="352"/>
      <c r="C57" s="352"/>
      <c r="D57" s="352"/>
      <c r="E57" s="352"/>
      <c r="F57" s="352"/>
      <c r="G57" s="352"/>
      <c r="H57" s="352"/>
      <c r="I57" s="352"/>
      <c r="J57" s="352"/>
      <c r="K57" s="352"/>
      <c r="L57" s="354"/>
    </row>
    <row r="58" spans="1:12" s="355" customFormat="1" ht="15" customHeight="1" x14ac:dyDescent="0.3">
      <c r="A58" s="352"/>
      <c r="B58" s="381" t="s">
        <v>49</v>
      </c>
      <c r="C58" s="390">
        <f>IF(ROUND((E6/E8)^2*0.0151-0.1908*(E6/E8)+1.021,2)&lt;1,ROUND((E6/E8)^2*0.0151-0.1908*(E6/E8)+1.021,2),1)</f>
        <v>0.8</v>
      </c>
      <c r="D58" s="352"/>
      <c r="E58" s="352"/>
      <c r="F58" s="352"/>
      <c r="G58" s="352"/>
      <c r="H58" s="352"/>
      <c r="I58" s="352"/>
      <c r="J58" s="352"/>
      <c r="K58" s="352"/>
      <c r="L58" s="354"/>
    </row>
    <row r="59" spans="1:12" s="355" customFormat="1" ht="15" customHeight="1" x14ac:dyDescent="0.3">
      <c r="A59" s="352"/>
      <c r="B59" s="352"/>
      <c r="C59" s="352"/>
      <c r="D59" s="352"/>
      <c r="E59" s="352"/>
      <c r="F59" s="352"/>
      <c r="G59" s="352"/>
      <c r="H59" s="352"/>
      <c r="I59" s="352"/>
      <c r="J59" s="352"/>
      <c r="K59" s="352"/>
      <c r="L59" s="354"/>
    </row>
    <row r="60" spans="1:12" s="355" customFormat="1" ht="15" customHeight="1" x14ac:dyDescent="0.3">
      <c r="A60" s="352"/>
      <c r="B60" s="388" t="s">
        <v>50</v>
      </c>
      <c r="C60" s="352"/>
      <c r="D60" s="352"/>
      <c r="E60" s="352"/>
      <c r="F60" s="352"/>
      <c r="G60" s="352"/>
      <c r="H60" s="352"/>
      <c r="I60" s="352"/>
      <c r="J60" s="352"/>
      <c r="K60" s="352"/>
      <c r="L60" s="354"/>
    </row>
    <row r="61" spans="1:12" s="355" customFormat="1" ht="15" customHeight="1" x14ac:dyDescent="0.3">
      <c r="A61" s="352"/>
      <c r="B61" s="352" t="s">
        <v>51</v>
      </c>
      <c r="C61" s="352"/>
      <c r="D61" s="352"/>
      <c r="E61" s="352"/>
      <c r="F61" s="352"/>
      <c r="G61" s="367">
        <f>+E11*E39</f>
        <v>11999.999999999998</v>
      </c>
      <c r="H61" s="391">
        <f>+G61/9.81</f>
        <v>1223.2415902140669</v>
      </c>
      <c r="I61" s="352"/>
      <c r="J61" s="352"/>
      <c r="K61" s="352"/>
      <c r="L61" s="354"/>
    </row>
    <row r="62" spans="1:12" s="355" customFormat="1" ht="15" customHeight="1" x14ac:dyDescent="0.3">
      <c r="A62" s="352"/>
      <c r="B62" s="352"/>
      <c r="C62" s="352"/>
      <c r="D62" s="352"/>
      <c r="E62" s="352"/>
      <c r="F62" s="352"/>
      <c r="G62" s="352"/>
      <c r="H62" s="391"/>
      <c r="I62" s="352"/>
      <c r="J62" s="352"/>
      <c r="K62" s="352"/>
      <c r="L62" s="354"/>
    </row>
    <row r="63" spans="1:12" s="355" customFormat="1" ht="15" customHeight="1" x14ac:dyDescent="0.3">
      <c r="A63" s="352"/>
      <c r="B63" s="352"/>
      <c r="C63" s="352"/>
      <c r="D63" s="352"/>
      <c r="E63" s="389" t="s">
        <v>52</v>
      </c>
      <c r="F63" s="352"/>
      <c r="G63" s="352"/>
      <c r="H63" s="391"/>
      <c r="I63" s="352"/>
      <c r="J63" s="352"/>
      <c r="K63" s="352"/>
      <c r="L63" s="354"/>
    </row>
    <row r="64" spans="1:12" s="355" customFormat="1" ht="15" customHeight="1" x14ac:dyDescent="0.3">
      <c r="A64" s="352"/>
      <c r="B64" s="352"/>
      <c r="C64" s="352"/>
      <c r="D64" s="352"/>
      <c r="E64" s="352"/>
      <c r="F64" s="352"/>
      <c r="G64" s="352"/>
      <c r="H64" s="391"/>
      <c r="I64" s="352"/>
      <c r="J64" s="352"/>
      <c r="K64" s="352"/>
      <c r="L64" s="354"/>
    </row>
    <row r="65" spans="1:16" s="355" customFormat="1" ht="15" customHeight="1" x14ac:dyDescent="0.3">
      <c r="A65" s="352"/>
      <c r="B65" s="352"/>
      <c r="C65" s="352"/>
      <c r="D65" s="352"/>
      <c r="E65" s="352"/>
      <c r="F65" s="352"/>
      <c r="G65" s="352"/>
      <c r="H65" s="392"/>
      <c r="I65" s="352"/>
      <c r="J65" s="352"/>
      <c r="K65" s="352"/>
      <c r="L65" s="354"/>
    </row>
    <row r="66" spans="1:16" s="355" customFormat="1" ht="15" customHeight="1" x14ac:dyDescent="0.3">
      <c r="A66" s="352"/>
      <c r="B66" s="352"/>
      <c r="C66" s="352"/>
      <c r="D66" s="352"/>
      <c r="E66" s="389" t="s">
        <v>53</v>
      </c>
      <c r="F66" s="352"/>
      <c r="G66" s="352"/>
      <c r="H66" s="392"/>
      <c r="I66" s="352"/>
      <c r="J66" s="352"/>
      <c r="K66" s="352"/>
      <c r="L66" s="354"/>
    </row>
    <row r="67" spans="1:16" s="355" customFormat="1" ht="15" customHeight="1" x14ac:dyDescent="0.3">
      <c r="A67" s="352"/>
      <c r="B67" s="352"/>
      <c r="C67" s="352"/>
      <c r="D67" s="352"/>
      <c r="E67" s="352"/>
      <c r="F67" s="352"/>
      <c r="G67" s="352"/>
      <c r="H67" s="392"/>
      <c r="I67" s="352"/>
      <c r="J67" s="352"/>
      <c r="K67" s="352"/>
      <c r="L67" s="354"/>
    </row>
    <row r="68" spans="1:16" s="355" customFormat="1" ht="15" customHeight="1" x14ac:dyDescent="0.3">
      <c r="A68" s="352"/>
      <c r="B68" s="352" t="s">
        <v>54</v>
      </c>
      <c r="C68" s="352"/>
      <c r="D68" s="352"/>
      <c r="E68" s="352"/>
      <c r="F68" s="381"/>
      <c r="G68" s="367">
        <f>+G61</f>
        <v>11999.999999999998</v>
      </c>
      <c r="H68" s="392"/>
      <c r="I68" s="352"/>
      <c r="J68" s="352"/>
      <c r="K68" s="352"/>
      <c r="L68" s="354"/>
    </row>
    <row r="69" spans="1:16" s="355" customFormat="1" ht="15" customHeight="1" x14ac:dyDescent="0.3">
      <c r="A69" s="352"/>
      <c r="B69" s="352" t="s">
        <v>55</v>
      </c>
      <c r="C69" s="352"/>
      <c r="D69" s="352"/>
      <c r="E69" s="352"/>
      <c r="F69" s="381"/>
      <c r="G69" s="367">
        <f>+E41</f>
        <v>9012.0097539545859</v>
      </c>
      <c r="H69" s="392"/>
      <c r="I69" s="352"/>
      <c r="J69" s="352"/>
      <c r="K69" s="352"/>
      <c r="L69" s="354"/>
    </row>
    <row r="70" spans="1:16" s="355" customFormat="1" ht="15" customHeight="1" x14ac:dyDescent="0.3">
      <c r="A70" s="352"/>
      <c r="B70" s="352" t="s">
        <v>56</v>
      </c>
      <c r="C70" s="352"/>
      <c r="D70" s="352"/>
      <c r="E70" s="352"/>
      <c r="F70" s="381"/>
      <c r="G70" s="367">
        <f>+E42</f>
        <v>3268.4086524363775</v>
      </c>
      <c r="H70" s="391">
        <f>+G71/9.81</f>
        <v>871.67287727819792</v>
      </c>
      <c r="I70" s="352"/>
      <c r="J70" s="352"/>
      <c r="K70" s="352"/>
      <c r="L70" s="354"/>
    </row>
    <row r="71" spans="1:16" s="355" customFormat="1" ht="15" customHeight="1" x14ac:dyDescent="0.3">
      <c r="A71" s="352"/>
      <c r="B71" s="352" t="s">
        <v>57</v>
      </c>
      <c r="C71" s="352"/>
      <c r="D71" s="352"/>
      <c r="E71" s="352"/>
      <c r="F71" s="381"/>
      <c r="G71" s="367">
        <f>(TANH(0.866*(E6/E8)))/(0.866*(E6/E8))*G61</f>
        <v>8551.1109260991216</v>
      </c>
      <c r="H71" s="393" t="str">
        <f>+G56</f>
        <v>Ecua. 9.34 (ACI 350.3-06)</v>
      </c>
      <c r="I71" s="352"/>
      <c r="J71" s="352"/>
      <c r="K71" s="352"/>
      <c r="L71" s="354"/>
    </row>
    <row r="72" spans="1:16" s="355" customFormat="1" ht="15" customHeight="1" x14ac:dyDescent="0.3">
      <c r="A72" s="352"/>
      <c r="B72" s="352" t="s">
        <v>58</v>
      </c>
      <c r="C72" s="363"/>
      <c r="D72" s="352"/>
      <c r="E72" s="352"/>
      <c r="F72" s="381"/>
      <c r="G72" s="367">
        <f>(TANH((E8/E6)*3.16))*(E6/E8)*0.264*G61</f>
        <v>4120.3946182875225</v>
      </c>
      <c r="H72" s="352"/>
      <c r="I72" s="352"/>
      <c r="J72" s="352"/>
      <c r="K72" s="352"/>
      <c r="L72" s="354"/>
    </row>
    <row r="73" spans="1:16" s="355" customFormat="1" ht="15" customHeight="1" x14ac:dyDescent="0.3">
      <c r="A73" s="352"/>
      <c r="B73" s="352" t="s">
        <v>59</v>
      </c>
      <c r="C73" s="363"/>
      <c r="D73" s="352"/>
      <c r="E73" s="352"/>
      <c r="F73" s="381"/>
      <c r="G73" s="367">
        <f>+C58*G69+G70</f>
        <v>10478.016455600045</v>
      </c>
      <c r="H73" s="352"/>
      <c r="I73" s="352"/>
      <c r="J73" s="352"/>
      <c r="K73" s="352"/>
      <c r="L73" s="354"/>
    </row>
    <row r="74" spans="1:16" s="395" customFormat="1" ht="15" customHeight="1" x14ac:dyDescent="0.3">
      <c r="A74" s="387"/>
      <c r="B74" s="387"/>
      <c r="C74" s="387"/>
      <c r="D74" s="387"/>
      <c r="E74" s="387"/>
      <c r="F74" s="387"/>
      <c r="G74" s="387"/>
      <c r="H74" s="387"/>
      <c r="I74" s="387"/>
      <c r="J74" s="387"/>
      <c r="K74" s="387"/>
      <c r="L74" s="394"/>
      <c r="M74" s="355"/>
    </row>
    <row r="75" spans="1:16" s="355" customFormat="1" ht="15" customHeight="1" x14ac:dyDescent="0.3">
      <c r="A75" s="352"/>
      <c r="B75" s="388" t="s">
        <v>60</v>
      </c>
      <c r="C75" s="396"/>
      <c r="D75" s="352"/>
      <c r="E75" s="352"/>
      <c r="F75" s="352"/>
      <c r="G75" s="352"/>
      <c r="H75" s="352"/>
      <c r="I75" s="352"/>
      <c r="J75" s="352"/>
      <c r="K75" s="352"/>
      <c r="L75" s="354"/>
    </row>
    <row r="76" spans="1:16" s="355" customFormat="1" ht="15" customHeight="1" x14ac:dyDescent="0.3">
      <c r="A76" s="352"/>
      <c r="B76" s="397" t="s">
        <v>61</v>
      </c>
      <c r="C76" s="363"/>
      <c r="D76" s="352"/>
      <c r="E76" s="352"/>
      <c r="F76" s="352"/>
      <c r="G76" s="398">
        <f>+SQRT(G80/G78)</f>
        <v>254.30009607358286</v>
      </c>
      <c r="H76" s="352"/>
      <c r="I76" s="352"/>
      <c r="J76" s="352"/>
      <c r="K76" s="352"/>
      <c r="L76" s="354"/>
    </row>
    <row r="77" spans="1:16" s="355" customFormat="1" ht="15" customHeight="1" x14ac:dyDescent="0.3">
      <c r="A77" s="352"/>
      <c r="B77" s="352" t="s">
        <v>62</v>
      </c>
      <c r="C77" s="352"/>
      <c r="D77" s="352"/>
      <c r="E77" s="352"/>
      <c r="F77" s="352"/>
      <c r="G77" s="399">
        <f>+E10*E12*E38/E40</f>
        <v>86.238532110091739</v>
      </c>
      <c r="H77" s="352"/>
      <c r="I77" s="352"/>
      <c r="J77" s="352"/>
      <c r="K77" s="352"/>
      <c r="L77" s="354"/>
      <c r="N77" s="400"/>
      <c r="P77" s="401"/>
    </row>
    <row r="78" spans="1:16" s="355" customFormat="1" ht="15" customHeight="1" x14ac:dyDescent="0.3">
      <c r="A78" s="352"/>
      <c r="B78" s="352" t="s">
        <v>63</v>
      </c>
      <c r="C78" s="352"/>
      <c r="D78" s="352"/>
      <c r="E78" s="352"/>
      <c r="F78" s="352"/>
      <c r="G78" s="399">
        <f>+(G71/G61)*0.5*E6*E8*E39/E40</f>
        <v>173.42420591492427</v>
      </c>
      <c r="H78" s="352"/>
      <c r="I78" s="352"/>
      <c r="J78" s="352"/>
      <c r="K78" s="352"/>
      <c r="L78" s="354"/>
    </row>
    <row r="79" spans="1:16" s="355" customFormat="1" ht="15" customHeight="1" x14ac:dyDescent="0.3">
      <c r="A79" s="352"/>
      <c r="B79" s="352" t="s">
        <v>64</v>
      </c>
      <c r="C79" s="352"/>
      <c r="D79" s="352"/>
      <c r="E79" s="352"/>
      <c r="F79" s="352"/>
      <c r="G79" s="399">
        <f>+ROUND(G78+G77,2)</f>
        <v>259.66000000000003</v>
      </c>
      <c r="H79" s="352"/>
      <c r="I79" s="352"/>
      <c r="J79" s="352"/>
      <c r="K79" s="352"/>
      <c r="L79" s="354"/>
    </row>
    <row r="80" spans="1:16" s="355" customFormat="1" ht="15" customHeight="1" x14ac:dyDescent="0.3">
      <c r="A80" s="352"/>
      <c r="B80" s="352" t="s">
        <v>65</v>
      </c>
      <c r="C80" s="352"/>
      <c r="D80" s="352"/>
      <c r="E80" s="352"/>
      <c r="F80" s="352"/>
      <c r="G80" s="402">
        <f>1000*ROUND((4*E36*10/(4)*(E12/G84)^3),2)</f>
        <v>11215090</v>
      </c>
      <c r="H80" s="352"/>
      <c r="I80" s="352"/>
      <c r="J80" s="352"/>
      <c r="K80" s="352"/>
      <c r="L80" s="354"/>
    </row>
    <row r="81" spans="1:14" s="355" customFormat="1" ht="15" customHeight="1" x14ac:dyDescent="0.3">
      <c r="A81" s="352"/>
      <c r="B81" s="352" t="s">
        <v>66</v>
      </c>
      <c r="C81" s="352"/>
      <c r="D81" s="352"/>
      <c r="E81" s="352"/>
      <c r="F81" s="352"/>
      <c r="G81" s="357">
        <f>+ROUND(E10/2,2)</f>
        <v>1.18</v>
      </c>
      <c r="H81" s="352"/>
      <c r="I81" s="352"/>
      <c r="J81" s="352"/>
      <c r="K81" s="352"/>
      <c r="L81" s="354"/>
    </row>
    <row r="82" spans="1:14" s="355" customFormat="1" ht="15" customHeight="1" x14ac:dyDescent="0.3">
      <c r="A82" s="352"/>
      <c r="B82" s="352" t="s">
        <v>67</v>
      </c>
      <c r="C82" s="363"/>
      <c r="D82" s="352"/>
      <c r="E82" s="352"/>
      <c r="F82" s="352"/>
      <c r="G82" s="403">
        <f>ROUND(IF(E6/E8&lt;1.333,(0.5-0.09375*(E6/E8))*E8,0.375*E8),2)</f>
        <v>0.71</v>
      </c>
      <c r="H82" s="352"/>
      <c r="I82" s="352"/>
      <c r="J82" s="352"/>
      <c r="K82" s="352"/>
      <c r="L82" s="354"/>
    </row>
    <row r="83" spans="1:14" s="355" customFormat="1" ht="15" customHeight="1" x14ac:dyDescent="0.3">
      <c r="A83" s="352"/>
      <c r="B83" s="352" t="s">
        <v>68</v>
      </c>
      <c r="C83" s="363"/>
      <c r="D83" s="352"/>
      <c r="E83" s="352"/>
      <c r="F83" s="352"/>
      <c r="G83" s="403">
        <f>(IF(E6/E8&lt;0.75,0.45*E8,(((0.866*E6/E8)/(2*TANH(0.866*E6/E8))-(1/8))*E8)))</f>
        <v>1.0956601120043585</v>
      </c>
      <c r="H83" s="352"/>
      <c r="I83" s="352"/>
      <c r="J83" s="352"/>
      <c r="K83" s="352"/>
      <c r="L83" s="354"/>
    </row>
    <row r="84" spans="1:14" s="355" customFormat="1" ht="15" customHeight="1" x14ac:dyDescent="0.3">
      <c r="A84" s="352"/>
      <c r="B84" s="397" t="s">
        <v>69</v>
      </c>
      <c r="C84" s="352"/>
      <c r="D84" s="352"/>
      <c r="E84" s="352"/>
      <c r="F84" s="404"/>
      <c r="G84" s="357">
        <f>+ROUND((G81*G77+G82*G78)/(G77+G78),2)</f>
        <v>0.87</v>
      </c>
      <c r="H84" s="352"/>
      <c r="I84" s="352"/>
      <c r="J84" s="352"/>
      <c r="K84" s="352"/>
      <c r="L84" s="354"/>
    </row>
    <row r="85" spans="1:14" s="355" customFormat="1" ht="15" customHeight="1" x14ac:dyDescent="0.3">
      <c r="A85" s="352"/>
      <c r="B85" s="352" t="s">
        <v>70</v>
      </c>
      <c r="C85" s="363"/>
      <c r="D85" s="352"/>
      <c r="E85" s="352"/>
      <c r="F85" s="352"/>
      <c r="G85" s="403">
        <f>ROUND((1-(COSH((1/(E6/E8))*3.16)-1)/(3.16*(1/(E6/E8))*SINH(3.16*(1/(E6/E8)))))*E8,2)</f>
        <v>1.24</v>
      </c>
      <c r="H85" s="352"/>
      <c r="I85" s="352"/>
      <c r="J85" s="352"/>
      <c r="K85" s="352"/>
      <c r="L85" s="354"/>
    </row>
    <row r="86" spans="1:14" s="355" customFormat="1" ht="15" customHeight="1" x14ac:dyDescent="0.3">
      <c r="A86" s="352"/>
      <c r="B86" s="352" t="s">
        <v>71</v>
      </c>
      <c r="C86" s="363"/>
      <c r="D86" s="352"/>
      <c r="E86" s="352"/>
      <c r="F86" s="352"/>
      <c r="G86" s="403">
        <f>ROUND((1-(COSH((1/(E6/E8))*3.16)-2.01)/(3.16*(1/(E6/E8))*SINH(3.16*(1/(E6/E8)))))*E8,2)</f>
        <v>1.39</v>
      </c>
      <c r="H86" s="352"/>
      <c r="I86" s="352"/>
      <c r="J86" s="352"/>
      <c r="K86" s="352"/>
      <c r="L86" s="354"/>
    </row>
    <row r="87" spans="1:14" s="355" customFormat="1" ht="15" customHeight="1" x14ac:dyDescent="0.3">
      <c r="A87" s="352"/>
      <c r="B87" s="397" t="s">
        <v>72</v>
      </c>
      <c r="C87" s="352"/>
      <c r="D87" s="352"/>
      <c r="E87" s="352"/>
      <c r="F87" s="352"/>
      <c r="G87" s="398">
        <f>+(SQRT(3.16*E40*TANH(3.16*(E8/E6))))/SQRT(E6)</f>
        <v>3.4827142436334695</v>
      </c>
      <c r="H87" s="352"/>
      <c r="I87" s="352"/>
      <c r="J87" s="352"/>
      <c r="K87" s="352"/>
      <c r="L87" s="354"/>
      <c r="M87" s="405"/>
    </row>
    <row r="88" spans="1:14" s="355" customFormat="1" ht="15" customHeight="1" x14ac:dyDescent="0.3">
      <c r="A88" s="352"/>
      <c r="B88" s="352" t="s">
        <v>73</v>
      </c>
      <c r="C88" s="363"/>
      <c r="D88" s="352"/>
      <c r="E88" s="352"/>
      <c r="F88" s="352"/>
      <c r="G88" s="406">
        <f>(2*PI())/G76</f>
        <v>2.4707758291060648E-2</v>
      </c>
      <c r="H88" s="352"/>
      <c r="I88" s="352"/>
      <c r="J88" s="352"/>
      <c r="K88" s="352"/>
      <c r="L88" s="354"/>
      <c r="M88" s="405"/>
    </row>
    <row r="89" spans="1:14" s="355" customFormat="1" ht="15" customHeight="1" x14ac:dyDescent="0.3">
      <c r="A89" s="352"/>
      <c r="B89" s="352" t="s">
        <v>74</v>
      </c>
      <c r="C89" s="352"/>
      <c r="D89" s="352"/>
      <c r="E89" s="352"/>
      <c r="F89" s="352"/>
      <c r="G89" s="406">
        <f>2*PI()/G87</f>
        <v>1.8041058977679496</v>
      </c>
      <c r="H89" s="352"/>
      <c r="I89" s="352"/>
      <c r="J89" s="352"/>
      <c r="K89" s="352"/>
      <c r="L89" s="354"/>
      <c r="M89" s="405"/>
    </row>
    <row r="90" spans="1:14" s="355" customFormat="1" ht="15" customHeight="1" x14ac:dyDescent="0.3">
      <c r="A90" s="352"/>
      <c r="B90" s="352"/>
      <c r="C90" s="363"/>
      <c r="D90" s="352"/>
      <c r="E90" s="352"/>
      <c r="F90" s="352"/>
      <c r="G90" s="352"/>
      <c r="H90" s="352"/>
      <c r="I90" s="352"/>
      <c r="J90" s="352"/>
      <c r="K90" s="352"/>
      <c r="L90" s="354"/>
    </row>
    <row r="91" spans="1:14" s="355" customFormat="1" ht="15" customHeight="1" x14ac:dyDescent="0.3">
      <c r="A91" s="352"/>
      <c r="B91" s="381"/>
      <c r="C91" s="352"/>
      <c r="D91" s="352"/>
      <c r="E91" s="407"/>
      <c r="F91" s="407"/>
      <c r="G91" s="407"/>
      <c r="H91" s="352"/>
      <c r="I91" s="352"/>
      <c r="J91" s="352"/>
      <c r="K91" s="352"/>
      <c r="L91" s="354"/>
    </row>
    <row r="92" spans="1:14" s="355" customFormat="1" ht="15" customHeight="1" x14ac:dyDescent="0.3">
      <c r="A92" s="352"/>
      <c r="B92" s="381"/>
      <c r="C92" s="363"/>
      <c r="D92" s="352"/>
      <c r="E92" s="407"/>
      <c r="F92" s="407"/>
      <c r="G92" s="407"/>
      <c r="H92" s="352"/>
      <c r="I92" s="352"/>
      <c r="J92" s="352"/>
      <c r="K92" s="352"/>
      <c r="L92" s="354"/>
    </row>
    <row r="93" spans="1:14" s="355" customFormat="1" ht="15" customHeight="1" x14ac:dyDescent="0.3">
      <c r="A93" s="352"/>
      <c r="B93" s="352"/>
      <c r="C93" s="363"/>
      <c r="D93" s="352"/>
      <c r="E93" s="408"/>
      <c r="F93" s="408"/>
      <c r="G93" s="408"/>
      <c r="H93" s="352"/>
      <c r="I93" s="352"/>
      <c r="J93" s="352"/>
      <c r="K93" s="352"/>
      <c r="L93" s="354"/>
    </row>
    <row r="94" spans="1:14" s="355" customFormat="1" ht="15" customHeight="1" x14ac:dyDescent="0.3">
      <c r="A94" s="352"/>
      <c r="B94" s="381"/>
      <c r="C94" s="352"/>
      <c r="D94" s="352"/>
      <c r="E94" s="407"/>
      <c r="F94" s="407"/>
      <c r="G94" s="407"/>
      <c r="H94" s="409"/>
      <c r="I94" s="352"/>
      <c r="J94" s="352"/>
      <c r="K94" s="352"/>
      <c r="L94" s="354"/>
    </row>
    <row r="95" spans="1:14" s="355" customFormat="1" ht="15" customHeight="1" x14ac:dyDescent="0.3">
      <c r="A95" s="352"/>
      <c r="B95" s="352"/>
      <c r="C95" s="352"/>
      <c r="D95" s="352"/>
      <c r="E95" s="407"/>
      <c r="F95" s="407"/>
      <c r="G95" s="352"/>
      <c r="H95" s="352"/>
      <c r="I95" s="352"/>
      <c r="J95" s="352"/>
      <c r="K95" s="352"/>
      <c r="L95" s="354"/>
      <c r="N95" s="354"/>
    </row>
    <row r="96" spans="1:14" s="355" customFormat="1" ht="15" customHeight="1" x14ac:dyDescent="0.3">
      <c r="A96" s="352"/>
      <c r="B96" s="352"/>
      <c r="C96" s="352"/>
      <c r="D96" s="352"/>
      <c r="E96" s="352"/>
      <c r="F96" s="352"/>
      <c r="G96" s="352"/>
      <c r="H96" s="352"/>
      <c r="I96" s="352"/>
      <c r="J96" s="352"/>
      <c r="K96" s="352"/>
      <c r="L96" s="354"/>
    </row>
    <row r="97" spans="1:12" s="355" customFormat="1" ht="15" customHeight="1" x14ac:dyDescent="0.3">
      <c r="A97" s="352"/>
      <c r="B97" s="381"/>
      <c r="C97" s="352"/>
      <c r="D97" s="352"/>
      <c r="E97" s="352"/>
      <c r="F97" s="407"/>
      <c r="G97" s="407"/>
      <c r="H97" s="352"/>
      <c r="I97" s="352"/>
      <c r="J97" s="352"/>
      <c r="K97" s="352"/>
      <c r="L97" s="354"/>
    </row>
    <row r="98" spans="1:12" s="355" customFormat="1" ht="15" customHeight="1" x14ac:dyDescent="0.3">
      <c r="A98" s="352"/>
      <c r="B98" s="352"/>
      <c r="C98" s="352"/>
      <c r="D98" s="352"/>
      <c r="E98" s="407"/>
      <c r="F98" s="407"/>
      <c r="G98" s="407"/>
      <c r="H98" s="352"/>
      <c r="I98" s="352"/>
      <c r="J98" s="352"/>
      <c r="K98" s="352"/>
      <c r="L98" s="354"/>
    </row>
    <row r="99" spans="1:12" s="355" customFormat="1" ht="15" customHeight="1" x14ac:dyDescent="0.3">
      <c r="A99" s="352"/>
      <c r="B99" s="352"/>
      <c r="C99" s="352"/>
      <c r="D99" s="352"/>
      <c r="E99" s="352"/>
      <c r="F99" s="352"/>
      <c r="G99" s="352"/>
      <c r="H99" s="352"/>
      <c r="I99" s="352"/>
      <c r="J99" s="352"/>
      <c r="K99" s="352"/>
      <c r="L99" s="354"/>
    </row>
    <row r="100" spans="1:12" s="355" customFormat="1" ht="15" customHeight="1" x14ac:dyDescent="0.3">
      <c r="A100" s="352"/>
      <c r="B100" s="381"/>
      <c r="C100" s="352"/>
      <c r="D100" s="352"/>
      <c r="E100" s="352"/>
      <c r="F100" s="352"/>
      <c r="G100" s="381"/>
      <c r="H100" s="410"/>
      <c r="I100" s="352"/>
      <c r="J100" s="352"/>
      <c r="K100" s="352"/>
      <c r="L100" s="354"/>
    </row>
    <row r="101" spans="1:12" s="355" customFormat="1" ht="15" customHeight="1" x14ac:dyDescent="0.3">
      <c r="A101" s="352"/>
      <c r="B101" s="352"/>
      <c r="C101" s="352"/>
      <c r="D101" s="352"/>
      <c r="E101" s="352"/>
      <c r="F101" s="352"/>
      <c r="G101" s="352"/>
      <c r="H101" s="352"/>
      <c r="I101" s="352"/>
      <c r="J101" s="352"/>
      <c r="K101" s="352"/>
      <c r="L101" s="354"/>
    </row>
    <row r="102" spans="1:12" s="355" customFormat="1" ht="6.9" customHeight="1" x14ac:dyDescent="0.3">
      <c r="A102" s="352"/>
      <c r="B102" s="352"/>
      <c r="C102" s="352"/>
      <c r="D102" s="352"/>
      <c r="E102" s="352"/>
      <c r="F102" s="352"/>
      <c r="G102" s="352"/>
      <c r="H102" s="352"/>
      <c r="I102" s="352"/>
      <c r="J102" s="352"/>
      <c r="K102" s="352"/>
      <c r="L102" s="354"/>
    </row>
    <row r="103" spans="1:12" s="413" customFormat="1" ht="15" customHeight="1" x14ac:dyDescent="0.3">
      <c r="A103" s="397"/>
      <c r="B103" s="352" t="s">
        <v>75</v>
      </c>
      <c r="C103" s="411"/>
      <c r="D103" s="397"/>
      <c r="E103" s="397"/>
      <c r="F103" s="397"/>
      <c r="G103" s="363">
        <f>IF(G88&gt;0.31,IF(1.25/G88^(2/3)&gt;2.75/C51,2.75/C51,1.25/G88^(2/3)),2.75/C51)</f>
        <v>2.5</v>
      </c>
      <c r="H103" s="397"/>
      <c r="I103" s="397"/>
      <c r="J103" s="397"/>
      <c r="K103" s="397"/>
      <c r="L103" s="412"/>
    </row>
    <row r="104" spans="1:12" s="413" customFormat="1" ht="15" customHeight="1" x14ac:dyDescent="0.3">
      <c r="A104" s="397"/>
      <c r="B104" s="352" t="s">
        <v>76</v>
      </c>
      <c r="C104" s="411"/>
      <c r="D104" s="397"/>
      <c r="E104" s="397"/>
      <c r="F104" s="397"/>
      <c r="G104" s="363">
        <f>IF(G88&gt;2.4,6/G89^2,IF(1.875/G89^(2/3)&gt;2.75/C51,2.75/C51,1.875/G89^(2/3)))</f>
        <v>1.2652021499112833</v>
      </c>
      <c r="H104" s="397"/>
      <c r="I104" s="397"/>
      <c r="J104" s="397"/>
      <c r="K104" s="397"/>
      <c r="L104" s="412"/>
    </row>
    <row r="105" spans="1:12" s="413" customFormat="1" ht="15" customHeight="1" x14ac:dyDescent="0.3">
      <c r="A105" s="397"/>
      <c r="B105" s="381"/>
      <c r="C105" s="397"/>
      <c r="D105" s="397"/>
      <c r="E105" s="397"/>
      <c r="F105" s="397"/>
      <c r="G105" s="397"/>
      <c r="H105" s="397"/>
      <c r="I105" s="397"/>
      <c r="J105" s="397"/>
      <c r="K105" s="397"/>
      <c r="L105" s="412"/>
    </row>
    <row r="106" spans="1:12" s="413" customFormat="1" ht="15" customHeight="1" x14ac:dyDescent="0.3">
      <c r="A106" s="397"/>
      <c r="B106" s="397"/>
      <c r="C106" s="411"/>
      <c r="D106" s="397"/>
      <c r="E106" s="397"/>
      <c r="F106" s="414"/>
      <c r="G106" s="397"/>
      <c r="H106" s="397"/>
      <c r="I106" s="397"/>
      <c r="J106" s="397"/>
      <c r="K106" s="397"/>
      <c r="L106" s="412"/>
    </row>
    <row r="107" spans="1:12" s="413" customFormat="1" ht="15" customHeight="1" x14ac:dyDescent="0.3">
      <c r="A107" s="397"/>
      <c r="B107" s="397"/>
      <c r="C107" s="411"/>
      <c r="D107" s="397"/>
      <c r="E107" s="397"/>
      <c r="F107" s="397"/>
      <c r="G107" s="397"/>
      <c r="H107" s="397"/>
      <c r="I107" s="397"/>
      <c r="J107" s="397"/>
      <c r="K107" s="397"/>
      <c r="L107" s="412"/>
    </row>
    <row r="108" spans="1:12" s="413" customFormat="1" ht="15" customHeight="1" x14ac:dyDescent="0.3">
      <c r="A108" s="397"/>
      <c r="B108" s="397"/>
      <c r="C108" s="411"/>
      <c r="D108" s="397"/>
      <c r="E108" s="397"/>
      <c r="F108" s="397"/>
      <c r="G108" s="397"/>
      <c r="H108" s="397"/>
      <c r="I108" s="397"/>
      <c r="J108" s="397"/>
      <c r="K108" s="397"/>
      <c r="L108" s="412"/>
    </row>
    <row r="109" spans="1:12" s="413" customFormat="1" ht="15" customHeight="1" x14ac:dyDescent="0.3">
      <c r="A109" s="397"/>
      <c r="B109" s="397"/>
      <c r="C109" s="411"/>
      <c r="D109" s="397"/>
      <c r="E109" s="397"/>
      <c r="F109" s="397"/>
      <c r="G109" s="397"/>
      <c r="H109" s="397"/>
      <c r="I109" s="397"/>
      <c r="J109" s="397"/>
      <c r="K109" s="397"/>
      <c r="L109" s="412"/>
    </row>
    <row r="110" spans="1:12" s="355" customFormat="1" ht="15" customHeight="1" x14ac:dyDescent="0.3">
      <c r="A110" s="352"/>
      <c r="B110" s="381"/>
      <c r="C110" s="352"/>
      <c r="D110" s="352"/>
      <c r="E110" s="352"/>
      <c r="F110" s="352"/>
      <c r="G110" s="352"/>
      <c r="H110" s="352"/>
      <c r="I110" s="352"/>
      <c r="J110" s="352"/>
      <c r="K110" s="352"/>
      <c r="L110" s="354"/>
    </row>
    <row r="111" spans="1:12" s="355" customFormat="1" ht="15" customHeight="1" x14ac:dyDescent="0.3">
      <c r="A111" s="352"/>
      <c r="B111" s="381"/>
      <c r="C111" s="363"/>
      <c r="D111" s="352"/>
      <c r="E111" s="352"/>
      <c r="F111" s="352"/>
      <c r="G111" s="352"/>
      <c r="H111" s="352"/>
      <c r="I111" s="352"/>
      <c r="J111" s="352"/>
      <c r="K111" s="352"/>
      <c r="L111" s="354"/>
    </row>
    <row r="112" spans="1:12" s="355" customFormat="1" ht="15" customHeight="1" x14ac:dyDescent="0.3">
      <c r="A112" s="352"/>
      <c r="B112" s="381"/>
      <c r="C112" s="363"/>
      <c r="D112" s="352"/>
      <c r="E112" s="352"/>
      <c r="F112" s="352"/>
      <c r="G112" s="352"/>
      <c r="H112" s="352"/>
      <c r="I112" s="352"/>
      <c r="J112" s="352"/>
      <c r="K112" s="352"/>
      <c r="L112" s="354"/>
    </row>
    <row r="113" spans="1:12" s="355" customFormat="1" ht="15" customHeight="1" x14ac:dyDescent="0.3">
      <c r="A113" s="352"/>
      <c r="B113" s="381"/>
      <c r="C113" s="363"/>
      <c r="D113" s="352"/>
      <c r="E113" s="352"/>
      <c r="F113" s="352"/>
      <c r="G113" s="352"/>
      <c r="H113" s="352"/>
      <c r="I113" s="352"/>
      <c r="J113" s="352"/>
      <c r="K113" s="352"/>
      <c r="L113" s="354"/>
    </row>
    <row r="114" spans="1:12" s="355" customFormat="1" ht="15" customHeight="1" x14ac:dyDescent="0.3">
      <c r="A114" s="352"/>
      <c r="B114" s="352" t="s">
        <v>77</v>
      </c>
      <c r="C114" s="352"/>
      <c r="D114" s="352"/>
      <c r="E114" s="352"/>
      <c r="F114" s="352"/>
      <c r="G114" s="357">
        <f>+G81</f>
        <v>1.18</v>
      </c>
      <c r="H114" s="352"/>
      <c r="I114" s="352"/>
      <c r="J114" s="352"/>
      <c r="K114" s="352"/>
      <c r="L114" s="354"/>
    </row>
    <row r="115" spans="1:12" s="355" customFormat="1" ht="15" customHeight="1" x14ac:dyDescent="0.3">
      <c r="A115" s="352"/>
      <c r="B115" s="352" t="s">
        <v>78</v>
      </c>
      <c r="C115" s="352"/>
      <c r="D115" s="352"/>
      <c r="E115" s="352"/>
      <c r="F115" s="352"/>
      <c r="G115" s="357">
        <f>+E10+E13/2</f>
        <v>2.4250000000000003</v>
      </c>
      <c r="H115" s="352"/>
      <c r="I115" s="352"/>
      <c r="J115" s="352"/>
      <c r="K115" s="352"/>
      <c r="L115" s="354"/>
    </row>
    <row r="116" spans="1:12" s="355" customFormat="1" ht="15" customHeight="1" x14ac:dyDescent="0.3">
      <c r="A116" s="352"/>
      <c r="B116" s="352" t="s">
        <v>79</v>
      </c>
      <c r="C116" s="352"/>
      <c r="D116" s="352"/>
      <c r="E116" s="352"/>
      <c r="F116" s="352"/>
      <c r="G116" s="357">
        <f>+G82</f>
        <v>0.71</v>
      </c>
      <c r="H116" s="352"/>
      <c r="I116" s="352"/>
      <c r="J116" s="352"/>
      <c r="K116" s="352"/>
      <c r="L116" s="354"/>
    </row>
    <row r="117" spans="1:12" s="355" customFormat="1" ht="15" customHeight="1" x14ac:dyDescent="0.3">
      <c r="A117" s="352"/>
      <c r="B117" s="352" t="s">
        <v>80</v>
      </c>
      <c r="C117" s="352"/>
      <c r="D117" s="352"/>
      <c r="E117" s="352"/>
      <c r="F117" s="352"/>
      <c r="G117" s="357">
        <f>+G83</f>
        <v>1.0956601120043585</v>
      </c>
      <c r="H117" s="352"/>
      <c r="I117" s="352"/>
      <c r="J117" s="352"/>
      <c r="K117" s="352"/>
      <c r="L117" s="354"/>
    </row>
    <row r="118" spans="1:12" s="355" customFormat="1" ht="15" customHeight="1" x14ac:dyDescent="0.3">
      <c r="A118" s="352"/>
      <c r="B118" s="352" t="s">
        <v>81</v>
      </c>
      <c r="C118" s="352"/>
      <c r="D118" s="352"/>
      <c r="E118" s="352"/>
      <c r="F118" s="352"/>
      <c r="G118" s="357">
        <f>+G85</f>
        <v>1.24</v>
      </c>
      <c r="H118" s="352"/>
      <c r="I118" s="352"/>
      <c r="J118" s="352"/>
      <c r="K118" s="352"/>
      <c r="L118" s="354"/>
    </row>
    <row r="119" spans="1:12" s="355" customFormat="1" ht="15" customHeight="1" x14ac:dyDescent="0.3">
      <c r="A119" s="352"/>
      <c r="B119" s="352" t="s">
        <v>82</v>
      </c>
      <c r="C119" s="352"/>
      <c r="D119" s="352"/>
      <c r="E119" s="352"/>
      <c r="F119" s="352"/>
      <c r="G119" s="357">
        <f>+G86</f>
        <v>1.39</v>
      </c>
      <c r="H119" s="352"/>
      <c r="I119" s="352"/>
      <c r="J119" s="352"/>
      <c r="K119" s="352"/>
      <c r="L119" s="354"/>
    </row>
    <row r="120" spans="1:12" s="355" customFormat="1" ht="15" customHeight="1" x14ac:dyDescent="0.3">
      <c r="A120" s="352"/>
      <c r="B120" s="352"/>
      <c r="C120" s="352"/>
      <c r="D120" s="352"/>
      <c r="E120" s="352"/>
      <c r="F120" s="352"/>
      <c r="G120" s="357"/>
      <c r="H120" s="352"/>
      <c r="I120" s="352"/>
      <c r="J120" s="352"/>
      <c r="K120" s="352"/>
      <c r="L120" s="354"/>
    </row>
    <row r="121" spans="1:12" s="355" customFormat="1" ht="15" customHeight="1" x14ac:dyDescent="0.3">
      <c r="A121" s="352"/>
      <c r="B121" s="388" t="s">
        <v>83</v>
      </c>
      <c r="C121" s="352"/>
      <c r="D121" s="352"/>
      <c r="E121" s="352"/>
      <c r="F121" s="352"/>
      <c r="G121" s="352"/>
      <c r="H121" s="352"/>
      <c r="I121" s="352"/>
      <c r="J121" s="352"/>
      <c r="K121" s="352"/>
      <c r="L121" s="354"/>
    </row>
    <row r="122" spans="1:12" s="355" customFormat="1" ht="15" customHeight="1" x14ac:dyDescent="0.3">
      <c r="A122" s="352"/>
      <c r="B122" s="352"/>
      <c r="C122" s="352"/>
      <c r="D122" s="352"/>
      <c r="E122" s="352"/>
      <c r="F122" s="352"/>
      <c r="G122" s="352"/>
      <c r="H122" s="352"/>
      <c r="I122" s="352"/>
      <c r="J122" s="352"/>
      <c r="K122" s="352"/>
      <c r="L122" s="354"/>
    </row>
    <row r="123" spans="1:12" s="355" customFormat="1" ht="15" customHeight="1" x14ac:dyDescent="0.3">
      <c r="A123" s="352"/>
      <c r="B123" s="381" t="s">
        <v>84</v>
      </c>
      <c r="C123" s="354">
        <f>+C50</f>
        <v>1.5</v>
      </c>
      <c r="D123" s="352"/>
      <c r="E123" s="352"/>
      <c r="F123" s="352"/>
      <c r="G123" s="352"/>
      <c r="H123" s="352"/>
      <c r="I123" s="352"/>
      <c r="J123" s="352"/>
      <c r="K123" s="352"/>
      <c r="L123" s="354"/>
    </row>
    <row r="124" spans="1:12" s="355" customFormat="1" ht="15" customHeight="1" x14ac:dyDescent="0.3">
      <c r="A124" s="352"/>
      <c r="B124" s="381" t="s">
        <v>85</v>
      </c>
      <c r="C124" s="415">
        <v>2</v>
      </c>
      <c r="D124" s="352"/>
      <c r="E124" s="352"/>
      <c r="F124" s="352"/>
      <c r="G124" s="352"/>
      <c r="H124" s="352"/>
      <c r="I124" s="352"/>
      <c r="J124" s="352"/>
      <c r="K124" s="352"/>
      <c r="L124" s="354"/>
    </row>
    <row r="125" spans="1:12" s="355" customFormat="1" ht="15" customHeight="1" x14ac:dyDescent="0.3">
      <c r="A125" s="352"/>
      <c r="B125" s="381" t="s">
        <v>86</v>
      </c>
      <c r="C125" s="415">
        <v>1</v>
      </c>
      <c r="D125" s="352"/>
      <c r="E125" s="352"/>
      <c r="F125" s="352"/>
      <c r="G125" s="352"/>
      <c r="H125" s="352"/>
      <c r="I125" s="352"/>
      <c r="J125" s="352"/>
      <c r="K125" s="352"/>
      <c r="L125" s="354"/>
    </row>
    <row r="126" spans="1:12" s="355" customFormat="1" ht="15" customHeight="1" x14ac:dyDescent="0.3">
      <c r="A126" s="352"/>
      <c r="B126" s="381" t="s">
        <v>43</v>
      </c>
      <c r="C126" s="415">
        <f>+C49</f>
        <v>0.25</v>
      </c>
      <c r="D126" s="352"/>
      <c r="E126" s="352"/>
      <c r="F126" s="352"/>
      <c r="G126" s="352"/>
      <c r="H126" s="352"/>
      <c r="I126" s="352"/>
      <c r="J126" s="352"/>
      <c r="K126" s="352"/>
      <c r="L126" s="354"/>
    </row>
    <row r="127" spans="1:12" s="355" customFormat="1" ht="15" customHeight="1" x14ac:dyDescent="0.3">
      <c r="A127" s="352"/>
      <c r="B127" s="381" t="s">
        <v>45</v>
      </c>
      <c r="C127" s="415">
        <f>+C51</f>
        <v>1.1000000000000001</v>
      </c>
      <c r="D127" s="352"/>
      <c r="E127" s="352"/>
      <c r="F127" s="352" t="s">
        <v>87</v>
      </c>
      <c r="G127" s="352"/>
      <c r="H127" s="352"/>
      <c r="I127" s="352"/>
      <c r="J127" s="352"/>
      <c r="K127" s="352"/>
      <c r="L127" s="354"/>
    </row>
    <row r="128" spans="1:12" s="355" customFormat="1" ht="15" customHeight="1" x14ac:dyDescent="0.3">
      <c r="A128" s="352"/>
      <c r="B128" s="352"/>
      <c r="C128" s="363"/>
      <c r="D128" s="352"/>
      <c r="E128" s="352"/>
      <c r="F128" s="352"/>
      <c r="G128" s="352"/>
      <c r="H128" s="352"/>
      <c r="I128" s="352"/>
      <c r="J128" s="352"/>
      <c r="K128" s="352"/>
      <c r="L128" s="354"/>
    </row>
    <row r="129" spans="1:12" s="355" customFormat="1" ht="15" customHeight="1" x14ac:dyDescent="0.3">
      <c r="A129" s="352"/>
      <c r="B129" s="352"/>
      <c r="C129" s="363"/>
      <c r="D129" s="352"/>
      <c r="E129" s="352"/>
      <c r="F129" s="352"/>
      <c r="G129" s="352"/>
      <c r="H129" s="352"/>
      <c r="I129" s="352"/>
      <c r="J129" s="352"/>
      <c r="K129" s="352"/>
      <c r="L129" s="354"/>
    </row>
    <row r="130" spans="1:12" s="355" customFormat="1" ht="15" customHeight="1" x14ac:dyDescent="0.3">
      <c r="A130" s="352"/>
      <c r="B130" s="381" t="s">
        <v>88</v>
      </c>
      <c r="C130" s="379">
        <f>+G103*C123*(E41/C124)*C126*C127</f>
        <v>4646.8175293828335</v>
      </c>
      <c r="D130" s="352" t="s">
        <v>89</v>
      </c>
      <c r="E130" s="352"/>
      <c r="F130" s="352"/>
      <c r="G130" s="352"/>
      <c r="H130" s="352"/>
      <c r="I130" s="352"/>
      <c r="J130" s="352"/>
      <c r="K130" s="352"/>
      <c r="L130" s="354"/>
    </row>
    <row r="131" spans="1:12" s="355" customFormat="1" ht="15" customHeight="1" x14ac:dyDescent="0.3">
      <c r="A131" s="352"/>
      <c r="B131" s="381"/>
      <c r="C131" s="379"/>
      <c r="D131" s="352"/>
      <c r="E131" s="352"/>
      <c r="F131" s="352"/>
      <c r="G131" s="352"/>
      <c r="H131" s="352"/>
      <c r="I131" s="352"/>
      <c r="J131" s="352"/>
      <c r="K131" s="352"/>
      <c r="L131" s="354"/>
    </row>
    <row r="132" spans="1:12" s="355" customFormat="1" ht="15" customHeight="1" x14ac:dyDescent="0.3">
      <c r="A132" s="352"/>
      <c r="B132" s="381" t="s">
        <v>90</v>
      </c>
      <c r="C132" s="379">
        <f>+G103*C123*(E42/C124)*C126*C127</f>
        <v>1685.2732114125072</v>
      </c>
      <c r="D132" s="352" t="s">
        <v>91</v>
      </c>
      <c r="E132" s="352"/>
      <c r="F132" s="352"/>
      <c r="G132" s="352"/>
      <c r="H132" s="352"/>
      <c r="I132" s="352"/>
      <c r="J132" s="352"/>
      <c r="K132" s="352"/>
      <c r="L132" s="354"/>
    </row>
    <row r="133" spans="1:12" s="355" customFormat="1" ht="15" customHeight="1" x14ac:dyDescent="0.3">
      <c r="A133" s="352"/>
      <c r="B133" s="381"/>
      <c r="C133" s="379"/>
      <c r="D133" s="352"/>
      <c r="E133" s="352"/>
      <c r="F133" s="352"/>
      <c r="G133" s="352"/>
      <c r="H133" s="352"/>
      <c r="I133" s="352"/>
      <c r="J133" s="352"/>
      <c r="K133" s="352"/>
      <c r="L133" s="354"/>
    </row>
    <row r="134" spans="1:12" s="355" customFormat="1" ht="15" customHeight="1" x14ac:dyDescent="0.3">
      <c r="A134" s="352"/>
      <c r="B134" s="381" t="s">
        <v>92</v>
      </c>
      <c r="C134" s="379">
        <f>+G103*C123*(G71/C124)*C126*C127</f>
        <v>4409.1665712698596</v>
      </c>
      <c r="D134" s="363" t="s">
        <v>93</v>
      </c>
      <c r="E134" s="352"/>
      <c r="F134" s="352"/>
      <c r="G134" s="352"/>
      <c r="H134" s="352"/>
      <c r="I134" s="352"/>
      <c r="J134" s="352"/>
      <c r="K134" s="352"/>
      <c r="L134" s="354"/>
    </row>
    <row r="135" spans="1:12" s="355" customFormat="1" ht="15" customHeight="1" x14ac:dyDescent="0.3">
      <c r="A135" s="352"/>
      <c r="B135" s="381"/>
      <c r="C135" s="379"/>
      <c r="D135" s="363"/>
      <c r="E135" s="352"/>
      <c r="F135" s="352"/>
      <c r="G135" s="352"/>
      <c r="H135" s="352"/>
      <c r="I135" s="352"/>
      <c r="J135" s="352"/>
      <c r="K135" s="352"/>
      <c r="L135" s="354"/>
    </row>
    <row r="136" spans="1:12" s="355" customFormat="1" ht="15" customHeight="1" x14ac:dyDescent="0.3">
      <c r="A136" s="352"/>
      <c r="B136" s="381" t="s">
        <v>94</v>
      </c>
      <c r="C136" s="379">
        <f>+C123*G104*(G72/C125)*C126*C127</f>
        <v>2150.4170034353556</v>
      </c>
      <c r="D136" s="363" t="s">
        <v>95</v>
      </c>
      <c r="E136" s="352"/>
      <c r="F136" s="352"/>
      <c r="G136" s="352"/>
      <c r="H136" s="352"/>
      <c r="I136" s="352"/>
      <c r="J136" s="352"/>
      <c r="K136" s="352"/>
      <c r="L136" s="354"/>
    </row>
    <row r="137" spans="1:12" s="355" customFormat="1" ht="15" customHeight="1" x14ac:dyDescent="0.3">
      <c r="A137" s="352"/>
      <c r="B137" s="352"/>
      <c r="C137" s="379"/>
      <c r="D137" s="352"/>
      <c r="E137" s="352"/>
      <c r="F137" s="352"/>
      <c r="G137" s="352"/>
      <c r="H137" s="381"/>
      <c r="I137" s="416"/>
      <c r="J137" s="352"/>
      <c r="K137" s="352"/>
      <c r="L137" s="354"/>
    </row>
    <row r="138" spans="1:12" s="355" customFormat="1" ht="15" customHeight="1" x14ac:dyDescent="0.3">
      <c r="A138" s="352"/>
      <c r="B138" s="417" t="s">
        <v>96</v>
      </c>
      <c r="C138" s="379">
        <f>SQRT((C130+C132+C134)^2+C136^2)</f>
        <v>10954.401030300929</v>
      </c>
      <c r="D138" s="352" t="s">
        <v>97</v>
      </c>
      <c r="E138" s="352"/>
      <c r="F138" s="352"/>
      <c r="G138" s="352"/>
      <c r="H138" s="352"/>
      <c r="I138" s="352"/>
      <c r="J138" s="352"/>
      <c r="K138" s="352"/>
      <c r="L138" s="354"/>
    </row>
    <row r="139" spans="1:12" s="355" customFormat="1" ht="15" customHeight="1" x14ac:dyDescent="0.3">
      <c r="A139" s="352"/>
      <c r="B139" s="352"/>
      <c r="C139" s="352"/>
      <c r="D139" s="352"/>
      <c r="E139" s="352"/>
      <c r="F139" s="352"/>
      <c r="G139" s="352"/>
      <c r="H139" s="352"/>
      <c r="I139" s="352"/>
      <c r="J139" s="352"/>
      <c r="K139" s="352"/>
      <c r="L139" s="354"/>
    </row>
    <row r="140" spans="1:12" s="355" customFormat="1" ht="15" customHeight="1" x14ac:dyDescent="0.3">
      <c r="A140" s="352"/>
      <c r="B140" s="388" t="s">
        <v>98</v>
      </c>
      <c r="C140" s="352"/>
      <c r="D140" s="352"/>
      <c r="E140" s="352"/>
      <c r="F140" s="352"/>
      <c r="G140" s="352"/>
      <c r="H140" s="352"/>
      <c r="I140" s="352"/>
      <c r="J140" s="352"/>
      <c r="K140" s="352"/>
      <c r="L140" s="354"/>
    </row>
    <row r="141" spans="1:12" s="355" customFormat="1" ht="13.8" x14ac:dyDescent="0.3">
      <c r="A141" s="352"/>
      <c r="B141" s="352"/>
      <c r="C141" s="352"/>
      <c r="D141" s="352"/>
      <c r="E141" s="352"/>
      <c r="F141" s="352"/>
      <c r="G141" s="352"/>
      <c r="H141" s="352"/>
      <c r="I141" s="352"/>
      <c r="J141" s="352"/>
      <c r="K141" s="352"/>
      <c r="L141" s="354"/>
    </row>
    <row r="142" spans="1:12" s="355" customFormat="1" ht="15" customHeight="1" x14ac:dyDescent="0.3">
      <c r="A142" s="352"/>
      <c r="B142" s="352" t="s">
        <v>99</v>
      </c>
      <c r="C142" s="352"/>
      <c r="D142" s="352"/>
      <c r="E142" s="352"/>
      <c r="F142" s="352"/>
      <c r="G142" s="352"/>
      <c r="H142" s="352"/>
      <c r="I142" s="352"/>
      <c r="J142" s="352"/>
      <c r="K142" s="352"/>
      <c r="L142" s="354"/>
    </row>
    <row r="143" spans="1:12" s="355" customFormat="1" ht="15" customHeight="1" x14ac:dyDescent="0.3">
      <c r="A143" s="352"/>
      <c r="B143" s="352" t="s">
        <v>100</v>
      </c>
      <c r="C143" s="352"/>
      <c r="D143" s="352"/>
      <c r="E143" s="352"/>
      <c r="F143" s="352"/>
      <c r="G143" s="352"/>
      <c r="H143" s="352"/>
      <c r="I143" s="352"/>
      <c r="J143" s="352"/>
      <c r="K143" s="352"/>
      <c r="L143" s="354"/>
    </row>
    <row r="144" spans="1:12" s="355" customFormat="1" ht="15" customHeight="1" x14ac:dyDescent="0.3">
      <c r="A144" s="352"/>
      <c r="B144" s="418" t="s">
        <v>101</v>
      </c>
      <c r="C144" s="352"/>
      <c r="D144" s="352"/>
      <c r="E144" s="352"/>
      <c r="F144" s="352"/>
      <c r="G144" s="352"/>
      <c r="H144" s="352"/>
      <c r="I144" s="352"/>
      <c r="J144" s="352"/>
      <c r="K144" s="352"/>
      <c r="L144" s="354"/>
    </row>
    <row r="145" spans="1:12" s="355" customFormat="1" ht="15" customHeight="1" x14ac:dyDescent="0.3">
      <c r="A145" s="352"/>
      <c r="B145" s="418" t="s">
        <v>102</v>
      </c>
      <c r="C145" s="352"/>
      <c r="D145" s="352"/>
      <c r="E145" s="352"/>
      <c r="F145" s="352"/>
      <c r="G145" s="352"/>
      <c r="H145" s="352"/>
      <c r="I145" s="352"/>
      <c r="J145" s="352"/>
      <c r="K145" s="352"/>
      <c r="L145" s="354"/>
    </row>
    <row r="146" spans="1:12" s="355" customFormat="1" ht="15" customHeight="1" x14ac:dyDescent="0.3">
      <c r="A146" s="352"/>
      <c r="B146" s="418" t="s">
        <v>103</v>
      </c>
      <c r="C146" s="352"/>
      <c r="D146" s="352"/>
      <c r="E146" s="352"/>
      <c r="F146" s="352"/>
      <c r="G146" s="352"/>
      <c r="H146" s="352"/>
      <c r="I146" s="352"/>
      <c r="J146" s="352"/>
      <c r="K146" s="352"/>
      <c r="L146" s="354"/>
    </row>
    <row r="147" spans="1:12" s="355" customFormat="1" ht="15" customHeight="1" x14ac:dyDescent="0.3">
      <c r="A147" s="352"/>
      <c r="B147" s="535" t="s">
        <v>104</v>
      </c>
      <c r="C147" s="535"/>
      <c r="D147" s="535"/>
      <c r="E147" s="535" t="s">
        <v>105</v>
      </c>
      <c r="F147" s="535"/>
      <c r="G147" s="535"/>
      <c r="H147" s="352"/>
      <c r="I147" s="352"/>
      <c r="J147" s="352"/>
      <c r="K147" s="352"/>
      <c r="L147" s="354"/>
    </row>
    <row r="148" spans="1:12" s="355" customFormat="1" ht="15" customHeight="1" x14ac:dyDescent="0.3">
      <c r="A148" s="352"/>
      <c r="B148" s="419"/>
      <c r="C148" s="419"/>
      <c r="D148" s="352"/>
      <c r="E148" s="352"/>
      <c r="F148" s="419"/>
      <c r="G148" s="419"/>
      <c r="H148" s="352"/>
      <c r="I148" s="352"/>
      <c r="J148" s="352"/>
      <c r="K148" s="352"/>
      <c r="L148" s="354"/>
    </row>
    <row r="149" spans="1:12" s="355" customFormat="1" ht="15" customHeight="1" x14ac:dyDescent="0.3">
      <c r="A149" s="352"/>
      <c r="B149" s="352"/>
      <c r="C149" s="420" t="s">
        <v>106</v>
      </c>
      <c r="D149" s="421">
        <v>0</v>
      </c>
      <c r="E149" s="422"/>
      <c r="F149" s="420" t="s">
        <v>107</v>
      </c>
      <c r="G149" s="421">
        <f>+C126*C127*C123*1*(2/3)*D149/C124</f>
        <v>0</v>
      </c>
      <c r="H149" s="422"/>
      <c r="I149" s="352"/>
      <c r="J149" s="352"/>
      <c r="K149" s="352"/>
      <c r="L149" s="354"/>
    </row>
    <row r="150" spans="1:12" s="355" customFormat="1" ht="15" customHeight="1" x14ac:dyDescent="0.3">
      <c r="A150" s="352"/>
      <c r="B150" s="420"/>
      <c r="C150" s="397"/>
      <c r="D150" s="423"/>
      <c r="E150" s="420"/>
      <c r="F150" s="397"/>
      <c r="G150" s="423"/>
      <c r="H150" s="352"/>
      <c r="I150" s="352"/>
      <c r="J150" s="352"/>
      <c r="K150" s="352"/>
      <c r="L150" s="354"/>
    </row>
    <row r="151" spans="1:12" s="355" customFormat="1" ht="15" customHeight="1" x14ac:dyDescent="0.3">
      <c r="A151" s="352"/>
      <c r="B151" s="420"/>
      <c r="C151" s="397"/>
      <c r="D151" s="423"/>
      <c r="E151" s="420"/>
      <c r="F151" s="397"/>
      <c r="G151" s="423"/>
      <c r="H151" s="352"/>
      <c r="I151" s="352"/>
      <c r="J151" s="352"/>
      <c r="K151" s="352"/>
      <c r="L151" s="354"/>
    </row>
    <row r="152" spans="1:12" s="355" customFormat="1" ht="15" customHeight="1" x14ac:dyDescent="0.3">
      <c r="A152" s="352"/>
      <c r="B152" s="420"/>
      <c r="C152" s="397"/>
      <c r="D152" s="423"/>
      <c r="E152" s="420"/>
      <c r="F152" s="397"/>
      <c r="G152" s="423"/>
      <c r="H152" s="352"/>
      <c r="I152" s="352"/>
      <c r="J152" s="352"/>
      <c r="K152" s="352"/>
      <c r="L152" s="354"/>
    </row>
    <row r="153" spans="1:12" s="355" customFormat="1" ht="15" customHeight="1" x14ac:dyDescent="0.3">
      <c r="A153" s="352"/>
      <c r="B153" s="420"/>
      <c r="C153" s="397"/>
      <c r="D153" s="423"/>
      <c r="E153" s="420"/>
      <c r="F153" s="397"/>
      <c r="G153" s="423"/>
      <c r="H153" s="352"/>
      <c r="I153" s="352"/>
      <c r="J153" s="352"/>
      <c r="K153" s="352"/>
      <c r="L153" s="354"/>
    </row>
    <row r="154" spans="1:12" s="355" customFormat="1" ht="15" customHeight="1" x14ac:dyDescent="0.3">
      <c r="A154" s="352"/>
      <c r="B154" s="420"/>
      <c r="C154" s="397"/>
      <c r="D154" s="423"/>
      <c r="E154" s="420"/>
      <c r="F154" s="424"/>
      <c r="G154" s="423"/>
      <c r="H154" s="352"/>
      <c r="I154" s="352"/>
      <c r="J154" s="352"/>
      <c r="K154" s="352"/>
      <c r="L154" s="354"/>
    </row>
    <row r="155" spans="1:12" s="355" customFormat="1" ht="15" customHeight="1" x14ac:dyDescent="0.3">
      <c r="A155" s="352"/>
      <c r="B155" s="420" t="s">
        <v>108</v>
      </c>
      <c r="C155" s="421">
        <f>+E8*E39</f>
        <v>1900</v>
      </c>
      <c r="D155" s="425"/>
      <c r="E155" s="420" t="s">
        <v>109</v>
      </c>
      <c r="F155" s="421">
        <f>+C126*C127*C123*1*(2/3)*C155/C124</f>
        <v>261.25</v>
      </c>
      <c r="G155" s="425"/>
      <c r="H155" s="352"/>
      <c r="I155" s="352"/>
      <c r="J155" s="352"/>
      <c r="K155" s="352"/>
      <c r="L155" s="354"/>
    </row>
    <row r="156" spans="1:12" s="355" customFormat="1" ht="15" customHeight="1" x14ac:dyDescent="0.3">
      <c r="A156" s="352"/>
      <c r="B156" s="352"/>
      <c r="C156" s="426"/>
      <c r="D156" s="426"/>
      <c r="E156" s="352"/>
      <c r="F156" s="426"/>
      <c r="G156" s="426"/>
      <c r="H156" s="352"/>
      <c r="I156" s="352"/>
      <c r="J156" s="352"/>
      <c r="K156" s="352"/>
      <c r="L156" s="354"/>
    </row>
    <row r="157" spans="1:12" s="355" customFormat="1" ht="15" customHeight="1" x14ac:dyDescent="0.3">
      <c r="A157" s="352"/>
      <c r="B157" s="388" t="s">
        <v>110</v>
      </c>
      <c r="C157" s="426"/>
      <c r="D157" s="426"/>
      <c r="E157" s="352"/>
      <c r="F157" s="426"/>
      <c r="G157" s="426"/>
      <c r="H157" s="352"/>
      <c r="I157" s="352"/>
      <c r="J157" s="352"/>
      <c r="K157" s="352"/>
      <c r="L157" s="354"/>
    </row>
    <row r="158" spans="1:12" s="355" customFormat="1" ht="15" customHeight="1" x14ac:dyDescent="0.3">
      <c r="A158" s="352"/>
      <c r="B158" s="352"/>
      <c r="C158" s="426"/>
      <c r="D158" s="426"/>
      <c r="E158" s="352"/>
      <c r="F158" s="426"/>
      <c r="G158" s="426"/>
      <c r="H158" s="352"/>
      <c r="I158" s="352"/>
      <c r="J158" s="352"/>
      <c r="K158" s="352"/>
      <c r="L158" s="354"/>
    </row>
    <row r="159" spans="1:12" s="355" customFormat="1" ht="15" customHeight="1" x14ac:dyDescent="0.3">
      <c r="A159" s="352"/>
      <c r="B159" s="352" t="s">
        <v>111</v>
      </c>
      <c r="C159" s="426"/>
      <c r="D159" s="426"/>
      <c r="E159" s="352"/>
      <c r="F159" s="426"/>
      <c r="G159" s="426"/>
      <c r="H159" s="352"/>
      <c r="I159" s="427">
        <f>+C126*C127*C123*1*(2/3)*(E39*E8)/C124</f>
        <v>261.25</v>
      </c>
      <c r="J159" s="428">
        <f>+-C126*C127*C123*1*(2/3)*(E39)/C124</f>
        <v>-137.5</v>
      </c>
      <c r="K159" s="352"/>
      <c r="L159" s="354"/>
    </row>
    <row r="160" spans="1:12" s="355" customFormat="1" ht="15" customHeight="1" x14ac:dyDescent="0.3">
      <c r="A160" s="352"/>
      <c r="B160" s="352"/>
      <c r="C160" s="426"/>
      <c r="D160" s="426"/>
      <c r="E160" s="352"/>
      <c r="F160" s="426"/>
      <c r="G160" s="426"/>
      <c r="H160" s="352"/>
      <c r="I160" s="352"/>
      <c r="J160" s="352"/>
      <c r="K160" s="352"/>
      <c r="L160" s="354"/>
    </row>
    <row r="161" spans="1:12" s="355" customFormat="1" ht="15" customHeight="1" x14ac:dyDescent="0.3">
      <c r="A161" s="352"/>
      <c r="B161" s="352" t="s">
        <v>112</v>
      </c>
      <c r="C161" s="426"/>
      <c r="D161" s="426"/>
      <c r="E161" s="352"/>
      <c r="F161" s="426"/>
      <c r="G161" s="426"/>
      <c r="H161" s="352"/>
      <c r="I161" s="429">
        <f>+C126*C123*C127*(G103/C124)*C58*E38*E12*E6</f>
        <v>373.1988322879007</v>
      </c>
      <c r="J161" s="352"/>
      <c r="K161" s="352"/>
      <c r="L161" s="354"/>
    </row>
    <row r="162" spans="1:12" s="355" customFormat="1" ht="15" customHeight="1" x14ac:dyDescent="0.3">
      <c r="A162" s="352"/>
      <c r="B162" s="352"/>
      <c r="C162" s="426"/>
      <c r="D162" s="426"/>
      <c r="E162" s="352"/>
      <c r="F162" s="426"/>
      <c r="G162" s="426"/>
      <c r="H162" s="352"/>
      <c r="I162" s="397"/>
      <c r="J162" s="352"/>
      <c r="K162" s="352"/>
      <c r="L162" s="354"/>
    </row>
    <row r="163" spans="1:12" s="355" customFormat="1" ht="15" customHeight="1" x14ac:dyDescent="0.3">
      <c r="A163" s="352"/>
      <c r="B163" s="352" t="s">
        <v>113</v>
      </c>
      <c r="C163" s="426"/>
      <c r="D163" s="426"/>
      <c r="E163" s="352"/>
      <c r="F163" s="426"/>
      <c r="G163" s="426"/>
      <c r="H163" s="352"/>
      <c r="I163" s="430">
        <f>+((C134)/(2*E8^2))*(4*E8-6*G116)</f>
        <v>2039.6975551303783</v>
      </c>
      <c r="J163" s="428">
        <f>+-((C134)/(2*E8^3))*(6*E8-12*G116)</f>
        <v>-925.67427651678031</v>
      </c>
      <c r="K163" s="352"/>
      <c r="L163" s="354"/>
    </row>
    <row r="164" spans="1:12" s="355" customFormat="1" ht="15" customHeight="1" x14ac:dyDescent="0.3">
      <c r="A164" s="352"/>
      <c r="B164" s="352"/>
      <c r="C164" s="426"/>
      <c r="D164" s="426"/>
      <c r="E164" s="352"/>
      <c r="F164" s="426"/>
      <c r="G164" s="426"/>
      <c r="H164" s="352"/>
      <c r="I164" s="352"/>
      <c r="J164" s="352"/>
      <c r="K164" s="352"/>
      <c r="L164" s="354"/>
    </row>
    <row r="165" spans="1:12" s="355" customFormat="1" ht="15" customHeight="1" x14ac:dyDescent="0.3">
      <c r="A165" s="352"/>
      <c r="B165" s="352" t="s">
        <v>114</v>
      </c>
      <c r="C165" s="426"/>
      <c r="D165" s="426"/>
      <c r="E165" s="352"/>
      <c r="F165" s="426"/>
      <c r="G165" s="426"/>
      <c r="H165" s="352"/>
      <c r="I165" s="430">
        <f>+((C136)/(2*E8^2))*(4*E8-6*G118)</f>
        <v>47.654670436240608</v>
      </c>
      <c r="J165" s="428">
        <f>+-((C136)/(2*E8^3))*(6*E8-12*G118)</f>
        <v>545.52056946749076</v>
      </c>
      <c r="K165" s="352"/>
      <c r="L165" s="354"/>
    </row>
    <row r="166" spans="1:12" s="355" customFormat="1" ht="15" customHeight="1" x14ac:dyDescent="0.3">
      <c r="A166" s="352"/>
      <c r="B166" s="352"/>
      <c r="C166" s="426"/>
      <c r="D166" s="426"/>
      <c r="E166" s="352"/>
      <c r="F166" s="426"/>
      <c r="G166" s="426"/>
      <c r="H166" s="352"/>
      <c r="I166" s="352"/>
      <c r="J166" s="352"/>
      <c r="K166" s="352"/>
      <c r="L166" s="354"/>
    </row>
    <row r="167" spans="1:12" s="355" customFormat="1" ht="15" customHeight="1" x14ac:dyDescent="0.3">
      <c r="A167" s="352"/>
      <c r="B167" s="388" t="s">
        <v>115</v>
      </c>
      <c r="C167" s="426"/>
      <c r="D167" s="426"/>
      <c r="E167" s="352"/>
      <c r="F167" s="426"/>
      <c r="G167" s="426"/>
      <c r="H167" s="352"/>
      <c r="I167" s="352"/>
      <c r="J167" s="352"/>
      <c r="K167" s="352"/>
      <c r="L167" s="354"/>
    </row>
    <row r="168" spans="1:12" s="355" customFormat="1" ht="15" customHeight="1" x14ac:dyDescent="0.3">
      <c r="A168" s="352"/>
      <c r="B168" s="381" t="s">
        <v>116</v>
      </c>
      <c r="C168" s="431">
        <f>+E8</f>
        <v>1.9</v>
      </c>
      <c r="D168" s="426"/>
      <c r="E168" s="352"/>
      <c r="F168" s="426"/>
      <c r="G168" s="426"/>
      <c r="H168" s="381" t="s">
        <v>117</v>
      </c>
      <c r="I168" s="352"/>
      <c r="J168" s="352"/>
      <c r="K168" s="352"/>
      <c r="L168" s="354"/>
    </row>
    <row r="169" spans="1:12" s="355" customFormat="1" ht="15" customHeight="1" x14ac:dyDescent="0.3">
      <c r="A169" s="352"/>
      <c r="B169" s="381" t="s">
        <v>118</v>
      </c>
      <c r="C169" s="431">
        <v>0</v>
      </c>
      <c r="D169" s="426"/>
      <c r="E169" s="352"/>
      <c r="F169" s="426"/>
      <c r="G169" s="426"/>
      <c r="H169" s="352"/>
      <c r="I169" s="352"/>
      <c r="J169" s="352"/>
      <c r="K169" s="352"/>
      <c r="L169" s="354"/>
    </row>
    <row r="170" spans="1:12" s="355" customFormat="1" ht="15" customHeight="1" x14ac:dyDescent="0.3">
      <c r="A170" s="352"/>
      <c r="B170" s="352" t="s">
        <v>111</v>
      </c>
      <c r="C170" s="426"/>
      <c r="D170" s="426"/>
      <c r="E170" s="352"/>
      <c r="F170" s="426"/>
      <c r="G170" s="426"/>
      <c r="H170" s="352"/>
      <c r="I170" s="427">
        <f>+C126*C127*C123*1*(2/3)*(E39*E8)/C124</f>
        <v>261.25</v>
      </c>
      <c r="J170" s="428">
        <f>+-C126*C127*C123*1*(2/3)*(E39)/C124</f>
        <v>-137.5</v>
      </c>
      <c r="K170" s="352"/>
      <c r="L170" s="354"/>
    </row>
    <row r="171" spans="1:12" s="355" customFormat="1" ht="15" customHeight="1" x14ac:dyDescent="0.3">
      <c r="A171" s="352"/>
      <c r="B171" s="352"/>
      <c r="C171" s="426"/>
      <c r="D171" s="426"/>
      <c r="E171" s="352"/>
      <c r="F171" s="426"/>
      <c r="G171" s="426"/>
      <c r="H171" s="352"/>
      <c r="I171" s="352"/>
      <c r="J171" s="352"/>
      <c r="K171" s="352"/>
      <c r="L171" s="354"/>
    </row>
    <row r="172" spans="1:12" s="355" customFormat="1" ht="15" customHeight="1" x14ac:dyDescent="0.3">
      <c r="A172" s="352"/>
      <c r="B172" s="352" t="s">
        <v>119</v>
      </c>
      <c r="C172" s="426"/>
      <c r="D172" s="426"/>
      <c r="E172" s="352"/>
      <c r="F172" s="426"/>
      <c r="G172" s="426"/>
      <c r="H172" s="352"/>
      <c r="I172" s="427">
        <f>+I161/E6</f>
        <v>148.5</v>
      </c>
      <c r="J172" s="352"/>
      <c r="K172" s="352"/>
      <c r="L172" s="354"/>
    </row>
    <row r="173" spans="1:12" s="355" customFormat="1" ht="15" customHeight="1" x14ac:dyDescent="0.3">
      <c r="A173" s="352"/>
      <c r="B173" s="352"/>
      <c r="C173" s="426"/>
      <c r="D173" s="426"/>
      <c r="E173" s="352"/>
      <c r="F173" s="426"/>
      <c r="G173" s="426"/>
      <c r="H173" s="352"/>
      <c r="I173" s="352"/>
      <c r="J173" s="352"/>
      <c r="K173" s="352"/>
      <c r="L173" s="354"/>
    </row>
    <row r="174" spans="1:12" s="355" customFormat="1" ht="15" customHeight="1" x14ac:dyDescent="0.3">
      <c r="A174" s="352"/>
      <c r="B174" s="352" t="s">
        <v>120</v>
      </c>
      <c r="C174" s="426"/>
      <c r="D174" s="426"/>
      <c r="E174" s="352"/>
      <c r="F174" s="426"/>
      <c r="G174" s="426"/>
      <c r="H174" s="352"/>
      <c r="I174" s="427">
        <f>+((C134)/(2*E8^2))*(4*E8-6*G116)/E6</f>
        <v>811.61852806440629</v>
      </c>
      <c r="J174" s="428">
        <f>+-((C134)/(2*E8^3))*(6*E8-12*G116)/E6</f>
        <v>-368.33617409793408</v>
      </c>
      <c r="K174" s="352"/>
      <c r="L174" s="354"/>
    </row>
    <row r="175" spans="1:12" s="355" customFormat="1" ht="15" customHeight="1" x14ac:dyDescent="0.3">
      <c r="A175" s="352"/>
      <c r="B175" s="352"/>
      <c r="C175" s="426"/>
      <c r="D175" s="426"/>
      <c r="E175" s="352"/>
      <c r="F175" s="426"/>
      <c r="G175" s="426"/>
      <c r="H175" s="352"/>
      <c r="I175" s="352"/>
      <c r="J175" s="352"/>
      <c r="K175" s="352"/>
      <c r="L175" s="354"/>
    </row>
    <row r="176" spans="1:12" s="355" customFormat="1" ht="15" customHeight="1" x14ac:dyDescent="0.3">
      <c r="A176" s="352"/>
      <c r="B176" s="352" t="s">
        <v>121</v>
      </c>
      <c r="C176" s="352"/>
      <c r="D176" s="352"/>
      <c r="E176" s="352"/>
      <c r="F176" s="352"/>
      <c r="G176" s="352"/>
      <c r="H176" s="352"/>
      <c r="I176" s="427">
        <f>+((C136)/(2*E8^2))*(4*E8-6*G118)/E6</f>
        <v>18.962327712543495</v>
      </c>
      <c r="J176" s="428">
        <f>+-((C136)/(2*E8^3))*(6*E8-12*G118)/E6</f>
        <v>217.0687514462214</v>
      </c>
      <c r="K176" s="352"/>
      <c r="L176" s="354"/>
    </row>
    <row r="177" spans="1:12" s="355" customFormat="1" ht="15" customHeight="1" x14ac:dyDescent="0.3">
      <c r="A177" s="352"/>
      <c r="B177" s="352"/>
      <c r="C177" s="352"/>
      <c r="D177" s="352"/>
      <c r="E177" s="352"/>
      <c r="F177" s="352"/>
      <c r="G177" s="352"/>
      <c r="H177" s="352"/>
      <c r="I177" s="352"/>
      <c r="J177" s="352"/>
      <c r="K177" s="352"/>
      <c r="L177" s="354"/>
    </row>
    <row r="178" spans="1:12" s="355" customFormat="1" ht="15" customHeight="1" x14ac:dyDescent="0.3">
      <c r="A178" s="352"/>
      <c r="B178" s="388" t="s">
        <v>122</v>
      </c>
      <c r="C178" s="352"/>
      <c r="D178" s="352"/>
      <c r="E178" s="352"/>
      <c r="F178" s="352"/>
      <c r="G178" s="352"/>
      <c r="H178" s="352"/>
      <c r="I178" s="352"/>
      <c r="J178" s="352"/>
      <c r="K178" s="352"/>
      <c r="L178" s="354"/>
    </row>
    <row r="179" spans="1:12" s="355" customFormat="1" ht="15" customHeight="1" x14ac:dyDescent="0.3">
      <c r="A179" s="352"/>
      <c r="B179" s="388"/>
      <c r="C179" s="352"/>
      <c r="D179" s="352"/>
      <c r="E179" s="352"/>
      <c r="F179" s="352"/>
      <c r="G179" s="352"/>
      <c r="H179" s="352"/>
      <c r="I179" s="352"/>
      <c r="J179" s="352"/>
      <c r="K179" s="352"/>
      <c r="L179" s="354"/>
    </row>
    <row r="180" spans="1:12" s="355" customFormat="1" ht="15" customHeight="1" x14ac:dyDescent="0.3">
      <c r="A180" s="352"/>
      <c r="B180" s="381" t="s">
        <v>123</v>
      </c>
      <c r="C180" s="432">
        <f>+G114*C130</f>
        <v>5483.244684671743</v>
      </c>
      <c r="D180" s="352"/>
      <c r="E180" s="352"/>
      <c r="F180" s="352"/>
      <c r="G180" s="352"/>
      <c r="H180" s="352"/>
      <c r="I180" s="352"/>
      <c r="J180" s="352"/>
      <c r="K180" s="352"/>
      <c r="L180" s="354"/>
    </row>
    <row r="181" spans="1:12" s="355" customFormat="1" ht="15" customHeight="1" x14ac:dyDescent="0.3">
      <c r="A181" s="352"/>
      <c r="B181" s="381" t="s">
        <v>124</v>
      </c>
      <c r="C181" s="432">
        <f>+G115*C132</f>
        <v>4086.7875376753304</v>
      </c>
      <c r="D181" s="352"/>
      <c r="E181" s="352"/>
      <c r="F181" s="352"/>
      <c r="G181" s="352"/>
      <c r="H181" s="352"/>
      <c r="I181" s="352"/>
      <c r="J181" s="352"/>
      <c r="K181" s="352"/>
      <c r="L181" s="354"/>
    </row>
    <row r="182" spans="1:12" s="355" customFormat="1" ht="15" customHeight="1" x14ac:dyDescent="0.3">
      <c r="A182" s="352"/>
      <c r="B182" s="381" t="s">
        <v>125</v>
      </c>
      <c r="C182" s="432">
        <f>+G116*C134</f>
        <v>3130.5082656016002</v>
      </c>
      <c r="D182" s="363"/>
      <c r="E182" s="352"/>
      <c r="F182" s="352"/>
      <c r="G182" s="352"/>
      <c r="H182" s="352"/>
      <c r="I182" s="352"/>
      <c r="J182" s="352"/>
      <c r="K182" s="352"/>
      <c r="L182" s="354"/>
    </row>
    <row r="183" spans="1:12" s="355" customFormat="1" ht="15" customHeight="1" x14ac:dyDescent="0.3">
      <c r="A183" s="352"/>
      <c r="B183" s="381" t="s">
        <v>126</v>
      </c>
      <c r="C183" s="432">
        <f>+G118*C136</f>
        <v>2666.5170842598409</v>
      </c>
      <c r="D183" s="363"/>
      <c r="E183" s="352"/>
      <c r="F183" s="352"/>
      <c r="G183" s="352"/>
      <c r="H183" s="352"/>
      <c r="I183" s="352"/>
      <c r="J183" s="352"/>
      <c r="K183" s="352"/>
      <c r="L183" s="354"/>
    </row>
    <row r="184" spans="1:12" s="355" customFormat="1" ht="15" customHeight="1" x14ac:dyDescent="0.3">
      <c r="A184" s="352"/>
      <c r="B184" s="417" t="s">
        <v>127</v>
      </c>
      <c r="C184" s="432">
        <f>SQRT((C180+C181+C182)^2+C183^2)</f>
        <v>12977.443586726669</v>
      </c>
      <c r="D184" s="433" t="s">
        <v>128</v>
      </c>
      <c r="E184" s="352"/>
      <c r="F184" s="352"/>
      <c r="G184" s="352"/>
      <c r="H184" s="352"/>
      <c r="I184" s="352"/>
      <c r="J184" s="352"/>
      <c r="K184" s="352"/>
      <c r="L184" s="354"/>
    </row>
    <row r="185" spans="1:12" s="355" customFormat="1" ht="15" customHeight="1" x14ac:dyDescent="0.3">
      <c r="A185" s="352"/>
      <c r="B185" s="417"/>
      <c r="C185" s="357"/>
      <c r="D185" s="352"/>
      <c r="E185" s="352"/>
      <c r="F185" s="352"/>
      <c r="G185" s="352"/>
      <c r="H185" s="352"/>
      <c r="I185" s="352"/>
      <c r="J185" s="352"/>
      <c r="K185" s="352"/>
      <c r="L185" s="354"/>
    </row>
    <row r="186" spans="1:12" s="355" customFormat="1" ht="15" customHeight="1" x14ac:dyDescent="0.3">
      <c r="A186" s="352"/>
      <c r="B186" s="388" t="s">
        <v>129</v>
      </c>
      <c r="C186" s="352"/>
      <c r="D186" s="352"/>
      <c r="E186" s="352"/>
      <c r="F186" s="352"/>
      <c r="G186" s="352"/>
      <c r="H186" s="352"/>
      <c r="I186" s="352"/>
      <c r="J186" s="352"/>
      <c r="K186" s="352"/>
      <c r="L186" s="354"/>
    </row>
    <row r="187" spans="1:12" s="355" customFormat="1" ht="15" customHeight="1" x14ac:dyDescent="0.3">
      <c r="A187" s="352"/>
      <c r="B187" s="388"/>
      <c r="C187" s="352"/>
      <c r="D187" s="352"/>
      <c r="E187" s="352"/>
      <c r="F187" s="352"/>
      <c r="G187" s="352"/>
      <c r="H187" s="352"/>
      <c r="I187" s="352"/>
      <c r="J187" s="352"/>
      <c r="K187" s="352"/>
      <c r="L187" s="354"/>
    </row>
    <row r="188" spans="1:12" s="355" customFormat="1" ht="15" customHeight="1" x14ac:dyDescent="0.3">
      <c r="A188" s="352"/>
      <c r="B188" s="381" t="s">
        <v>123</v>
      </c>
      <c r="C188" s="432">
        <f>+G114*C130</f>
        <v>5483.244684671743</v>
      </c>
      <c r="D188" s="352"/>
      <c r="E188" s="352"/>
      <c r="F188" s="352"/>
      <c r="G188" s="352"/>
      <c r="H188" s="352"/>
      <c r="I188" s="352"/>
      <c r="J188" s="352"/>
      <c r="K188" s="352"/>
      <c r="L188" s="354"/>
    </row>
    <row r="189" spans="1:12" s="355" customFormat="1" ht="15" customHeight="1" x14ac:dyDescent="0.3">
      <c r="A189" s="352"/>
      <c r="B189" s="381" t="s">
        <v>124</v>
      </c>
      <c r="C189" s="432">
        <f>+G115*C132</f>
        <v>4086.7875376753304</v>
      </c>
      <c r="D189" s="352"/>
      <c r="E189" s="352"/>
      <c r="F189" s="352"/>
      <c r="G189" s="352"/>
      <c r="H189" s="352"/>
      <c r="I189" s="352"/>
      <c r="J189" s="352"/>
      <c r="K189" s="352"/>
      <c r="L189" s="354"/>
    </row>
    <row r="190" spans="1:12" s="355" customFormat="1" ht="15" customHeight="1" x14ac:dyDescent="0.3">
      <c r="A190" s="352"/>
      <c r="B190" s="381" t="s">
        <v>130</v>
      </c>
      <c r="C190" s="432">
        <f>+G117*C134</f>
        <v>4830.9479393234078</v>
      </c>
      <c r="D190" s="363"/>
      <c r="E190" s="352"/>
      <c r="F190" s="352"/>
      <c r="G190" s="352"/>
      <c r="H190" s="352"/>
      <c r="I190" s="352"/>
      <c r="J190" s="352"/>
      <c r="K190" s="352"/>
      <c r="L190" s="354"/>
    </row>
    <row r="191" spans="1:12" s="355" customFormat="1" ht="15" customHeight="1" x14ac:dyDescent="0.3">
      <c r="A191" s="352"/>
      <c r="B191" s="381" t="s">
        <v>131</v>
      </c>
      <c r="C191" s="432">
        <f>+G119*C136</f>
        <v>2989.0796347751439</v>
      </c>
      <c r="D191" s="363"/>
      <c r="E191" s="352"/>
      <c r="F191" s="352"/>
      <c r="G191" s="352"/>
      <c r="H191" s="352"/>
      <c r="I191" s="352"/>
      <c r="J191" s="352"/>
      <c r="K191" s="352"/>
      <c r="L191" s="354"/>
    </row>
    <row r="192" spans="1:12" s="355" customFormat="1" ht="15" customHeight="1" x14ac:dyDescent="0.3">
      <c r="A192" s="352"/>
      <c r="B192" s="417" t="s">
        <v>132</v>
      </c>
      <c r="C192" s="432">
        <f>SQRT((C188+C189+C190)^2+C191^2)</f>
        <v>14707.917142813061</v>
      </c>
      <c r="D192" s="433" t="s">
        <v>133</v>
      </c>
      <c r="E192" s="352"/>
      <c r="F192" s="352"/>
      <c r="G192" s="352"/>
      <c r="H192" s="352"/>
      <c r="I192" s="352"/>
      <c r="J192" s="352"/>
      <c r="K192" s="352"/>
      <c r="L192" s="354"/>
    </row>
    <row r="193" spans="1:12" s="355" customFormat="1" ht="15" customHeight="1" x14ac:dyDescent="0.3">
      <c r="A193" s="352"/>
      <c r="B193" s="417"/>
      <c r="C193" s="357"/>
      <c r="D193" s="352"/>
      <c r="E193" s="352"/>
      <c r="F193" s="352"/>
      <c r="G193" s="352"/>
      <c r="H193" s="352"/>
      <c r="I193" s="352"/>
      <c r="J193" s="352"/>
      <c r="K193" s="352"/>
      <c r="L193" s="354"/>
    </row>
    <row r="194" spans="1:12" s="355" customFormat="1" ht="15" customHeight="1" x14ac:dyDescent="0.3">
      <c r="A194" s="352"/>
      <c r="B194" s="434" t="s">
        <v>134</v>
      </c>
      <c r="C194" s="357"/>
      <c r="D194" s="352"/>
      <c r="E194" s="352"/>
      <c r="F194" s="352"/>
      <c r="G194" s="352"/>
      <c r="H194" s="352"/>
      <c r="I194" s="352"/>
      <c r="J194" s="352"/>
      <c r="K194" s="352"/>
      <c r="L194" s="354"/>
    </row>
    <row r="195" spans="1:12" s="355" customFormat="1" ht="15" customHeight="1" x14ac:dyDescent="0.3">
      <c r="A195" s="352"/>
      <c r="B195" s="417" t="s">
        <v>132</v>
      </c>
      <c r="C195" s="432">
        <f>+C192</f>
        <v>14707.917142813061</v>
      </c>
      <c r="D195" s="352"/>
      <c r="E195" s="352"/>
      <c r="F195" s="435"/>
      <c r="G195" s="352"/>
      <c r="H195" s="352"/>
      <c r="I195" s="352"/>
      <c r="J195" s="352"/>
      <c r="K195" s="352"/>
      <c r="L195" s="354"/>
    </row>
    <row r="196" spans="1:12" s="355" customFormat="1" ht="15" customHeight="1" x14ac:dyDescent="0.3">
      <c r="A196" s="352"/>
      <c r="B196" s="417" t="s">
        <v>135</v>
      </c>
      <c r="C196" s="432">
        <f>(G68+G69+G70+E38*E16*((E6+2*E12+2*E18)*(E7+2*E12+2*E18)))*0.5*E6</f>
        <v>35180.105422460001</v>
      </c>
      <c r="D196" s="352"/>
      <c r="E196" s="436">
        <f>ROUND(C196/$C$192,1)</f>
        <v>2.4</v>
      </c>
      <c r="F196" s="437" t="str">
        <f>IF($I$197&lt;=E196,"Cumple","ERROR")</f>
        <v>Cumple</v>
      </c>
      <c r="G196" s="352"/>
      <c r="H196" s="352"/>
      <c r="I196" s="352"/>
      <c r="J196" s="352"/>
      <c r="K196" s="352"/>
      <c r="L196" s="354"/>
    </row>
    <row r="197" spans="1:12" s="355" customFormat="1" ht="15" customHeight="1" x14ac:dyDescent="0.3">
      <c r="A197" s="352"/>
      <c r="B197" s="417" t="s">
        <v>136</v>
      </c>
      <c r="C197" s="432">
        <f>(G68+G69+G70+E38*E16*((E6+2*E12+2*E18)*(E7+2*E12+2*E18)))*0.5*E7</f>
        <v>35180.105422460001</v>
      </c>
      <c r="D197" s="352"/>
      <c r="E197" s="436">
        <f>ROUND(C197/$C$192,1)</f>
        <v>2.4</v>
      </c>
      <c r="F197" s="437" t="str">
        <f>IF($I$197&lt;=E197,"Cumple","ERROR")</f>
        <v>Cumple</v>
      </c>
      <c r="G197" s="352"/>
      <c r="H197" s="381" t="s">
        <v>137</v>
      </c>
      <c r="I197" s="438">
        <v>1.5</v>
      </c>
      <c r="J197" s="352"/>
      <c r="K197" s="352"/>
      <c r="L197" s="354"/>
    </row>
    <row r="198" spans="1:12" s="355" customFormat="1" ht="15" customHeight="1" x14ac:dyDescent="0.3">
      <c r="A198" s="352"/>
      <c r="B198" s="417"/>
      <c r="C198" s="357"/>
      <c r="D198" s="352"/>
      <c r="E198" s="352"/>
      <c r="F198" s="352"/>
      <c r="G198" s="352"/>
      <c r="H198" s="352"/>
      <c r="I198" s="352"/>
      <c r="J198" s="352"/>
      <c r="K198" s="352"/>
      <c r="L198" s="354"/>
    </row>
    <row r="199" spans="1:12" s="355" customFormat="1" ht="15" customHeight="1" x14ac:dyDescent="0.3">
      <c r="A199" s="352"/>
      <c r="B199" s="388" t="s">
        <v>138</v>
      </c>
      <c r="C199" s="352"/>
      <c r="D199" s="352"/>
      <c r="E199" s="352"/>
      <c r="F199" s="352"/>
      <c r="G199" s="352"/>
      <c r="H199" s="352"/>
      <c r="I199" s="352"/>
      <c r="J199" s="352"/>
      <c r="K199" s="352"/>
      <c r="L199" s="354"/>
    </row>
    <row r="200" spans="1:12" s="355" customFormat="1" ht="15" customHeight="1" x14ac:dyDescent="0.3">
      <c r="A200" s="352"/>
      <c r="B200" s="439" t="s">
        <v>139</v>
      </c>
      <c r="C200" s="352"/>
      <c r="D200" s="352"/>
      <c r="E200" s="352"/>
      <c r="F200" s="352"/>
      <c r="G200" s="352"/>
      <c r="H200" s="352"/>
      <c r="I200" s="352"/>
      <c r="J200" s="352"/>
      <c r="K200" s="352"/>
      <c r="L200" s="354"/>
    </row>
    <row r="201" spans="1:12" s="355" customFormat="1" ht="15" customHeight="1" x14ac:dyDescent="0.3">
      <c r="A201" s="352"/>
      <c r="B201" s="352" t="s">
        <v>140</v>
      </c>
      <c r="C201" s="352"/>
      <c r="D201" s="352"/>
      <c r="E201" s="381"/>
      <c r="F201" s="363"/>
      <c r="G201" s="352"/>
      <c r="H201" s="352"/>
      <c r="I201" s="352"/>
      <c r="J201" s="352"/>
      <c r="K201" s="352"/>
      <c r="L201" s="354"/>
    </row>
    <row r="202" spans="1:12" s="355" customFormat="1" ht="15" customHeight="1" x14ac:dyDescent="0.3">
      <c r="A202" s="352"/>
      <c r="B202" s="352"/>
      <c r="C202" s="352"/>
      <c r="D202" s="352"/>
      <c r="E202" s="381"/>
      <c r="F202" s="363"/>
      <c r="G202" s="352"/>
      <c r="H202" s="352"/>
      <c r="I202" s="352"/>
      <c r="J202" s="352"/>
      <c r="K202" s="352"/>
      <c r="L202" s="354"/>
    </row>
    <row r="203" spans="1:12" s="355" customFormat="1" ht="15" customHeight="1" x14ac:dyDescent="0.3">
      <c r="A203" s="352"/>
      <c r="B203" s="352" t="s">
        <v>141</v>
      </c>
      <c r="C203" s="352"/>
      <c r="D203" s="352"/>
      <c r="E203" s="352"/>
      <c r="F203" s="363"/>
      <c r="G203" s="352"/>
      <c r="H203" s="352"/>
      <c r="I203" s="352"/>
      <c r="J203" s="352"/>
      <c r="K203" s="352"/>
      <c r="L203" s="354"/>
    </row>
    <row r="204" spans="1:12" s="395" customFormat="1" ht="15" customHeight="1" x14ac:dyDescent="0.3">
      <c r="A204" s="387"/>
      <c r="B204" s="352" t="s">
        <v>142</v>
      </c>
      <c r="C204" s="407"/>
      <c r="D204" s="407"/>
      <c r="E204" s="407"/>
      <c r="F204" s="407"/>
      <c r="G204" s="407"/>
      <c r="H204" s="407"/>
      <c r="I204" s="407"/>
      <c r="J204" s="407"/>
      <c r="K204" s="387"/>
      <c r="L204" s="394"/>
    </row>
    <row r="205" spans="1:12" s="355" customFormat="1" ht="15" customHeight="1" x14ac:dyDescent="0.3">
      <c r="A205" s="352"/>
      <c r="B205" s="352" t="s">
        <v>143</v>
      </c>
      <c r="C205" s="352"/>
      <c r="D205" s="352"/>
      <c r="E205" s="352"/>
      <c r="F205" s="352"/>
      <c r="G205" s="352"/>
      <c r="H205" s="352"/>
      <c r="I205" s="352"/>
      <c r="J205" s="352"/>
      <c r="K205" s="352"/>
      <c r="L205" s="354"/>
    </row>
    <row r="206" spans="1:12" s="355" customFormat="1" ht="15" customHeight="1" x14ac:dyDescent="0.3">
      <c r="A206" s="352"/>
      <c r="B206" s="352"/>
      <c r="C206" s="352"/>
      <c r="D206" s="352"/>
      <c r="E206" s="352"/>
      <c r="F206" s="352"/>
      <c r="G206" s="352"/>
      <c r="H206" s="352"/>
      <c r="I206" s="352"/>
      <c r="J206" s="352"/>
      <c r="K206" s="352"/>
      <c r="L206" s="354"/>
    </row>
    <row r="207" spans="1:12" s="355" customFormat="1" ht="15" customHeight="1" x14ac:dyDescent="0.3">
      <c r="A207" s="352"/>
      <c r="B207" s="352" t="s">
        <v>144</v>
      </c>
      <c r="C207" s="352"/>
      <c r="D207" s="352"/>
      <c r="E207" s="352"/>
      <c r="F207" s="352"/>
      <c r="G207" s="352"/>
      <c r="H207" s="352"/>
      <c r="I207" s="352"/>
      <c r="J207" s="352"/>
      <c r="K207" s="352"/>
      <c r="L207" s="354"/>
    </row>
    <row r="208" spans="1:12" s="355" customFormat="1" ht="15" customHeight="1" x14ac:dyDescent="0.3">
      <c r="A208" s="352"/>
      <c r="B208" s="352"/>
      <c r="C208" s="352"/>
      <c r="D208" s="352"/>
      <c r="E208" s="352"/>
      <c r="F208" s="352"/>
      <c r="G208" s="352"/>
      <c r="H208" s="352"/>
      <c r="I208" s="352"/>
      <c r="J208" s="352"/>
      <c r="K208" s="352"/>
      <c r="L208" s="354"/>
    </row>
    <row r="209" spans="1:18" s="355" customFormat="1" ht="15" customHeight="1" x14ac:dyDescent="0.3">
      <c r="A209" s="352"/>
      <c r="B209" s="352" t="s">
        <v>145</v>
      </c>
      <c r="C209" s="352"/>
      <c r="D209" s="352"/>
      <c r="E209" s="352"/>
      <c r="F209" s="352"/>
      <c r="G209" s="352"/>
      <c r="H209" s="352"/>
      <c r="I209" s="352"/>
      <c r="J209" s="352"/>
      <c r="K209" s="352"/>
      <c r="L209" s="354"/>
    </row>
    <row r="210" spans="1:18" s="355" customFormat="1" ht="15" customHeight="1" x14ac:dyDescent="0.3">
      <c r="A210" s="352"/>
      <c r="B210" s="352"/>
      <c r="C210" s="352"/>
      <c r="D210" s="352"/>
      <c r="E210" s="352"/>
      <c r="F210" s="352"/>
      <c r="G210" s="352"/>
      <c r="H210" s="352"/>
      <c r="I210" s="352"/>
      <c r="J210" s="352"/>
      <c r="K210" s="352"/>
      <c r="L210" s="354"/>
    </row>
    <row r="211" spans="1:18" s="355" customFormat="1" ht="15" customHeight="1" x14ac:dyDescent="0.3">
      <c r="A211" s="352"/>
      <c r="B211" s="440" t="s">
        <v>146</v>
      </c>
      <c r="C211" s="352"/>
      <c r="D211" s="352"/>
      <c r="E211" s="352"/>
      <c r="F211" s="352"/>
      <c r="G211" s="352"/>
      <c r="H211" s="352"/>
      <c r="I211" s="352"/>
      <c r="J211" s="352"/>
      <c r="K211" s="352"/>
      <c r="L211" s="354"/>
    </row>
    <row r="212" spans="1:18" s="355" customFormat="1" ht="15" customHeight="1" x14ac:dyDescent="0.3">
      <c r="A212" s="352"/>
      <c r="B212" s="352"/>
      <c r="C212" s="352"/>
      <c r="D212" s="352"/>
      <c r="E212" s="352"/>
      <c r="F212" s="352"/>
      <c r="G212" s="352"/>
      <c r="H212" s="352"/>
      <c r="I212" s="352"/>
      <c r="J212" s="352"/>
      <c r="K212" s="352"/>
      <c r="L212" s="354"/>
    </row>
    <row r="213" spans="1:18" s="355" customFormat="1" ht="15" customHeight="1" x14ac:dyDescent="0.3">
      <c r="A213" s="352"/>
      <c r="B213" s="352" t="s">
        <v>147</v>
      </c>
      <c r="C213" s="352"/>
      <c r="D213" s="352"/>
      <c r="E213" s="352"/>
      <c r="F213" s="352"/>
      <c r="G213" s="352"/>
      <c r="H213" s="352"/>
      <c r="I213" s="352"/>
      <c r="J213" s="352"/>
      <c r="K213" s="352"/>
      <c r="L213" s="354"/>
    </row>
    <row r="214" spans="1:18" s="355" customFormat="1" ht="15" customHeight="1" x14ac:dyDescent="0.3">
      <c r="A214" s="352"/>
      <c r="B214" s="352"/>
      <c r="C214" s="352"/>
      <c r="D214" s="352"/>
      <c r="E214" s="352"/>
      <c r="F214" s="352"/>
      <c r="G214" s="352"/>
      <c r="H214" s="352"/>
      <c r="I214" s="352"/>
      <c r="J214" s="352"/>
      <c r="K214" s="352"/>
      <c r="L214" s="354"/>
      <c r="N214" s="354"/>
      <c r="P214" s="354"/>
      <c r="Q214" s="441"/>
      <c r="R214" s="441"/>
    </row>
    <row r="215" spans="1:18" s="355" customFormat="1" ht="15" customHeight="1" x14ac:dyDescent="0.3">
      <c r="A215" s="352"/>
      <c r="B215" s="352"/>
      <c r="C215" s="352"/>
      <c r="D215" s="352"/>
      <c r="E215" s="352"/>
      <c r="F215" s="352"/>
      <c r="G215" s="352"/>
      <c r="H215" s="352"/>
      <c r="I215" s="352"/>
      <c r="J215" s="352"/>
      <c r="K215" s="352"/>
      <c r="L215" s="354"/>
      <c r="N215" s="354"/>
      <c r="P215" s="354"/>
      <c r="Q215" s="441"/>
      <c r="R215" s="441"/>
    </row>
    <row r="216" spans="1:18" s="355" customFormat="1" ht="15" customHeight="1" x14ac:dyDescent="0.3">
      <c r="A216" s="352"/>
      <c r="B216" s="352"/>
      <c r="C216" s="352"/>
      <c r="D216" s="352"/>
      <c r="E216" s="352"/>
      <c r="F216" s="352"/>
      <c r="G216" s="352"/>
      <c r="H216" s="352"/>
      <c r="I216" s="352"/>
      <c r="J216" s="352"/>
      <c r="K216" s="352"/>
      <c r="L216" s="354"/>
      <c r="N216" s="354"/>
      <c r="P216" s="354"/>
      <c r="Q216" s="441"/>
      <c r="R216" s="441"/>
    </row>
    <row r="217" spans="1:18" s="355" customFormat="1" ht="15" customHeight="1" x14ac:dyDescent="0.3">
      <c r="A217" s="352"/>
      <c r="B217" s="352"/>
      <c r="C217" s="352"/>
      <c r="D217" s="352"/>
      <c r="E217" s="352"/>
      <c r="F217" s="352"/>
      <c r="G217" s="352"/>
      <c r="H217" s="352"/>
      <c r="I217" s="352"/>
      <c r="J217" s="352"/>
      <c r="K217" s="352"/>
      <c r="L217" s="354"/>
      <c r="N217" s="354"/>
      <c r="P217" s="354"/>
      <c r="Q217" s="441"/>
      <c r="R217" s="441"/>
    </row>
    <row r="218" spans="1:18" s="355" customFormat="1" ht="15" customHeight="1" x14ac:dyDescent="0.3">
      <c r="A218" s="352"/>
      <c r="B218" s="352"/>
      <c r="C218" s="352"/>
      <c r="D218" s="352"/>
      <c r="E218" s="352"/>
      <c r="F218" s="352"/>
      <c r="G218" s="352"/>
      <c r="H218" s="352"/>
      <c r="I218" s="352"/>
      <c r="J218" s="352"/>
      <c r="K218" s="352"/>
      <c r="L218" s="354"/>
    </row>
    <row r="219" spans="1:18" s="355" customFormat="1" ht="15" customHeight="1" x14ac:dyDescent="0.3">
      <c r="A219" s="352"/>
      <c r="B219" s="352"/>
      <c r="C219" s="352"/>
      <c r="D219" s="352"/>
      <c r="E219" s="352"/>
      <c r="F219" s="352"/>
      <c r="G219" s="352"/>
      <c r="H219" s="352"/>
      <c r="I219" s="352"/>
      <c r="J219" s="352"/>
      <c r="K219" s="352"/>
      <c r="L219" s="354"/>
    </row>
    <row r="220" spans="1:18" s="355" customFormat="1" ht="15" customHeight="1" x14ac:dyDescent="0.3">
      <c r="A220" s="352"/>
      <c r="B220" s="352"/>
      <c r="C220" s="352"/>
      <c r="D220" s="352"/>
      <c r="E220" s="352"/>
      <c r="F220" s="352"/>
      <c r="G220" s="352"/>
      <c r="H220" s="352"/>
      <c r="I220" s="352"/>
      <c r="J220" s="352"/>
      <c r="K220" s="352"/>
      <c r="L220" s="354"/>
    </row>
    <row r="221" spans="1:18" s="355" customFormat="1" ht="15" customHeight="1" x14ac:dyDescent="0.3">
      <c r="A221" s="352"/>
      <c r="B221" s="352"/>
      <c r="C221" s="352"/>
      <c r="D221" s="352"/>
      <c r="E221" s="352"/>
      <c r="F221" s="352"/>
      <c r="G221" s="352"/>
      <c r="H221" s="352"/>
      <c r="I221" s="352"/>
      <c r="J221" s="352"/>
      <c r="K221" s="352"/>
      <c r="L221" s="354"/>
    </row>
    <row r="222" spans="1:18" s="355" customFormat="1" ht="15" customHeight="1" x14ac:dyDescent="0.3">
      <c r="A222" s="352"/>
      <c r="B222" s="352"/>
      <c r="C222" s="352"/>
      <c r="D222" s="352"/>
      <c r="E222" s="352"/>
      <c r="F222" s="352"/>
      <c r="G222" s="352"/>
      <c r="H222" s="352"/>
      <c r="I222" s="352"/>
      <c r="J222" s="352"/>
      <c r="K222" s="352"/>
      <c r="L222" s="442"/>
      <c r="M222" s="354"/>
      <c r="O222" s="354"/>
    </row>
    <row r="223" spans="1:18" s="355" customFormat="1" ht="15" customHeight="1" x14ac:dyDescent="0.3">
      <c r="A223" s="352"/>
      <c r="B223" s="352"/>
      <c r="C223" s="352"/>
      <c r="D223" s="352"/>
      <c r="E223" s="352"/>
      <c r="F223" s="352"/>
      <c r="G223" s="352"/>
      <c r="H223" s="352"/>
      <c r="I223" s="352"/>
      <c r="J223" s="352"/>
      <c r="K223" s="352"/>
      <c r="L223" s="442"/>
      <c r="M223" s="354"/>
      <c r="O223" s="354"/>
    </row>
    <row r="224" spans="1:18" s="355" customFormat="1" ht="15" customHeight="1" x14ac:dyDescent="0.3">
      <c r="A224" s="352"/>
      <c r="B224" s="352"/>
      <c r="C224" s="352"/>
      <c r="D224" s="352"/>
      <c r="E224" s="352"/>
      <c r="F224" s="352"/>
      <c r="G224" s="352"/>
      <c r="H224" s="352"/>
      <c r="I224" s="352"/>
      <c r="J224" s="352"/>
      <c r="K224" s="352"/>
      <c r="L224" s="442"/>
      <c r="M224" s="354"/>
      <c r="O224" s="354"/>
    </row>
    <row r="225" spans="1:20" s="355" customFormat="1" ht="15" customHeight="1" x14ac:dyDescent="0.3">
      <c r="A225" s="352"/>
      <c r="B225" s="352"/>
      <c r="C225" s="352"/>
      <c r="D225" s="352"/>
      <c r="E225" s="352"/>
      <c r="F225" s="352"/>
      <c r="G225" s="352"/>
      <c r="H225" s="352"/>
      <c r="I225" s="352"/>
      <c r="J225" s="352"/>
      <c r="K225" s="352"/>
      <c r="L225" s="442"/>
      <c r="M225" s="354"/>
      <c r="O225" s="354"/>
    </row>
    <row r="226" spans="1:20" s="355" customFormat="1" ht="15" customHeight="1" x14ac:dyDescent="0.3">
      <c r="A226" s="352"/>
      <c r="B226" s="352"/>
      <c r="C226" s="352"/>
      <c r="D226" s="352"/>
      <c r="E226" s="352"/>
      <c r="F226" s="352"/>
      <c r="G226" s="352"/>
      <c r="H226" s="352"/>
      <c r="I226" s="352"/>
      <c r="J226" s="352"/>
      <c r="K226" s="352"/>
      <c r="L226" s="354"/>
      <c r="O226" s="354"/>
    </row>
    <row r="227" spans="1:20" s="355" customFormat="1" ht="15" customHeight="1" x14ac:dyDescent="0.3">
      <c r="A227" s="352"/>
      <c r="B227" s="352" t="s">
        <v>148</v>
      </c>
      <c r="C227" s="352"/>
      <c r="D227" s="352"/>
      <c r="E227" s="352"/>
      <c r="F227" s="352"/>
      <c r="G227" s="352"/>
      <c r="H227" s="352"/>
      <c r="I227" s="352"/>
      <c r="J227" s="352"/>
      <c r="K227" s="352"/>
      <c r="L227" s="442"/>
      <c r="M227" s="354"/>
      <c r="N227" s="354"/>
      <c r="O227" s="354"/>
    </row>
    <row r="228" spans="1:20" s="355" customFormat="1" ht="15" customHeight="1" x14ac:dyDescent="0.3">
      <c r="A228" s="352"/>
      <c r="B228" s="352"/>
      <c r="C228" s="352"/>
      <c r="D228" s="352"/>
      <c r="E228" s="352"/>
      <c r="F228" s="352"/>
      <c r="G228" s="352"/>
      <c r="H228" s="352"/>
      <c r="I228" s="352"/>
      <c r="J228" s="352"/>
      <c r="K228" s="352"/>
      <c r="L228" s="442"/>
      <c r="M228" s="354"/>
      <c r="N228" s="354"/>
      <c r="O228" s="354"/>
    </row>
    <row r="229" spans="1:20" s="355" customFormat="1" ht="15" customHeight="1" x14ac:dyDescent="0.3">
      <c r="A229" s="352"/>
      <c r="B229" s="352"/>
      <c r="C229" s="352"/>
      <c r="D229" s="352"/>
      <c r="E229" s="352"/>
      <c r="F229" s="352"/>
      <c r="G229" s="352"/>
      <c r="H229" s="352"/>
      <c r="I229" s="352"/>
      <c r="J229" s="352"/>
      <c r="K229" s="352"/>
      <c r="L229" s="354"/>
      <c r="O229" s="354"/>
    </row>
    <row r="230" spans="1:20" s="355" customFormat="1" ht="15" customHeight="1" x14ac:dyDescent="0.3">
      <c r="A230" s="352"/>
      <c r="B230" s="352"/>
      <c r="C230" s="352"/>
      <c r="D230" s="352"/>
      <c r="E230" s="352"/>
      <c r="F230" s="352"/>
      <c r="G230" s="352"/>
      <c r="H230" s="352"/>
      <c r="I230" s="352"/>
      <c r="J230" s="352"/>
      <c r="K230" s="352"/>
      <c r="L230" s="442"/>
      <c r="M230" s="354"/>
      <c r="N230" s="354"/>
      <c r="O230" s="354"/>
    </row>
    <row r="231" spans="1:20" s="355" customFormat="1" ht="15" customHeight="1" x14ac:dyDescent="0.3">
      <c r="A231" s="352"/>
      <c r="B231" s="352"/>
      <c r="C231" s="352"/>
      <c r="D231" s="352"/>
      <c r="E231" s="352"/>
      <c r="F231" s="352"/>
      <c r="G231" s="352"/>
      <c r="H231" s="352"/>
      <c r="I231" s="352"/>
      <c r="J231" s="352"/>
      <c r="K231" s="352"/>
      <c r="L231" s="442"/>
      <c r="M231" s="354"/>
      <c r="N231" s="354"/>
      <c r="O231" s="354"/>
    </row>
    <row r="232" spans="1:20" s="355" customFormat="1" ht="15" customHeight="1" x14ac:dyDescent="0.3">
      <c r="A232" s="352"/>
      <c r="B232" s="352"/>
      <c r="C232" s="352"/>
      <c r="D232" s="352"/>
      <c r="E232" s="352"/>
      <c r="F232" s="352"/>
      <c r="G232" s="352"/>
      <c r="H232" s="352"/>
      <c r="I232" s="352"/>
      <c r="J232" s="352"/>
      <c r="K232" s="352"/>
      <c r="L232" s="442"/>
      <c r="M232" s="354"/>
      <c r="N232" s="354"/>
      <c r="O232" s="354"/>
    </row>
    <row r="233" spans="1:20" s="355" customFormat="1" ht="15" customHeight="1" x14ac:dyDescent="0.3">
      <c r="A233" s="352"/>
      <c r="B233" s="352"/>
      <c r="C233" s="352"/>
      <c r="D233" s="352"/>
      <c r="E233" s="352"/>
      <c r="F233" s="352"/>
      <c r="G233" s="352"/>
      <c r="H233" s="352"/>
      <c r="I233" s="352"/>
      <c r="J233" s="352"/>
      <c r="K233" s="352"/>
      <c r="L233" s="354"/>
    </row>
    <row r="234" spans="1:20" s="355" customFormat="1" ht="15" customHeight="1" x14ac:dyDescent="0.3">
      <c r="A234" s="352"/>
      <c r="B234" s="352"/>
      <c r="C234" s="352"/>
      <c r="D234" s="352"/>
      <c r="E234" s="352"/>
      <c r="F234" s="352"/>
      <c r="G234" s="352"/>
      <c r="H234" s="352"/>
      <c r="I234" s="352"/>
      <c r="J234" s="352"/>
      <c r="K234" s="352"/>
      <c r="L234" s="442"/>
      <c r="M234" s="354"/>
    </row>
    <row r="235" spans="1:20" s="355" customFormat="1" ht="15" customHeight="1" x14ac:dyDescent="0.3">
      <c r="A235" s="352"/>
      <c r="B235" s="352"/>
      <c r="C235" s="352"/>
      <c r="D235" s="352"/>
      <c r="E235" s="352"/>
      <c r="F235" s="352"/>
      <c r="G235" s="352"/>
      <c r="H235" s="352"/>
      <c r="I235" s="352"/>
      <c r="J235" s="352"/>
      <c r="K235" s="352"/>
      <c r="L235" s="442"/>
    </row>
    <row r="236" spans="1:20" s="355" customFormat="1" ht="15" customHeight="1" x14ac:dyDescent="0.3">
      <c r="A236" s="352"/>
      <c r="B236" s="352"/>
      <c r="C236" s="352"/>
      <c r="D236" s="352"/>
      <c r="E236" s="352"/>
      <c r="F236" s="352"/>
      <c r="G236" s="352"/>
      <c r="H236" s="352"/>
      <c r="I236" s="352"/>
      <c r="J236" s="352"/>
      <c r="K236" s="352"/>
      <c r="L236" s="442"/>
      <c r="O236" s="354"/>
    </row>
    <row r="237" spans="1:20" s="355" customFormat="1" ht="15" customHeight="1" x14ac:dyDescent="0.3">
      <c r="A237" s="352"/>
      <c r="B237" s="352"/>
      <c r="C237" s="352"/>
      <c r="D237" s="352"/>
      <c r="E237" s="352"/>
      <c r="F237" s="352"/>
      <c r="G237" s="352"/>
      <c r="H237" s="352"/>
      <c r="I237" s="352"/>
      <c r="J237" s="352"/>
      <c r="K237" s="352"/>
      <c r="L237" s="443"/>
      <c r="M237" s="444"/>
      <c r="N237" s="444"/>
      <c r="O237" s="444"/>
      <c r="P237" s="444"/>
      <c r="Q237" s="444"/>
      <c r="R237" s="444"/>
      <c r="S237" s="444"/>
      <c r="T237" s="444"/>
    </row>
    <row r="238" spans="1:20" s="355" customFormat="1" ht="15" customHeight="1" x14ac:dyDescent="0.3">
      <c r="A238" s="352"/>
      <c r="B238" s="352"/>
      <c r="C238" s="352"/>
      <c r="D238" s="352"/>
      <c r="E238" s="352"/>
      <c r="F238" s="352"/>
      <c r="G238" s="352"/>
      <c r="H238" s="352"/>
      <c r="I238" s="352"/>
      <c r="J238" s="352"/>
      <c r="K238" s="352"/>
      <c r="L238" s="443"/>
      <c r="M238" s="444"/>
      <c r="N238" s="444"/>
      <c r="O238" s="444"/>
      <c r="P238" s="444"/>
      <c r="Q238" s="444"/>
      <c r="R238" s="444"/>
      <c r="S238" s="444"/>
      <c r="T238" s="444"/>
    </row>
    <row r="239" spans="1:20" s="355" customFormat="1" ht="15" customHeight="1" x14ac:dyDescent="0.3">
      <c r="A239" s="352"/>
      <c r="B239" s="352"/>
      <c r="C239" s="352"/>
      <c r="D239" s="352"/>
      <c r="E239" s="352"/>
      <c r="F239" s="352"/>
      <c r="G239" s="352"/>
      <c r="H239" s="352"/>
      <c r="I239" s="352"/>
      <c r="J239" s="352"/>
      <c r="K239" s="352"/>
      <c r="L239" s="443"/>
      <c r="M239" s="444"/>
      <c r="N239" s="444"/>
      <c r="O239" s="444"/>
      <c r="P239" s="444"/>
      <c r="Q239" s="444"/>
      <c r="R239" s="444"/>
      <c r="S239" s="444"/>
      <c r="T239" s="444"/>
    </row>
    <row r="240" spans="1:20" ht="15" customHeight="1" x14ac:dyDescent="0.25">
      <c r="L240" s="445"/>
      <c r="M240" s="446"/>
      <c r="N240" s="446"/>
      <c r="O240" s="446"/>
      <c r="P240" s="446"/>
      <c r="Q240" s="446"/>
      <c r="R240" s="446"/>
      <c r="S240" s="446"/>
      <c r="T240" s="446"/>
    </row>
    <row r="241" spans="1:20" s="450" customFormat="1" ht="15" customHeight="1" x14ac:dyDescent="0.25">
      <c r="A241" s="447"/>
      <c r="B241" s="440" t="s">
        <v>149</v>
      </c>
      <c r="C241" s="447"/>
      <c r="D241" s="447"/>
      <c r="E241" s="447"/>
      <c r="F241" s="447"/>
      <c r="G241" s="447"/>
      <c r="H241" s="447"/>
      <c r="I241" s="447"/>
      <c r="J241" s="447"/>
      <c r="K241" s="447"/>
      <c r="L241" s="448"/>
      <c r="M241" s="449"/>
      <c r="N241" s="449"/>
      <c r="O241" s="449"/>
      <c r="P241" s="449"/>
      <c r="Q241" s="449"/>
      <c r="R241" s="449"/>
      <c r="S241" s="449"/>
      <c r="T241" s="449"/>
    </row>
    <row r="242" spans="1:20" ht="15" customHeight="1" x14ac:dyDescent="0.3">
      <c r="B242" s="352" t="s">
        <v>150</v>
      </c>
      <c r="L242" s="354"/>
      <c r="M242" s="451"/>
      <c r="N242" s="451"/>
      <c r="O242" s="446"/>
      <c r="P242" s="446"/>
      <c r="Q242" s="446"/>
      <c r="R242" s="446"/>
      <c r="S242" s="446"/>
      <c r="T242" s="446"/>
    </row>
    <row r="243" spans="1:20" ht="6.9" customHeight="1" x14ac:dyDescent="0.3">
      <c r="B243" s="352"/>
      <c r="L243" s="452"/>
      <c r="M243" s="451"/>
      <c r="N243" s="451"/>
      <c r="O243" s="446"/>
      <c r="P243" s="446"/>
      <c r="Q243" s="446"/>
      <c r="R243" s="446"/>
      <c r="S243" s="446"/>
      <c r="T243" s="446"/>
    </row>
    <row r="244" spans="1:20" ht="15" customHeight="1" x14ac:dyDescent="0.3">
      <c r="B244" s="453" t="s">
        <v>151</v>
      </c>
      <c r="H244" s="454"/>
      <c r="I244" s="454"/>
      <c r="J244" s="454"/>
      <c r="L244" s="452"/>
      <c r="M244" s="451"/>
      <c r="N244" s="451"/>
      <c r="O244" s="446"/>
      <c r="P244" s="446"/>
      <c r="Q244" s="446"/>
      <c r="R244" s="446"/>
      <c r="S244" s="446"/>
      <c r="T244" s="446"/>
    </row>
    <row r="245" spans="1:20" ht="6.9" customHeight="1" x14ac:dyDescent="0.3">
      <c r="B245" s="453"/>
      <c r="H245" s="454"/>
      <c r="I245" s="454"/>
      <c r="J245" s="454"/>
      <c r="L245" s="452"/>
      <c r="M245" s="451"/>
      <c r="N245" s="451"/>
      <c r="O245" s="446"/>
      <c r="P245" s="446"/>
      <c r="Q245" s="446"/>
      <c r="R245" s="446"/>
      <c r="S245" s="446"/>
      <c r="T245" s="446"/>
    </row>
    <row r="246" spans="1:20" ht="15" customHeight="1" x14ac:dyDescent="0.3">
      <c r="B246" s="388" t="s">
        <v>152</v>
      </c>
      <c r="H246" s="392"/>
      <c r="I246" s="455"/>
      <c r="J246" s="456"/>
      <c r="L246" s="443"/>
      <c r="M246" s="457"/>
      <c r="N246" s="458"/>
      <c r="O246" s="446"/>
      <c r="P246" s="446"/>
      <c r="Q246" s="446"/>
      <c r="R246" s="446"/>
      <c r="S246" s="446"/>
      <c r="T246" s="446"/>
    </row>
    <row r="247" spans="1:20" s="355" customFormat="1" ht="15" customHeight="1" x14ac:dyDescent="0.3">
      <c r="A247" s="352"/>
      <c r="B247" s="352" t="s">
        <v>153</v>
      </c>
      <c r="C247" s="352"/>
      <c r="D247" s="352"/>
      <c r="E247" s="459">
        <v>330</v>
      </c>
      <c r="F247" s="352"/>
      <c r="G247" s="416"/>
      <c r="H247" s="460"/>
      <c r="I247" s="461"/>
      <c r="J247" s="462"/>
      <c r="K247" s="352"/>
      <c r="L247" s="443"/>
      <c r="M247" s="444"/>
      <c r="N247" s="458"/>
      <c r="O247" s="444"/>
      <c r="P247" s="444"/>
      <c r="Q247" s="444"/>
      <c r="R247" s="444"/>
      <c r="S247" s="444"/>
      <c r="T247" s="444"/>
    </row>
    <row r="248" spans="1:20" s="355" customFormat="1" ht="15" customHeight="1" x14ac:dyDescent="0.3">
      <c r="A248" s="352"/>
      <c r="B248" s="352"/>
      <c r="C248" s="352"/>
      <c r="D248" s="381" t="s">
        <v>154</v>
      </c>
      <c r="E248" s="463">
        <f>(0.85*E35*100*100*(E12-E43)/E37)*(1-SQRT(1-(2*100*E247/(0.85*0.9*E35*100*POWER(100*(E12-E43),2)))))</f>
        <v>0.88217147911666083</v>
      </c>
      <c r="F248" s="464" t="s">
        <v>155</v>
      </c>
      <c r="G248" s="416">
        <v>2</v>
      </c>
      <c r="H248" s="465">
        <f>1/(E248/(VLOOKUP(G248,Datos!$B$4:$F$10,5)))</f>
        <v>0.8048321860404507</v>
      </c>
      <c r="I248" s="466"/>
      <c r="J248" s="462"/>
      <c r="K248" s="352"/>
      <c r="L248" s="443"/>
      <c r="M248" s="467"/>
      <c r="N248" s="458"/>
      <c r="O248" s="444"/>
      <c r="P248" s="444"/>
      <c r="Q248" s="444"/>
      <c r="R248" s="444"/>
      <c r="S248" s="444"/>
      <c r="T248" s="444"/>
    </row>
    <row r="249" spans="1:20" s="355" customFormat="1" ht="15" customHeight="1" x14ac:dyDescent="0.3">
      <c r="A249" s="352"/>
      <c r="B249" s="352"/>
      <c r="C249" s="352"/>
      <c r="D249" s="381" t="s">
        <v>156</v>
      </c>
      <c r="E249" s="463">
        <f>(0.002)*100*(E12-E43)*100</f>
        <v>2</v>
      </c>
      <c r="F249" s="464" t="s">
        <v>155</v>
      </c>
      <c r="G249" s="416">
        <v>2</v>
      </c>
      <c r="H249" s="465">
        <f>1/((E249/2)/(VLOOKUP(G249,Datos!$B$4:$F$10,5)))</f>
        <v>0.71</v>
      </c>
      <c r="I249" s="466"/>
      <c r="J249" s="462"/>
      <c r="K249" s="352"/>
      <c r="L249" s="443"/>
      <c r="M249" s="444"/>
      <c r="N249" s="458"/>
      <c r="O249" s="444"/>
      <c r="P249" s="444"/>
      <c r="Q249" s="444"/>
      <c r="R249" s="444"/>
      <c r="S249" s="444"/>
      <c r="T249" s="444"/>
    </row>
    <row r="250" spans="1:20" s="355" customFormat="1" ht="15" customHeight="1" x14ac:dyDescent="0.3">
      <c r="A250" s="352"/>
      <c r="B250" s="352"/>
      <c r="C250" s="352"/>
      <c r="D250" s="352"/>
      <c r="E250" s="352"/>
      <c r="F250" s="352"/>
      <c r="G250" s="352"/>
      <c r="H250" s="468"/>
      <c r="I250" s="468"/>
      <c r="J250" s="468"/>
      <c r="K250" s="352"/>
      <c r="L250" s="443"/>
      <c r="M250" s="467"/>
      <c r="N250" s="458"/>
      <c r="O250" s="444"/>
      <c r="P250" s="444"/>
      <c r="Q250" s="444"/>
      <c r="R250" s="444"/>
      <c r="S250" s="444"/>
      <c r="T250" s="444"/>
    </row>
    <row r="251" spans="1:20" s="355" customFormat="1" ht="15" customHeight="1" x14ac:dyDescent="0.3">
      <c r="A251" s="352"/>
      <c r="B251" s="388" t="s">
        <v>157</v>
      </c>
      <c r="C251" s="352"/>
      <c r="D251" s="352"/>
      <c r="E251" s="381"/>
      <c r="F251" s="469"/>
      <c r="G251" s="352"/>
      <c r="H251" s="468"/>
      <c r="I251" s="468"/>
      <c r="J251" s="468"/>
      <c r="K251" s="352"/>
      <c r="L251" s="443"/>
      <c r="M251" s="444"/>
      <c r="N251" s="458"/>
      <c r="O251" s="444"/>
      <c r="P251" s="444"/>
      <c r="Q251" s="444"/>
      <c r="R251" s="444"/>
      <c r="S251" s="444"/>
      <c r="T251" s="444"/>
    </row>
    <row r="252" spans="1:20" s="355" customFormat="1" ht="15" customHeight="1" x14ac:dyDescent="0.3">
      <c r="A252" s="352"/>
      <c r="B252" s="352"/>
      <c r="C252" s="381" t="s">
        <v>158</v>
      </c>
      <c r="D252" s="470">
        <v>3.3000000000000002E-2</v>
      </c>
      <c r="E252" s="397" t="s">
        <v>159</v>
      </c>
      <c r="F252" s="469"/>
      <c r="G252" s="352"/>
      <c r="H252" s="352"/>
      <c r="I252" s="352"/>
      <c r="J252" s="352"/>
      <c r="K252" s="352"/>
      <c r="L252" s="467"/>
      <c r="M252" s="444"/>
      <c r="N252" s="444"/>
      <c r="O252" s="444"/>
      <c r="P252" s="444"/>
      <c r="Q252" s="444"/>
      <c r="R252" s="444"/>
      <c r="S252" s="444"/>
      <c r="T252" s="444"/>
    </row>
    <row r="253" spans="1:20" s="355" customFormat="1" ht="15" customHeight="1" x14ac:dyDescent="0.3">
      <c r="A253" s="352"/>
      <c r="B253" s="352"/>
      <c r="C253" s="381"/>
      <c r="D253" s="352"/>
      <c r="E253" s="352"/>
      <c r="F253" s="352"/>
      <c r="G253" s="352"/>
      <c r="H253" s="352"/>
      <c r="I253" s="352"/>
      <c r="J253" s="352"/>
      <c r="K253" s="352"/>
      <c r="L253" s="467"/>
      <c r="M253" s="444"/>
      <c r="N253" s="444"/>
      <c r="O253" s="444"/>
      <c r="P253" s="444"/>
      <c r="Q253" s="444"/>
      <c r="R253" s="444"/>
      <c r="S253" s="444"/>
      <c r="T253" s="444"/>
    </row>
    <row r="254" spans="1:20" s="355" customFormat="1" ht="15" customHeight="1" x14ac:dyDescent="0.3">
      <c r="A254" s="352"/>
      <c r="B254" s="352"/>
      <c r="C254" s="381" t="s">
        <v>160</v>
      </c>
      <c r="D254" s="471">
        <f>(107046/($E$37*0.6)-$E$43*100*2)*D252/0.041</f>
        <v>26.141289198606273</v>
      </c>
      <c r="E254" s="352"/>
      <c r="F254" s="352"/>
      <c r="G254" s="352"/>
      <c r="H254" s="352"/>
      <c r="I254" s="352"/>
      <c r="J254" s="352"/>
      <c r="K254" s="352"/>
      <c r="L254" s="467"/>
      <c r="N254" s="444"/>
      <c r="O254" s="444"/>
      <c r="P254" s="444"/>
      <c r="Q254" s="444"/>
      <c r="R254" s="444"/>
      <c r="S254" s="444"/>
      <c r="T254" s="444"/>
    </row>
    <row r="255" spans="1:20" s="355" customFormat="1" ht="15" customHeight="1" x14ac:dyDescent="0.3">
      <c r="A255" s="352"/>
      <c r="B255" s="352"/>
      <c r="C255" s="381" t="s">
        <v>160</v>
      </c>
      <c r="D255" s="471">
        <f>30.5*(2817/($E$37*0.6))*D252/0.041</f>
        <v>27.442029616724739</v>
      </c>
      <c r="E255" s="352"/>
      <c r="F255" s="352"/>
      <c r="G255" s="352"/>
      <c r="H255" s="352"/>
      <c r="I255" s="352"/>
      <c r="J255" s="352"/>
      <c r="K255" s="352"/>
      <c r="L255" s="467"/>
      <c r="M255" s="444"/>
      <c r="N255" s="444"/>
      <c r="O255" s="444"/>
      <c r="P255" s="444"/>
      <c r="Q255" s="444"/>
      <c r="R255" s="444"/>
      <c r="S255" s="444"/>
      <c r="T255" s="444"/>
    </row>
    <row r="256" spans="1:20" s="355" customFormat="1" ht="15" customHeight="1" x14ac:dyDescent="0.3">
      <c r="A256" s="352"/>
      <c r="B256" s="352"/>
      <c r="C256" s="352"/>
      <c r="D256" s="352"/>
      <c r="E256" s="352"/>
      <c r="F256" s="352"/>
      <c r="G256" s="469"/>
      <c r="H256" s="352"/>
      <c r="I256" s="352"/>
      <c r="J256" s="352"/>
      <c r="K256" s="352"/>
      <c r="L256" s="467"/>
      <c r="M256" s="444"/>
      <c r="N256" s="444"/>
      <c r="O256" s="444"/>
      <c r="P256" s="444"/>
      <c r="Q256" s="444"/>
      <c r="R256" s="444"/>
      <c r="S256" s="444"/>
      <c r="T256" s="444"/>
    </row>
    <row r="257" spans="1:20" s="355" customFormat="1" ht="15" customHeight="1" x14ac:dyDescent="0.3">
      <c r="A257" s="352"/>
      <c r="B257" s="388" t="s">
        <v>161</v>
      </c>
      <c r="C257" s="352"/>
      <c r="D257" s="352"/>
      <c r="E257" s="352"/>
      <c r="F257" s="352"/>
      <c r="G257" s="352"/>
      <c r="H257" s="352"/>
      <c r="I257" s="352"/>
      <c r="J257" s="352"/>
      <c r="K257" s="352"/>
      <c r="L257" s="467"/>
      <c r="M257" s="444"/>
      <c r="N257" s="444"/>
      <c r="O257" s="444"/>
      <c r="P257" s="444"/>
      <c r="Q257" s="444"/>
      <c r="R257" s="444"/>
      <c r="S257" s="444"/>
      <c r="T257" s="444"/>
    </row>
    <row r="258" spans="1:20" s="355" customFormat="1" ht="15" customHeight="1" x14ac:dyDescent="0.3">
      <c r="A258" s="352"/>
      <c r="B258" s="352" t="s">
        <v>162</v>
      </c>
      <c r="C258" s="352"/>
      <c r="D258" s="352"/>
      <c r="E258" s="472">
        <v>1050</v>
      </c>
      <c r="F258" s="352"/>
      <c r="G258" s="352"/>
      <c r="H258" s="352"/>
      <c r="I258" s="352"/>
      <c r="J258" s="352"/>
      <c r="K258" s="352"/>
      <c r="L258" s="467"/>
      <c r="M258" s="444"/>
      <c r="N258" s="444"/>
      <c r="O258" s="444"/>
      <c r="P258" s="444"/>
      <c r="Q258" s="444"/>
      <c r="R258" s="444"/>
      <c r="S258" s="444"/>
      <c r="T258" s="444"/>
    </row>
    <row r="259" spans="1:20" s="355" customFormat="1" ht="15" customHeight="1" x14ac:dyDescent="0.3">
      <c r="A259" s="352"/>
      <c r="B259" s="352" t="s">
        <v>163</v>
      </c>
      <c r="C259" s="352"/>
      <c r="D259" s="352"/>
      <c r="E259" s="473">
        <f>0.53*(E35)^0.5</f>
        <v>7.6804296754804025</v>
      </c>
      <c r="F259" s="352"/>
      <c r="G259" s="352"/>
      <c r="H259" s="352"/>
      <c r="I259" s="352"/>
      <c r="J259" s="352"/>
      <c r="K259" s="352"/>
      <c r="L259" s="467"/>
      <c r="M259" s="444"/>
      <c r="N259" s="444"/>
      <c r="O259" s="444"/>
      <c r="P259" s="444"/>
      <c r="Q259" s="444"/>
      <c r="R259" s="444"/>
      <c r="S259" s="444"/>
      <c r="T259" s="444"/>
    </row>
    <row r="260" spans="1:20" s="355" customFormat="1" ht="15" customHeight="1" x14ac:dyDescent="0.3">
      <c r="A260" s="352"/>
      <c r="B260" s="352" t="s">
        <v>164</v>
      </c>
      <c r="C260" s="352"/>
      <c r="D260" s="352"/>
      <c r="E260" s="473">
        <f>+E258/(0.85*100*(E12-E43)*100)</f>
        <v>1.2352941176470589</v>
      </c>
      <c r="F260" s="438" t="str">
        <f>IF(E260&lt;E259,"Cumple","ERROR")</f>
        <v>Cumple</v>
      </c>
      <c r="G260" s="352"/>
      <c r="H260" s="352"/>
      <c r="I260" s="352"/>
      <c r="J260" s="352"/>
      <c r="K260" s="352"/>
      <c r="L260" s="467"/>
      <c r="M260" s="444"/>
      <c r="N260" s="444"/>
      <c r="O260" s="444"/>
      <c r="P260" s="444"/>
      <c r="Q260" s="444"/>
      <c r="R260" s="444"/>
      <c r="S260" s="444"/>
      <c r="T260" s="444"/>
    </row>
    <row r="261" spans="1:20" s="355" customFormat="1" ht="15" customHeight="1" x14ac:dyDescent="0.3">
      <c r="A261" s="352"/>
      <c r="B261" s="352"/>
      <c r="C261" s="352"/>
      <c r="D261" s="352"/>
      <c r="E261" s="473"/>
      <c r="F261" s="352"/>
      <c r="G261" s="352"/>
      <c r="H261" s="352"/>
      <c r="I261" s="352"/>
      <c r="J261" s="352"/>
      <c r="K261" s="352"/>
      <c r="L261" s="467"/>
      <c r="M261" s="444"/>
      <c r="N261" s="444"/>
      <c r="O261" s="444"/>
      <c r="P261" s="444"/>
      <c r="Q261" s="444"/>
      <c r="R261" s="444"/>
      <c r="S261" s="444"/>
      <c r="T261" s="444"/>
    </row>
    <row r="262" spans="1:20" s="355" customFormat="1" ht="15" customHeight="1" x14ac:dyDescent="0.3">
      <c r="A262" s="352"/>
      <c r="B262" s="388" t="s">
        <v>165</v>
      </c>
      <c r="C262" s="352"/>
      <c r="D262" s="352"/>
      <c r="E262" s="473"/>
      <c r="F262" s="352"/>
      <c r="G262" s="352"/>
      <c r="H262" s="352"/>
      <c r="I262" s="352"/>
      <c r="J262" s="352"/>
      <c r="K262" s="352"/>
      <c r="L262" s="467"/>
      <c r="M262" s="444"/>
      <c r="N262" s="444"/>
      <c r="O262" s="444"/>
      <c r="P262" s="444"/>
      <c r="Q262" s="444"/>
      <c r="R262" s="444"/>
      <c r="S262" s="444"/>
      <c r="T262" s="444"/>
    </row>
    <row r="263" spans="1:20" s="355" customFormat="1" ht="15" customHeight="1" x14ac:dyDescent="0.3">
      <c r="A263" s="352"/>
      <c r="B263" s="352"/>
      <c r="C263" s="352"/>
      <c r="D263" s="352"/>
      <c r="E263" s="473"/>
      <c r="F263" s="352"/>
      <c r="G263" s="352"/>
      <c r="H263" s="474" t="s">
        <v>166</v>
      </c>
      <c r="I263" s="475" t="s">
        <v>167</v>
      </c>
      <c r="J263" s="352"/>
      <c r="K263" s="352"/>
      <c r="L263" s="467"/>
      <c r="M263" s="444"/>
      <c r="N263" s="444"/>
      <c r="O263" s="444"/>
      <c r="P263" s="444"/>
      <c r="Q263" s="444"/>
      <c r="R263" s="444"/>
      <c r="S263" s="444"/>
      <c r="T263" s="444"/>
    </row>
    <row r="264" spans="1:20" s="355" customFormat="1" ht="15" customHeight="1" x14ac:dyDescent="0.3">
      <c r="A264" s="352"/>
      <c r="B264" s="352"/>
      <c r="C264" s="352"/>
      <c r="D264" s="352"/>
      <c r="E264" s="352"/>
      <c r="F264" s="476" t="s">
        <v>168</v>
      </c>
      <c r="G264" s="352"/>
      <c r="H264" s="477">
        <f>+E6+2*E12</f>
        <v>2.8131234497501727</v>
      </c>
      <c r="I264" s="478">
        <f>+E7+2*E12</f>
        <v>2.8131234497501727</v>
      </c>
      <c r="J264" s="352"/>
      <c r="K264" s="352"/>
      <c r="L264" s="354"/>
    </row>
    <row r="265" spans="1:20" s="355" customFormat="1" ht="15" customHeight="1" x14ac:dyDescent="0.3">
      <c r="A265" s="352"/>
      <c r="B265" s="352"/>
      <c r="C265" s="352"/>
      <c r="D265" s="352"/>
      <c r="E265" s="352"/>
      <c r="F265" s="476" t="s">
        <v>169</v>
      </c>
      <c r="G265" s="352"/>
      <c r="H265" s="479">
        <f>3.2808*H264</f>
        <v>9.2292954139403669</v>
      </c>
      <c r="I265" s="480">
        <f>3.2808*I264</f>
        <v>9.2292954139403669</v>
      </c>
      <c r="J265" s="352" t="s">
        <v>170</v>
      </c>
      <c r="K265" s="352"/>
      <c r="L265" s="354"/>
    </row>
    <row r="266" spans="1:20" s="355" customFormat="1" ht="15" customHeight="1" x14ac:dyDescent="0.3">
      <c r="A266" s="352"/>
      <c r="B266" s="352"/>
      <c r="C266" s="352"/>
      <c r="D266" s="352"/>
      <c r="E266" s="352"/>
      <c r="F266" s="476" t="s">
        <v>171</v>
      </c>
      <c r="G266" s="352"/>
      <c r="H266" s="481">
        <v>3.0000000000000001E-3</v>
      </c>
      <c r="I266" s="482">
        <f>+H266</f>
        <v>3.0000000000000001E-3</v>
      </c>
      <c r="J266" s="352" t="s">
        <v>170</v>
      </c>
      <c r="K266" s="352"/>
      <c r="L266" s="354"/>
    </row>
    <row r="267" spans="1:20" s="355" customFormat="1" ht="15" customHeight="1" x14ac:dyDescent="0.3">
      <c r="A267" s="352"/>
      <c r="B267" s="352"/>
      <c r="C267" s="352"/>
      <c r="D267" s="352"/>
      <c r="E267" s="352"/>
      <c r="F267" s="476" t="s">
        <v>172</v>
      </c>
      <c r="G267" s="352"/>
      <c r="H267" s="483">
        <v>3.0000000000000001E-3</v>
      </c>
      <c r="I267" s="416">
        <v>3.0000000000000001E-3</v>
      </c>
      <c r="J267" s="352"/>
      <c r="K267" s="352"/>
      <c r="L267" s="354"/>
    </row>
    <row r="268" spans="1:20" s="355" customFormat="1" ht="15" customHeight="1" x14ac:dyDescent="0.3">
      <c r="A268" s="352"/>
      <c r="B268" s="352"/>
      <c r="C268" s="352"/>
      <c r="D268" s="352"/>
      <c r="E268" s="352"/>
      <c r="F268" s="476" t="s">
        <v>173</v>
      </c>
      <c r="G268" s="352"/>
      <c r="H268" s="484">
        <f>+MAX(H266:H267)*100*(E12)*100</f>
        <v>4.5</v>
      </c>
      <c r="I268" s="485">
        <f>+MAX(I266:I267)*100*(E12)*100</f>
        <v>4.5</v>
      </c>
      <c r="J268" s="352"/>
      <c r="K268" s="352"/>
      <c r="L268" s="354"/>
    </row>
    <row r="269" spans="1:20" s="355" customFormat="1" ht="15" customHeight="1" x14ac:dyDescent="0.3">
      <c r="A269" s="352"/>
      <c r="B269" s="352"/>
      <c r="C269" s="352"/>
      <c r="D269" s="352"/>
      <c r="E269" s="473"/>
      <c r="F269" s="352"/>
      <c r="G269" s="352"/>
      <c r="H269" s="486"/>
      <c r="I269" s="486"/>
      <c r="J269" s="352"/>
      <c r="K269" s="352"/>
      <c r="L269" s="354"/>
    </row>
    <row r="270" spans="1:20" s="355" customFormat="1" ht="15" customHeight="1" x14ac:dyDescent="0.3">
      <c r="A270" s="352"/>
      <c r="B270" s="352"/>
      <c r="C270" s="352"/>
      <c r="D270" s="352"/>
      <c r="E270" s="473"/>
      <c r="F270" s="352"/>
      <c r="G270" s="352"/>
      <c r="H270" s="464" t="s">
        <v>155</v>
      </c>
      <c r="I270" s="416">
        <v>2</v>
      </c>
      <c r="J270" s="465">
        <f>1/((H268/2)/(VLOOKUP(I270,Datos!$B$4:$F$10,5)))</f>
        <v>0.31555555555555553</v>
      </c>
      <c r="K270" s="352"/>
      <c r="L270" s="354"/>
    </row>
    <row r="271" spans="1:20" s="355" customFormat="1" ht="15" customHeight="1" x14ac:dyDescent="0.3">
      <c r="A271" s="352"/>
      <c r="B271" s="352"/>
      <c r="C271" s="352"/>
      <c r="D271" s="352"/>
      <c r="E271" s="473"/>
      <c r="F271" s="352"/>
      <c r="G271" s="352"/>
      <c r="H271" s="352"/>
      <c r="I271" s="352"/>
      <c r="J271" s="352"/>
      <c r="K271" s="352"/>
      <c r="L271" s="354"/>
    </row>
    <row r="272" spans="1:20" s="355" customFormat="1" ht="15" customHeight="1" x14ac:dyDescent="0.3">
      <c r="A272" s="352"/>
      <c r="B272" s="352"/>
      <c r="C272" s="352"/>
      <c r="D272" s="352"/>
      <c r="E272" s="473"/>
      <c r="F272" s="352"/>
      <c r="G272" s="352"/>
      <c r="H272" s="352"/>
      <c r="I272" s="352"/>
      <c r="J272" s="352"/>
      <c r="K272" s="352"/>
      <c r="L272" s="354"/>
    </row>
    <row r="273" spans="1:13" s="355" customFormat="1" ht="15" customHeight="1" x14ac:dyDescent="0.3">
      <c r="A273" s="352"/>
      <c r="B273" s="352"/>
      <c r="C273" s="352"/>
      <c r="D273" s="352"/>
      <c r="E273" s="473"/>
      <c r="F273" s="352"/>
      <c r="G273" s="352"/>
      <c r="H273" s="352"/>
      <c r="I273" s="352"/>
      <c r="J273" s="352"/>
      <c r="K273" s="352"/>
      <c r="L273" s="354"/>
    </row>
    <row r="274" spans="1:13" s="355" customFormat="1" ht="15" customHeight="1" x14ac:dyDescent="0.3">
      <c r="A274" s="352"/>
      <c r="B274" s="352"/>
      <c r="C274" s="352"/>
      <c r="D274" s="352"/>
      <c r="E274" s="352"/>
      <c r="F274" s="352"/>
      <c r="G274" s="352"/>
      <c r="H274" s="352"/>
      <c r="I274" s="352"/>
      <c r="J274" s="352"/>
      <c r="K274" s="352"/>
      <c r="L274" s="354"/>
    </row>
    <row r="275" spans="1:13" s="355" customFormat="1" ht="15" customHeight="1" x14ac:dyDescent="0.3">
      <c r="A275" s="352"/>
      <c r="B275" s="352"/>
      <c r="C275" s="352"/>
      <c r="D275" s="352"/>
      <c r="E275" s="352"/>
      <c r="F275" s="352"/>
      <c r="G275" s="352"/>
      <c r="H275" s="468"/>
      <c r="I275" s="468"/>
      <c r="J275" s="468"/>
      <c r="K275" s="352"/>
      <c r="L275" s="354"/>
    </row>
    <row r="276" spans="1:13" s="355" customFormat="1" ht="15" customHeight="1" x14ac:dyDescent="0.3">
      <c r="A276" s="352"/>
      <c r="B276" s="352"/>
      <c r="C276" s="352"/>
      <c r="D276" s="352"/>
      <c r="E276" s="352"/>
      <c r="F276" s="352"/>
      <c r="G276" s="352"/>
      <c r="H276" s="468"/>
      <c r="I276" s="468"/>
      <c r="J276" s="468"/>
      <c r="K276" s="352"/>
      <c r="L276" s="354"/>
    </row>
    <row r="277" spans="1:13" s="355" customFormat="1" ht="15" customHeight="1" x14ac:dyDescent="0.3">
      <c r="A277" s="352"/>
      <c r="B277" s="388" t="s">
        <v>174</v>
      </c>
      <c r="C277" s="345"/>
      <c r="D277" s="345"/>
      <c r="E277" s="345"/>
      <c r="F277" s="345"/>
      <c r="G277" s="345"/>
      <c r="H277" s="392"/>
      <c r="I277" s="455"/>
      <c r="J277" s="454"/>
      <c r="K277" s="345"/>
      <c r="L277" s="487"/>
      <c r="M277" s="458"/>
    </row>
    <row r="278" spans="1:13" s="355" customFormat="1" ht="15" customHeight="1" x14ac:dyDescent="0.3">
      <c r="A278" s="352"/>
      <c r="B278" s="352" t="s">
        <v>175</v>
      </c>
      <c r="C278" s="352"/>
      <c r="D278" s="352"/>
      <c r="E278" s="459">
        <v>250</v>
      </c>
      <c r="F278" s="352"/>
      <c r="G278" s="352"/>
      <c r="H278" s="392"/>
      <c r="I278" s="461"/>
      <c r="J278" s="468"/>
      <c r="K278" s="352"/>
      <c r="L278" s="487"/>
      <c r="M278" s="458"/>
    </row>
    <row r="279" spans="1:13" s="355" customFormat="1" ht="15" customHeight="1" x14ac:dyDescent="0.3">
      <c r="A279" s="352"/>
      <c r="B279" s="352"/>
      <c r="C279" s="352"/>
      <c r="D279" s="381" t="s">
        <v>154</v>
      </c>
      <c r="E279" s="463">
        <f>(0.85*E35*100*100*(E12-E43)/E37)*(1-SQRT(1-(2*100*E278/(0.85*0.9*E35*100*POWER(100*(E12-E43),2)))))</f>
        <v>0.66660342760740021</v>
      </c>
      <c r="F279" s="464" t="s">
        <v>155</v>
      </c>
      <c r="G279" s="416">
        <v>2</v>
      </c>
      <c r="H279" s="465">
        <f>1/(E279/(VLOOKUP(G279,Datos!B4:F10,5)))</f>
        <v>1.0651010339811189</v>
      </c>
      <c r="I279" s="462"/>
      <c r="J279" s="468"/>
      <c r="K279" s="352"/>
      <c r="L279" s="487"/>
      <c r="M279" s="488"/>
    </row>
    <row r="280" spans="1:13" s="355" customFormat="1" ht="15" customHeight="1" x14ac:dyDescent="0.3">
      <c r="A280" s="352"/>
      <c r="B280" s="352"/>
      <c r="C280" s="352"/>
      <c r="D280" s="381" t="s">
        <v>156</v>
      </c>
      <c r="E280" s="463">
        <f>(0.0015)*100*(E12-E43)*100</f>
        <v>1.4999999999999998</v>
      </c>
      <c r="F280" s="464" t="s">
        <v>155</v>
      </c>
      <c r="G280" s="416">
        <v>2</v>
      </c>
      <c r="H280" s="465">
        <f>1/((E280/2)/(VLOOKUP(G280,Datos!B4:F10,5)))</f>
        <v>0.94666666666666677</v>
      </c>
      <c r="I280" s="462"/>
      <c r="J280" s="468"/>
      <c r="K280" s="352"/>
      <c r="L280" s="488"/>
      <c r="M280" s="458"/>
    </row>
    <row r="281" spans="1:13" s="355" customFormat="1" ht="15" customHeight="1" x14ac:dyDescent="0.3">
      <c r="A281" s="352"/>
      <c r="B281" s="352"/>
      <c r="C281" s="352"/>
      <c r="D281" s="352"/>
      <c r="E281" s="352"/>
      <c r="F281" s="352"/>
      <c r="G281" s="352"/>
      <c r="H281" s="468"/>
      <c r="I281" s="468"/>
      <c r="J281" s="468"/>
      <c r="K281" s="352"/>
      <c r="L281" s="487"/>
      <c r="M281" s="488"/>
    </row>
    <row r="282" spans="1:13" s="355" customFormat="1" ht="15" customHeight="1" x14ac:dyDescent="0.3">
      <c r="A282" s="352"/>
      <c r="B282" s="388" t="s">
        <v>176</v>
      </c>
      <c r="C282" s="352"/>
      <c r="D282" s="352"/>
      <c r="E282" s="352"/>
      <c r="F282" s="352"/>
      <c r="G282" s="352"/>
      <c r="H282" s="468"/>
      <c r="I282" s="468"/>
      <c r="J282" s="468"/>
      <c r="K282" s="352"/>
      <c r="L282" s="354"/>
    </row>
    <row r="283" spans="1:13" s="355" customFormat="1" ht="15" customHeight="1" x14ac:dyDescent="0.3">
      <c r="A283" s="352"/>
      <c r="B283" s="352" t="s">
        <v>177</v>
      </c>
      <c r="C283" s="352"/>
      <c r="D283" s="352"/>
      <c r="E283" s="472">
        <v>2000</v>
      </c>
      <c r="F283" s="352"/>
      <c r="G283" s="352"/>
      <c r="H283" s="352"/>
      <c r="I283" s="352"/>
      <c r="J283" s="352"/>
      <c r="K283" s="352"/>
      <c r="L283" s="354"/>
    </row>
    <row r="284" spans="1:13" s="355" customFormat="1" ht="15" customHeight="1" x14ac:dyDescent="0.3">
      <c r="A284" s="352"/>
      <c r="B284" s="352"/>
      <c r="C284" s="352"/>
      <c r="D284" s="381" t="s">
        <v>154</v>
      </c>
      <c r="E284" s="463">
        <f>+E283/(0.9*E37)</f>
        <v>0.52910052910052907</v>
      </c>
      <c r="F284" s="464" t="s">
        <v>155</v>
      </c>
      <c r="G284" s="416">
        <v>2</v>
      </c>
      <c r="H284" s="465">
        <f>1/(E284/(VLOOKUP(G284,Datos!B4:F10,5)))</f>
        <v>1.3419000000000001</v>
      </c>
      <c r="I284" s="352"/>
      <c r="J284" s="352"/>
      <c r="K284" s="352"/>
      <c r="L284" s="354"/>
    </row>
    <row r="285" spans="1:13" s="355" customFormat="1" ht="15" customHeight="1" x14ac:dyDescent="0.3">
      <c r="A285" s="352"/>
      <c r="B285" s="352"/>
      <c r="C285" s="352"/>
      <c r="D285" s="352"/>
      <c r="E285" s="352"/>
      <c r="F285" s="352"/>
      <c r="G285" s="352"/>
      <c r="H285" s="352"/>
      <c r="I285" s="352"/>
      <c r="J285" s="352"/>
      <c r="K285" s="352"/>
      <c r="L285" s="354"/>
    </row>
    <row r="286" spans="1:13" s="355" customFormat="1" ht="15" customHeight="1" x14ac:dyDescent="0.3">
      <c r="A286" s="352"/>
      <c r="B286" s="352"/>
      <c r="C286" s="352"/>
      <c r="D286" s="352"/>
      <c r="E286" s="352"/>
      <c r="F286" s="352"/>
      <c r="G286" s="352"/>
      <c r="H286" s="352"/>
      <c r="I286" s="352"/>
      <c r="J286" s="352"/>
      <c r="K286" s="352"/>
      <c r="L286" s="354"/>
    </row>
    <row r="287" spans="1:13" s="355" customFormat="1" ht="15" customHeight="1" x14ac:dyDescent="0.3">
      <c r="A287" s="352"/>
      <c r="B287" s="352"/>
      <c r="C287" s="352"/>
      <c r="D287" s="352"/>
      <c r="E287" s="352"/>
      <c r="F287" s="352"/>
      <c r="G287" s="352"/>
      <c r="H287" s="352"/>
      <c r="I287" s="352"/>
      <c r="J287" s="352"/>
      <c r="K287" s="352"/>
      <c r="L287" s="354"/>
    </row>
    <row r="288" spans="1:13" s="355" customFormat="1" ht="15" customHeight="1" x14ac:dyDescent="0.3">
      <c r="A288" s="352"/>
      <c r="B288" s="388" t="s">
        <v>178</v>
      </c>
      <c r="C288" s="352"/>
      <c r="D288" s="352"/>
      <c r="E288" s="352"/>
      <c r="F288" s="352"/>
      <c r="G288" s="352"/>
      <c r="H288" s="352"/>
      <c r="I288" s="352"/>
      <c r="J288" s="352"/>
      <c r="K288" s="352"/>
      <c r="L288" s="354"/>
    </row>
    <row r="289" spans="1:12" s="355" customFormat="1" ht="15" customHeight="1" x14ac:dyDescent="0.3">
      <c r="A289" s="352"/>
      <c r="B289" s="352" t="s">
        <v>179</v>
      </c>
      <c r="C289" s="352"/>
      <c r="D289" s="352"/>
      <c r="E289" s="472">
        <v>1400</v>
      </c>
      <c r="F289" s="352"/>
      <c r="G289" s="352"/>
      <c r="H289" s="352"/>
      <c r="I289" s="352"/>
      <c r="J289" s="352"/>
      <c r="K289" s="352"/>
      <c r="L289" s="354"/>
    </row>
    <row r="290" spans="1:12" s="355" customFormat="1" ht="15" customHeight="1" x14ac:dyDescent="0.3">
      <c r="A290" s="352"/>
      <c r="B290" s="352" t="s">
        <v>163</v>
      </c>
      <c r="C290" s="352"/>
      <c r="D290" s="352"/>
      <c r="E290" s="473">
        <f>0.53*(E35)^0.5</f>
        <v>7.6804296754804025</v>
      </c>
      <c r="F290" s="352"/>
      <c r="G290" s="352"/>
      <c r="H290" s="352"/>
      <c r="I290" s="352"/>
      <c r="J290" s="352"/>
      <c r="K290" s="352"/>
      <c r="L290" s="354"/>
    </row>
    <row r="291" spans="1:12" s="355" customFormat="1" ht="15" customHeight="1" x14ac:dyDescent="0.3">
      <c r="A291" s="352"/>
      <c r="B291" s="352" t="s">
        <v>164</v>
      </c>
      <c r="C291" s="352"/>
      <c r="D291" s="352"/>
      <c r="E291" s="473">
        <f>+E289/(0.85*100*(E12-E43)*100)</f>
        <v>1.6470588235294117</v>
      </c>
      <c r="F291" s="438" t="str">
        <f>IF(E291&lt;E290,"Cumple","ERROR")</f>
        <v>Cumple</v>
      </c>
      <c r="G291" s="352"/>
      <c r="H291" s="352"/>
      <c r="I291" s="352"/>
      <c r="J291" s="352"/>
      <c r="K291" s="352"/>
      <c r="L291" s="354"/>
    </row>
    <row r="292" spans="1:12" s="355" customFormat="1" ht="15" customHeight="1" x14ac:dyDescent="0.3">
      <c r="A292" s="352"/>
      <c r="B292" s="352"/>
      <c r="C292" s="352"/>
      <c r="D292" s="352"/>
      <c r="E292" s="352"/>
      <c r="F292" s="352"/>
      <c r="G292" s="352"/>
      <c r="H292" s="352"/>
      <c r="I292" s="352"/>
      <c r="J292" s="352"/>
      <c r="K292" s="352"/>
      <c r="L292" s="354"/>
    </row>
    <row r="293" spans="1:12" s="355" customFormat="1" ht="15" customHeight="1" x14ac:dyDescent="0.3">
      <c r="A293" s="352"/>
      <c r="B293" s="453" t="s">
        <v>180</v>
      </c>
      <c r="C293" s="352"/>
      <c r="D293" s="352"/>
      <c r="E293" s="352"/>
      <c r="F293" s="352"/>
      <c r="G293" s="352"/>
      <c r="H293" s="352"/>
      <c r="I293" s="352"/>
      <c r="J293" s="352"/>
      <c r="K293" s="352"/>
      <c r="L293" s="354"/>
    </row>
    <row r="294" spans="1:12" s="355" customFormat="1" ht="15" customHeight="1" x14ac:dyDescent="0.3">
      <c r="A294" s="352"/>
      <c r="B294" s="540" t="s">
        <v>181</v>
      </c>
      <c r="C294" s="540"/>
      <c r="D294" s="540"/>
      <c r="E294" s="540"/>
      <c r="F294" s="540"/>
      <c r="G294" s="540"/>
      <c r="H294" s="407"/>
      <c r="I294" s="407"/>
      <c r="J294" s="407"/>
      <c r="K294" s="352"/>
      <c r="L294" s="354"/>
    </row>
    <row r="295" spans="1:12" s="355" customFormat="1" ht="15" customHeight="1" x14ac:dyDescent="0.3">
      <c r="A295" s="352"/>
      <c r="B295" s="540"/>
      <c r="C295" s="540"/>
      <c r="D295" s="540"/>
      <c r="E295" s="540"/>
      <c r="F295" s="540"/>
      <c r="G295" s="540"/>
      <c r="H295" s="352"/>
      <c r="I295" s="352"/>
      <c r="J295" s="352"/>
      <c r="K295" s="352"/>
      <c r="L295" s="354"/>
    </row>
    <row r="296" spans="1:12" s="355" customFormat="1" ht="15" customHeight="1" x14ac:dyDescent="0.3">
      <c r="A296" s="352"/>
      <c r="B296" s="352" t="s">
        <v>182</v>
      </c>
      <c r="C296" s="352"/>
      <c r="D296" s="352" t="s">
        <v>183</v>
      </c>
      <c r="E296" s="352"/>
      <c r="F296" s="352"/>
      <c r="G296" s="352"/>
      <c r="H296" s="352"/>
      <c r="I296" s="352"/>
      <c r="J296" s="352"/>
      <c r="K296" s="352"/>
      <c r="L296" s="354"/>
    </row>
    <row r="297" spans="1:12" s="355" customFormat="1" ht="15" customHeight="1" x14ac:dyDescent="0.3">
      <c r="A297" s="352"/>
      <c r="B297" s="352" t="s">
        <v>184</v>
      </c>
      <c r="C297" s="352"/>
      <c r="D297" s="352" t="s">
        <v>185</v>
      </c>
      <c r="E297" s="352"/>
      <c r="F297" s="352"/>
      <c r="G297" s="352"/>
      <c r="H297" s="352"/>
      <c r="I297" s="352"/>
      <c r="J297" s="352"/>
      <c r="K297" s="352"/>
      <c r="L297" s="354"/>
    </row>
    <row r="298" spans="1:12" s="355" customFormat="1" ht="15" customHeight="1" x14ac:dyDescent="0.3">
      <c r="A298" s="352"/>
      <c r="B298" s="352"/>
      <c r="C298" s="352"/>
      <c r="D298" s="352"/>
      <c r="E298" s="352"/>
      <c r="F298" s="352"/>
      <c r="G298" s="352"/>
      <c r="H298" s="352"/>
      <c r="I298" s="352"/>
      <c r="J298" s="352"/>
      <c r="K298" s="352"/>
      <c r="L298" s="354"/>
    </row>
    <row r="299" spans="1:12" s="355" customFormat="1" ht="15" customHeight="1" x14ac:dyDescent="0.3">
      <c r="A299" s="352"/>
      <c r="B299" s="534" t="s">
        <v>186</v>
      </c>
      <c r="C299" s="534"/>
      <c r="D299" s="534"/>
      <c r="E299" s="534"/>
      <c r="F299" s="534"/>
      <c r="G299" s="534"/>
      <c r="H299" s="407"/>
      <c r="I299" s="407"/>
      <c r="J299" s="407"/>
      <c r="K299" s="352"/>
    </row>
    <row r="300" spans="1:12" s="355" customFormat="1" ht="15" customHeight="1" x14ac:dyDescent="0.3">
      <c r="A300" s="352"/>
      <c r="B300" s="534"/>
      <c r="C300" s="534"/>
      <c r="D300" s="534"/>
      <c r="E300" s="534"/>
      <c r="F300" s="534"/>
      <c r="G300" s="534"/>
      <c r="H300" s="407"/>
      <c r="I300" s="407"/>
      <c r="J300" s="407"/>
      <c r="K300" s="352"/>
    </row>
    <row r="301" spans="1:12" s="355" customFormat="1" ht="15" customHeight="1" x14ac:dyDescent="0.3">
      <c r="A301" s="352"/>
      <c r="B301" s="534"/>
      <c r="C301" s="534"/>
      <c r="D301" s="534"/>
      <c r="E301" s="534"/>
      <c r="F301" s="534"/>
      <c r="G301" s="534"/>
      <c r="H301" s="352"/>
      <c r="I301" s="352"/>
      <c r="J301" s="352"/>
      <c r="K301" s="352"/>
      <c r="L301" s="354"/>
    </row>
    <row r="302" spans="1:12" s="355" customFormat="1" ht="15" customHeight="1" x14ac:dyDescent="0.3">
      <c r="A302" s="352"/>
      <c r="B302" s="352"/>
      <c r="C302" s="352"/>
      <c r="D302" s="352"/>
      <c r="E302" s="352"/>
      <c r="F302" s="352"/>
      <c r="G302" s="352"/>
      <c r="H302" s="352"/>
      <c r="I302" s="352"/>
      <c r="J302" s="352"/>
      <c r="K302" s="352"/>
      <c r="L302" s="354"/>
    </row>
    <row r="303" spans="1:12" s="355" customFormat="1" ht="15" customHeight="1" x14ac:dyDescent="0.35">
      <c r="A303" s="352"/>
      <c r="B303" s="352" t="s">
        <v>187</v>
      </c>
      <c r="C303" s="435"/>
      <c r="D303" s="352"/>
      <c r="E303" s="352"/>
      <c r="F303" s="381" t="s">
        <v>188</v>
      </c>
      <c r="G303" s="489">
        <f>+E15</f>
        <v>100</v>
      </c>
      <c r="H303" s="352"/>
      <c r="I303" s="352"/>
      <c r="J303" s="352"/>
      <c r="K303" s="352"/>
    </row>
    <row r="304" spans="1:12" s="355" customFormat="1" ht="15" customHeight="1" x14ac:dyDescent="0.35">
      <c r="A304" s="352"/>
      <c r="B304" s="352" t="s">
        <v>189</v>
      </c>
      <c r="C304" s="435"/>
      <c r="D304" s="352"/>
      <c r="E304" s="352"/>
      <c r="F304" s="381" t="s">
        <v>190</v>
      </c>
      <c r="G304" s="489">
        <f>+E13*E38+50+E28</f>
        <v>517.82788735346503</v>
      </c>
      <c r="H304" s="352"/>
      <c r="I304" s="352"/>
      <c r="J304" s="352"/>
      <c r="K304" s="352"/>
    </row>
    <row r="305" spans="1:11" s="355" customFormat="1" ht="15" customHeight="1" x14ac:dyDescent="0.3">
      <c r="A305" s="352"/>
      <c r="B305" s="352" t="s">
        <v>191</v>
      </c>
      <c r="C305" s="435"/>
      <c r="D305" s="352"/>
      <c r="E305" s="352"/>
      <c r="F305" s="381" t="s">
        <v>192</v>
      </c>
      <c r="G305" s="490">
        <f>+E6</f>
        <v>2.5131234497501729</v>
      </c>
      <c r="H305" s="352"/>
      <c r="I305" s="352"/>
      <c r="J305" s="352"/>
      <c r="K305" s="352"/>
    </row>
    <row r="306" spans="1:11" s="355" customFormat="1" ht="15" customHeight="1" x14ac:dyDescent="0.3">
      <c r="A306" s="352"/>
      <c r="B306" s="352" t="s">
        <v>193</v>
      </c>
      <c r="C306" s="435"/>
      <c r="D306" s="352"/>
      <c r="E306" s="352"/>
      <c r="F306" s="381" t="s">
        <v>194</v>
      </c>
      <c r="G306" s="490">
        <f>+E6</f>
        <v>2.5131234497501729</v>
      </c>
      <c r="H306" s="352"/>
      <c r="I306" s="352"/>
      <c r="J306" s="352"/>
      <c r="K306" s="352"/>
    </row>
    <row r="307" spans="1:11" s="355" customFormat="1" ht="15" customHeight="1" x14ac:dyDescent="0.3">
      <c r="A307" s="352"/>
      <c r="B307" s="352"/>
      <c r="C307" s="435"/>
      <c r="D307" s="352"/>
      <c r="E307" s="352"/>
      <c r="F307" s="352"/>
      <c r="G307" s="352"/>
      <c r="H307" s="491" t="s">
        <v>195</v>
      </c>
      <c r="I307" s="492" t="s">
        <v>196</v>
      </c>
      <c r="J307" s="352"/>
      <c r="K307" s="352"/>
    </row>
    <row r="308" spans="1:11" s="355" customFormat="1" ht="15" customHeight="1" x14ac:dyDescent="0.3">
      <c r="A308" s="352"/>
      <c r="B308" s="352" t="s">
        <v>197</v>
      </c>
      <c r="C308" s="435"/>
      <c r="D308" s="493">
        <f>G305/G306</f>
        <v>1</v>
      </c>
      <c r="E308" s="352"/>
      <c r="F308" s="352"/>
      <c r="G308" s="381" t="s">
        <v>198</v>
      </c>
      <c r="H308" s="494">
        <v>1.4</v>
      </c>
      <c r="I308" s="494">
        <v>1.7</v>
      </c>
      <c r="J308" s="352"/>
      <c r="K308" s="352"/>
    </row>
    <row r="309" spans="1:11" s="355" customFormat="1" ht="15" customHeight="1" x14ac:dyDescent="0.3">
      <c r="A309" s="352"/>
      <c r="B309" s="352"/>
      <c r="C309" s="435"/>
      <c r="D309" s="352"/>
      <c r="E309" s="352"/>
      <c r="F309" s="352"/>
      <c r="G309" s="352"/>
      <c r="H309" s="352"/>
      <c r="I309" s="352"/>
      <c r="J309" s="352"/>
      <c r="K309" s="352"/>
    </row>
    <row r="310" spans="1:11" s="355" customFormat="1" ht="15" customHeight="1" x14ac:dyDescent="0.3">
      <c r="A310" s="352"/>
      <c r="B310" s="352" t="s">
        <v>199</v>
      </c>
      <c r="C310" s="435"/>
      <c r="D310" s="352"/>
      <c r="E310" s="352"/>
      <c r="F310" s="460" t="s">
        <v>200</v>
      </c>
      <c r="G310" s="495">
        <v>3.5999999999999997E-2</v>
      </c>
      <c r="H310" s="381" t="s">
        <v>201</v>
      </c>
      <c r="I310" s="496">
        <f>G310*$H$308*$G$304*POWER(G305,2)</f>
        <v>164.83279277440818</v>
      </c>
      <c r="J310" s="352"/>
      <c r="K310" s="352"/>
    </row>
    <row r="311" spans="1:11" s="355" customFormat="1" ht="15" customHeight="1" x14ac:dyDescent="0.3">
      <c r="A311" s="352"/>
      <c r="B311" s="352"/>
      <c r="C311" s="435"/>
      <c r="D311" s="352"/>
      <c r="E311" s="352"/>
      <c r="F311" s="460" t="s">
        <v>202</v>
      </c>
      <c r="G311" s="495">
        <v>3.5999999999999997E-2</v>
      </c>
      <c r="H311" s="381" t="s">
        <v>203</v>
      </c>
      <c r="I311" s="496">
        <f>G311*$H$308*$G$304*POWER(G306,2)</f>
        <v>164.83279277440818</v>
      </c>
      <c r="J311" s="352"/>
      <c r="K311" s="352"/>
    </row>
    <row r="312" spans="1:11" s="355" customFormat="1" ht="15" customHeight="1" x14ac:dyDescent="0.3">
      <c r="A312" s="352"/>
      <c r="B312" s="352"/>
      <c r="C312" s="435"/>
      <c r="D312" s="352"/>
      <c r="E312" s="352"/>
      <c r="F312" s="468"/>
      <c r="G312" s="497"/>
      <c r="H312" s="352"/>
      <c r="I312" s="498"/>
      <c r="J312" s="352"/>
      <c r="K312" s="352"/>
    </row>
    <row r="313" spans="1:11" s="355" customFormat="1" ht="15" customHeight="1" x14ac:dyDescent="0.3">
      <c r="A313" s="352"/>
      <c r="B313" s="352" t="s">
        <v>204</v>
      </c>
      <c r="C313" s="435"/>
      <c r="D313" s="352"/>
      <c r="E313" s="352"/>
      <c r="F313" s="460" t="s">
        <v>200</v>
      </c>
      <c r="G313" s="497">
        <v>3.5999999999999997E-2</v>
      </c>
      <c r="H313" s="381" t="s">
        <v>201</v>
      </c>
      <c r="I313" s="496">
        <f>G313*$I$308*$G$303*POWER(G305,2)</f>
        <v>38.652631578947357</v>
      </c>
      <c r="J313" s="352"/>
      <c r="K313" s="352"/>
    </row>
    <row r="314" spans="1:11" s="355" customFormat="1" ht="15" customHeight="1" x14ac:dyDescent="0.3">
      <c r="A314" s="352"/>
      <c r="B314" s="352"/>
      <c r="C314" s="435"/>
      <c r="D314" s="352"/>
      <c r="E314" s="352"/>
      <c r="F314" s="460" t="s">
        <v>202</v>
      </c>
      <c r="G314" s="495">
        <v>3.5999999999999997E-2</v>
      </c>
      <c r="H314" s="381" t="s">
        <v>203</v>
      </c>
      <c r="I314" s="496">
        <f>G314*$I$308*$G$303*POWER(G306,2)</f>
        <v>38.652631578947357</v>
      </c>
      <c r="J314" s="352"/>
      <c r="K314" s="352"/>
    </row>
    <row r="315" spans="1:11" s="355" customFormat="1" ht="15" customHeight="1" x14ac:dyDescent="0.3">
      <c r="A315" s="352"/>
      <c r="B315" s="352"/>
      <c r="C315" s="435"/>
      <c r="D315" s="352"/>
      <c r="E315" s="352"/>
      <c r="F315" s="352"/>
      <c r="G315" s="352"/>
      <c r="H315" s="352"/>
      <c r="I315" s="352"/>
      <c r="J315" s="352"/>
      <c r="K315" s="352"/>
    </row>
    <row r="316" spans="1:11" s="355" customFormat="1" ht="15" customHeight="1" x14ac:dyDescent="0.3">
      <c r="A316" s="352"/>
      <c r="B316" s="388" t="s">
        <v>205</v>
      </c>
      <c r="C316" s="435"/>
      <c r="D316" s="352"/>
      <c r="E316" s="352"/>
      <c r="F316" s="352"/>
      <c r="G316" s="352"/>
      <c r="H316" s="352"/>
      <c r="I316" s="352"/>
      <c r="J316" s="352"/>
      <c r="K316" s="352"/>
    </row>
    <row r="317" spans="1:11" s="355" customFormat="1" ht="15" customHeight="1" x14ac:dyDescent="0.3">
      <c r="A317" s="352"/>
      <c r="B317" s="352"/>
      <c r="C317" s="435"/>
      <c r="D317" s="352"/>
      <c r="E317" s="499"/>
      <c r="F317" s="352"/>
      <c r="G317" s="352"/>
      <c r="H317" s="352"/>
      <c r="I317" s="352"/>
      <c r="J317" s="352"/>
      <c r="K317" s="352"/>
    </row>
    <row r="318" spans="1:11" s="355" customFormat="1" ht="15" customHeight="1" x14ac:dyDescent="0.3">
      <c r="A318" s="352"/>
      <c r="B318" s="352" t="s">
        <v>206</v>
      </c>
      <c r="C318" s="352"/>
      <c r="D318" s="352"/>
      <c r="E318" s="500">
        <f>MAX(I310,I311)+MAX(I313,I314)</f>
        <v>203.48542435335554</v>
      </c>
      <c r="F318" s="352"/>
      <c r="G318" s="352"/>
      <c r="H318" s="352"/>
      <c r="I318" s="352"/>
      <c r="J318" s="352"/>
      <c r="K318" s="352"/>
    </row>
    <row r="319" spans="1:11" s="355" customFormat="1" ht="15" customHeight="1" x14ac:dyDescent="0.3">
      <c r="A319" s="352"/>
      <c r="B319" s="352" t="s">
        <v>207</v>
      </c>
      <c r="C319" s="435"/>
      <c r="D319" s="352"/>
      <c r="E319" s="501">
        <f>(0.85*E35*100*100*(E13-E44)/E37)*(1-SQRT(1-(2*100*E318/(0.85*0.9*E35*100*POWER(100*(E13-E44),2)))))</f>
        <v>0.43241683517577617</v>
      </c>
      <c r="F319" s="464" t="s">
        <v>155</v>
      </c>
      <c r="G319" s="416">
        <v>2</v>
      </c>
      <c r="H319" s="465">
        <f>1/(E319/(VLOOKUP(G319,Datos!$B$4:$F$10,5)))</f>
        <v>1.6419342223606699</v>
      </c>
      <c r="I319" s="352"/>
      <c r="J319" s="352"/>
      <c r="K319" s="352"/>
    </row>
    <row r="320" spans="1:11" s="355" customFormat="1" ht="15" customHeight="1" x14ac:dyDescent="0.3">
      <c r="A320" s="352"/>
      <c r="B320" s="352"/>
      <c r="C320" s="352"/>
      <c r="D320" s="352"/>
      <c r="E320" s="352"/>
      <c r="F320" s="352"/>
      <c r="G320" s="352"/>
      <c r="H320" s="502"/>
      <c r="I320" s="352"/>
      <c r="J320" s="352"/>
      <c r="K320" s="352"/>
    </row>
    <row r="321" spans="1:12" s="355" customFormat="1" ht="15" customHeight="1" x14ac:dyDescent="0.3">
      <c r="A321" s="352"/>
      <c r="B321" s="352" t="s">
        <v>208</v>
      </c>
      <c r="C321" s="352"/>
      <c r="D321" s="352"/>
      <c r="E321" s="503">
        <f>0.003*100*E13*100</f>
        <v>4.5</v>
      </c>
      <c r="F321" s="464" t="s">
        <v>155</v>
      </c>
      <c r="G321" s="416">
        <v>2</v>
      </c>
      <c r="H321" s="465">
        <f>1/((E321)/(VLOOKUP(G321,Datos!$B$4:$F$10,5)))</f>
        <v>0.15777777777777777</v>
      </c>
      <c r="I321" s="352"/>
      <c r="J321" s="352"/>
      <c r="K321" s="352"/>
    </row>
    <row r="322" spans="1:12" s="355" customFormat="1" ht="15" customHeight="1" x14ac:dyDescent="0.3">
      <c r="A322" s="352"/>
      <c r="B322" s="352"/>
      <c r="C322" s="352"/>
      <c r="D322" s="352"/>
      <c r="E322" s="352"/>
      <c r="F322" s="352"/>
      <c r="G322" s="352"/>
      <c r="H322" s="352"/>
      <c r="I322" s="352"/>
      <c r="J322" s="352"/>
      <c r="K322" s="352"/>
    </row>
    <row r="323" spans="1:12" s="355" customFormat="1" ht="15" customHeight="1" x14ac:dyDescent="0.3">
      <c r="A323" s="352"/>
      <c r="B323" s="388" t="s">
        <v>209</v>
      </c>
      <c r="C323" s="352"/>
      <c r="D323" s="352"/>
      <c r="E323" s="352"/>
      <c r="F323" s="352"/>
      <c r="G323" s="352"/>
      <c r="H323" s="352"/>
      <c r="I323" s="352"/>
      <c r="J323" s="352"/>
      <c r="K323" s="352"/>
    </row>
    <row r="324" spans="1:12" s="355" customFormat="1" ht="15" customHeight="1" x14ac:dyDescent="0.3">
      <c r="A324" s="352"/>
      <c r="B324" s="352" t="s">
        <v>210</v>
      </c>
      <c r="C324" s="352"/>
      <c r="D324" s="352"/>
      <c r="E324" s="368">
        <f>($H$308*G304+$I$308*G303)*G306/2</f>
        <v>1124.5712778785735</v>
      </c>
      <c r="F324" s="352"/>
      <c r="G324" s="352"/>
      <c r="H324" s="352"/>
      <c r="I324" s="352"/>
      <c r="J324" s="352"/>
      <c r="K324" s="352"/>
    </row>
    <row r="325" spans="1:12" s="355" customFormat="1" ht="15" customHeight="1" x14ac:dyDescent="0.3">
      <c r="A325" s="352"/>
      <c r="B325" s="352" t="s">
        <v>163</v>
      </c>
      <c r="C325" s="352"/>
      <c r="D325" s="352"/>
      <c r="E325" s="473">
        <f>0.53*SQRT(E35)</f>
        <v>7.6804296754804025</v>
      </c>
      <c r="F325" s="352"/>
      <c r="G325" s="352"/>
      <c r="H325" s="352"/>
      <c r="I325" s="352"/>
      <c r="J325" s="352"/>
      <c r="K325" s="352"/>
    </row>
    <row r="326" spans="1:12" s="355" customFormat="1" ht="15" customHeight="1" x14ac:dyDescent="0.3">
      <c r="A326" s="352"/>
      <c r="B326" s="352" t="s">
        <v>164</v>
      </c>
      <c r="C326" s="352"/>
      <c r="D326" s="352"/>
      <c r="E326" s="473">
        <f>+E324/(0.85*100*(E12-E43)*100)</f>
        <v>1.3230250327983217</v>
      </c>
      <c r="F326" s="438" t="str">
        <f>IF(E326&lt;E325,"Cumple","ERROR")</f>
        <v>Cumple</v>
      </c>
      <c r="G326" s="352"/>
      <c r="H326" s="352"/>
      <c r="I326" s="352"/>
      <c r="J326" s="352"/>
      <c r="K326" s="352"/>
    </row>
    <row r="327" spans="1:12" s="355" customFormat="1" ht="15" customHeight="1" x14ac:dyDescent="0.3">
      <c r="A327" s="352"/>
      <c r="B327" s="352"/>
      <c r="C327" s="352"/>
      <c r="D327" s="352"/>
      <c r="E327" s="352"/>
      <c r="F327" s="352"/>
      <c r="G327" s="352"/>
      <c r="H327" s="352"/>
      <c r="I327" s="352"/>
      <c r="J327" s="352"/>
      <c r="K327" s="352"/>
      <c r="L327" s="354"/>
    </row>
    <row r="328" spans="1:12" s="355" customFormat="1" ht="15" customHeight="1" x14ac:dyDescent="0.3">
      <c r="A328" s="352"/>
      <c r="B328" s="453" t="s">
        <v>211</v>
      </c>
      <c r="C328" s="352"/>
      <c r="D328" s="352"/>
      <c r="E328" s="352"/>
      <c r="F328" s="352"/>
      <c r="G328" s="352"/>
      <c r="H328" s="352"/>
      <c r="I328" s="352"/>
      <c r="J328" s="352"/>
      <c r="K328" s="352"/>
      <c r="L328" s="354"/>
    </row>
    <row r="329" spans="1:12" s="395" customFormat="1" ht="15" customHeight="1" x14ac:dyDescent="0.3">
      <c r="A329" s="387"/>
      <c r="B329" s="388" t="s">
        <v>212</v>
      </c>
      <c r="C329" s="504"/>
      <c r="D329" s="387"/>
      <c r="E329" s="505"/>
      <c r="F329" s="387"/>
      <c r="G329" s="387"/>
      <c r="H329" s="387"/>
      <c r="I329" s="387"/>
      <c r="J329" s="387"/>
      <c r="K329" s="387"/>
      <c r="L329" s="394"/>
    </row>
    <row r="330" spans="1:12" s="355" customFormat="1" ht="15" customHeight="1" x14ac:dyDescent="0.3">
      <c r="A330" s="352"/>
      <c r="B330" s="352" t="s">
        <v>213</v>
      </c>
      <c r="C330" s="435"/>
      <c r="D330" s="352"/>
      <c r="E330" s="506"/>
      <c r="F330" s="352"/>
      <c r="G330" s="352"/>
      <c r="H330" s="352"/>
      <c r="I330" s="416"/>
      <c r="J330" s="352"/>
      <c r="K330" s="352"/>
      <c r="L330" s="354"/>
    </row>
    <row r="331" spans="1:12" s="355" customFormat="1" ht="6.9" customHeight="1" x14ac:dyDescent="0.3">
      <c r="A331" s="352"/>
      <c r="B331" s="352"/>
      <c r="C331" s="435"/>
      <c r="D331" s="352"/>
      <c r="E331" s="506"/>
      <c r="F331" s="352"/>
      <c r="G331" s="352"/>
      <c r="H331" s="352"/>
      <c r="I331" s="416"/>
      <c r="J331" s="352"/>
      <c r="K331" s="352"/>
      <c r="L331" s="354"/>
    </row>
    <row r="332" spans="1:12" s="355" customFormat="1" ht="15" customHeight="1" x14ac:dyDescent="0.35">
      <c r="A332" s="352"/>
      <c r="B332" s="352"/>
      <c r="C332" s="435"/>
      <c r="D332" s="352"/>
      <c r="E332" s="538" t="s">
        <v>214</v>
      </c>
      <c r="F332" s="539"/>
      <c r="G332" s="538" t="s">
        <v>215</v>
      </c>
      <c r="H332" s="539"/>
      <c r="I332" s="538" t="s">
        <v>216</v>
      </c>
      <c r="J332" s="539"/>
      <c r="K332" s="352"/>
      <c r="L332" s="354"/>
    </row>
    <row r="333" spans="1:12" s="355" customFormat="1" ht="15" customHeight="1" x14ac:dyDescent="0.3">
      <c r="A333" s="352"/>
      <c r="B333" s="507" t="s">
        <v>217</v>
      </c>
      <c r="C333" s="508"/>
      <c r="D333" s="509"/>
      <c r="E333" s="510">
        <f>+E41</f>
        <v>9012.0097539545859</v>
      </c>
      <c r="F333" s="423" t="s">
        <v>218</v>
      </c>
      <c r="G333" s="511" t="s">
        <v>219</v>
      </c>
      <c r="H333" s="423"/>
      <c r="I333" s="511" t="s">
        <v>219</v>
      </c>
      <c r="J333" s="423"/>
      <c r="K333" s="352"/>
      <c r="L333" s="354"/>
    </row>
    <row r="334" spans="1:12" s="355" customFormat="1" ht="15" customHeight="1" x14ac:dyDescent="0.3">
      <c r="A334" s="352"/>
      <c r="B334" s="422" t="s">
        <v>220</v>
      </c>
      <c r="C334" s="435"/>
      <c r="D334" s="423"/>
      <c r="E334" s="510">
        <f>+E42+E38*E16*((E6+2*(E12+E18))*(E7+2*(E12+E18)))</f>
        <v>6985.1070816367792</v>
      </c>
      <c r="F334" s="423" t="s">
        <v>218</v>
      </c>
      <c r="G334" s="511" t="s">
        <v>219</v>
      </c>
      <c r="H334" s="423"/>
      <c r="I334" s="511" t="s">
        <v>219</v>
      </c>
      <c r="J334" s="423"/>
      <c r="K334" s="352"/>
      <c r="L334" s="354"/>
    </row>
    <row r="335" spans="1:12" s="355" customFormat="1" ht="15" customHeight="1" x14ac:dyDescent="0.3">
      <c r="A335" s="352"/>
      <c r="B335" s="422" t="s">
        <v>221</v>
      </c>
      <c r="C335" s="435"/>
      <c r="D335" s="423"/>
      <c r="E335" s="510">
        <f>+E27</f>
        <v>978.96</v>
      </c>
      <c r="F335" s="423" t="s">
        <v>218</v>
      </c>
      <c r="G335" s="511" t="s">
        <v>219</v>
      </c>
      <c r="H335" s="423"/>
      <c r="I335" s="511"/>
      <c r="J335" s="423"/>
      <c r="K335" s="352"/>
      <c r="L335" s="354"/>
    </row>
    <row r="336" spans="1:12" s="355" customFormat="1" ht="15" customHeight="1" x14ac:dyDescent="0.3">
      <c r="A336" s="352"/>
      <c r="B336" s="422" t="s">
        <v>222</v>
      </c>
      <c r="C336" s="435"/>
      <c r="D336" s="423"/>
      <c r="E336" s="511" t="s">
        <v>219</v>
      </c>
      <c r="F336" s="423"/>
      <c r="G336" s="511" t="s">
        <v>219</v>
      </c>
      <c r="H336" s="423"/>
      <c r="I336" s="512">
        <f>+E11*E39</f>
        <v>11999.999999999998</v>
      </c>
      <c r="J336" s="423" t="s">
        <v>223</v>
      </c>
      <c r="K336" s="352"/>
      <c r="L336" s="354"/>
    </row>
    <row r="337" spans="1:12" s="355" customFormat="1" ht="15" customHeight="1" x14ac:dyDescent="0.3">
      <c r="A337" s="352"/>
      <c r="B337" s="513" t="s">
        <v>224</v>
      </c>
      <c r="C337" s="514"/>
      <c r="D337" s="425"/>
      <c r="E337" s="515" t="s">
        <v>219</v>
      </c>
      <c r="F337" s="425"/>
      <c r="G337" s="516">
        <f>+E15*(E6+2*E12+2*E14)*(E7+2*E12+2*E14)</f>
        <v>907.89129234343829</v>
      </c>
      <c r="H337" s="425" t="s">
        <v>218</v>
      </c>
      <c r="I337" s="515" t="s">
        <v>219</v>
      </c>
      <c r="J337" s="425"/>
      <c r="K337" s="352"/>
      <c r="L337" s="354"/>
    </row>
    <row r="338" spans="1:12" s="355" customFormat="1" ht="15" customHeight="1" x14ac:dyDescent="0.3">
      <c r="A338" s="352"/>
      <c r="B338" s="352"/>
      <c r="C338" s="435"/>
      <c r="D338" s="352"/>
      <c r="E338" s="544">
        <f>SUM(E333:E337)</f>
        <v>16976.076835591364</v>
      </c>
      <c r="F338" s="545"/>
      <c r="G338" s="542">
        <f>SUM(G333:G337)</f>
        <v>907.89129234343829</v>
      </c>
      <c r="H338" s="543"/>
      <c r="I338" s="542">
        <f>SUM(I333:I337)</f>
        <v>11999.999999999998</v>
      </c>
      <c r="J338" s="543"/>
      <c r="K338" s="352"/>
      <c r="L338" s="354"/>
    </row>
    <row r="339" spans="1:12" s="355" customFormat="1" ht="15" customHeight="1" x14ac:dyDescent="0.3">
      <c r="A339" s="352"/>
      <c r="B339" s="352"/>
      <c r="C339" s="435"/>
      <c r="D339" s="352"/>
      <c r="E339" s="517"/>
      <c r="F339" s="352"/>
      <c r="G339" s="518"/>
      <c r="H339" s="352"/>
      <c r="I339" s="416"/>
      <c r="J339" s="352"/>
      <c r="K339" s="352"/>
      <c r="L339" s="354"/>
    </row>
    <row r="340" spans="1:12" s="355" customFormat="1" ht="15" customHeight="1" x14ac:dyDescent="0.35">
      <c r="A340" s="352"/>
      <c r="B340" s="352" t="s">
        <v>225</v>
      </c>
      <c r="C340" s="435"/>
      <c r="D340" s="352"/>
      <c r="E340" s="438" t="s">
        <v>226</v>
      </c>
      <c r="F340" s="352"/>
      <c r="G340" s="352"/>
      <c r="H340" s="519">
        <f>E33+(-E30*1000*(E31)-E38*E16-E45)/10000</f>
        <v>0.86399500000000007</v>
      </c>
      <c r="I340" s="352"/>
      <c r="J340" s="352"/>
      <c r="K340" s="352"/>
      <c r="L340" s="354"/>
    </row>
    <row r="341" spans="1:12" s="355" customFormat="1" ht="15" customHeight="1" x14ac:dyDescent="0.35">
      <c r="A341" s="352"/>
      <c r="B341" s="352" t="s">
        <v>227</v>
      </c>
      <c r="C341" s="435"/>
      <c r="D341" s="352"/>
      <c r="E341" s="438" t="s">
        <v>228</v>
      </c>
      <c r="F341" s="352"/>
      <c r="G341" s="352"/>
      <c r="H341" s="519">
        <f>(E338+G338+I338)/(10000*(E6+2*E12+2*E18)*(E7+2*E12+2*E18))</f>
        <v>0.28945658979308198</v>
      </c>
      <c r="I341" s="438" t="str">
        <f>IF(H341&gt;$H$340,"redimensionar área","Correcto")</f>
        <v>Correcto</v>
      </c>
      <c r="J341" s="352"/>
      <c r="K341" s="352"/>
      <c r="L341" s="354"/>
    </row>
    <row r="342" spans="1:12" s="355" customFormat="1" ht="15" customHeight="1" x14ac:dyDescent="0.35">
      <c r="A342" s="352"/>
      <c r="B342" s="352" t="s">
        <v>229</v>
      </c>
      <c r="C342" s="435"/>
      <c r="D342" s="352"/>
      <c r="E342" s="438" t="s">
        <v>230</v>
      </c>
      <c r="F342" s="352"/>
      <c r="G342" s="352"/>
      <c r="H342" s="519">
        <f>($H$308*E338+$I$308*(G338+I338))/(10000*E343)</f>
        <v>0.44274703771412599</v>
      </c>
      <c r="I342" s="438"/>
      <c r="J342" s="352"/>
      <c r="K342" s="352"/>
      <c r="L342" s="354"/>
    </row>
    <row r="343" spans="1:12" s="355" customFormat="1" ht="15" customHeight="1" x14ac:dyDescent="0.3">
      <c r="A343" s="352"/>
      <c r="B343" s="352" t="s">
        <v>231</v>
      </c>
      <c r="C343" s="435"/>
      <c r="D343" s="352"/>
      <c r="E343" s="520">
        <f>+(E6+2*E12+2*E18)*(E7+2*E12+2*E18)</f>
        <v>10.32416230333445</v>
      </c>
      <c r="F343" s="352"/>
      <c r="G343" s="352"/>
      <c r="H343" s="519"/>
      <c r="I343" s="438"/>
      <c r="J343" s="352"/>
      <c r="K343" s="352"/>
      <c r="L343" s="354"/>
    </row>
    <row r="344" spans="1:12" s="355" customFormat="1" ht="15" customHeight="1" x14ac:dyDescent="0.3">
      <c r="A344" s="352"/>
      <c r="B344" s="352"/>
      <c r="C344" s="435"/>
      <c r="D344" s="352"/>
      <c r="E344" s="506"/>
      <c r="F344" s="352"/>
      <c r="G344" s="352"/>
      <c r="H344" s="352"/>
      <c r="I344" s="352"/>
      <c r="J344" s="352"/>
      <c r="K344" s="352"/>
      <c r="L344" s="488">
        <f>+H340/H342</f>
        <v>1.951441627844084</v>
      </c>
    </row>
    <row r="345" spans="1:12" s="355" customFormat="1" ht="15" customHeight="1" x14ac:dyDescent="0.3">
      <c r="A345" s="352"/>
      <c r="B345" s="388" t="s">
        <v>232</v>
      </c>
      <c r="C345" s="435"/>
      <c r="D345" s="352"/>
      <c r="E345" s="506"/>
      <c r="F345" s="352"/>
      <c r="G345" s="352"/>
      <c r="H345" s="352"/>
      <c r="I345" s="352"/>
      <c r="J345" s="352"/>
      <c r="K345" s="352"/>
      <c r="L345" s="354"/>
    </row>
    <row r="346" spans="1:12" s="355" customFormat="1" ht="15" customHeight="1" x14ac:dyDescent="0.3">
      <c r="A346" s="352"/>
      <c r="B346" s="533"/>
      <c r="C346" s="533"/>
      <c r="D346" s="533"/>
      <c r="E346" s="533"/>
      <c r="F346" s="533"/>
      <c r="G346" s="533"/>
      <c r="H346" s="352"/>
      <c r="I346" s="352"/>
      <c r="J346" s="352"/>
      <c r="K346" s="352"/>
      <c r="L346" s="354"/>
    </row>
    <row r="347" spans="1:12" s="355" customFormat="1" ht="15" customHeight="1" x14ac:dyDescent="0.3">
      <c r="A347" s="352"/>
      <c r="B347" s="534" t="s">
        <v>233</v>
      </c>
      <c r="C347" s="534"/>
      <c r="D347" s="534"/>
      <c r="E347" s="534"/>
      <c r="F347" s="534"/>
      <c r="G347" s="534"/>
      <c r="H347" s="352"/>
      <c r="I347" s="352"/>
      <c r="J347" s="352"/>
      <c r="K347" s="352"/>
      <c r="L347" s="354"/>
    </row>
    <row r="348" spans="1:12" s="355" customFormat="1" ht="15" customHeight="1" x14ac:dyDescent="0.3">
      <c r="A348" s="352"/>
      <c r="B348" s="534"/>
      <c r="C348" s="534"/>
      <c r="D348" s="534"/>
      <c r="E348" s="534"/>
      <c r="F348" s="534"/>
      <c r="G348" s="534"/>
      <c r="H348" s="352"/>
      <c r="I348" s="352"/>
      <c r="J348" s="352"/>
      <c r="K348" s="352"/>
      <c r="L348" s="354"/>
    </row>
    <row r="349" spans="1:12" s="355" customFormat="1" ht="15" customHeight="1" x14ac:dyDescent="0.3">
      <c r="A349" s="352"/>
      <c r="B349" s="534"/>
      <c r="C349" s="534"/>
      <c r="D349" s="534"/>
      <c r="E349" s="534"/>
      <c r="F349" s="534"/>
      <c r="G349" s="534"/>
      <c r="H349" s="352"/>
      <c r="I349" s="352"/>
      <c r="J349" s="352"/>
      <c r="K349" s="352"/>
      <c r="L349" s="354"/>
    </row>
    <row r="350" spans="1:12" s="355" customFormat="1" ht="15" customHeight="1" x14ac:dyDescent="0.3">
      <c r="A350" s="352"/>
      <c r="B350" s="352"/>
      <c r="C350" s="352"/>
      <c r="D350" s="352"/>
      <c r="E350" s="352"/>
      <c r="F350" s="352"/>
      <c r="G350" s="352"/>
      <c r="H350" s="352"/>
      <c r="I350" s="352"/>
      <c r="J350" s="352"/>
      <c r="K350" s="352"/>
      <c r="L350" s="354"/>
    </row>
    <row r="351" spans="1:12" s="355" customFormat="1" ht="15" customHeight="1" x14ac:dyDescent="0.3">
      <c r="A351" s="352"/>
      <c r="B351" s="352" t="s">
        <v>191</v>
      </c>
      <c r="C351" s="435"/>
      <c r="D351" s="352"/>
      <c r="E351" s="352"/>
      <c r="F351" s="381" t="s">
        <v>192</v>
      </c>
      <c r="G351" s="490">
        <f>+E6</f>
        <v>2.5131234497501729</v>
      </c>
      <c r="H351" s="352"/>
      <c r="I351" s="352"/>
      <c r="J351" s="352"/>
      <c r="K351" s="352"/>
      <c r="L351" s="354"/>
    </row>
    <row r="352" spans="1:12" s="355" customFormat="1" ht="15" customHeight="1" x14ac:dyDescent="0.3">
      <c r="A352" s="352"/>
      <c r="B352" s="352" t="s">
        <v>193</v>
      </c>
      <c r="C352" s="435"/>
      <c r="D352" s="352"/>
      <c r="E352" s="352"/>
      <c r="F352" s="381" t="s">
        <v>194</v>
      </c>
      <c r="G352" s="490">
        <f>+E7</f>
        <v>2.5131234497501729</v>
      </c>
      <c r="H352" s="352"/>
      <c r="I352" s="352"/>
      <c r="J352" s="352"/>
      <c r="K352" s="352"/>
      <c r="L352" s="354"/>
    </row>
    <row r="353" spans="1:12" s="355" customFormat="1" ht="6.9" customHeight="1" x14ac:dyDescent="0.3">
      <c r="A353" s="352"/>
      <c r="B353" s="352"/>
      <c r="C353" s="352"/>
      <c r="D353" s="352"/>
      <c r="E353" s="352"/>
      <c r="F353" s="352"/>
      <c r="G353" s="352"/>
      <c r="H353" s="352"/>
      <c r="I353" s="352"/>
      <c r="J353" s="352"/>
      <c r="K353" s="352"/>
      <c r="L353" s="354"/>
    </row>
    <row r="354" spans="1:12" s="355" customFormat="1" ht="15" customHeight="1" x14ac:dyDescent="0.3">
      <c r="A354" s="352"/>
      <c r="B354" s="352" t="s">
        <v>199</v>
      </c>
      <c r="C354" s="435"/>
      <c r="D354" s="352"/>
      <c r="E354" s="352"/>
      <c r="F354" s="460" t="s">
        <v>200</v>
      </c>
      <c r="G354" s="495">
        <v>1.7999999999999999E-2</v>
      </c>
      <c r="H354" s="381" t="s">
        <v>201</v>
      </c>
      <c r="I354" s="521">
        <f>G354*$H$308*($E$338/(E343))*POWER(G351,2)</f>
        <v>261.70420133466456</v>
      </c>
      <c r="J354" s="352"/>
      <c r="K354" s="352"/>
      <c r="L354" s="354"/>
    </row>
    <row r="355" spans="1:12" s="355" customFormat="1" ht="15" customHeight="1" x14ac:dyDescent="0.3">
      <c r="A355" s="352"/>
      <c r="B355" s="352"/>
      <c r="C355" s="435"/>
      <c r="D355" s="352"/>
      <c r="E355" s="352"/>
      <c r="F355" s="460" t="s">
        <v>202</v>
      </c>
      <c r="G355" s="495">
        <v>1.7999999999999999E-2</v>
      </c>
      <c r="H355" s="381" t="s">
        <v>203</v>
      </c>
      <c r="I355" s="521">
        <f>G355*$H$308*($E$338/(E343))*POWER(G352,2)</f>
        <v>261.70420133466456</v>
      </c>
      <c r="J355" s="352"/>
      <c r="K355" s="352"/>
      <c r="L355" s="354"/>
    </row>
    <row r="356" spans="1:12" s="355" customFormat="1" ht="15" customHeight="1" x14ac:dyDescent="0.3">
      <c r="A356" s="352"/>
      <c r="B356" s="352"/>
      <c r="C356" s="435"/>
      <c r="D356" s="352"/>
      <c r="E356" s="352"/>
      <c r="F356" s="468"/>
      <c r="G356" s="497"/>
      <c r="H356" s="352"/>
      <c r="I356" s="521"/>
      <c r="J356" s="352"/>
      <c r="K356" s="352"/>
      <c r="L356" s="354"/>
    </row>
    <row r="357" spans="1:12" s="355" customFormat="1" ht="15" customHeight="1" x14ac:dyDescent="0.3">
      <c r="A357" s="352"/>
      <c r="B357" s="352" t="s">
        <v>204</v>
      </c>
      <c r="C357" s="435"/>
      <c r="D357" s="352"/>
      <c r="E357" s="352"/>
      <c r="F357" s="460" t="s">
        <v>200</v>
      </c>
      <c r="G357" s="497">
        <v>2.7E-2</v>
      </c>
      <c r="H357" s="381" t="s">
        <v>201</v>
      </c>
      <c r="I357" s="521">
        <f>G357*$I$308*(($G$338+$I$338)/(E343))*POWER(G351,2)</f>
        <v>362.44390967893355</v>
      </c>
      <c r="J357" s="352"/>
      <c r="K357" s="352"/>
      <c r="L357" s="354"/>
    </row>
    <row r="358" spans="1:12" s="355" customFormat="1" ht="15" customHeight="1" x14ac:dyDescent="0.3">
      <c r="A358" s="352"/>
      <c r="B358" s="352"/>
      <c r="C358" s="435"/>
      <c r="D358" s="352"/>
      <c r="E358" s="352"/>
      <c r="F358" s="460" t="s">
        <v>202</v>
      </c>
      <c r="G358" s="495">
        <v>2.7E-2</v>
      </c>
      <c r="H358" s="381" t="s">
        <v>203</v>
      </c>
      <c r="I358" s="521">
        <f>G358*$I$308*(($G$338+$I$338)/(E343))*POWER(G352,2)</f>
        <v>362.44390967893355</v>
      </c>
      <c r="J358" s="352"/>
      <c r="K358" s="352"/>
      <c r="L358" s="354"/>
    </row>
    <row r="359" spans="1:12" s="355" customFormat="1" ht="15" customHeight="1" x14ac:dyDescent="0.3">
      <c r="A359" s="352"/>
      <c r="B359" s="352"/>
      <c r="C359" s="435"/>
      <c r="D359" s="352"/>
      <c r="E359" s="352"/>
      <c r="F359" s="468"/>
      <c r="G359" s="497"/>
      <c r="H359" s="381"/>
      <c r="I359" s="521"/>
      <c r="J359" s="352"/>
      <c r="K359" s="352"/>
      <c r="L359" s="354"/>
    </row>
    <row r="360" spans="1:12" s="355" customFormat="1" ht="15" customHeight="1" x14ac:dyDescent="0.3">
      <c r="A360" s="352"/>
      <c r="B360" s="352" t="s">
        <v>234</v>
      </c>
      <c r="C360" s="435"/>
      <c r="D360" s="352"/>
      <c r="E360" s="352"/>
      <c r="F360" s="460" t="s">
        <v>200</v>
      </c>
      <c r="G360" s="497">
        <v>4.4999999999999998E-2</v>
      </c>
      <c r="H360" s="381" t="s">
        <v>201</v>
      </c>
      <c r="I360" s="521">
        <f>G360*(10000*$H$342)*POWER(G351,2)</f>
        <v>1258.3336861348841</v>
      </c>
      <c r="J360" s="352"/>
      <c r="K360" s="352"/>
      <c r="L360" s="354"/>
    </row>
    <row r="361" spans="1:12" s="355" customFormat="1" ht="15" customHeight="1" x14ac:dyDescent="0.3">
      <c r="A361" s="352"/>
      <c r="B361" s="352"/>
      <c r="C361" s="435"/>
      <c r="D361" s="352"/>
      <c r="E361" s="352"/>
      <c r="F361" s="460" t="s">
        <v>202</v>
      </c>
      <c r="G361" s="495">
        <v>4.4999999999999998E-2</v>
      </c>
      <c r="H361" s="381" t="s">
        <v>203</v>
      </c>
      <c r="I361" s="521">
        <f>G361*(10000*$H$342)*POWER(G352,2)</f>
        <v>1258.3336861348841</v>
      </c>
      <c r="J361" s="522"/>
      <c r="K361" s="352"/>
      <c r="L361" s="354"/>
    </row>
    <row r="362" spans="1:12" s="355" customFormat="1" ht="15" customHeight="1" x14ac:dyDescent="0.3">
      <c r="A362" s="352"/>
      <c r="B362" s="352"/>
      <c r="C362" s="435"/>
      <c r="D362" s="352"/>
      <c r="E362" s="352"/>
      <c r="F362" s="523"/>
      <c r="G362" s="524"/>
      <c r="H362" s="381"/>
      <c r="I362" s="521"/>
      <c r="J362" s="522"/>
      <c r="K362" s="352"/>
      <c r="L362" s="354"/>
    </row>
    <row r="363" spans="1:12" s="355" customFormat="1" ht="15" customHeight="1" x14ac:dyDescent="0.3">
      <c r="A363" s="352"/>
      <c r="B363" s="352" t="s">
        <v>206</v>
      </c>
      <c r="C363" s="352"/>
      <c r="D363" s="352"/>
      <c r="E363" s="500">
        <f>MAX(I354,I355)+MAX(I357,I358)</f>
        <v>624.14811101359805</v>
      </c>
      <c r="F363" s="381"/>
      <c r="G363" s="525" t="s">
        <v>235</v>
      </c>
      <c r="H363" s="352"/>
      <c r="I363" s="381"/>
      <c r="J363" s="522"/>
      <c r="K363" s="352"/>
      <c r="L363" s="354"/>
    </row>
    <row r="364" spans="1:12" s="355" customFormat="1" ht="15" customHeight="1" x14ac:dyDescent="0.3">
      <c r="A364" s="352"/>
      <c r="B364" s="352" t="s">
        <v>236</v>
      </c>
      <c r="C364" s="435"/>
      <c r="D364" s="352"/>
      <c r="E364" s="463">
        <f>(0.85*E35*100*100*(E16-E45)/E37)*(1-SQRT(1-(2*100*E363/(0.85*0.9*E35*100*POWER(100*(E16-E45),2)))))</f>
        <v>1.6845711244401604</v>
      </c>
      <c r="F364" s="464" t="s">
        <v>155</v>
      </c>
      <c r="G364" s="526">
        <v>1</v>
      </c>
      <c r="H364" s="416">
        <v>2</v>
      </c>
      <c r="I364" s="465">
        <f>1/((E364)/(G364*VLOOKUP(H364,Datos!$B$4:$F$10,5)))</f>
        <v>0.42147226062417331</v>
      </c>
      <c r="J364" s="522"/>
      <c r="K364" s="352"/>
      <c r="L364" s="354"/>
    </row>
    <row r="365" spans="1:12" s="355" customFormat="1" ht="6.9" customHeight="1" x14ac:dyDescent="0.3">
      <c r="A365" s="352"/>
      <c r="B365" s="352"/>
      <c r="C365" s="435"/>
      <c r="D365" s="352"/>
      <c r="E365" s="463"/>
      <c r="F365" s="464"/>
      <c r="G365" s="352"/>
      <c r="H365" s="416"/>
      <c r="I365" s="465"/>
      <c r="J365" s="522"/>
      <c r="K365" s="352"/>
      <c r="L365" s="354"/>
    </row>
    <row r="366" spans="1:12" s="355" customFormat="1" ht="15" customHeight="1" x14ac:dyDescent="0.3">
      <c r="A366" s="352"/>
      <c r="B366" s="352" t="s">
        <v>237</v>
      </c>
      <c r="C366" s="435"/>
      <c r="D366" s="352"/>
      <c r="E366" s="500">
        <f>MAX(I360,I361)</f>
        <v>1258.3336861348841</v>
      </c>
      <c r="F366" s="381"/>
      <c r="G366" s="352"/>
      <c r="H366" s="522"/>
      <c r="I366" s="502"/>
      <c r="J366" s="522"/>
      <c r="K366" s="352"/>
      <c r="L366" s="354"/>
    </row>
    <row r="367" spans="1:12" s="355" customFormat="1" ht="15" customHeight="1" x14ac:dyDescent="0.3">
      <c r="A367" s="352"/>
      <c r="B367" s="352" t="s">
        <v>238</v>
      </c>
      <c r="C367" s="352"/>
      <c r="D367" s="352"/>
      <c r="E367" s="463">
        <f>(0.85*E35*100*100*(E16-E45)/E37)*(1-SQRT(1-(2*100*E366/(0.85*0.9*E35*100*POWER(100*(E16-E45),2)))))</f>
        <v>3.4706345571128856</v>
      </c>
      <c r="F367" s="464" t="s">
        <v>155</v>
      </c>
      <c r="G367" s="526">
        <v>1</v>
      </c>
      <c r="H367" s="416">
        <v>3</v>
      </c>
      <c r="I367" s="465">
        <f>1/((E367)/(G367*VLOOKUP(H367,Datos!$B$4:$F$10,5)))</f>
        <v>0.36592731937080519</v>
      </c>
      <c r="J367" s="522"/>
      <c r="K367" s="352"/>
      <c r="L367" s="354"/>
    </row>
    <row r="368" spans="1:12" s="355" customFormat="1" ht="15" customHeight="1" x14ac:dyDescent="0.3">
      <c r="A368" s="352"/>
      <c r="B368" s="352"/>
      <c r="C368" s="352"/>
      <c r="D368" s="352"/>
      <c r="E368" s="352"/>
      <c r="F368" s="381"/>
      <c r="G368" s="352"/>
      <c r="H368" s="522"/>
      <c r="I368" s="502"/>
      <c r="J368" s="522"/>
      <c r="K368" s="352"/>
      <c r="L368" s="354"/>
    </row>
    <row r="369" spans="1:12" s="355" customFormat="1" ht="15" customHeight="1" x14ac:dyDescent="0.3">
      <c r="A369" s="352"/>
      <c r="B369" s="352" t="s">
        <v>173</v>
      </c>
      <c r="C369" s="352"/>
      <c r="D369" s="352"/>
      <c r="E369" s="503">
        <f>0.003*100*E16*100</f>
        <v>4.5</v>
      </c>
      <c r="F369" s="464" t="s">
        <v>155</v>
      </c>
      <c r="G369" s="526">
        <v>1</v>
      </c>
      <c r="H369" s="416">
        <v>2</v>
      </c>
      <c r="I369" s="465">
        <f>1/((E369/2)/(G369*VLOOKUP(H369,Datos!$B$4:$F$10,5)))</f>
        <v>0.31555555555555553</v>
      </c>
      <c r="J369" s="522"/>
      <c r="K369" s="352"/>
      <c r="L369" s="354"/>
    </row>
    <row r="370" spans="1:12" s="355" customFormat="1" ht="15" customHeight="1" x14ac:dyDescent="0.3">
      <c r="A370" s="352"/>
      <c r="B370" s="352"/>
      <c r="C370" s="352"/>
      <c r="D370" s="352"/>
      <c r="E370" s="501"/>
      <c r="F370" s="381"/>
      <c r="G370" s="352"/>
      <c r="H370" s="522"/>
      <c r="I370" s="352"/>
      <c r="J370" s="522"/>
      <c r="K370" s="352"/>
      <c r="L370" s="354"/>
    </row>
    <row r="371" spans="1:12" s="355" customFormat="1" ht="15" customHeight="1" x14ac:dyDescent="0.3">
      <c r="A371" s="352"/>
      <c r="B371" s="388" t="s">
        <v>239</v>
      </c>
      <c r="C371" s="352"/>
      <c r="D371" s="352"/>
      <c r="E371" s="352"/>
      <c r="F371" s="352"/>
      <c r="G371" s="352"/>
      <c r="H371" s="352"/>
      <c r="I371" s="381"/>
      <c r="J371" s="522"/>
      <c r="K371" s="352"/>
      <c r="L371" s="354"/>
    </row>
    <row r="372" spans="1:12" s="355" customFormat="1" ht="15" customHeight="1" x14ac:dyDescent="0.3">
      <c r="A372" s="352"/>
      <c r="B372" s="352" t="s">
        <v>210</v>
      </c>
      <c r="C372" s="352"/>
      <c r="D372" s="352"/>
      <c r="E372" s="368">
        <f>(10000*H342)*E6/2</f>
        <v>5563.3898139339708</v>
      </c>
      <c r="F372" s="352"/>
      <c r="G372" s="352"/>
      <c r="H372" s="352"/>
      <c r="I372" s="381"/>
      <c r="J372" s="522"/>
      <c r="K372" s="352"/>
      <c r="L372" s="354"/>
    </row>
    <row r="373" spans="1:12" s="355" customFormat="1" ht="15" customHeight="1" x14ac:dyDescent="0.3">
      <c r="A373" s="352"/>
      <c r="B373" s="352" t="s">
        <v>163</v>
      </c>
      <c r="C373" s="352"/>
      <c r="D373" s="352"/>
      <c r="E373" s="473">
        <f>0.53*SQRT(E35)</f>
        <v>7.6804296754804025</v>
      </c>
      <c r="F373" s="352"/>
      <c r="G373" s="352"/>
      <c r="H373" s="352"/>
      <c r="I373" s="381"/>
      <c r="J373" s="522"/>
      <c r="K373" s="352"/>
      <c r="L373" s="354"/>
    </row>
    <row r="374" spans="1:12" s="355" customFormat="1" ht="15" customHeight="1" x14ac:dyDescent="0.3">
      <c r="A374" s="352"/>
      <c r="B374" s="352" t="s">
        <v>164</v>
      </c>
      <c r="C374" s="352"/>
      <c r="D374" s="352"/>
      <c r="E374" s="473">
        <f>E372/(0.85*100*(E17-E46)*100)</f>
        <v>2.6180657947924573</v>
      </c>
      <c r="F374" s="438" t="str">
        <f>IF(E374&lt;E373,"Cumple","ERROR")</f>
        <v>Cumple</v>
      </c>
      <c r="G374" s="352"/>
      <c r="H374" s="352"/>
      <c r="I374" s="381"/>
      <c r="J374" s="522"/>
      <c r="K374" s="352"/>
      <c r="L374" s="354"/>
    </row>
    <row r="375" spans="1:12" s="355" customFormat="1" ht="15" customHeight="1" x14ac:dyDescent="0.3">
      <c r="A375" s="352"/>
      <c r="B375" s="352"/>
      <c r="C375" s="435"/>
      <c r="D375" s="352"/>
      <c r="E375" s="352"/>
      <c r="F375" s="352"/>
      <c r="G375" s="352"/>
      <c r="H375" s="352"/>
      <c r="I375" s="352"/>
      <c r="J375" s="352"/>
      <c r="K375" s="352"/>
      <c r="L375" s="354"/>
    </row>
    <row r="376" spans="1:12" s="395" customFormat="1" ht="15" customHeight="1" x14ac:dyDescent="0.3">
      <c r="A376" s="387"/>
      <c r="B376" s="387" t="s">
        <v>240</v>
      </c>
      <c r="C376" s="387"/>
      <c r="D376" s="387"/>
      <c r="E376" s="387"/>
      <c r="F376" s="387"/>
      <c r="G376" s="387"/>
      <c r="H376" s="527" t="s">
        <v>241</v>
      </c>
      <c r="I376" s="527" t="s">
        <v>242</v>
      </c>
      <c r="J376" s="387"/>
      <c r="K376" s="387"/>
      <c r="L376" s="394"/>
    </row>
    <row r="377" spans="1:12" s="355" customFormat="1" ht="15" customHeight="1" x14ac:dyDescent="0.3">
      <c r="A377" s="352"/>
      <c r="B377" s="352" t="s">
        <v>243</v>
      </c>
      <c r="C377" s="352"/>
      <c r="D377" s="352"/>
      <c r="E377" s="352"/>
      <c r="F377" s="528" t="s">
        <v>244</v>
      </c>
      <c r="G377" s="529" t="s">
        <v>245</v>
      </c>
      <c r="H377" s="530">
        <f>+MIN(H248:H249,D254/100,D255/100,J270)</f>
        <v>0.26141289198606271</v>
      </c>
      <c r="I377" s="531">
        <v>0.25</v>
      </c>
      <c r="J377" s="438" t="str">
        <f>IF(I377&gt;H377,"seguro?","")</f>
        <v/>
      </c>
      <c r="K377" s="352"/>
      <c r="L377" s="354"/>
    </row>
    <row r="378" spans="1:12" s="355" customFormat="1" ht="15" customHeight="1" x14ac:dyDescent="0.3">
      <c r="A378" s="352"/>
      <c r="B378" s="352" t="s">
        <v>246</v>
      </c>
      <c r="C378" s="352"/>
      <c r="D378" s="352"/>
      <c r="E378" s="352"/>
      <c r="F378" s="528" t="s">
        <v>244</v>
      </c>
      <c r="G378" s="529" t="s">
        <v>245</v>
      </c>
      <c r="H378" s="530">
        <f>+MIN(H279:H280,D254/100,D255/100,J270,H284)</f>
        <v>0.26141289198606271</v>
      </c>
      <c r="I378" s="531">
        <v>0.25</v>
      </c>
      <c r="J378" s="438" t="str">
        <f t="shared" ref="J378:J383" si="0">IF(I378&gt;H378,"seguro?","")</f>
        <v/>
      </c>
      <c r="K378" s="352"/>
      <c r="L378" s="354"/>
    </row>
    <row r="379" spans="1:12" s="355" customFormat="1" ht="15" customHeight="1" x14ac:dyDescent="0.3">
      <c r="A379" s="352"/>
      <c r="B379" s="352" t="s">
        <v>247</v>
      </c>
      <c r="C379" s="352"/>
      <c r="D379" s="352"/>
      <c r="E379" s="352"/>
      <c r="F379" s="528" t="s">
        <v>244</v>
      </c>
      <c r="G379" s="529" t="s">
        <v>245</v>
      </c>
      <c r="H379" s="530">
        <f>+MIN(H319,H321)</f>
        <v>0.15777777777777777</v>
      </c>
      <c r="I379" s="531">
        <v>0.15</v>
      </c>
      <c r="J379" s="438" t="str">
        <f t="shared" si="0"/>
        <v/>
      </c>
      <c r="K379" s="352"/>
      <c r="L379" s="354"/>
    </row>
    <row r="380" spans="1:12" s="355" customFormat="1" ht="15" customHeight="1" x14ac:dyDescent="0.3">
      <c r="A380" s="352"/>
      <c r="B380" s="352" t="s">
        <v>248</v>
      </c>
      <c r="C380" s="352"/>
      <c r="D380" s="352"/>
      <c r="E380" s="352"/>
      <c r="F380" s="528" t="s">
        <v>244</v>
      </c>
      <c r="G380" s="529" t="s">
        <v>245</v>
      </c>
      <c r="H380" s="532" t="s">
        <v>249</v>
      </c>
      <c r="I380" s="531"/>
      <c r="J380" s="438" t="str">
        <f t="shared" si="0"/>
        <v/>
      </c>
      <c r="K380" s="352"/>
      <c r="L380" s="354"/>
    </row>
    <row r="381" spans="1:12" s="355" customFormat="1" ht="15" customHeight="1" x14ac:dyDescent="0.3">
      <c r="A381" s="352"/>
      <c r="B381" s="352" t="s">
        <v>250</v>
      </c>
      <c r="C381" s="352"/>
      <c r="D381" s="352"/>
      <c r="E381" s="352"/>
      <c r="F381" s="528" t="s">
        <v>244</v>
      </c>
      <c r="G381" s="529" t="s">
        <v>245</v>
      </c>
      <c r="H381" s="532">
        <f>+MIN(I364,I369,D254/100,D255/100)</f>
        <v>0.26141289198606271</v>
      </c>
      <c r="I381" s="531">
        <v>0.25</v>
      </c>
      <c r="J381" s="438" t="str">
        <f t="shared" si="0"/>
        <v/>
      </c>
      <c r="K381" s="352"/>
      <c r="L381" s="354"/>
    </row>
    <row r="382" spans="1:12" s="355" customFormat="1" ht="15" customHeight="1" x14ac:dyDescent="0.3">
      <c r="A382" s="352"/>
      <c r="B382" s="352" t="s">
        <v>251</v>
      </c>
      <c r="C382" s="352"/>
      <c r="D382" s="352"/>
      <c r="E382" s="352"/>
      <c r="F382" s="528" t="s">
        <v>244</v>
      </c>
      <c r="G382" s="529" t="s">
        <v>245</v>
      </c>
      <c r="H382" s="530">
        <f>+MIN(I369,D254/100,D255/100)</f>
        <v>0.26141289198606271</v>
      </c>
      <c r="I382" s="531">
        <v>0.25</v>
      </c>
      <c r="J382" s="438" t="str">
        <f t="shared" si="0"/>
        <v/>
      </c>
      <c r="K382" s="352"/>
      <c r="L382" s="354"/>
    </row>
    <row r="383" spans="1:12" s="355" customFormat="1" ht="15" customHeight="1" x14ac:dyDescent="0.3">
      <c r="A383" s="352"/>
      <c r="B383" s="352" t="s">
        <v>252</v>
      </c>
      <c r="C383" s="352"/>
      <c r="D383" s="352"/>
      <c r="E383" s="352"/>
      <c r="F383" s="528" t="s">
        <v>244</v>
      </c>
      <c r="G383" s="529" t="s">
        <v>253</v>
      </c>
      <c r="H383" s="530">
        <f>+MIN(I367,D254/100,D255/100)</f>
        <v>0.26141289198606271</v>
      </c>
      <c r="I383" s="531">
        <v>0.2</v>
      </c>
      <c r="J383" s="438" t="str">
        <f t="shared" si="0"/>
        <v/>
      </c>
      <c r="K383" s="352"/>
      <c r="L383" s="354"/>
    </row>
    <row r="384" spans="1:12" s="355" customFormat="1" ht="15" customHeight="1" x14ac:dyDescent="0.3">
      <c r="A384" s="352"/>
      <c r="B384" s="352"/>
      <c r="C384" s="352"/>
      <c r="D384" s="352"/>
      <c r="E384" s="352"/>
      <c r="F384" s="352"/>
      <c r="G384" s="352"/>
      <c r="H384" s="352"/>
      <c r="I384" s="352"/>
      <c r="J384" s="352"/>
      <c r="K384" s="352"/>
      <c r="L384" s="354"/>
    </row>
    <row r="385" spans="1:12" s="355" customFormat="1" ht="15" customHeight="1" x14ac:dyDescent="0.3">
      <c r="A385" s="352"/>
      <c r="B385" s="352"/>
      <c r="C385" s="352"/>
      <c r="D385" s="352"/>
      <c r="E385" s="352"/>
      <c r="F385" s="352"/>
      <c r="G385" s="352"/>
      <c r="H385" s="352"/>
      <c r="I385" s="352"/>
      <c r="J385" s="352"/>
      <c r="K385" s="352"/>
      <c r="L385" s="354"/>
    </row>
    <row r="386" spans="1:12" s="355" customFormat="1" ht="15" customHeight="1" x14ac:dyDescent="0.3">
      <c r="A386" s="352"/>
      <c r="B386" s="352"/>
      <c r="C386" s="352"/>
      <c r="D386" s="352"/>
      <c r="E386" s="352"/>
      <c r="F386" s="352"/>
      <c r="G386" s="352"/>
      <c r="H386" s="352"/>
      <c r="I386" s="352"/>
      <c r="J386" s="352"/>
      <c r="K386" s="352"/>
      <c r="L386" s="354"/>
    </row>
    <row r="387" spans="1:12" s="355" customFormat="1" ht="15" customHeight="1" x14ac:dyDescent="0.3">
      <c r="A387" s="352"/>
      <c r="B387" s="352"/>
      <c r="C387" s="352"/>
      <c r="D387" s="352"/>
      <c r="E387" s="352"/>
      <c r="F387" s="352"/>
      <c r="G387" s="352"/>
      <c r="H387" s="352"/>
      <c r="I387" s="352"/>
      <c r="J387" s="352"/>
      <c r="K387" s="352"/>
      <c r="L387" s="354"/>
    </row>
    <row r="388" spans="1:12" s="355" customFormat="1" ht="15" customHeight="1" x14ac:dyDescent="0.3">
      <c r="A388" s="352"/>
      <c r="B388" s="352"/>
      <c r="C388" s="352"/>
      <c r="D388" s="352"/>
      <c r="E388" s="352"/>
      <c r="F388" s="352"/>
      <c r="G388" s="352"/>
      <c r="H388" s="352"/>
      <c r="I388" s="352"/>
      <c r="J388" s="352"/>
      <c r="K388" s="352"/>
      <c r="L388" s="354"/>
    </row>
    <row r="389" spans="1:12" s="355" customFormat="1" ht="15" customHeight="1" x14ac:dyDescent="0.3">
      <c r="A389" s="352"/>
      <c r="B389" s="352"/>
      <c r="C389" s="352"/>
      <c r="D389" s="352"/>
      <c r="E389" s="352"/>
      <c r="F389" s="352"/>
      <c r="G389" s="352"/>
      <c r="H389" s="352"/>
      <c r="I389" s="352"/>
      <c r="J389" s="352"/>
      <c r="K389" s="352"/>
      <c r="L389" s="354"/>
    </row>
    <row r="390" spans="1:12" s="355" customFormat="1" ht="15" customHeight="1" x14ac:dyDescent="0.3">
      <c r="A390" s="352"/>
      <c r="B390" s="352"/>
      <c r="C390" s="352"/>
      <c r="D390" s="352"/>
      <c r="E390" s="352"/>
      <c r="F390" s="352"/>
      <c r="G390" s="352"/>
      <c r="H390" s="352"/>
      <c r="I390" s="352"/>
      <c r="J390" s="352"/>
      <c r="K390" s="352"/>
      <c r="L390" s="354"/>
    </row>
    <row r="391" spans="1:12" s="355" customFormat="1" ht="15" customHeight="1" x14ac:dyDescent="0.3">
      <c r="A391" s="352"/>
      <c r="B391" s="352"/>
      <c r="C391" s="352"/>
      <c r="D391" s="352"/>
      <c r="E391" s="352"/>
      <c r="F391" s="352"/>
      <c r="G391" s="352"/>
      <c r="H391" s="352"/>
      <c r="I391" s="352"/>
      <c r="J391" s="352"/>
      <c r="K391" s="352"/>
      <c r="L391" s="354"/>
    </row>
    <row r="392" spans="1:12" s="355" customFormat="1" ht="15" customHeight="1" x14ac:dyDescent="0.3">
      <c r="A392" s="352"/>
      <c r="B392" s="352"/>
      <c r="C392" s="352"/>
      <c r="D392" s="352"/>
      <c r="E392" s="352"/>
      <c r="F392" s="352"/>
      <c r="G392" s="352"/>
      <c r="H392" s="352"/>
      <c r="I392" s="352"/>
      <c r="J392" s="352"/>
      <c r="K392" s="352"/>
      <c r="L392" s="354"/>
    </row>
    <row r="393" spans="1:12" s="355" customFormat="1" ht="15" customHeight="1" x14ac:dyDescent="0.3">
      <c r="A393" s="352"/>
      <c r="B393" s="352"/>
      <c r="C393" s="352"/>
      <c r="D393" s="352"/>
      <c r="E393" s="352"/>
      <c r="F393" s="352"/>
      <c r="G393" s="352"/>
      <c r="H393" s="352"/>
      <c r="I393" s="352"/>
      <c r="J393" s="352"/>
      <c r="K393" s="352"/>
      <c r="L393" s="354"/>
    </row>
    <row r="394" spans="1:12" s="355" customFormat="1" ht="15" customHeight="1" x14ac:dyDescent="0.3">
      <c r="A394" s="352"/>
      <c r="B394" s="352"/>
      <c r="C394" s="352"/>
      <c r="D394" s="352"/>
      <c r="E394" s="352"/>
      <c r="F394" s="352"/>
      <c r="G394" s="352"/>
      <c r="H394" s="352"/>
      <c r="I394" s="352"/>
      <c r="J394" s="352"/>
      <c r="K394" s="352"/>
      <c r="L394" s="354"/>
    </row>
    <row r="395" spans="1:12" s="355" customFormat="1" ht="15" customHeight="1" x14ac:dyDescent="0.3">
      <c r="A395" s="352"/>
      <c r="B395" s="352"/>
      <c r="C395" s="352"/>
      <c r="D395" s="352"/>
      <c r="E395" s="352"/>
      <c r="F395" s="352"/>
      <c r="G395" s="352"/>
      <c r="H395" s="352"/>
      <c r="I395" s="352"/>
      <c r="J395" s="352"/>
      <c r="K395" s="352"/>
      <c r="L395" s="354"/>
    </row>
    <row r="396" spans="1:12" s="355" customFormat="1" ht="15" customHeight="1" x14ac:dyDescent="0.3">
      <c r="A396" s="352"/>
      <c r="B396" s="352"/>
      <c r="C396" s="352"/>
      <c r="D396" s="352"/>
      <c r="E396" s="352"/>
      <c r="F396" s="352"/>
      <c r="G396" s="352"/>
      <c r="H396" s="352"/>
      <c r="I396" s="352"/>
      <c r="J396" s="352"/>
      <c r="K396" s="352"/>
      <c r="L396" s="354"/>
    </row>
    <row r="397" spans="1:12" s="355" customFormat="1" ht="15" customHeight="1" x14ac:dyDescent="0.3">
      <c r="A397" s="352"/>
      <c r="B397" s="352"/>
      <c r="C397" s="352"/>
      <c r="D397" s="352"/>
      <c r="E397" s="352"/>
      <c r="F397" s="352"/>
      <c r="G397" s="352"/>
      <c r="H397" s="352"/>
      <c r="I397" s="352"/>
      <c r="J397" s="352"/>
      <c r="K397" s="352"/>
      <c r="L397" s="354"/>
    </row>
    <row r="398" spans="1:12" s="355" customFormat="1" ht="15" customHeight="1" x14ac:dyDescent="0.3">
      <c r="A398" s="352"/>
      <c r="B398" s="352"/>
      <c r="C398" s="352"/>
      <c r="D398" s="352"/>
      <c r="E398" s="352"/>
      <c r="F398" s="352"/>
      <c r="G398" s="352"/>
      <c r="H398" s="352"/>
      <c r="I398" s="352"/>
      <c r="J398" s="352"/>
      <c r="K398" s="352"/>
      <c r="L398" s="354"/>
    </row>
    <row r="399" spans="1:12" s="355" customFormat="1" ht="15" customHeight="1" x14ac:dyDescent="0.3">
      <c r="A399" s="352"/>
      <c r="B399" s="352"/>
      <c r="C399" s="352"/>
      <c r="D399" s="352"/>
      <c r="E399" s="352"/>
      <c r="F399" s="352"/>
      <c r="G399" s="352"/>
      <c r="H399" s="352"/>
      <c r="I399" s="352"/>
      <c r="J399" s="352"/>
      <c r="K399" s="352"/>
      <c r="L399" s="354"/>
    </row>
    <row r="400" spans="1:12" s="355" customFormat="1" ht="15" customHeight="1" x14ac:dyDescent="0.3">
      <c r="A400" s="352"/>
      <c r="B400" s="352"/>
      <c r="C400" s="352"/>
      <c r="D400" s="352"/>
      <c r="E400" s="352"/>
      <c r="F400" s="352"/>
      <c r="G400" s="352"/>
      <c r="H400" s="352"/>
      <c r="I400" s="352"/>
      <c r="J400" s="352"/>
      <c r="K400" s="352"/>
      <c r="L400" s="354"/>
    </row>
    <row r="401" spans="1:12" s="355" customFormat="1" ht="15" customHeight="1" x14ac:dyDescent="0.3">
      <c r="A401" s="352"/>
      <c r="B401" s="352"/>
      <c r="C401" s="352"/>
      <c r="D401" s="352"/>
      <c r="E401" s="352"/>
      <c r="F401" s="352"/>
      <c r="G401" s="352"/>
      <c r="H401" s="352"/>
      <c r="I401" s="352"/>
      <c r="J401" s="352"/>
      <c r="K401" s="352"/>
      <c r="L401" s="354"/>
    </row>
    <row r="402" spans="1:12" s="355" customFormat="1" ht="15" customHeight="1" x14ac:dyDescent="0.3">
      <c r="A402" s="352"/>
      <c r="B402" s="352"/>
      <c r="C402" s="352"/>
      <c r="D402" s="352"/>
      <c r="E402" s="352"/>
      <c r="F402" s="352"/>
      <c r="G402" s="352"/>
      <c r="H402" s="352"/>
      <c r="I402" s="352"/>
      <c r="J402" s="352"/>
      <c r="K402" s="352"/>
      <c r="L402" s="354"/>
    </row>
  </sheetData>
  <sheetProtection selectLockedCells="1"/>
  <mergeCells count="44">
    <mergeCell ref="B2:J2"/>
    <mergeCell ref="I338:J338"/>
    <mergeCell ref="G338:H338"/>
    <mergeCell ref="E338:F338"/>
    <mergeCell ref="B31:D31"/>
    <mergeCell ref="B40:D40"/>
    <mergeCell ref="B35:D35"/>
    <mergeCell ref="B36:D36"/>
    <mergeCell ref="B37:D37"/>
    <mergeCell ref="B38:D38"/>
    <mergeCell ref="B13:D13"/>
    <mergeCell ref="B14:D14"/>
    <mergeCell ref="B15:D15"/>
    <mergeCell ref="B16:D16"/>
    <mergeCell ref="B30:D30"/>
    <mergeCell ref="B8:D8"/>
    <mergeCell ref="I332:J332"/>
    <mergeCell ref="E332:F332"/>
    <mergeCell ref="G332:H332"/>
    <mergeCell ref="B299:G301"/>
    <mergeCell ref="B294:G295"/>
    <mergeCell ref="B5:D5"/>
    <mergeCell ref="B6:D6"/>
    <mergeCell ref="B39:D39"/>
    <mergeCell ref="B41:D41"/>
    <mergeCell ref="B4:E4"/>
    <mergeCell ref="B32:D32"/>
    <mergeCell ref="B33:D33"/>
    <mergeCell ref="B17:D17"/>
    <mergeCell ref="B7:D7"/>
    <mergeCell ref="B9:D9"/>
    <mergeCell ref="B10:D10"/>
    <mergeCell ref="B11:D11"/>
    <mergeCell ref="B12:D12"/>
    <mergeCell ref="B18:D18"/>
    <mergeCell ref="B346:G346"/>
    <mergeCell ref="B347:G349"/>
    <mergeCell ref="E147:G147"/>
    <mergeCell ref="B46:D46"/>
    <mergeCell ref="B42:D42"/>
    <mergeCell ref="B43:D43"/>
    <mergeCell ref="B44:D44"/>
    <mergeCell ref="B45:D45"/>
    <mergeCell ref="B147:D147"/>
  </mergeCells>
  <dataValidations count="2">
    <dataValidation type="list" allowBlank="1" showInputMessage="1" showErrorMessage="1" sqref="E19" xr:uid="{00000000-0002-0000-0000-000000000000}">
      <formula1>CONEXION</formula1>
    </dataValidation>
    <dataValidation type="list" allowBlank="1" showInputMessage="1" showErrorMessage="1" sqref="E35" xr:uid="{00000000-0002-0000-0000-000001000000}">
      <formula1>RESISCONCRETO</formula1>
    </dataValidation>
  </dataValidations>
  <printOptions horizontalCentered="1"/>
  <pageMargins left="0.78740157480314965" right="0.78740157480314965" top="0.78740157480314965" bottom="0.78740157480314965" header="0.39370078740157483" footer="0.39370078740157483"/>
  <pageSetup paperSize="9" scale="70" orientation="portrait" horizontalDpi="1200" verticalDpi="1200" r:id="rId1"/>
  <headerFooter>
    <oddFooter>&amp;R&amp;"Arial,Normal"&amp;8&amp;P de &amp;N</oddFooter>
  </headerFooter>
  <rowBreaks count="4" manualBreakCount="4">
    <brk id="72" max="10" man="1"/>
    <brk id="140" max="10" man="1"/>
    <brk id="207" max="10" man="1"/>
    <brk id="275" max="10" man="1"/>
  </rowBreaks>
  <ignoredErrors>
    <ignoredError sqref="H248:H249 H264:I264 I266 H279:H284 G303:G304 H320 H319 H321 I364:I369" unlockedFormula="1"/>
  </ignoredErrors>
  <drawing r:id="rId2"/>
  <legacyDrawing r:id="rId3"/>
  <mc:AlternateContent xmlns:mc="http://schemas.openxmlformats.org/markup-compatibility/2006">
    <mc:Choice Requires="x14">
      <controls>
        <mc:AlternateContent xmlns:mc="http://schemas.openxmlformats.org/markup-compatibility/2006">
          <mc:Choice Requires="x14">
            <control shapeId="3090" r:id="rId4" name="Drop Down 18">
              <controlPr defaultSize="0" autoLine="0" autoPict="0">
                <anchor moveWithCells="1">
                  <from>
                    <xdr:col>6</xdr:col>
                    <xdr:colOff>213360</xdr:colOff>
                    <xdr:row>247</xdr:row>
                    <xdr:rowOff>0</xdr:rowOff>
                  </from>
                  <to>
                    <xdr:col>6</xdr:col>
                    <xdr:colOff>754380</xdr:colOff>
                    <xdr:row>248</xdr:row>
                    <xdr:rowOff>7620</xdr:rowOff>
                  </to>
                </anchor>
              </controlPr>
            </control>
          </mc:Choice>
        </mc:AlternateContent>
        <mc:AlternateContent xmlns:mc="http://schemas.openxmlformats.org/markup-compatibility/2006">
          <mc:Choice Requires="x14">
            <control shapeId="3091" r:id="rId5" name="Drop Down 19">
              <controlPr defaultSize="0" autoLine="0" autoPict="0">
                <anchor moveWithCells="1">
                  <from>
                    <xdr:col>6</xdr:col>
                    <xdr:colOff>213360</xdr:colOff>
                    <xdr:row>248</xdr:row>
                    <xdr:rowOff>0</xdr:rowOff>
                  </from>
                  <to>
                    <xdr:col>6</xdr:col>
                    <xdr:colOff>754380</xdr:colOff>
                    <xdr:row>249</xdr:row>
                    <xdr:rowOff>7620</xdr:rowOff>
                  </to>
                </anchor>
              </controlPr>
            </control>
          </mc:Choice>
        </mc:AlternateContent>
        <mc:AlternateContent xmlns:mc="http://schemas.openxmlformats.org/markup-compatibility/2006">
          <mc:Choice Requires="x14">
            <control shapeId="3093" r:id="rId6" name="Drop Down 21">
              <controlPr defaultSize="0" autoLine="0" autoPict="0">
                <anchor moveWithCells="1">
                  <from>
                    <xdr:col>8</xdr:col>
                    <xdr:colOff>213360</xdr:colOff>
                    <xdr:row>269</xdr:row>
                    <xdr:rowOff>0</xdr:rowOff>
                  </from>
                  <to>
                    <xdr:col>8</xdr:col>
                    <xdr:colOff>754380</xdr:colOff>
                    <xdr:row>270</xdr:row>
                    <xdr:rowOff>7620</xdr:rowOff>
                  </to>
                </anchor>
              </controlPr>
            </control>
          </mc:Choice>
        </mc:AlternateContent>
        <mc:AlternateContent xmlns:mc="http://schemas.openxmlformats.org/markup-compatibility/2006">
          <mc:Choice Requires="x14">
            <control shapeId="3094" r:id="rId7" name="Drop Down 22">
              <controlPr defaultSize="0" autoLine="0" autoPict="0">
                <anchor moveWithCells="1">
                  <from>
                    <xdr:col>6</xdr:col>
                    <xdr:colOff>213360</xdr:colOff>
                    <xdr:row>278</xdr:row>
                    <xdr:rowOff>0</xdr:rowOff>
                  </from>
                  <to>
                    <xdr:col>6</xdr:col>
                    <xdr:colOff>754380</xdr:colOff>
                    <xdr:row>279</xdr:row>
                    <xdr:rowOff>7620</xdr:rowOff>
                  </to>
                </anchor>
              </controlPr>
            </control>
          </mc:Choice>
        </mc:AlternateContent>
        <mc:AlternateContent xmlns:mc="http://schemas.openxmlformats.org/markup-compatibility/2006">
          <mc:Choice Requires="x14">
            <control shapeId="3095" r:id="rId8" name="Drop Down 23">
              <controlPr defaultSize="0" autoLine="0" autoPict="0">
                <anchor moveWithCells="1">
                  <from>
                    <xdr:col>6</xdr:col>
                    <xdr:colOff>213360</xdr:colOff>
                    <xdr:row>279</xdr:row>
                    <xdr:rowOff>0</xdr:rowOff>
                  </from>
                  <to>
                    <xdr:col>6</xdr:col>
                    <xdr:colOff>754380</xdr:colOff>
                    <xdr:row>280</xdr:row>
                    <xdr:rowOff>7620</xdr:rowOff>
                  </to>
                </anchor>
              </controlPr>
            </control>
          </mc:Choice>
        </mc:AlternateContent>
        <mc:AlternateContent xmlns:mc="http://schemas.openxmlformats.org/markup-compatibility/2006">
          <mc:Choice Requires="x14">
            <control shapeId="3096" r:id="rId9" name="Drop Down 24">
              <controlPr defaultSize="0" autoLine="0" autoPict="0">
                <anchor moveWithCells="1">
                  <from>
                    <xdr:col>6</xdr:col>
                    <xdr:colOff>213360</xdr:colOff>
                    <xdr:row>283</xdr:row>
                    <xdr:rowOff>0</xdr:rowOff>
                  </from>
                  <to>
                    <xdr:col>6</xdr:col>
                    <xdr:colOff>754380</xdr:colOff>
                    <xdr:row>284</xdr:row>
                    <xdr:rowOff>7620</xdr:rowOff>
                  </to>
                </anchor>
              </controlPr>
            </control>
          </mc:Choice>
        </mc:AlternateContent>
        <mc:AlternateContent xmlns:mc="http://schemas.openxmlformats.org/markup-compatibility/2006">
          <mc:Choice Requires="x14">
            <control shapeId="3097" r:id="rId10" name="Drop Down 25">
              <controlPr defaultSize="0" autoLine="0" autoPict="0">
                <anchor moveWithCells="1">
                  <from>
                    <xdr:col>6</xdr:col>
                    <xdr:colOff>213360</xdr:colOff>
                    <xdr:row>318</xdr:row>
                    <xdr:rowOff>0</xdr:rowOff>
                  </from>
                  <to>
                    <xdr:col>6</xdr:col>
                    <xdr:colOff>754380</xdr:colOff>
                    <xdr:row>319</xdr:row>
                    <xdr:rowOff>7620</xdr:rowOff>
                  </to>
                </anchor>
              </controlPr>
            </control>
          </mc:Choice>
        </mc:AlternateContent>
        <mc:AlternateContent xmlns:mc="http://schemas.openxmlformats.org/markup-compatibility/2006">
          <mc:Choice Requires="x14">
            <control shapeId="3099" r:id="rId11" name="Drop Down 27">
              <controlPr defaultSize="0" autoLine="0" autoPict="0">
                <anchor moveWithCells="1">
                  <from>
                    <xdr:col>6</xdr:col>
                    <xdr:colOff>213360</xdr:colOff>
                    <xdr:row>320</xdr:row>
                    <xdr:rowOff>0</xdr:rowOff>
                  </from>
                  <to>
                    <xdr:col>6</xdr:col>
                    <xdr:colOff>754380</xdr:colOff>
                    <xdr:row>321</xdr:row>
                    <xdr:rowOff>7620</xdr:rowOff>
                  </to>
                </anchor>
              </controlPr>
            </control>
          </mc:Choice>
        </mc:AlternateContent>
        <mc:AlternateContent xmlns:mc="http://schemas.openxmlformats.org/markup-compatibility/2006">
          <mc:Choice Requires="x14">
            <control shapeId="3100" r:id="rId12" name="Drop Down 28">
              <controlPr defaultSize="0" autoLine="0" autoPict="0">
                <anchor moveWithCells="1">
                  <from>
                    <xdr:col>7</xdr:col>
                    <xdr:colOff>213360</xdr:colOff>
                    <xdr:row>363</xdr:row>
                    <xdr:rowOff>0</xdr:rowOff>
                  </from>
                  <to>
                    <xdr:col>7</xdr:col>
                    <xdr:colOff>754380</xdr:colOff>
                    <xdr:row>364</xdr:row>
                    <xdr:rowOff>7620</xdr:rowOff>
                  </to>
                </anchor>
              </controlPr>
            </control>
          </mc:Choice>
        </mc:AlternateContent>
        <mc:AlternateContent xmlns:mc="http://schemas.openxmlformats.org/markup-compatibility/2006">
          <mc:Choice Requires="x14">
            <control shapeId="3101" r:id="rId13" name="Drop Down 29">
              <controlPr defaultSize="0" autoLine="0" autoPict="0">
                <anchor moveWithCells="1">
                  <from>
                    <xdr:col>7</xdr:col>
                    <xdr:colOff>213360</xdr:colOff>
                    <xdr:row>366</xdr:row>
                    <xdr:rowOff>0</xdr:rowOff>
                  </from>
                  <to>
                    <xdr:col>7</xdr:col>
                    <xdr:colOff>754380</xdr:colOff>
                    <xdr:row>367</xdr:row>
                    <xdr:rowOff>7620</xdr:rowOff>
                  </to>
                </anchor>
              </controlPr>
            </control>
          </mc:Choice>
        </mc:AlternateContent>
        <mc:AlternateContent xmlns:mc="http://schemas.openxmlformats.org/markup-compatibility/2006">
          <mc:Choice Requires="x14">
            <control shapeId="3102" r:id="rId14" name="Drop Down 30">
              <controlPr defaultSize="0" autoLine="0" autoPict="0">
                <anchor moveWithCells="1">
                  <from>
                    <xdr:col>7</xdr:col>
                    <xdr:colOff>213360</xdr:colOff>
                    <xdr:row>368</xdr:row>
                    <xdr:rowOff>0</xdr:rowOff>
                  </from>
                  <to>
                    <xdr:col>7</xdr:col>
                    <xdr:colOff>754380</xdr:colOff>
                    <xdr:row>369</xdr:row>
                    <xdr:rowOff>7620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K10"/>
  <sheetViews>
    <sheetView showGridLines="0" workbookViewId="0">
      <selection activeCell="B1" sqref="B1:F1"/>
    </sheetView>
  </sheetViews>
  <sheetFormatPr baseColWidth="10" defaultColWidth="11.44140625" defaultRowHeight="15.6" x14ac:dyDescent="0.3"/>
  <cols>
    <col min="1" max="1" width="3.33203125" style="1" customWidth="1"/>
    <col min="2" max="10" width="11.44140625" style="1"/>
    <col min="11" max="11" width="13" style="1" customWidth="1"/>
    <col min="12" max="16384" width="11.44140625" style="1"/>
  </cols>
  <sheetData>
    <row r="1" spans="2:11" x14ac:dyDescent="0.3">
      <c r="B1" s="546" t="s">
        <v>254</v>
      </c>
      <c r="C1" s="546"/>
      <c r="D1" s="546"/>
      <c r="E1" s="546"/>
      <c r="F1" s="546"/>
    </row>
    <row r="3" spans="2:11" x14ac:dyDescent="0.3">
      <c r="B3" s="5" t="s">
        <v>255</v>
      </c>
      <c r="C3" s="5" t="s">
        <v>256</v>
      </c>
      <c r="D3" s="5" t="s">
        <v>257</v>
      </c>
      <c r="E3" s="5" t="s">
        <v>258</v>
      </c>
      <c r="F3" s="5" t="s">
        <v>259</v>
      </c>
      <c r="I3" s="1" t="s">
        <v>260</v>
      </c>
      <c r="K3" s="1" t="s">
        <v>261</v>
      </c>
    </row>
    <row r="4" spans="2:11" x14ac:dyDescent="0.3">
      <c r="B4" s="6">
        <v>1</v>
      </c>
      <c r="C4" s="7">
        <v>2</v>
      </c>
      <c r="D4" s="8" t="s">
        <v>262</v>
      </c>
      <c r="E4" s="9">
        <v>0.63500000000000001</v>
      </c>
      <c r="F4" s="10">
        <v>0.32</v>
      </c>
      <c r="I4" s="11" t="s">
        <v>263</v>
      </c>
      <c r="K4" s="11">
        <v>210</v>
      </c>
    </row>
    <row r="5" spans="2:11" x14ac:dyDescent="0.3">
      <c r="B5" s="6">
        <v>2</v>
      </c>
      <c r="C5" s="7">
        <v>3</v>
      </c>
      <c r="D5" s="8" t="s">
        <v>264</v>
      </c>
      <c r="E5" s="9">
        <v>0.95199999999999996</v>
      </c>
      <c r="F5" s="10">
        <v>0.71</v>
      </c>
      <c r="I5" s="11" t="s">
        <v>17</v>
      </c>
      <c r="K5" s="11">
        <v>280</v>
      </c>
    </row>
    <row r="6" spans="2:11" x14ac:dyDescent="0.3">
      <c r="B6" s="6">
        <v>3</v>
      </c>
      <c r="C6" s="7">
        <v>4</v>
      </c>
      <c r="D6" s="8" t="s">
        <v>265</v>
      </c>
      <c r="E6" s="9">
        <v>1.27</v>
      </c>
      <c r="F6" s="10">
        <v>1.27</v>
      </c>
      <c r="I6" s="11"/>
      <c r="K6" s="11">
        <v>350</v>
      </c>
    </row>
    <row r="7" spans="2:11" x14ac:dyDescent="0.3">
      <c r="B7" s="6">
        <v>4</v>
      </c>
      <c r="C7" s="7">
        <v>5</v>
      </c>
      <c r="D7" s="8" t="s">
        <v>266</v>
      </c>
      <c r="E7" s="9">
        <v>1.5880000000000001</v>
      </c>
      <c r="F7" s="10">
        <v>2</v>
      </c>
    </row>
    <row r="8" spans="2:11" x14ac:dyDescent="0.3">
      <c r="B8" s="6">
        <v>5</v>
      </c>
      <c r="C8" s="7">
        <v>6</v>
      </c>
      <c r="D8" s="8" t="s">
        <v>267</v>
      </c>
      <c r="E8" s="9">
        <v>1.905</v>
      </c>
      <c r="F8" s="10">
        <v>2.85</v>
      </c>
    </row>
    <row r="9" spans="2:11" x14ac:dyDescent="0.3">
      <c r="B9" s="6">
        <v>6</v>
      </c>
      <c r="C9" s="7">
        <v>7</v>
      </c>
      <c r="D9" s="8" t="s">
        <v>268</v>
      </c>
      <c r="E9" s="9">
        <v>2.54</v>
      </c>
      <c r="F9" s="10">
        <v>5.07</v>
      </c>
    </row>
    <row r="10" spans="2:11" x14ac:dyDescent="0.3">
      <c r="B10" s="6">
        <v>7</v>
      </c>
      <c r="C10" s="7">
        <v>11</v>
      </c>
      <c r="D10" s="8" t="s">
        <v>269</v>
      </c>
      <c r="E10" s="9">
        <v>3.58</v>
      </c>
      <c r="F10" s="10">
        <v>10.06</v>
      </c>
    </row>
  </sheetData>
  <mergeCells count="1">
    <mergeCell ref="B1:F1"/>
  </mergeCells>
  <pageMargins left="0.7" right="0.7" top="0.75" bottom="0.75" header="0.3" footer="0.3"/>
  <tableParts count="2">
    <tablePart r:id="rId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12"/>
  <sheetViews>
    <sheetView showGridLines="0" workbookViewId="0">
      <selection activeCell="B2" sqref="B2"/>
    </sheetView>
  </sheetViews>
  <sheetFormatPr baseColWidth="10" defaultColWidth="11.44140625" defaultRowHeight="15.6" x14ac:dyDescent="0.3"/>
  <cols>
    <col min="1" max="1" width="11.44140625" style="1"/>
    <col min="2" max="2" width="6.44140625" style="1" customWidth="1"/>
    <col min="3" max="3" width="116.109375" style="1" bestFit="1" customWidth="1"/>
    <col min="4" max="16384" width="11.44140625" style="1"/>
  </cols>
  <sheetData>
    <row r="2" spans="2:3" x14ac:dyDescent="0.3">
      <c r="B2" s="3" t="s">
        <v>270</v>
      </c>
    </row>
    <row r="4" spans="2:3" x14ac:dyDescent="0.3">
      <c r="B4" s="4">
        <v>1</v>
      </c>
      <c r="C4" s="2" t="s">
        <v>271</v>
      </c>
    </row>
    <row r="5" spans="2:3" x14ac:dyDescent="0.3">
      <c r="B5" s="4"/>
      <c r="C5" s="2" t="s">
        <v>272</v>
      </c>
    </row>
    <row r="6" spans="2:3" x14ac:dyDescent="0.3">
      <c r="B6" s="4"/>
    </row>
    <row r="7" spans="2:3" x14ac:dyDescent="0.3">
      <c r="B7" s="4">
        <v>2</v>
      </c>
      <c r="C7" s="2" t="s">
        <v>273</v>
      </c>
    </row>
    <row r="8" spans="2:3" x14ac:dyDescent="0.3">
      <c r="B8" s="4"/>
      <c r="C8" s="2" t="s">
        <v>272</v>
      </c>
    </row>
    <row r="9" spans="2:3" x14ac:dyDescent="0.3">
      <c r="B9" s="4"/>
    </row>
    <row r="10" spans="2:3" x14ac:dyDescent="0.3">
      <c r="B10" s="4">
        <v>3</v>
      </c>
      <c r="C10" s="2" t="s">
        <v>274</v>
      </c>
    </row>
    <row r="11" spans="2:3" x14ac:dyDescent="0.3">
      <c r="B11" s="4"/>
    </row>
    <row r="12" spans="2:3" x14ac:dyDescent="0.3">
      <c r="B12" s="4">
        <v>4</v>
      </c>
      <c r="C12" s="2" t="s">
        <v>275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524"/>
  <sheetViews>
    <sheetView topLeftCell="A439" zoomScale="85" zoomScaleNormal="85" workbookViewId="0">
      <selection activeCell="K119" sqref="K118:K119"/>
    </sheetView>
  </sheetViews>
  <sheetFormatPr baseColWidth="10" defaultColWidth="11.44140625" defaultRowHeight="14.4" x14ac:dyDescent="0.3"/>
  <cols>
    <col min="1" max="1" width="20.6640625" customWidth="1"/>
    <col min="5" max="5" width="12.33203125" bestFit="1" customWidth="1"/>
  </cols>
  <sheetData>
    <row r="1" spans="1:9" ht="18" x14ac:dyDescent="0.3">
      <c r="A1" s="547" t="s">
        <v>276</v>
      </c>
      <c r="B1" s="547"/>
      <c r="C1" s="547"/>
      <c r="D1" s="547"/>
      <c r="E1" s="547"/>
      <c r="F1" s="547"/>
      <c r="G1" s="547"/>
      <c r="H1" s="547"/>
      <c r="I1" s="547"/>
    </row>
    <row r="2" spans="1:9" x14ac:dyDescent="0.3">
      <c r="A2" s="300"/>
      <c r="B2" s="300"/>
      <c r="C2" s="300"/>
      <c r="D2" s="300"/>
      <c r="E2" s="300"/>
      <c r="F2" s="300"/>
      <c r="G2" s="300"/>
      <c r="H2" s="300"/>
      <c r="I2" s="300"/>
    </row>
    <row r="3" spans="1:9" x14ac:dyDescent="0.3">
      <c r="A3" s="301" t="s">
        <v>277</v>
      </c>
      <c r="B3" s="548" t="s">
        <v>278</v>
      </c>
      <c r="C3" s="548"/>
      <c r="D3" s="548"/>
      <c r="E3" s="548"/>
      <c r="F3" s="548"/>
      <c r="G3" s="548"/>
      <c r="H3" s="548"/>
      <c r="I3" s="548"/>
    </row>
    <row r="4" spans="1:9" x14ac:dyDescent="0.3">
      <c r="A4" s="302"/>
      <c r="B4" s="548"/>
      <c r="C4" s="548"/>
      <c r="D4" s="548"/>
      <c r="E4" s="548"/>
      <c r="F4" s="548"/>
      <c r="G4" s="548"/>
      <c r="H4" s="548"/>
      <c r="I4" s="548"/>
    </row>
    <row r="7" spans="1:9" x14ac:dyDescent="0.3">
      <c r="A7" s="158" t="s">
        <v>279</v>
      </c>
    </row>
    <row r="8" spans="1:9" x14ac:dyDescent="0.3">
      <c r="A8" s="159" t="s">
        <v>280</v>
      </c>
      <c r="F8" s="159" t="s">
        <v>281</v>
      </c>
    </row>
    <row r="9" spans="1:9" x14ac:dyDescent="0.3">
      <c r="A9" t="str">
        <f>+Memoria!B6</f>
        <v>Longitud</v>
      </c>
      <c r="D9" s="12">
        <f>+Memoria!E6</f>
        <v>2.5131234497501729</v>
      </c>
      <c r="F9" t="s">
        <v>282</v>
      </c>
      <c r="I9" s="161">
        <v>0.6</v>
      </c>
    </row>
    <row r="10" spans="1:9" x14ac:dyDescent="0.3">
      <c r="A10" t="str">
        <f>+Memoria!B7</f>
        <v>Ancho</v>
      </c>
      <c r="D10" s="12">
        <f>+Memoria!E7</f>
        <v>2.5131234497501729</v>
      </c>
      <c r="F10" t="s">
        <v>283</v>
      </c>
      <c r="I10" s="161">
        <v>0.1</v>
      </c>
    </row>
    <row r="11" spans="1:9" x14ac:dyDescent="0.3">
      <c r="A11" t="str">
        <f>+Memoria!B8</f>
        <v>Altura del Líquido (HL)</v>
      </c>
      <c r="D11" s="12">
        <f>+Memoria!E8</f>
        <v>1.9</v>
      </c>
      <c r="F11" t="s">
        <v>284</v>
      </c>
      <c r="I11" s="161">
        <v>0.1</v>
      </c>
    </row>
    <row r="12" spans="1:9" x14ac:dyDescent="0.3">
      <c r="A12" t="str">
        <f>+Memoria!B10</f>
        <v>Altura Total del Reservorio (HW)</v>
      </c>
      <c r="D12" s="12">
        <f>+Memoria!E10</f>
        <v>2.35</v>
      </c>
      <c r="F12" t="s">
        <v>285</v>
      </c>
      <c r="I12" s="161">
        <v>0.15</v>
      </c>
    </row>
    <row r="13" spans="1:9" x14ac:dyDescent="0.3">
      <c r="A13" t="str">
        <f>+Memoria!B12</f>
        <v>Espesor de Muro (tw)</v>
      </c>
      <c r="D13" s="12">
        <f>+Memoria!E12</f>
        <v>0.15</v>
      </c>
      <c r="F13" t="s">
        <v>286</v>
      </c>
      <c r="I13" s="161">
        <v>45</v>
      </c>
    </row>
    <row r="14" spans="1:9" x14ac:dyDescent="0.3">
      <c r="D14" s="12"/>
      <c r="I14" s="12"/>
    </row>
    <row r="15" spans="1:9" x14ac:dyDescent="0.3">
      <c r="A15" s="159" t="s">
        <v>287</v>
      </c>
      <c r="E15" s="12"/>
      <c r="F15" s="159" t="s">
        <v>288</v>
      </c>
      <c r="I15" s="12"/>
    </row>
    <row r="16" spans="1:9" x14ac:dyDescent="0.3">
      <c r="A16" t="str">
        <f>+Memoria!B16</f>
        <v>Espesor de la losa de fondo (Hs)</v>
      </c>
      <c r="D16" s="12">
        <f>+Memoria!E16</f>
        <v>0.15</v>
      </c>
      <c r="F16" t="str">
        <f>+Memoria!B21</f>
        <v>Largo del clorador</v>
      </c>
      <c r="I16" s="12">
        <f>+Memoria!E21</f>
        <v>1.05</v>
      </c>
    </row>
    <row r="17" spans="1:9" x14ac:dyDescent="0.3">
      <c r="A17" t="str">
        <f>+Memoria!B18</f>
        <v>Alero de la Cimentacion (VF)</v>
      </c>
      <c r="D17" s="12">
        <f>+Memoria!E18</f>
        <v>0.2</v>
      </c>
      <c r="F17" t="str">
        <f>+Memoria!B22</f>
        <v>Ancho del clorador</v>
      </c>
      <c r="I17" s="12">
        <f>+Memoria!E22</f>
        <v>0.8</v>
      </c>
    </row>
    <row r="18" spans="1:9" x14ac:dyDescent="0.3">
      <c r="F18" t="str">
        <f>+Memoria!B23</f>
        <v>Espesor de losa de clorador</v>
      </c>
      <c r="I18" s="12">
        <f>+Memoria!E23</f>
        <v>0.1</v>
      </c>
    </row>
    <row r="19" spans="1:9" x14ac:dyDescent="0.3">
      <c r="A19" s="159" t="s">
        <v>289</v>
      </c>
      <c r="F19" t="str">
        <f>+Memoria!B24</f>
        <v>Altura de muro de clorador</v>
      </c>
      <c r="I19" s="12">
        <f>+Memoria!E24</f>
        <v>1.22</v>
      </c>
    </row>
    <row r="20" spans="1:9" x14ac:dyDescent="0.3">
      <c r="A20" t="str">
        <f>+Memoria!B17</f>
        <v xml:space="preserve">Espesor de la zapata </v>
      </c>
      <c r="D20" s="12">
        <f>+Memoria!E17</f>
        <v>0.35</v>
      </c>
      <c r="F20" t="str">
        <f>+Memoria!B25</f>
        <v>Espesor de muro de clorador</v>
      </c>
      <c r="I20" s="12">
        <f>+Memoria!E25</f>
        <v>0.1</v>
      </c>
    </row>
    <row r="21" spans="1:9" x14ac:dyDescent="0.3">
      <c r="A21" t="str">
        <f>+A17</f>
        <v>Alero de la Cimentacion (VF)</v>
      </c>
      <c r="D21" s="12">
        <f>+Memoria!E18</f>
        <v>0.2</v>
      </c>
      <c r="F21" t="s">
        <v>290</v>
      </c>
      <c r="I21" s="12">
        <f>+D27</f>
        <v>0.1</v>
      </c>
    </row>
    <row r="22" spans="1:9" x14ac:dyDescent="0.3">
      <c r="A22" t="s">
        <v>291</v>
      </c>
      <c r="D22" s="161">
        <v>45</v>
      </c>
      <c r="I22" s="12"/>
    </row>
    <row r="23" spans="1:9" x14ac:dyDescent="0.3">
      <c r="A23" t="s">
        <v>292</v>
      </c>
      <c r="D23" s="161">
        <v>0.5</v>
      </c>
      <c r="F23" s="159" t="s">
        <v>293</v>
      </c>
      <c r="I23" s="12"/>
    </row>
    <row r="24" spans="1:9" x14ac:dyDescent="0.3">
      <c r="E24" s="12"/>
      <c r="F24" t="s">
        <v>294</v>
      </c>
      <c r="I24" s="161">
        <v>1</v>
      </c>
    </row>
    <row r="25" spans="1:9" x14ac:dyDescent="0.3">
      <c r="A25" s="159" t="s">
        <v>295</v>
      </c>
      <c r="E25" s="12"/>
      <c r="F25" t="s">
        <v>296</v>
      </c>
      <c r="I25" s="161">
        <v>0.8</v>
      </c>
    </row>
    <row r="26" spans="1:9" x14ac:dyDescent="0.3">
      <c r="A26" t="str">
        <f>+Memoria!B13</f>
        <v>Espesor de Losa Techo (Hr)</v>
      </c>
      <c r="D26" s="12">
        <f>+Memoria!E13</f>
        <v>0.15</v>
      </c>
      <c r="F26" t="s">
        <v>297</v>
      </c>
      <c r="I26" s="161">
        <v>0.1</v>
      </c>
    </row>
    <row r="27" spans="1:9" x14ac:dyDescent="0.3">
      <c r="A27" t="str">
        <f>+Memoria!B14</f>
        <v>Alero de la losa de techo ( e )</v>
      </c>
      <c r="D27" s="12">
        <f>+Memoria!E14</f>
        <v>0.1</v>
      </c>
      <c r="F27" t="s">
        <v>298</v>
      </c>
      <c r="I27" s="161">
        <v>0.7</v>
      </c>
    </row>
    <row r="28" spans="1:9" x14ac:dyDescent="0.3">
      <c r="A28" t="s">
        <v>299</v>
      </c>
      <c r="D28" s="160">
        <v>0.6</v>
      </c>
      <c r="F28" t="s">
        <v>300</v>
      </c>
      <c r="I28" s="161">
        <v>0.1</v>
      </c>
    </row>
    <row r="29" spans="1:9" x14ac:dyDescent="0.3">
      <c r="F29" t="s">
        <v>301</v>
      </c>
      <c r="I29" s="161">
        <v>0.1</v>
      </c>
    </row>
    <row r="30" spans="1:9" x14ac:dyDescent="0.3">
      <c r="F30" t="s">
        <v>299</v>
      </c>
      <c r="I30" s="161">
        <v>0.6</v>
      </c>
    </row>
    <row r="47" spans="1:10" x14ac:dyDescent="0.3">
      <c r="A47" s="13">
        <v>1.0205</v>
      </c>
      <c r="B47" s="14" t="s">
        <v>302</v>
      </c>
      <c r="C47" s="15"/>
      <c r="D47" s="16"/>
      <c r="E47" s="16"/>
      <c r="F47" s="16"/>
      <c r="G47" s="17"/>
      <c r="H47" s="18"/>
      <c r="I47" s="19"/>
      <c r="J47" s="19"/>
    </row>
    <row r="48" spans="1:10" x14ac:dyDescent="0.3">
      <c r="A48" s="20">
        <f>+A47+0.000001</f>
        <v>1.0205009999999999</v>
      </c>
      <c r="B48" s="21" t="s">
        <v>303</v>
      </c>
      <c r="C48" s="15"/>
      <c r="D48" s="16"/>
      <c r="E48" s="16"/>
      <c r="F48" s="16"/>
      <c r="G48" s="17"/>
      <c r="H48" s="18"/>
      <c r="I48" s="22"/>
      <c r="J48" s="22"/>
    </row>
    <row r="49" spans="1:10" ht="16.8" x14ac:dyDescent="0.3">
      <c r="A49" s="23">
        <f>+A48+0.00000001</f>
        <v>1.0205010099999998</v>
      </c>
      <c r="B49" s="22" t="s">
        <v>304</v>
      </c>
      <c r="C49" s="22"/>
      <c r="D49" s="22"/>
      <c r="E49" s="22"/>
      <c r="F49" s="22"/>
      <c r="G49" s="22"/>
      <c r="H49" s="22"/>
      <c r="I49" s="24">
        <f>+I51</f>
        <v>18.265159822934724</v>
      </c>
      <c r="J49" s="22" t="s">
        <v>305</v>
      </c>
    </row>
    <row r="50" spans="1:10" x14ac:dyDescent="0.3">
      <c r="A50" s="25"/>
      <c r="B50" s="587" t="s">
        <v>306</v>
      </c>
      <c r="C50" s="588"/>
      <c r="D50" s="26" t="s">
        <v>307</v>
      </c>
      <c r="E50" s="27" t="s">
        <v>308</v>
      </c>
      <c r="F50" s="26" t="s">
        <v>309</v>
      </c>
      <c r="G50" s="26" t="s">
        <v>310</v>
      </c>
      <c r="H50" s="26" t="s">
        <v>311</v>
      </c>
      <c r="I50" s="26" t="s">
        <v>312</v>
      </c>
      <c r="J50" s="26" t="s">
        <v>313</v>
      </c>
    </row>
    <row r="51" spans="1:10" x14ac:dyDescent="0.3">
      <c r="A51" s="25"/>
      <c r="B51" s="28"/>
      <c r="C51" s="29"/>
      <c r="D51" s="30"/>
      <c r="E51" s="31"/>
      <c r="F51" s="30"/>
      <c r="G51" s="30"/>
      <c r="H51" s="30"/>
      <c r="I51" s="32">
        <f>+H52+H53</f>
        <v>18.265159822934724</v>
      </c>
      <c r="J51" s="30" t="s">
        <v>314</v>
      </c>
    </row>
    <row r="52" spans="1:10" x14ac:dyDescent="0.3">
      <c r="A52" s="25"/>
      <c r="B52" s="589" t="s">
        <v>315</v>
      </c>
      <c r="C52" s="590"/>
      <c r="D52" s="30">
        <v>1</v>
      </c>
      <c r="E52" s="33">
        <f>+D9+2*D13+2*I9</f>
        <v>4.0131234497501724</v>
      </c>
      <c r="F52" s="33">
        <f>+E52</f>
        <v>4.0131234497501724</v>
      </c>
      <c r="G52" s="34"/>
      <c r="H52" s="32">
        <f>+D52*E52*F52</f>
        <v>16.105159822934723</v>
      </c>
      <c r="I52" s="34"/>
      <c r="J52" s="34"/>
    </row>
    <row r="53" spans="1:10" x14ac:dyDescent="0.3">
      <c r="A53" s="25"/>
      <c r="B53" s="589" t="s">
        <v>293</v>
      </c>
      <c r="C53" s="590"/>
      <c r="D53" s="30">
        <v>1</v>
      </c>
      <c r="E53" s="33">
        <f>+I24+2*I26+2*I9</f>
        <v>2.4</v>
      </c>
      <c r="F53" s="33">
        <f>+I25+I26</f>
        <v>0.9</v>
      </c>
      <c r="G53" s="34"/>
      <c r="H53" s="32">
        <f>+D53*E53*F53</f>
        <v>2.16</v>
      </c>
      <c r="I53" s="34"/>
      <c r="J53" s="34"/>
    </row>
    <row r="54" spans="1:10" x14ac:dyDescent="0.3">
      <c r="A54" s="25"/>
      <c r="B54" s="22"/>
      <c r="C54" s="35"/>
      <c r="D54" s="22"/>
      <c r="E54" s="35"/>
      <c r="F54" s="36"/>
      <c r="G54" s="22"/>
      <c r="H54" s="22"/>
      <c r="I54" s="22"/>
      <c r="J54" s="22"/>
    </row>
    <row r="55" spans="1:10" ht="16.8" x14ac:dyDescent="0.3">
      <c r="A55" s="23">
        <f>+A49+0.00000001</f>
        <v>1.0205010199999998</v>
      </c>
      <c r="B55" s="22" t="s">
        <v>316</v>
      </c>
      <c r="C55" s="22"/>
      <c r="D55" s="22"/>
      <c r="E55" s="22"/>
      <c r="F55" s="22"/>
      <c r="G55" s="22"/>
      <c r="H55" s="22"/>
      <c r="I55" s="24">
        <f>+I57</f>
        <v>18.265159822934724</v>
      </c>
      <c r="J55" s="22" t="s">
        <v>305</v>
      </c>
    </row>
    <row r="56" spans="1:10" x14ac:dyDescent="0.3">
      <c r="A56" s="25"/>
      <c r="B56" s="587" t="s">
        <v>306</v>
      </c>
      <c r="C56" s="588"/>
      <c r="D56" s="26" t="s">
        <v>307</v>
      </c>
      <c r="E56" s="27" t="s">
        <v>308</v>
      </c>
      <c r="F56" s="26" t="s">
        <v>309</v>
      </c>
      <c r="G56" s="26" t="s">
        <v>310</v>
      </c>
      <c r="H56" s="26" t="s">
        <v>311</v>
      </c>
      <c r="I56" s="26" t="s">
        <v>312</v>
      </c>
      <c r="J56" s="26" t="s">
        <v>313</v>
      </c>
    </row>
    <row r="57" spans="1:10" x14ac:dyDescent="0.3">
      <c r="A57" s="25"/>
      <c r="B57" s="28"/>
      <c r="C57" s="29"/>
      <c r="D57" s="30"/>
      <c r="E57" s="31"/>
      <c r="F57" s="30"/>
      <c r="G57" s="30"/>
      <c r="H57" s="30"/>
      <c r="I57" s="32">
        <f>+H58+H59</f>
        <v>18.265159822934724</v>
      </c>
      <c r="J57" s="30" t="s">
        <v>314</v>
      </c>
    </row>
    <row r="58" spans="1:10" x14ac:dyDescent="0.3">
      <c r="A58" s="25"/>
      <c r="B58" s="589" t="s">
        <v>315</v>
      </c>
      <c r="C58" s="590"/>
      <c r="D58" s="30">
        <v>1</v>
      </c>
      <c r="E58" s="33">
        <f>+E52</f>
        <v>4.0131234497501724</v>
      </c>
      <c r="F58" s="33">
        <f>+F52</f>
        <v>4.0131234497501724</v>
      </c>
      <c r="G58" s="34"/>
      <c r="H58" s="32">
        <f>+D58*E58*F58</f>
        <v>16.105159822934723</v>
      </c>
      <c r="I58" s="34"/>
      <c r="J58" s="34"/>
    </row>
    <row r="59" spans="1:10" x14ac:dyDescent="0.3">
      <c r="A59" s="25"/>
      <c r="B59" s="589" t="s">
        <v>293</v>
      </c>
      <c r="C59" s="590"/>
      <c r="D59" s="30">
        <v>1</v>
      </c>
      <c r="E59" s="33">
        <f>+E53</f>
        <v>2.4</v>
      </c>
      <c r="F59" s="33">
        <f>+F53</f>
        <v>0.9</v>
      </c>
      <c r="G59" s="34"/>
      <c r="H59" s="32">
        <f>+D59*E59*F59</f>
        <v>2.16</v>
      </c>
      <c r="I59" s="34"/>
      <c r="J59" s="34"/>
    </row>
    <row r="60" spans="1:10" x14ac:dyDescent="0.3">
      <c r="A60" s="25"/>
      <c r="B60" s="22"/>
      <c r="C60" s="22"/>
      <c r="D60" s="22"/>
      <c r="E60" s="22"/>
      <c r="F60" s="22"/>
      <c r="G60" s="22"/>
      <c r="H60" s="22"/>
      <c r="I60" s="22"/>
      <c r="J60" s="22"/>
    </row>
    <row r="61" spans="1:10" x14ac:dyDescent="0.3">
      <c r="A61" s="20">
        <f>+A48+0.000001</f>
        <v>1.0205019999999998</v>
      </c>
      <c r="B61" s="21" t="s">
        <v>317</v>
      </c>
      <c r="C61" s="22"/>
      <c r="D61" s="22"/>
      <c r="E61" s="22"/>
      <c r="F61" s="22"/>
      <c r="G61" s="22"/>
      <c r="H61" s="22"/>
      <c r="I61" s="22"/>
      <c r="J61" s="22"/>
    </row>
    <row r="62" spans="1:10" x14ac:dyDescent="0.3">
      <c r="A62" s="23">
        <f>+A61+0.00000001</f>
        <v>1.0205020099999997</v>
      </c>
      <c r="B62" s="37" t="s">
        <v>318</v>
      </c>
      <c r="C62" s="22"/>
      <c r="D62" s="22"/>
      <c r="E62" s="22"/>
      <c r="F62" s="22"/>
      <c r="G62" s="22"/>
      <c r="H62" s="22"/>
      <c r="I62" s="22"/>
      <c r="J62" s="22"/>
    </row>
    <row r="63" spans="1:10" ht="16.8" x14ac:dyDescent="0.3">
      <c r="A63" s="38">
        <f>+A62+0.0000000001</f>
        <v>1.0205020100999997</v>
      </c>
      <c r="B63" s="22" t="s">
        <v>319</v>
      </c>
      <c r="C63" s="22"/>
      <c r="D63" s="22"/>
      <c r="E63" s="22"/>
      <c r="F63" s="22"/>
      <c r="G63" s="22"/>
      <c r="H63" s="22"/>
      <c r="I63" s="24">
        <f>+I65</f>
        <v>6.6338243314696932</v>
      </c>
      <c r="J63" s="22" t="s">
        <v>320</v>
      </c>
    </row>
    <row r="64" spans="1:10" x14ac:dyDescent="0.3">
      <c r="A64" s="25"/>
      <c r="B64" s="587" t="s">
        <v>306</v>
      </c>
      <c r="C64" s="588"/>
      <c r="D64" s="26" t="s">
        <v>307</v>
      </c>
      <c r="E64" s="27" t="s">
        <v>308</v>
      </c>
      <c r="F64" s="26" t="s">
        <v>309</v>
      </c>
      <c r="G64" s="26" t="s">
        <v>310</v>
      </c>
      <c r="H64" s="26" t="s">
        <v>311</v>
      </c>
      <c r="I64" s="26" t="s">
        <v>312</v>
      </c>
      <c r="J64" s="26" t="s">
        <v>313</v>
      </c>
    </row>
    <row r="65" spans="1:10" x14ac:dyDescent="0.3">
      <c r="A65" s="39"/>
      <c r="B65" s="40"/>
      <c r="C65" s="41"/>
      <c r="D65" s="42"/>
      <c r="E65" s="43"/>
      <c r="F65" s="42"/>
      <c r="G65" s="42"/>
      <c r="H65" s="42"/>
      <c r="I65" s="44">
        <f>+SUM(H66:H70)</f>
        <v>6.6338243314696932</v>
      </c>
      <c r="J65" s="45" t="s">
        <v>321</v>
      </c>
    </row>
    <row r="66" spans="1:10" x14ac:dyDescent="0.3">
      <c r="A66" s="39"/>
      <c r="B66" s="551" t="s">
        <v>322</v>
      </c>
      <c r="C66" s="552"/>
      <c r="D66" s="45">
        <v>1</v>
      </c>
      <c r="E66" s="46">
        <f>+I57</f>
        <v>18.265159822934724</v>
      </c>
      <c r="F66" s="45"/>
      <c r="G66" s="45">
        <v>0.15</v>
      </c>
      <c r="H66" s="47">
        <f>+D66*E66*G66</f>
        <v>2.7397739734402085</v>
      </c>
      <c r="I66" s="47"/>
      <c r="J66" s="48"/>
    </row>
    <row r="67" spans="1:10" x14ac:dyDescent="0.3">
      <c r="A67" s="39"/>
      <c r="B67" s="551" t="s">
        <v>323</v>
      </c>
      <c r="C67" s="552"/>
      <c r="D67" s="45">
        <v>1</v>
      </c>
      <c r="E67" s="49">
        <f>+D9+2*D13+2*D17</f>
        <v>3.2131234497501726</v>
      </c>
      <c r="F67" s="49">
        <f>+E67</f>
        <v>3.2131234497501726</v>
      </c>
      <c r="G67" s="50">
        <f>+D16</f>
        <v>0.15</v>
      </c>
      <c r="H67" s="47">
        <f>+D67*E67*F67*G67</f>
        <v>1.5486243455001676</v>
      </c>
      <c r="I67" s="51"/>
      <c r="J67" s="51"/>
    </row>
    <row r="68" spans="1:10" x14ac:dyDescent="0.3">
      <c r="A68" s="39"/>
      <c r="B68" s="551" t="s">
        <v>324</v>
      </c>
      <c r="C68" s="552"/>
      <c r="D68" s="45">
        <v>1</v>
      </c>
      <c r="E68" s="49">
        <f>4*(E52-(D23+D20-D16))</f>
        <v>13.252493799000689</v>
      </c>
      <c r="F68" s="49">
        <f>+(D23+D23+(D20-D16))/2</f>
        <v>0.6</v>
      </c>
      <c r="G68" s="49">
        <f>+D20-D16</f>
        <v>0.19999999999999998</v>
      </c>
      <c r="H68" s="47">
        <f>+D68*E68*F68*G68</f>
        <v>1.5902992558800824</v>
      </c>
      <c r="I68" s="51"/>
      <c r="J68" s="51"/>
    </row>
    <row r="69" spans="1:10" x14ac:dyDescent="0.3">
      <c r="A69" s="39"/>
      <c r="B69" s="162" t="s">
        <v>325</v>
      </c>
      <c r="C69" s="163"/>
      <c r="D69" s="45">
        <v>1</v>
      </c>
      <c r="E69" s="49">
        <f>+E67</f>
        <v>3.2131234497501726</v>
      </c>
      <c r="F69" s="52">
        <f>+F67</f>
        <v>3.2131234497501726</v>
      </c>
      <c r="G69" s="50">
        <v>0.05</v>
      </c>
      <c r="H69" s="47">
        <f>+D69*E69*F69*G69</f>
        <v>0.51620811516672249</v>
      </c>
      <c r="I69" s="51"/>
      <c r="J69" s="51"/>
    </row>
    <row r="70" spans="1:10" x14ac:dyDescent="0.3">
      <c r="A70" s="39"/>
      <c r="B70" s="551" t="s">
        <v>326</v>
      </c>
      <c r="C70" s="552"/>
      <c r="D70" s="45">
        <v>1</v>
      </c>
      <c r="E70" s="45">
        <f>+D9+2*D13+2*D21+0.2</f>
        <v>3.4131234497501728</v>
      </c>
      <c r="F70" s="52">
        <v>0.2</v>
      </c>
      <c r="G70" s="47">
        <f>+D20</f>
        <v>0.35</v>
      </c>
      <c r="H70" s="47">
        <f>+D70*E70*F70*G70</f>
        <v>0.23891864148251207</v>
      </c>
      <c r="I70" s="51"/>
      <c r="J70" s="51"/>
    </row>
    <row r="71" spans="1:10" x14ac:dyDescent="0.3">
      <c r="A71" s="39"/>
      <c r="B71" s="69"/>
      <c r="C71" s="69"/>
      <c r="D71" s="66"/>
      <c r="E71" s="66"/>
      <c r="F71" s="164"/>
      <c r="G71" s="66"/>
      <c r="H71" s="68"/>
      <c r="I71" s="48"/>
      <c r="J71" s="48"/>
    </row>
    <row r="72" spans="1:10" ht="16.8" x14ac:dyDescent="0.3">
      <c r="A72" s="38">
        <f>+A63+0.0000000001</f>
        <v>1.0205020101999998</v>
      </c>
      <c r="B72" s="48" t="s">
        <v>327</v>
      </c>
      <c r="C72" s="48"/>
      <c r="D72" s="48"/>
      <c r="E72" s="48"/>
      <c r="F72" s="48"/>
      <c r="G72" s="48"/>
      <c r="H72" s="48"/>
      <c r="I72" s="53">
        <f>+I74</f>
        <v>16.105159822934723</v>
      </c>
      <c r="J72" s="48" t="s">
        <v>305</v>
      </c>
    </row>
    <row r="73" spans="1:10" x14ac:dyDescent="0.3">
      <c r="A73" s="39"/>
      <c r="B73" s="585" t="s">
        <v>306</v>
      </c>
      <c r="C73" s="586"/>
      <c r="D73" s="42" t="s">
        <v>307</v>
      </c>
      <c r="E73" s="27" t="s">
        <v>308</v>
      </c>
      <c r="F73" s="42" t="s">
        <v>309</v>
      </c>
      <c r="G73" s="42" t="s">
        <v>328</v>
      </c>
      <c r="H73" s="42" t="s">
        <v>311</v>
      </c>
      <c r="I73" s="42" t="s">
        <v>312</v>
      </c>
      <c r="J73" s="42" t="s">
        <v>313</v>
      </c>
    </row>
    <row r="74" spans="1:10" x14ac:dyDescent="0.3">
      <c r="A74" s="39"/>
      <c r="B74" s="40"/>
      <c r="C74" s="41"/>
      <c r="D74" s="42"/>
      <c r="E74" s="43"/>
      <c r="F74" s="42"/>
      <c r="G74" s="42"/>
      <c r="H74" s="42"/>
      <c r="I74" s="44">
        <f>+SUM(H75:H76)</f>
        <v>16.105159822934723</v>
      </c>
      <c r="J74" s="45" t="s">
        <v>314</v>
      </c>
    </row>
    <row r="75" spans="1:10" x14ac:dyDescent="0.3">
      <c r="A75" s="39"/>
      <c r="B75" s="551" t="str">
        <f>+B58</f>
        <v>RESERVORIO + VEREDA</v>
      </c>
      <c r="C75" s="552"/>
      <c r="D75" s="166">
        <f t="shared" ref="D75:H75" si="0">+D58</f>
        <v>1</v>
      </c>
      <c r="E75" s="166">
        <f t="shared" si="0"/>
        <v>4.0131234497501724</v>
      </c>
      <c r="F75" s="166">
        <f t="shared" si="0"/>
        <v>4.0131234497501724</v>
      </c>
      <c r="G75" s="166">
        <f t="shared" si="0"/>
        <v>0</v>
      </c>
      <c r="H75" s="166">
        <f t="shared" si="0"/>
        <v>16.105159822934723</v>
      </c>
      <c r="I75" s="165"/>
      <c r="J75" s="51"/>
    </row>
    <row r="76" spans="1:10" x14ac:dyDescent="0.3">
      <c r="A76" s="39"/>
      <c r="B76" s="551"/>
      <c r="C76" s="552"/>
      <c r="D76" s="45"/>
      <c r="E76" s="54"/>
      <c r="F76" s="54"/>
      <c r="G76" s="45"/>
      <c r="H76" s="47"/>
      <c r="I76" s="51"/>
      <c r="J76" s="51"/>
    </row>
    <row r="77" spans="1:10" x14ac:dyDescent="0.3">
      <c r="A77" s="39"/>
      <c r="B77" s="48"/>
      <c r="C77" s="48"/>
      <c r="D77" s="48"/>
      <c r="E77" s="48"/>
      <c r="F77" s="48"/>
      <c r="G77" s="48"/>
      <c r="H77" s="48"/>
      <c r="I77" s="48"/>
      <c r="J77" s="48"/>
    </row>
    <row r="78" spans="1:10" ht="16.8" x14ac:dyDescent="0.3">
      <c r="A78" s="38">
        <f>+A72+0.0000000001</f>
        <v>1.0205020102999998</v>
      </c>
      <c r="B78" s="48" t="s">
        <v>329</v>
      </c>
      <c r="C78" s="48"/>
      <c r="D78" s="48"/>
      <c r="E78" s="48"/>
      <c r="F78" s="48"/>
      <c r="G78" s="48"/>
      <c r="H78" s="48"/>
      <c r="I78" s="53">
        <f>+I80</f>
        <v>7.6795084430783236</v>
      </c>
      <c r="J78" s="48" t="s">
        <v>320</v>
      </c>
    </row>
    <row r="79" spans="1:10" x14ac:dyDescent="0.3">
      <c r="A79" s="39"/>
      <c r="B79" s="585" t="s">
        <v>306</v>
      </c>
      <c r="C79" s="586"/>
      <c r="D79" s="42" t="s">
        <v>307</v>
      </c>
      <c r="E79" s="43" t="s">
        <v>330</v>
      </c>
      <c r="F79" s="42" t="s">
        <v>331</v>
      </c>
      <c r="G79" s="42" t="s">
        <v>328</v>
      </c>
      <c r="H79" s="42" t="s">
        <v>311</v>
      </c>
      <c r="I79" s="42" t="s">
        <v>312</v>
      </c>
      <c r="J79" s="42" t="s">
        <v>313</v>
      </c>
    </row>
    <row r="80" spans="1:10" x14ac:dyDescent="0.3">
      <c r="A80" s="39"/>
      <c r="B80" s="40"/>
      <c r="C80" s="41"/>
      <c r="D80" s="42"/>
      <c r="E80" s="43"/>
      <c r="F80" s="42"/>
      <c r="G80" s="42"/>
      <c r="H80" s="42"/>
      <c r="I80" s="44">
        <f>+SUM(H81:H81)</f>
        <v>7.6795084430783236</v>
      </c>
      <c r="J80" s="45" t="s">
        <v>321</v>
      </c>
    </row>
    <row r="81" spans="1:10" x14ac:dyDescent="0.3">
      <c r="A81" s="39"/>
      <c r="B81" s="551" t="s">
        <v>332</v>
      </c>
      <c r="C81" s="552"/>
      <c r="D81" s="45">
        <v>1</v>
      </c>
      <c r="E81" s="54">
        <f>+I63*1.2</f>
        <v>7.9605891977636318</v>
      </c>
      <c r="F81" s="58">
        <f>+I83</f>
        <v>0.28108075468530835</v>
      </c>
      <c r="G81" s="45"/>
      <c r="H81" s="47">
        <f>+E81-F81</f>
        <v>7.6795084430783236</v>
      </c>
      <c r="I81" s="47"/>
      <c r="J81" s="51"/>
    </row>
    <row r="82" spans="1:10" x14ac:dyDescent="0.3">
      <c r="A82" s="39"/>
      <c r="B82" s="48"/>
      <c r="C82" s="55"/>
      <c r="D82" s="55"/>
      <c r="E82" s="56"/>
      <c r="F82" s="57"/>
      <c r="G82" s="48"/>
      <c r="H82" s="48"/>
      <c r="I82" s="48"/>
      <c r="J82" s="48"/>
    </row>
    <row r="83" spans="1:10" ht="16.8" x14ac:dyDescent="0.3">
      <c r="A83" s="38">
        <f>+A78+0.0000000001</f>
        <v>1.0205020103999998</v>
      </c>
      <c r="B83" s="48" t="s">
        <v>333</v>
      </c>
      <c r="C83" s="48"/>
      <c r="D83" s="48"/>
      <c r="E83" s="48"/>
      <c r="F83" s="48"/>
      <c r="G83" s="48"/>
      <c r="H83" s="48"/>
      <c r="I83" s="53">
        <f>+I85</f>
        <v>0.28108075468530835</v>
      </c>
      <c r="J83" s="48" t="s">
        <v>320</v>
      </c>
    </row>
    <row r="84" spans="1:10" x14ac:dyDescent="0.3">
      <c r="A84" s="39"/>
      <c r="B84" s="585" t="s">
        <v>306</v>
      </c>
      <c r="C84" s="586"/>
      <c r="D84" s="42" t="s">
        <v>307</v>
      </c>
      <c r="E84" s="43" t="s">
        <v>308</v>
      </c>
      <c r="F84" s="42" t="s">
        <v>334</v>
      </c>
      <c r="G84" s="42" t="s">
        <v>335</v>
      </c>
      <c r="H84" s="42" t="s">
        <v>311</v>
      </c>
      <c r="I84" s="42" t="s">
        <v>312</v>
      </c>
      <c r="J84" s="42" t="s">
        <v>313</v>
      </c>
    </row>
    <row r="85" spans="1:10" x14ac:dyDescent="0.3">
      <c r="A85" s="39"/>
      <c r="B85" s="40"/>
      <c r="C85" s="41"/>
      <c r="D85" s="42"/>
      <c r="E85" s="43"/>
      <c r="F85" s="42"/>
      <c r="G85" s="167" t="s">
        <v>336</v>
      </c>
      <c r="H85" s="42">
        <v>0.85</v>
      </c>
      <c r="I85" s="44">
        <f>+H86/0.85</f>
        <v>0.28108075468530835</v>
      </c>
      <c r="J85" s="45" t="s">
        <v>321</v>
      </c>
    </row>
    <row r="86" spans="1:10" x14ac:dyDescent="0.3">
      <c r="A86" s="39"/>
      <c r="B86" s="551" t="s">
        <v>337</v>
      </c>
      <c r="C86" s="552"/>
      <c r="D86" s="45">
        <v>1</v>
      </c>
      <c r="E86" s="58">
        <f>+E70</f>
        <v>3.4131234497501728</v>
      </c>
      <c r="F86" s="58">
        <f t="shared" ref="F86:H86" si="1">+F70</f>
        <v>0.2</v>
      </c>
      <c r="G86" s="58">
        <f t="shared" si="1"/>
        <v>0.35</v>
      </c>
      <c r="H86" s="58">
        <f t="shared" si="1"/>
        <v>0.23891864148251207</v>
      </c>
      <c r="I86" s="51"/>
      <c r="J86" s="51"/>
    </row>
    <row r="87" spans="1:10" x14ac:dyDescent="0.3">
      <c r="A87" s="39"/>
      <c r="B87" s="48"/>
      <c r="C87" s="48"/>
      <c r="D87" s="48"/>
      <c r="E87" s="48"/>
      <c r="F87" s="48"/>
      <c r="G87" s="48"/>
      <c r="H87" s="48"/>
      <c r="I87" s="48"/>
      <c r="J87" s="48"/>
    </row>
    <row r="88" spans="1:10" x14ac:dyDescent="0.3">
      <c r="A88" s="39"/>
      <c r="B88" s="48"/>
      <c r="C88" s="48"/>
      <c r="D88" s="48"/>
      <c r="E88" s="48"/>
      <c r="F88" s="48"/>
      <c r="G88" s="48"/>
      <c r="H88" s="48"/>
      <c r="I88" s="48"/>
      <c r="J88" s="48"/>
    </row>
    <row r="89" spans="1:10" x14ac:dyDescent="0.3">
      <c r="A89" s="23">
        <f>+A62+0.00000001</f>
        <v>1.0205020199999997</v>
      </c>
      <c r="B89" s="37" t="s">
        <v>338</v>
      </c>
      <c r="C89" s="48"/>
      <c r="D89" s="48"/>
      <c r="E89" s="48"/>
      <c r="F89" s="48"/>
      <c r="G89" s="48"/>
      <c r="H89" s="48"/>
      <c r="I89" s="48"/>
      <c r="J89" s="48"/>
    </row>
    <row r="90" spans="1:10" x14ac:dyDescent="0.3">
      <c r="A90" s="38">
        <f>+A89+0.0000000001</f>
        <v>1.0205020200999997</v>
      </c>
      <c r="B90" s="59" t="s">
        <v>339</v>
      </c>
      <c r="C90" s="48"/>
      <c r="D90" s="48"/>
      <c r="E90" s="48"/>
      <c r="F90" s="48"/>
      <c r="G90" s="48"/>
      <c r="H90" s="48"/>
      <c r="I90" s="48"/>
      <c r="J90" s="48"/>
    </row>
    <row r="91" spans="1:10" ht="16.8" x14ac:dyDescent="0.3">
      <c r="A91" s="60">
        <f>+A90+0.000000000001</f>
        <v>1.0205020201009998</v>
      </c>
      <c r="B91" s="48" t="s">
        <v>340</v>
      </c>
      <c r="C91" s="48"/>
      <c r="D91" s="48"/>
      <c r="E91" s="48"/>
      <c r="F91" s="48"/>
      <c r="G91" s="48"/>
      <c r="H91" s="48"/>
      <c r="I91" s="53">
        <f>+I94</f>
        <v>1.032416230333445</v>
      </c>
      <c r="J91" s="48" t="s">
        <v>320</v>
      </c>
    </row>
    <row r="92" spans="1:10" x14ac:dyDescent="0.3">
      <c r="A92" s="61"/>
      <c r="B92" s="62"/>
      <c r="C92" s="48"/>
      <c r="D92" s="48"/>
      <c r="E92" s="48"/>
      <c r="F92" s="48"/>
      <c r="G92" s="48"/>
      <c r="H92" s="48"/>
      <c r="I92" s="62"/>
      <c r="J92" s="62"/>
    </row>
    <row r="93" spans="1:10" x14ac:dyDescent="0.3">
      <c r="A93" s="63"/>
      <c r="B93" s="585" t="s">
        <v>306</v>
      </c>
      <c r="C93" s="586"/>
      <c r="D93" s="42" t="s">
        <v>307</v>
      </c>
      <c r="E93" s="43" t="s">
        <v>308</v>
      </c>
      <c r="F93" s="42" t="s">
        <v>309</v>
      </c>
      <c r="G93" s="42" t="s">
        <v>328</v>
      </c>
      <c r="H93" s="42" t="s">
        <v>311</v>
      </c>
      <c r="I93" s="42" t="s">
        <v>312</v>
      </c>
      <c r="J93" s="42" t="s">
        <v>313</v>
      </c>
    </row>
    <row r="94" spans="1:10" x14ac:dyDescent="0.3">
      <c r="A94" s="63"/>
      <c r="B94" s="40"/>
      <c r="C94" s="41"/>
      <c r="D94" s="42"/>
      <c r="E94" s="43"/>
      <c r="F94" s="42"/>
      <c r="G94" s="42"/>
      <c r="H94" s="42"/>
      <c r="I94" s="44">
        <f>+SUM(H95:H95)</f>
        <v>1.032416230333445</v>
      </c>
      <c r="J94" s="45" t="s">
        <v>321</v>
      </c>
    </row>
    <row r="95" spans="1:10" x14ac:dyDescent="0.3">
      <c r="A95" s="63"/>
      <c r="B95" s="551" t="s">
        <v>341</v>
      </c>
      <c r="C95" s="552"/>
      <c r="D95" s="45">
        <v>2</v>
      </c>
      <c r="E95" s="58">
        <f>+E69</f>
        <v>3.2131234497501726</v>
      </c>
      <c r="F95" s="54">
        <f>+F67</f>
        <v>3.2131234497501726</v>
      </c>
      <c r="G95" s="47">
        <f>+G69</f>
        <v>0.05</v>
      </c>
      <c r="H95" s="47">
        <f>+D95*E95*F95*G95</f>
        <v>1.032416230333445</v>
      </c>
      <c r="I95" s="47"/>
      <c r="J95" s="51"/>
    </row>
    <row r="96" spans="1:10" x14ac:dyDescent="0.3">
      <c r="A96" s="63"/>
      <c r="B96" s="69"/>
      <c r="C96" s="69"/>
      <c r="D96" s="66"/>
      <c r="E96" s="151"/>
      <c r="F96" s="70"/>
      <c r="G96" s="68"/>
      <c r="H96" s="68"/>
      <c r="I96" s="68"/>
      <c r="J96" s="48"/>
    </row>
    <row r="97" spans="1:10" x14ac:dyDescent="0.3">
      <c r="A97" s="38">
        <f>+A90+0.0000000001</f>
        <v>1.0205020201999997</v>
      </c>
      <c r="B97" s="59" t="s">
        <v>281</v>
      </c>
      <c r="C97" s="64"/>
      <c r="D97" s="64"/>
      <c r="E97" s="64"/>
      <c r="F97" s="64"/>
      <c r="G97" s="64"/>
      <c r="H97" s="64"/>
      <c r="I97" s="65"/>
      <c r="J97" s="64"/>
    </row>
    <row r="98" spans="1:10" ht="16.8" x14ac:dyDescent="0.3">
      <c r="A98" s="60">
        <f>+A97+0.000000000001</f>
        <v>1.0205020202009998</v>
      </c>
      <c r="B98" s="48" t="s">
        <v>342</v>
      </c>
      <c r="C98" s="48"/>
      <c r="D98" s="48"/>
      <c r="E98" s="48"/>
      <c r="F98" s="48"/>
      <c r="G98" s="48"/>
      <c r="H98" s="48"/>
      <c r="I98" s="53">
        <f>+I101</f>
        <v>9.0236222095503109</v>
      </c>
      <c r="J98" s="48" t="s">
        <v>305</v>
      </c>
    </row>
    <row r="99" spans="1:10" x14ac:dyDescent="0.3">
      <c r="A99" s="39"/>
      <c r="B99" s="66"/>
      <c r="C99" s="66"/>
      <c r="D99" s="67"/>
      <c r="E99" s="66"/>
      <c r="F99" s="68"/>
      <c r="G99" s="48"/>
      <c r="H99" s="48"/>
      <c r="I99" s="48"/>
      <c r="J99" s="48"/>
    </row>
    <row r="100" spans="1:10" x14ac:dyDescent="0.3">
      <c r="A100" s="39"/>
      <c r="B100" s="585" t="s">
        <v>306</v>
      </c>
      <c r="C100" s="586"/>
      <c r="D100" s="42" t="s">
        <v>307</v>
      </c>
      <c r="E100" s="43" t="s">
        <v>308</v>
      </c>
      <c r="F100" s="42" t="s">
        <v>309</v>
      </c>
      <c r="G100" s="42" t="s">
        <v>328</v>
      </c>
      <c r="H100" s="42" t="s">
        <v>311</v>
      </c>
      <c r="I100" s="42" t="s">
        <v>312</v>
      </c>
      <c r="J100" s="42" t="s">
        <v>313</v>
      </c>
    </row>
    <row r="101" spans="1:10" x14ac:dyDescent="0.3">
      <c r="A101" s="39"/>
      <c r="B101" s="40"/>
      <c r="C101" s="41"/>
      <c r="D101" s="42"/>
      <c r="E101" s="43"/>
      <c r="F101" s="42"/>
      <c r="G101" s="42"/>
      <c r="H101" s="42"/>
      <c r="I101" s="44">
        <f>+SUM(H102:H105)</f>
        <v>9.0236222095503109</v>
      </c>
      <c r="J101" s="45" t="s">
        <v>314</v>
      </c>
    </row>
    <row r="102" spans="1:10" x14ac:dyDescent="0.3">
      <c r="A102" s="39"/>
      <c r="B102" s="551" t="s">
        <v>343</v>
      </c>
      <c r="C102" s="552"/>
      <c r="D102" s="45">
        <v>2</v>
      </c>
      <c r="E102" s="50">
        <f>+D9+2*D13+2*I9</f>
        <v>4.0131234497501724</v>
      </c>
      <c r="F102" s="54">
        <f>+I9</f>
        <v>0.6</v>
      </c>
      <c r="G102" s="50"/>
      <c r="H102" s="47">
        <f>+D102*E102*F102</f>
        <v>4.8157481397002071</v>
      </c>
      <c r="I102" s="47"/>
      <c r="J102" s="51"/>
    </row>
    <row r="103" spans="1:10" x14ac:dyDescent="0.3">
      <c r="A103" s="39"/>
      <c r="B103" s="551"/>
      <c r="C103" s="552"/>
      <c r="D103" s="45">
        <v>1</v>
      </c>
      <c r="E103" s="50">
        <f>+D9+2*D13</f>
        <v>2.8131234497501727</v>
      </c>
      <c r="F103" s="54">
        <f>+F102</f>
        <v>0.6</v>
      </c>
      <c r="G103" s="50"/>
      <c r="H103" s="47">
        <f>+D103*E103*F103</f>
        <v>1.6878740698501036</v>
      </c>
      <c r="I103" s="47"/>
      <c r="J103" s="51"/>
    </row>
    <row r="104" spans="1:10" x14ac:dyDescent="0.3">
      <c r="A104" s="39"/>
      <c r="B104" s="551" t="s">
        <v>344</v>
      </c>
      <c r="C104" s="552"/>
      <c r="D104" s="45">
        <v>2</v>
      </c>
      <c r="E104" s="50">
        <f>+I25+I26+I9</f>
        <v>1.5</v>
      </c>
      <c r="F104" s="54">
        <f>+F103</f>
        <v>0.6</v>
      </c>
      <c r="G104" s="50"/>
      <c r="H104" s="47">
        <f>+D104*E104*F104</f>
        <v>1.7999999999999998</v>
      </c>
      <c r="I104" s="47"/>
      <c r="J104" s="51"/>
    </row>
    <row r="105" spans="1:10" x14ac:dyDescent="0.3">
      <c r="A105" s="39"/>
      <c r="B105" s="69"/>
      <c r="C105" s="69"/>
      <c r="D105" s="45">
        <v>1</v>
      </c>
      <c r="E105" s="50">
        <f>+I24+2*I26</f>
        <v>1.2</v>
      </c>
      <c r="F105" s="54">
        <f>+F104</f>
        <v>0.6</v>
      </c>
      <c r="G105" s="50"/>
      <c r="H105" s="47">
        <f>+D105*E105*F105</f>
        <v>0.72</v>
      </c>
      <c r="I105" s="47"/>
      <c r="J105" s="51"/>
    </row>
    <row r="106" spans="1:10" x14ac:dyDescent="0.3">
      <c r="A106" s="39"/>
      <c r="B106" s="66"/>
      <c r="C106" s="66"/>
      <c r="D106" s="67"/>
      <c r="E106" s="66"/>
      <c r="F106" s="68"/>
      <c r="G106" s="48"/>
      <c r="H106" s="48"/>
      <c r="I106" s="48"/>
      <c r="J106" s="48"/>
    </row>
    <row r="107" spans="1:10" ht="16.8" x14ac:dyDescent="0.3">
      <c r="A107" s="60">
        <f>+A98+0.000000000001</f>
        <v>1.0205020202019999</v>
      </c>
      <c r="B107" s="48" t="s">
        <v>345</v>
      </c>
      <c r="C107" s="48"/>
      <c r="D107" s="48"/>
      <c r="E107" s="48"/>
      <c r="F107" s="48"/>
      <c r="G107" s="48"/>
      <c r="H107" s="48"/>
      <c r="I107" s="53">
        <f>+I110</f>
        <v>3.2478740698501034</v>
      </c>
      <c r="J107" s="48" t="s">
        <v>305</v>
      </c>
    </row>
    <row r="108" spans="1:10" x14ac:dyDescent="0.3">
      <c r="A108" s="39"/>
      <c r="B108" s="66"/>
      <c r="C108" s="66"/>
      <c r="D108" s="67"/>
      <c r="E108" s="66"/>
      <c r="F108" s="68"/>
      <c r="G108" s="48"/>
      <c r="H108" s="48"/>
      <c r="I108" s="48"/>
      <c r="J108" s="48"/>
    </row>
    <row r="109" spans="1:10" x14ac:dyDescent="0.3">
      <c r="A109" s="39"/>
      <c r="B109" s="585" t="s">
        <v>306</v>
      </c>
      <c r="C109" s="586"/>
      <c r="D109" s="42" t="s">
        <v>307</v>
      </c>
      <c r="E109" s="43" t="s">
        <v>308</v>
      </c>
      <c r="F109" s="42" t="s">
        <v>309</v>
      </c>
      <c r="G109" s="42" t="s">
        <v>328</v>
      </c>
      <c r="H109" s="42" t="s">
        <v>311</v>
      </c>
      <c r="I109" s="42" t="s">
        <v>312</v>
      </c>
      <c r="J109" s="42" t="s">
        <v>313</v>
      </c>
    </row>
    <row r="110" spans="1:10" x14ac:dyDescent="0.3">
      <c r="A110" s="39"/>
      <c r="B110" s="40"/>
      <c r="C110" s="41"/>
      <c r="D110" s="42"/>
      <c r="E110" s="43"/>
      <c r="F110" s="42"/>
      <c r="G110" s="42"/>
      <c r="H110" s="42"/>
      <c r="I110" s="44">
        <f>+SUM(H111:H114)</f>
        <v>3.2478740698501034</v>
      </c>
      <c r="J110" s="45" t="s">
        <v>314</v>
      </c>
    </row>
    <row r="111" spans="1:10" x14ac:dyDescent="0.3">
      <c r="A111" s="39"/>
      <c r="B111" s="551" t="str">
        <f>+B102</f>
        <v>Vereda en reservorio</v>
      </c>
      <c r="C111" s="552"/>
      <c r="D111" s="45">
        <f>+D102</f>
        <v>2</v>
      </c>
      <c r="E111" s="52">
        <f>+E102</f>
        <v>4.0131234497501724</v>
      </c>
      <c r="F111" s="54"/>
      <c r="G111" s="47">
        <f>2*I10</f>
        <v>0.2</v>
      </c>
      <c r="H111" s="47">
        <f>+D111*E111*G111</f>
        <v>1.6052493799000691</v>
      </c>
      <c r="I111" s="47"/>
      <c r="J111" s="51"/>
    </row>
    <row r="112" spans="1:10" x14ac:dyDescent="0.3">
      <c r="A112" s="39"/>
      <c r="B112" s="551"/>
      <c r="C112" s="552"/>
      <c r="D112" s="47">
        <v>1</v>
      </c>
      <c r="E112" s="47">
        <f>+E111</f>
        <v>4.0131234497501724</v>
      </c>
      <c r="F112" s="47"/>
      <c r="G112" s="47">
        <f>+G111</f>
        <v>0.2</v>
      </c>
      <c r="H112" s="47">
        <f t="shared" ref="H112:H114" si="2">+D112*E112*G112</f>
        <v>0.80262468995003455</v>
      </c>
      <c r="I112" s="51"/>
      <c r="J112" s="51"/>
    </row>
    <row r="113" spans="1:10" x14ac:dyDescent="0.3">
      <c r="A113" s="39"/>
      <c r="B113" s="162" t="str">
        <f>+B104</f>
        <v>Vereda en caja de valvulas</v>
      </c>
      <c r="C113" s="163"/>
      <c r="D113" s="47">
        <f>+D104</f>
        <v>2</v>
      </c>
      <c r="E113" s="52">
        <f>+E104-I9</f>
        <v>0.9</v>
      </c>
      <c r="F113" s="47"/>
      <c r="G113" s="47">
        <f>+G112</f>
        <v>0.2</v>
      </c>
      <c r="H113" s="47">
        <f t="shared" si="2"/>
        <v>0.36000000000000004</v>
      </c>
      <c r="I113" s="51"/>
      <c r="J113" s="51"/>
    </row>
    <row r="114" spans="1:10" x14ac:dyDescent="0.3">
      <c r="A114" s="39"/>
      <c r="B114" s="551"/>
      <c r="C114" s="552"/>
      <c r="D114" s="47">
        <v>1</v>
      </c>
      <c r="E114" s="47">
        <f>+E105+2*I9</f>
        <v>2.4</v>
      </c>
      <c r="F114" s="47"/>
      <c r="G114" s="47">
        <f>+G113</f>
        <v>0.2</v>
      </c>
      <c r="H114" s="47">
        <f t="shared" si="2"/>
        <v>0.48</v>
      </c>
      <c r="I114" s="51"/>
      <c r="J114" s="51"/>
    </row>
    <row r="115" spans="1:10" x14ac:dyDescent="0.3">
      <c r="A115" s="39"/>
      <c r="B115" s="55"/>
      <c r="C115" s="55"/>
      <c r="D115" s="55"/>
      <c r="E115" s="69"/>
      <c r="F115" s="68"/>
      <c r="G115" s="48"/>
      <c r="H115" s="48"/>
      <c r="I115" s="48"/>
      <c r="J115" s="48"/>
    </row>
    <row r="116" spans="1:10" x14ac:dyDescent="0.3">
      <c r="A116" s="39"/>
      <c r="B116" s="55"/>
      <c r="C116" s="55"/>
      <c r="D116" s="55"/>
      <c r="E116" s="69"/>
      <c r="F116" s="68"/>
      <c r="G116" s="48"/>
      <c r="H116" s="48"/>
      <c r="I116" s="48"/>
      <c r="J116" s="48"/>
    </row>
    <row r="117" spans="1:10" ht="16.8" x14ac:dyDescent="0.3">
      <c r="A117" s="60">
        <f>+A107+0.000000000001</f>
        <v>1.020502020203</v>
      </c>
      <c r="B117" s="48" t="s">
        <v>346</v>
      </c>
      <c r="C117" s="48"/>
      <c r="D117" s="48"/>
      <c r="E117" s="48"/>
      <c r="F117" s="48"/>
      <c r="G117" s="48"/>
      <c r="H117" s="48"/>
      <c r="I117" s="53">
        <f>+I120</f>
        <v>0.24</v>
      </c>
      <c r="J117" s="48" t="s">
        <v>305</v>
      </c>
    </row>
    <row r="118" spans="1:10" x14ac:dyDescent="0.3">
      <c r="A118" s="39"/>
      <c r="B118" s="69"/>
      <c r="C118" s="66"/>
      <c r="D118" s="67"/>
      <c r="E118" s="66"/>
      <c r="F118" s="68"/>
      <c r="G118" s="48"/>
      <c r="H118" s="48"/>
      <c r="I118" s="48"/>
      <c r="J118" s="48"/>
    </row>
    <row r="119" spans="1:10" x14ac:dyDescent="0.3">
      <c r="A119" s="39"/>
      <c r="B119" s="585" t="s">
        <v>306</v>
      </c>
      <c r="C119" s="586"/>
      <c r="D119" s="42" t="s">
        <v>307</v>
      </c>
      <c r="E119" s="43" t="s">
        <v>308</v>
      </c>
      <c r="F119" s="42" t="s">
        <v>309</v>
      </c>
      <c r="G119" s="42" t="s">
        <v>328</v>
      </c>
      <c r="H119" s="42" t="s">
        <v>311</v>
      </c>
      <c r="I119" s="42" t="s">
        <v>312</v>
      </c>
      <c r="J119" s="42" t="s">
        <v>313</v>
      </c>
    </row>
    <row r="120" spans="1:10" x14ac:dyDescent="0.3">
      <c r="A120" s="39"/>
      <c r="B120" s="40"/>
      <c r="C120" s="41"/>
      <c r="D120" s="42"/>
      <c r="E120" s="43"/>
      <c r="F120" s="42"/>
      <c r="G120" s="42"/>
      <c r="H120" s="42"/>
      <c r="I120" s="44">
        <f>+SUM(H121:H121)</f>
        <v>0.24</v>
      </c>
      <c r="J120" s="45" t="s">
        <v>314</v>
      </c>
    </row>
    <row r="121" spans="1:10" x14ac:dyDescent="0.3">
      <c r="A121" s="39"/>
      <c r="B121" s="551" t="s">
        <v>347</v>
      </c>
      <c r="C121" s="552"/>
      <c r="D121" s="45">
        <v>4</v>
      </c>
      <c r="E121" s="54">
        <f>+I9</f>
        <v>0.6</v>
      </c>
      <c r="F121" s="54"/>
      <c r="G121" s="47">
        <v>0.1</v>
      </c>
      <c r="H121" s="47">
        <f>+D121*E121*G121</f>
        <v>0.24</v>
      </c>
      <c r="I121" s="47"/>
      <c r="J121" s="51"/>
    </row>
    <row r="122" spans="1:10" x14ac:dyDescent="0.3">
      <c r="A122" s="39"/>
      <c r="B122" s="69"/>
      <c r="C122" s="69"/>
      <c r="D122" s="68"/>
      <c r="E122" s="70"/>
      <c r="F122" s="68"/>
      <c r="G122" s="68"/>
      <c r="H122" s="68"/>
      <c r="I122" s="48"/>
      <c r="J122" s="48"/>
    </row>
    <row r="123" spans="1:10" x14ac:dyDescent="0.3">
      <c r="A123" s="60">
        <f>+A117+0.000000000001</f>
        <v>1.020502020204</v>
      </c>
      <c r="B123" s="48" t="s">
        <v>348</v>
      </c>
      <c r="C123" s="48"/>
      <c r="D123" s="48"/>
      <c r="E123" s="48"/>
      <c r="F123" s="48"/>
      <c r="G123" s="48"/>
      <c r="H123" s="48"/>
      <c r="I123" s="53">
        <f>+I126</f>
        <v>2.4</v>
      </c>
      <c r="J123" s="48" t="s">
        <v>349</v>
      </c>
    </row>
    <row r="124" spans="1:10" x14ac:dyDescent="0.3">
      <c r="A124" s="39"/>
      <c r="B124" s="66"/>
      <c r="C124" s="66"/>
      <c r="D124" s="67"/>
      <c r="E124" s="66"/>
      <c r="F124" s="68"/>
      <c r="G124" s="48"/>
      <c r="H124" s="48"/>
      <c r="I124" s="48"/>
      <c r="J124" s="48"/>
    </row>
    <row r="125" spans="1:10" x14ac:dyDescent="0.3">
      <c r="A125" s="39"/>
      <c r="B125" s="585" t="s">
        <v>306</v>
      </c>
      <c r="C125" s="586"/>
      <c r="D125" s="42" t="s">
        <v>307</v>
      </c>
      <c r="E125" s="43" t="s">
        <v>308</v>
      </c>
      <c r="F125" s="42" t="s">
        <v>309</v>
      </c>
      <c r="G125" s="42" t="s">
        <v>328</v>
      </c>
      <c r="H125" s="42" t="s">
        <v>311</v>
      </c>
      <c r="I125" s="42" t="s">
        <v>312</v>
      </c>
      <c r="J125" s="42" t="s">
        <v>313</v>
      </c>
    </row>
    <row r="126" spans="1:10" x14ac:dyDescent="0.3">
      <c r="A126" s="39"/>
      <c r="B126" s="40"/>
      <c r="C126" s="41"/>
      <c r="D126" s="42"/>
      <c r="E126" s="43"/>
      <c r="F126" s="42"/>
      <c r="G126" s="42"/>
      <c r="H126" s="42"/>
      <c r="I126" s="44">
        <f>+SUM(H127:H127)</f>
        <v>2.4</v>
      </c>
      <c r="J126" s="45" t="s">
        <v>349</v>
      </c>
    </row>
    <row r="127" spans="1:10" x14ac:dyDescent="0.3">
      <c r="A127" s="39"/>
      <c r="B127" s="551" t="s">
        <v>350</v>
      </c>
      <c r="C127" s="552"/>
      <c r="D127" s="45">
        <v>4</v>
      </c>
      <c r="E127" s="54">
        <f>+E121</f>
        <v>0.6</v>
      </c>
      <c r="F127" s="54"/>
      <c r="G127" s="47"/>
      <c r="H127" s="47">
        <f>+D127*E127</f>
        <v>2.4</v>
      </c>
      <c r="I127" s="47"/>
      <c r="J127" s="51"/>
    </row>
    <row r="128" spans="1:10" x14ac:dyDescent="0.3">
      <c r="A128" s="39"/>
      <c r="B128" s="66"/>
      <c r="C128" s="66"/>
      <c r="D128" s="67"/>
      <c r="E128" s="66"/>
      <c r="F128" s="68"/>
      <c r="G128" s="48"/>
      <c r="H128" s="48"/>
      <c r="I128" s="48"/>
      <c r="J128" s="48"/>
    </row>
    <row r="129" spans="1:10" x14ac:dyDescent="0.3">
      <c r="A129" s="38">
        <f>+A97+0.0000000001</f>
        <v>1.0205020202999997</v>
      </c>
      <c r="B129" s="59" t="s">
        <v>351</v>
      </c>
      <c r="C129" s="48"/>
      <c r="D129" s="48"/>
      <c r="E129" s="48"/>
      <c r="F129" s="48"/>
      <c r="G129" s="48"/>
      <c r="H129" s="48"/>
      <c r="I129" s="65"/>
      <c r="J129" s="48"/>
    </row>
    <row r="130" spans="1:10" x14ac:dyDescent="0.3">
      <c r="A130" s="71"/>
      <c r="B130" s="59"/>
      <c r="C130" s="48"/>
      <c r="D130" s="48"/>
      <c r="E130" s="48"/>
      <c r="F130" s="48"/>
      <c r="G130" s="48"/>
      <c r="H130" s="48"/>
      <c r="I130" s="65"/>
      <c r="J130" s="48"/>
    </row>
    <row r="131" spans="1:10" ht="16.8" x14ac:dyDescent="0.3">
      <c r="A131" s="60">
        <f>+A129+0.000000000001</f>
        <v>1.0205020203009998</v>
      </c>
      <c r="B131" s="48" t="s">
        <v>352</v>
      </c>
      <c r="C131" s="48"/>
      <c r="D131" s="48"/>
      <c r="E131" s="48"/>
      <c r="F131" s="48"/>
      <c r="G131" s="48"/>
      <c r="H131" s="48"/>
      <c r="I131" s="53">
        <f>+I134</f>
        <v>5.2499999999999998E-2</v>
      </c>
      <c r="J131" s="48" t="s">
        <v>320</v>
      </c>
    </row>
    <row r="132" spans="1:10" x14ac:dyDescent="0.3">
      <c r="A132" s="63"/>
      <c r="B132" s="64"/>
      <c r="C132" s="48"/>
      <c r="D132" s="48"/>
      <c r="E132" s="48"/>
      <c r="F132" s="48"/>
      <c r="G132" s="48"/>
      <c r="H132" s="48"/>
      <c r="I132" s="65"/>
      <c r="J132" s="64"/>
    </row>
    <row r="133" spans="1:10" x14ac:dyDescent="0.3">
      <c r="A133" s="63"/>
      <c r="B133" s="585" t="s">
        <v>306</v>
      </c>
      <c r="C133" s="586"/>
      <c r="D133" s="42" t="s">
        <v>307</v>
      </c>
      <c r="E133" s="43" t="s">
        <v>308</v>
      </c>
      <c r="F133" s="42" t="s">
        <v>309</v>
      </c>
      <c r="G133" s="42" t="s">
        <v>328</v>
      </c>
      <c r="H133" s="42" t="s">
        <v>311</v>
      </c>
      <c r="I133" s="42" t="s">
        <v>312</v>
      </c>
      <c r="J133" s="42" t="s">
        <v>313</v>
      </c>
    </row>
    <row r="134" spans="1:10" x14ac:dyDescent="0.3">
      <c r="A134" s="63"/>
      <c r="B134" s="40"/>
      <c r="C134" s="41"/>
      <c r="D134" s="42"/>
      <c r="E134" s="43"/>
      <c r="F134" s="42"/>
      <c r="G134" s="42"/>
      <c r="H134" s="42"/>
      <c r="I134" s="44">
        <f>+SUM(H135:H135)</f>
        <v>5.2499999999999998E-2</v>
      </c>
      <c r="J134" s="45" t="s">
        <v>321</v>
      </c>
    </row>
    <row r="135" spans="1:10" x14ac:dyDescent="0.3">
      <c r="A135" s="63"/>
      <c r="B135" s="551" t="s">
        <v>353</v>
      </c>
      <c r="C135" s="552"/>
      <c r="D135" s="45">
        <v>1</v>
      </c>
      <c r="E135" s="58">
        <v>0.5</v>
      </c>
      <c r="F135" s="58">
        <v>0.35</v>
      </c>
      <c r="G135" s="47">
        <v>0.3</v>
      </c>
      <c r="H135" s="47">
        <f>G135*D135*E135*F135</f>
        <v>5.2499999999999998E-2</v>
      </c>
      <c r="I135" s="47"/>
      <c r="J135" s="51"/>
    </row>
    <row r="136" spans="1:10" x14ac:dyDescent="0.3">
      <c r="A136" s="39"/>
      <c r="B136" s="69"/>
      <c r="C136" s="69"/>
      <c r="D136" s="69"/>
      <c r="E136" s="72"/>
      <c r="F136" s="68"/>
      <c r="G136" s="48"/>
      <c r="H136" s="48"/>
      <c r="I136" s="48"/>
      <c r="J136" s="48"/>
    </row>
    <row r="137" spans="1:10" x14ac:dyDescent="0.3">
      <c r="A137" s="39"/>
      <c r="B137" s="69"/>
      <c r="C137" s="66"/>
      <c r="D137" s="69"/>
      <c r="E137" s="72"/>
      <c r="F137" s="68"/>
      <c r="G137" s="48"/>
      <c r="H137" s="48"/>
      <c r="I137" s="48"/>
      <c r="J137" s="48"/>
    </row>
    <row r="138" spans="1:10" ht="16.8" x14ac:dyDescent="0.3">
      <c r="A138" s="60">
        <f>+A131+0.000000000001</f>
        <v>1.0205020203019999</v>
      </c>
      <c r="B138" s="48" t="s">
        <v>354</v>
      </c>
      <c r="C138" s="48"/>
      <c r="D138" s="48"/>
      <c r="E138" s="48"/>
      <c r="F138" s="48"/>
      <c r="G138" s="48"/>
      <c r="H138" s="48"/>
      <c r="I138" s="53">
        <f>+I141</f>
        <v>0.05</v>
      </c>
      <c r="J138" s="48" t="s">
        <v>320</v>
      </c>
    </row>
    <row r="139" spans="1:10" x14ac:dyDescent="0.3">
      <c r="A139" s="63"/>
      <c r="B139" s="64"/>
      <c r="C139" s="48"/>
      <c r="D139" s="48"/>
      <c r="E139" s="48"/>
      <c r="F139" s="48"/>
      <c r="G139" s="48"/>
      <c r="H139" s="48"/>
      <c r="I139" s="65"/>
      <c r="J139" s="64"/>
    </row>
    <row r="140" spans="1:10" x14ac:dyDescent="0.3">
      <c r="A140" s="63"/>
      <c r="B140" s="585" t="s">
        <v>306</v>
      </c>
      <c r="C140" s="586"/>
      <c r="D140" s="42" t="s">
        <v>307</v>
      </c>
      <c r="E140" s="43" t="s">
        <v>308</v>
      </c>
      <c r="F140" s="42" t="s">
        <v>309</v>
      </c>
      <c r="G140" s="42" t="s">
        <v>328</v>
      </c>
      <c r="H140" s="42" t="s">
        <v>311</v>
      </c>
      <c r="I140" s="42" t="s">
        <v>312</v>
      </c>
      <c r="J140" s="42" t="s">
        <v>313</v>
      </c>
    </row>
    <row r="141" spans="1:10" x14ac:dyDescent="0.3">
      <c r="A141" s="63"/>
      <c r="B141" s="40"/>
      <c r="C141" s="41"/>
      <c r="D141" s="42"/>
      <c r="E141" s="43"/>
      <c r="F141" s="42"/>
      <c r="G141" s="42"/>
      <c r="H141" s="42"/>
      <c r="I141" s="44">
        <f>+SUM(H142)</f>
        <v>0.05</v>
      </c>
      <c r="J141" s="45" t="s">
        <v>321</v>
      </c>
    </row>
    <row r="142" spans="1:10" x14ac:dyDescent="0.3">
      <c r="A142" s="63"/>
      <c r="B142" s="551" t="s">
        <v>355</v>
      </c>
      <c r="C142" s="552"/>
      <c r="D142" s="45">
        <v>1</v>
      </c>
      <c r="E142" s="54">
        <v>0.5</v>
      </c>
      <c r="F142" s="54">
        <v>0.5</v>
      </c>
      <c r="G142" s="47">
        <v>0.2</v>
      </c>
      <c r="H142" s="47">
        <f>+D142*E142*F142*G142</f>
        <v>0.05</v>
      </c>
      <c r="I142" s="47"/>
      <c r="J142" s="51"/>
    </row>
    <row r="143" spans="1:10" x14ac:dyDescent="0.3">
      <c r="A143" s="63"/>
      <c r="B143" s="551"/>
      <c r="C143" s="552"/>
      <c r="D143" s="47"/>
      <c r="E143" s="54"/>
      <c r="F143" s="47"/>
      <c r="G143" s="47"/>
      <c r="H143" s="47"/>
      <c r="I143" s="51"/>
      <c r="J143" s="51"/>
    </row>
    <row r="144" spans="1:10" x14ac:dyDescent="0.3">
      <c r="A144" s="39"/>
      <c r="B144" s="69"/>
      <c r="C144" s="69"/>
      <c r="D144" s="69"/>
      <c r="E144" s="72"/>
      <c r="F144" s="68"/>
      <c r="G144" s="48"/>
      <c r="H144" s="48"/>
      <c r="I144" s="48"/>
      <c r="J144" s="48"/>
    </row>
    <row r="145" spans="1:10" x14ac:dyDescent="0.3">
      <c r="A145" s="39"/>
      <c r="B145" s="69"/>
      <c r="C145" s="69"/>
      <c r="D145" s="69"/>
      <c r="E145" s="72"/>
      <c r="F145" s="68"/>
      <c r="G145" s="48"/>
      <c r="H145" s="48"/>
      <c r="I145" s="48"/>
      <c r="J145" s="48"/>
    </row>
    <row r="146" spans="1:10" ht="16.8" x14ac:dyDescent="0.3">
      <c r="A146" s="60">
        <f>+A138+0.000000000001</f>
        <v>1.020502020303</v>
      </c>
      <c r="B146" s="48" t="s">
        <v>356</v>
      </c>
      <c r="C146" s="48"/>
      <c r="D146" s="48"/>
      <c r="E146" s="48"/>
      <c r="F146" s="48"/>
      <c r="G146" s="48"/>
      <c r="H146" s="48"/>
      <c r="I146" s="53">
        <f>+I149</f>
        <v>0.51</v>
      </c>
      <c r="J146" s="48" t="s">
        <v>305</v>
      </c>
    </row>
    <row r="147" spans="1:10" x14ac:dyDescent="0.3">
      <c r="A147" s="63"/>
      <c r="B147" s="64"/>
      <c r="C147" s="48"/>
      <c r="D147" s="48"/>
      <c r="E147" s="48"/>
      <c r="F147" s="48"/>
      <c r="G147" s="48"/>
      <c r="H147" s="48"/>
      <c r="I147" s="65"/>
      <c r="J147" s="64"/>
    </row>
    <row r="148" spans="1:10" x14ac:dyDescent="0.3">
      <c r="A148" s="63"/>
      <c r="B148" s="585" t="s">
        <v>306</v>
      </c>
      <c r="C148" s="586"/>
      <c r="D148" s="42" t="s">
        <v>307</v>
      </c>
      <c r="E148" s="43" t="s">
        <v>308</v>
      </c>
      <c r="F148" s="42" t="s">
        <v>309</v>
      </c>
      <c r="G148" s="42" t="s">
        <v>328</v>
      </c>
      <c r="H148" s="42" t="s">
        <v>311</v>
      </c>
      <c r="I148" s="42" t="s">
        <v>312</v>
      </c>
      <c r="J148" s="42" t="s">
        <v>313</v>
      </c>
    </row>
    <row r="149" spans="1:10" x14ac:dyDescent="0.3">
      <c r="A149" s="63"/>
      <c r="B149" s="40"/>
      <c r="C149" s="41"/>
      <c r="D149" s="42"/>
      <c r="E149" s="43"/>
      <c r="F149" s="42"/>
      <c r="G149" s="42"/>
      <c r="H149" s="42"/>
      <c r="I149" s="44">
        <f>+H150</f>
        <v>0.51</v>
      </c>
      <c r="J149" s="45" t="s">
        <v>321</v>
      </c>
    </row>
    <row r="150" spans="1:10" x14ac:dyDescent="0.3">
      <c r="A150" s="63"/>
      <c r="B150" s="551" t="s">
        <v>357</v>
      </c>
      <c r="C150" s="552"/>
      <c r="D150" s="45">
        <v>4</v>
      </c>
      <c r="E150" s="54">
        <f>+E135</f>
        <v>0.5</v>
      </c>
      <c r="F150" s="54">
        <f>+F135</f>
        <v>0.35</v>
      </c>
      <c r="G150" s="47">
        <v>0.3</v>
      </c>
      <c r="H150" s="47">
        <f>+(2*E150+2*F150)*G150</f>
        <v>0.51</v>
      </c>
      <c r="I150" s="47"/>
      <c r="J150" s="51"/>
    </row>
    <row r="151" spans="1:10" x14ac:dyDescent="0.3">
      <c r="A151" s="39"/>
      <c r="B151" s="69"/>
      <c r="C151" s="69"/>
      <c r="D151" s="69"/>
      <c r="E151" s="72"/>
      <c r="F151" s="68"/>
      <c r="G151" s="48"/>
      <c r="H151" s="48"/>
      <c r="I151" s="48"/>
      <c r="J151" s="48"/>
    </row>
    <row r="152" spans="1:10" x14ac:dyDescent="0.3">
      <c r="A152" s="39"/>
      <c r="B152" s="69"/>
      <c r="C152" s="69"/>
      <c r="D152" s="69"/>
      <c r="E152" s="72"/>
      <c r="F152" s="68"/>
      <c r="G152" s="48"/>
      <c r="H152" s="48"/>
      <c r="I152" s="48"/>
      <c r="J152" s="48"/>
    </row>
    <row r="153" spans="1:10" x14ac:dyDescent="0.3">
      <c r="A153" s="73">
        <f>+A89+0.00000001</f>
        <v>1.0205020299999996</v>
      </c>
      <c r="B153" s="37" t="s">
        <v>358</v>
      </c>
      <c r="C153" s="48"/>
      <c r="D153" s="48"/>
      <c r="E153" s="48"/>
      <c r="F153" s="48"/>
      <c r="G153" s="48"/>
      <c r="H153" s="48"/>
      <c r="I153" s="48"/>
      <c r="J153" s="48"/>
    </row>
    <row r="154" spans="1:10" x14ac:dyDescent="0.3">
      <c r="A154" s="74">
        <f>+A153+0.0000000001</f>
        <v>1.0205020300999996</v>
      </c>
      <c r="B154" s="59" t="s">
        <v>359</v>
      </c>
      <c r="C154" s="48"/>
      <c r="D154" s="48"/>
      <c r="E154" s="48"/>
      <c r="F154" s="48"/>
      <c r="G154" s="48"/>
      <c r="H154" s="48"/>
      <c r="I154" s="65"/>
      <c r="J154" s="48"/>
    </row>
    <row r="155" spans="1:10" ht="16.8" x14ac:dyDescent="0.3">
      <c r="A155" s="60">
        <f>+A154+0.000000000001</f>
        <v>1.0205020301009997</v>
      </c>
      <c r="B155" s="48" t="s">
        <v>360</v>
      </c>
      <c r="C155" s="48"/>
      <c r="D155" s="48"/>
      <c r="E155" s="48"/>
      <c r="F155" s="48"/>
      <c r="G155" s="48"/>
      <c r="H155" s="48"/>
      <c r="I155" s="53">
        <f>+I158</f>
        <v>1.5902992558800824</v>
      </c>
      <c r="J155" s="48" t="s">
        <v>320</v>
      </c>
    </row>
    <row r="156" spans="1:10" x14ac:dyDescent="0.3">
      <c r="A156" s="39"/>
      <c r="B156" s="48"/>
      <c r="C156" s="48"/>
      <c r="D156" s="48"/>
      <c r="E156" s="48"/>
      <c r="F156" s="48"/>
      <c r="G156" s="48"/>
      <c r="H156" s="48"/>
      <c r="I156" s="48"/>
      <c r="J156" s="48"/>
    </row>
    <row r="157" spans="1:10" x14ac:dyDescent="0.3">
      <c r="A157" s="39"/>
      <c r="B157" s="585" t="s">
        <v>306</v>
      </c>
      <c r="C157" s="586"/>
      <c r="D157" s="42" t="s">
        <v>307</v>
      </c>
      <c r="E157" s="43" t="s">
        <v>308</v>
      </c>
      <c r="F157" s="42" t="s">
        <v>309</v>
      </c>
      <c r="G157" s="42" t="s">
        <v>328</v>
      </c>
      <c r="H157" s="42" t="s">
        <v>311</v>
      </c>
      <c r="I157" s="42" t="s">
        <v>312</v>
      </c>
      <c r="J157" s="42" t="s">
        <v>313</v>
      </c>
    </row>
    <row r="158" spans="1:10" x14ac:dyDescent="0.3">
      <c r="A158" s="39"/>
      <c r="B158" s="40"/>
      <c r="C158" s="41"/>
      <c r="D158" s="42"/>
      <c r="E158" s="43"/>
      <c r="F158" s="42"/>
      <c r="G158" s="42"/>
      <c r="H158" s="42"/>
      <c r="I158" s="44">
        <f>+H159</f>
        <v>1.5902992558800824</v>
      </c>
      <c r="J158" s="45" t="s">
        <v>321</v>
      </c>
    </row>
    <row r="159" spans="1:10" x14ac:dyDescent="0.3">
      <c r="A159" s="39"/>
      <c r="B159" s="551" t="s">
        <v>361</v>
      </c>
      <c r="C159" s="552"/>
      <c r="D159" s="45">
        <v>1</v>
      </c>
      <c r="E159" s="58">
        <f>+E68</f>
        <v>13.252493799000689</v>
      </c>
      <c r="F159" s="58">
        <f>+F68</f>
        <v>0.6</v>
      </c>
      <c r="G159" s="58">
        <f>+G68</f>
        <v>0.19999999999999998</v>
      </c>
      <c r="H159" s="47">
        <f>+D159*E159*F159*G159</f>
        <v>1.5902992558800824</v>
      </c>
      <c r="I159" s="47"/>
      <c r="J159" s="51"/>
    </row>
    <row r="160" spans="1:10" x14ac:dyDescent="0.3">
      <c r="A160" s="39"/>
      <c r="B160" s="48"/>
      <c r="C160" s="48"/>
      <c r="D160" s="48"/>
      <c r="E160" s="48"/>
      <c r="F160" s="48"/>
      <c r="G160" s="48"/>
      <c r="H160" s="48"/>
      <c r="I160" s="48"/>
      <c r="J160" s="48"/>
    </row>
    <row r="161" spans="1:10" ht="16.8" x14ac:dyDescent="0.3">
      <c r="A161" s="60">
        <f>+A155+0.000000000001</f>
        <v>1.0205020301019998</v>
      </c>
      <c r="B161" s="48" t="s">
        <v>362</v>
      </c>
      <c r="C161" s="48"/>
      <c r="D161" s="48"/>
      <c r="E161" s="48"/>
      <c r="F161" s="48"/>
      <c r="G161" s="48"/>
      <c r="H161" s="48"/>
      <c r="I161" s="53">
        <f>+I164</f>
        <v>4.4983728296502417</v>
      </c>
      <c r="J161" s="48" t="s">
        <v>305</v>
      </c>
    </row>
    <row r="162" spans="1:10" x14ac:dyDescent="0.3">
      <c r="A162" s="39"/>
      <c r="B162" s="48"/>
      <c r="C162" s="48"/>
      <c r="D162" s="48"/>
      <c r="E162" s="48"/>
      <c r="F162" s="48"/>
      <c r="G162" s="48"/>
      <c r="H162" s="48"/>
      <c r="I162" s="48"/>
      <c r="J162" s="48"/>
    </row>
    <row r="163" spans="1:10" x14ac:dyDescent="0.3">
      <c r="A163" s="39"/>
      <c r="B163" s="585" t="s">
        <v>306</v>
      </c>
      <c r="C163" s="586"/>
      <c r="D163" s="42" t="s">
        <v>307</v>
      </c>
      <c r="E163" s="43" t="s">
        <v>308</v>
      </c>
      <c r="F163" s="42" t="s">
        <v>309</v>
      </c>
      <c r="G163" s="42" t="s">
        <v>328</v>
      </c>
      <c r="H163" s="42" t="s">
        <v>311</v>
      </c>
      <c r="I163" s="42" t="s">
        <v>312</v>
      </c>
      <c r="J163" s="42" t="s">
        <v>313</v>
      </c>
    </row>
    <row r="164" spans="1:10" x14ac:dyDescent="0.3">
      <c r="A164" s="39"/>
      <c r="B164" s="40"/>
      <c r="C164" s="41"/>
      <c r="D164" s="42"/>
      <c r="E164" s="43"/>
      <c r="F164" s="42"/>
      <c r="G164" s="42"/>
      <c r="H164" s="42"/>
      <c r="I164" s="44">
        <f>+H165</f>
        <v>4.4983728296502417</v>
      </c>
      <c r="J164" s="45" t="s">
        <v>321</v>
      </c>
    </row>
    <row r="165" spans="1:10" x14ac:dyDescent="0.3">
      <c r="A165" s="39"/>
      <c r="B165" s="551" t="s">
        <v>363</v>
      </c>
      <c r="C165" s="552"/>
      <c r="D165" s="45">
        <v>1</v>
      </c>
      <c r="E165" s="58">
        <f>+D9+2*D13+2*D21</f>
        <v>3.2131234497501726</v>
      </c>
      <c r="F165" s="58">
        <f>+E165</f>
        <v>3.2131234497501726</v>
      </c>
      <c r="G165" s="58">
        <f>+D20</f>
        <v>0.35</v>
      </c>
      <c r="H165" s="47">
        <f>+(2*E165+2*F165)*D165*G165</f>
        <v>4.4983728296502417</v>
      </c>
      <c r="I165" s="47"/>
      <c r="J165" s="51"/>
    </row>
    <row r="166" spans="1:10" x14ac:dyDescent="0.3">
      <c r="A166" s="39"/>
      <c r="B166" s="69"/>
      <c r="C166" s="69"/>
      <c r="D166" s="66"/>
      <c r="E166" s="151"/>
      <c r="F166" s="151"/>
      <c r="G166" s="151"/>
      <c r="H166" s="68"/>
      <c r="I166" s="68"/>
      <c r="J166" s="48"/>
    </row>
    <row r="167" spans="1:10" x14ac:dyDescent="0.3">
      <c r="A167" s="60">
        <f>+A161+0.000000000001</f>
        <v>1.0205020301029999</v>
      </c>
      <c r="B167" s="48" t="s">
        <v>364</v>
      </c>
      <c r="C167" s="48"/>
      <c r="D167" s="48"/>
      <c r="E167" s="48"/>
      <c r="F167" s="48"/>
      <c r="G167" s="48"/>
      <c r="H167" s="48"/>
      <c r="I167" s="75">
        <f>+ACERO!P19</f>
        <v>127.51822847440532</v>
      </c>
      <c r="J167" s="48" t="s">
        <v>223</v>
      </c>
    </row>
    <row r="168" spans="1:10" x14ac:dyDescent="0.3">
      <c r="A168" s="39"/>
      <c r="B168" s="48"/>
      <c r="C168" s="48"/>
      <c r="D168" s="48"/>
      <c r="E168" s="48"/>
      <c r="F168" s="48"/>
      <c r="G168" s="48"/>
      <c r="H168" s="48"/>
      <c r="I168" s="48"/>
      <c r="J168" s="48"/>
    </row>
    <row r="169" spans="1:10" x14ac:dyDescent="0.3">
      <c r="A169" s="74">
        <f>+A154+0.0000000001</f>
        <v>1.0205020301999996</v>
      </c>
      <c r="B169" s="59" t="s">
        <v>365</v>
      </c>
      <c r="C169" s="48"/>
      <c r="D169" s="48"/>
      <c r="E169" s="48"/>
      <c r="F169" s="48"/>
      <c r="G169" s="48"/>
      <c r="H169" s="48"/>
      <c r="I169" s="65"/>
      <c r="J169" s="48"/>
    </row>
    <row r="170" spans="1:10" ht="16.8" x14ac:dyDescent="0.3">
      <c r="A170" s="60">
        <f>+A169+0.000000000001</f>
        <v>1.0205020302009997</v>
      </c>
      <c r="B170" s="48" t="s">
        <v>366</v>
      </c>
      <c r="C170" s="48"/>
      <c r="D170" s="48"/>
      <c r="E170" s="48"/>
      <c r="F170" s="48"/>
      <c r="G170" s="48"/>
      <c r="H170" s="48"/>
      <c r="I170" s="53">
        <f>+I173</f>
        <v>1.5486243455001676</v>
      </c>
      <c r="J170" s="48" t="s">
        <v>320</v>
      </c>
    </row>
    <row r="171" spans="1:10" x14ac:dyDescent="0.3">
      <c r="A171" s="39"/>
      <c r="B171" s="48"/>
      <c r="C171" s="48"/>
      <c r="D171" s="48"/>
      <c r="E171" s="48"/>
      <c r="F171" s="48"/>
      <c r="G171" s="48"/>
      <c r="H171" s="48"/>
      <c r="I171" s="48"/>
      <c r="J171" s="48"/>
    </row>
    <row r="172" spans="1:10" x14ac:dyDescent="0.3">
      <c r="A172" s="39"/>
      <c r="B172" s="585" t="s">
        <v>306</v>
      </c>
      <c r="C172" s="586"/>
      <c r="D172" s="42" t="s">
        <v>307</v>
      </c>
      <c r="E172" s="43" t="s">
        <v>308</v>
      </c>
      <c r="F172" s="42" t="s">
        <v>309</v>
      </c>
      <c r="G172" s="42" t="s">
        <v>328</v>
      </c>
      <c r="H172" s="42" t="s">
        <v>311</v>
      </c>
      <c r="I172" s="42" t="s">
        <v>312</v>
      </c>
      <c r="J172" s="42" t="s">
        <v>313</v>
      </c>
    </row>
    <row r="173" spans="1:10" x14ac:dyDescent="0.3">
      <c r="A173" s="39"/>
      <c r="B173" s="40"/>
      <c r="C173" s="41"/>
      <c r="D173" s="42"/>
      <c r="E173" s="43"/>
      <c r="F173" s="42"/>
      <c r="G173" s="42"/>
      <c r="H173" s="42"/>
      <c r="I173" s="44">
        <f>+H174</f>
        <v>1.5486243455001676</v>
      </c>
      <c r="J173" s="45" t="s">
        <v>321</v>
      </c>
    </row>
    <row r="174" spans="1:10" x14ac:dyDescent="0.3">
      <c r="A174" s="39"/>
      <c r="B174" s="551" t="s">
        <v>367</v>
      </c>
      <c r="C174" s="552"/>
      <c r="D174" s="45">
        <v>1</v>
      </c>
      <c r="E174" s="58">
        <f>+E165</f>
        <v>3.2131234497501726</v>
      </c>
      <c r="F174" s="58">
        <f>+F165</f>
        <v>3.2131234497501726</v>
      </c>
      <c r="G174" s="58">
        <f>+D26</f>
        <v>0.15</v>
      </c>
      <c r="H174" s="47">
        <f>+D174*E174*F174*G174</f>
        <v>1.5486243455001676</v>
      </c>
      <c r="I174" s="47"/>
      <c r="J174" s="51"/>
    </row>
    <row r="175" spans="1:10" x14ac:dyDescent="0.3">
      <c r="A175" s="39"/>
      <c r="B175" s="48"/>
      <c r="C175" s="48"/>
      <c r="D175" s="48"/>
      <c r="E175" s="48"/>
      <c r="F175" s="48"/>
      <c r="G175" s="48"/>
      <c r="H175" s="48"/>
      <c r="I175" s="48"/>
      <c r="J175" s="48"/>
    </row>
    <row r="176" spans="1:10" x14ac:dyDescent="0.3">
      <c r="A176" s="60">
        <f>+A170+0.000000000001</f>
        <v>1.0205020302019998</v>
      </c>
      <c r="B176" s="48" t="s">
        <v>368</v>
      </c>
      <c r="C176" s="48"/>
      <c r="D176" s="48"/>
      <c r="E176" s="48"/>
      <c r="F176" s="48"/>
      <c r="G176" s="48"/>
      <c r="H176" s="48"/>
      <c r="I176" s="75">
        <f>+ACERO!P33</f>
        <v>101.3020625995613</v>
      </c>
      <c r="J176" s="48" t="s">
        <v>223</v>
      </c>
    </row>
    <row r="177" spans="1:10" x14ac:dyDescent="0.3">
      <c r="A177" s="60"/>
      <c r="B177" s="48"/>
      <c r="C177" s="48"/>
      <c r="D177" s="48"/>
      <c r="E177" s="48"/>
      <c r="F177" s="48"/>
      <c r="G177" s="48"/>
      <c r="H177" s="48"/>
      <c r="I177" s="75"/>
      <c r="J177" s="48"/>
    </row>
    <row r="178" spans="1:10" x14ac:dyDescent="0.3">
      <c r="A178" s="74">
        <f>+A169+0.0000000001</f>
        <v>1.0205020302999996</v>
      </c>
      <c r="B178" s="59" t="s">
        <v>369</v>
      </c>
      <c r="C178" s="76"/>
      <c r="D178" s="76"/>
      <c r="E178" s="76"/>
      <c r="F178" s="76"/>
      <c r="G178" s="76"/>
      <c r="H178" s="76"/>
      <c r="I178" s="77"/>
      <c r="J178" s="76"/>
    </row>
    <row r="179" spans="1:10" ht="16.8" x14ac:dyDescent="0.3">
      <c r="A179" s="60">
        <f>+A178+0.000000000001</f>
        <v>1.0205020303009997</v>
      </c>
      <c r="B179" s="76" t="s">
        <v>370</v>
      </c>
      <c r="C179" s="76"/>
      <c r="D179" s="76"/>
      <c r="E179" s="76"/>
      <c r="F179" s="76"/>
      <c r="G179" s="76"/>
      <c r="H179" s="76"/>
      <c r="I179" s="75">
        <f>+I182</f>
        <v>3.7550040641477436</v>
      </c>
      <c r="J179" s="76" t="s">
        <v>371</v>
      </c>
    </row>
    <row r="180" spans="1:10" x14ac:dyDescent="0.3">
      <c r="A180" s="78"/>
      <c r="B180" s="76"/>
      <c r="C180" s="76"/>
      <c r="D180" s="76"/>
      <c r="E180" s="76"/>
      <c r="F180" s="76"/>
      <c r="G180" s="76"/>
      <c r="H180" s="76"/>
      <c r="I180" s="76"/>
      <c r="J180" s="76"/>
    </row>
    <row r="181" spans="1:10" x14ac:dyDescent="0.3">
      <c r="A181" s="78"/>
      <c r="B181" s="560" t="s">
        <v>306</v>
      </c>
      <c r="C181" s="561"/>
      <c r="D181" s="79" t="s">
        <v>307</v>
      </c>
      <c r="E181" s="43" t="s">
        <v>308</v>
      </c>
      <c r="F181" s="42" t="s">
        <v>309</v>
      </c>
      <c r="G181" s="42" t="s">
        <v>328</v>
      </c>
      <c r="H181" s="42" t="s">
        <v>311</v>
      </c>
      <c r="I181" s="79" t="s">
        <v>312</v>
      </c>
      <c r="J181" s="79" t="s">
        <v>313</v>
      </c>
    </row>
    <row r="182" spans="1:10" x14ac:dyDescent="0.3">
      <c r="A182" s="78"/>
      <c r="B182" s="81"/>
      <c r="C182" s="82"/>
      <c r="D182" s="79"/>
      <c r="E182" s="80"/>
      <c r="F182" s="79"/>
      <c r="G182" s="79"/>
      <c r="H182" s="79"/>
      <c r="I182" s="83">
        <f>+SUM(H183:H184)</f>
        <v>3.7550040641477436</v>
      </c>
      <c r="J182" s="84" t="s">
        <v>321</v>
      </c>
    </row>
    <row r="183" spans="1:10" x14ac:dyDescent="0.3">
      <c r="A183" s="78"/>
      <c r="B183" s="553" t="s">
        <v>372</v>
      </c>
      <c r="C183" s="554"/>
      <c r="D183" s="84">
        <v>2</v>
      </c>
      <c r="E183" s="85">
        <f>+D9+2*D13</f>
        <v>2.8131234497501727</v>
      </c>
      <c r="F183" s="85">
        <f>+D13</f>
        <v>0.15</v>
      </c>
      <c r="G183" s="85">
        <f>+D12</f>
        <v>2.35</v>
      </c>
      <c r="H183" s="85">
        <f>F183*G183*D183*E183</f>
        <v>1.9832520320738716</v>
      </c>
      <c r="I183" s="86"/>
      <c r="J183" s="87"/>
    </row>
    <row r="184" spans="1:10" x14ac:dyDescent="0.3">
      <c r="A184" s="78"/>
      <c r="B184" s="553" t="s">
        <v>372</v>
      </c>
      <c r="C184" s="554"/>
      <c r="D184" s="84">
        <v>2</v>
      </c>
      <c r="E184" s="85">
        <f>+D9</f>
        <v>2.5131234497501729</v>
      </c>
      <c r="F184" s="85">
        <f>+F183</f>
        <v>0.15</v>
      </c>
      <c r="G184" s="85">
        <f>+G183</f>
        <v>2.35</v>
      </c>
      <c r="H184" s="85">
        <f>F184*G184*D184*E184</f>
        <v>1.7717520320738718</v>
      </c>
      <c r="I184" s="86"/>
      <c r="J184" s="87"/>
    </row>
    <row r="185" spans="1:10" x14ac:dyDescent="0.3">
      <c r="A185" s="78"/>
      <c r="B185" s="280"/>
      <c r="C185" s="280"/>
      <c r="D185" s="281"/>
      <c r="E185" s="282"/>
      <c r="F185" s="282"/>
      <c r="G185" s="282"/>
      <c r="H185" s="282"/>
      <c r="I185" s="283"/>
      <c r="J185" s="76"/>
    </row>
    <row r="186" spans="1:10" ht="16.8" x14ac:dyDescent="0.3">
      <c r="A186" s="60">
        <f>+A179+0.000000000001</f>
        <v>1.0205020303019998</v>
      </c>
      <c r="B186" s="76" t="s">
        <v>373</v>
      </c>
      <c r="C186" s="76"/>
      <c r="D186" s="76"/>
      <c r="E186" s="76"/>
      <c r="F186" s="76"/>
      <c r="G186" s="76"/>
      <c r="H186" s="76"/>
      <c r="I186" s="75">
        <f>+I189</f>
        <v>50.066720855303245</v>
      </c>
      <c r="J186" s="76" t="s">
        <v>374</v>
      </c>
    </row>
    <row r="187" spans="1:10" x14ac:dyDescent="0.3">
      <c r="A187" s="78"/>
      <c r="B187" s="76"/>
      <c r="C187" s="76"/>
      <c r="D187" s="76"/>
      <c r="E187" s="76"/>
      <c r="F187" s="76"/>
      <c r="G187" s="76"/>
      <c r="H187" s="76"/>
      <c r="I187" s="76"/>
      <c r="J187" s="76"/>
    </row>
    <row r="188" spans="1:10" x14ac:dyDescent="0.3">
      <c r="A188" s="78"/>
      <c r="B188" s="560" t="s">
        <v>306</v>
      </c>
      <c r="C188" s="561"/>
      <c r="D188" s="79" t="s">
        <v>307</v>
      </c>
      <c r="E188" s="43" t="s">
        <v>308</v>
      </c>
      <c r="F188" s="42" t="s">
        <v>309</v>
      </c>
      <c r="G188" s="42" t="s">
        <v>328</v>
      </c>
      <c r="H188" s="42" t="s">
        <v>311</v>
      </c>
      <c r="I188" s="79" t="s">
        <v>312</v>
      </c>
      <c r="J188" s="79" t="s">
        <v>313</v>
      </c>
    </row>
    <row r="189" spans="1:10" x14ac:dyDescent="0.3">
      <c r="A189" s="78"/>
      <c r="B189" s="81"/>
      <c r="C189" s="82"/>
      <c r="D189" s="79"/>
      <c r="E189" s="80"/>
      <c r="F189" s="79"/>
      <c r="G189" s="79"/>
      <c r="H189" s="79"/>
      <c r="I189" s="83">
        <f>+H190+H191</f>
        <v>50.066720855303245</v>
      </c>
      <c r="J189" s="84" t="s">
        <v>314</v>
      </c>
    </row>
    <row r="190" spans="1:10" x14ac:dyDescent="0.3">
      <c r="A190" s="78"/>
      <c r="B190" s="555" t="s">
        <v>375</v>
      </c>
      <c r="C190" s="555"/>
      <c r="D190" s="84">
        <v>4</v>
      </c>
      <c r="E190" s="85">
        <f>+E183</f>
        <v>2.8131234497501727</v>
      </c>
      <c r="F190" s="85"/>
      <c r="G190" s="85">
        <f>+G183</f>
        <v>2.35</v>
      </c>
      <c r="H190" s="85">
        <f>+D190*E190*G190</f>
        <v>26.443360427651623</v>
      </c>
      <c r="I190" s="86"/>
      <c r="J190" s="87"/>
    </row>
    <row r="191" spans="1:10" x14ac:dyDescent="0.3">
      <c r="A191" s="78"/>
      <c r="B191" s="553" t="s">
        <v>376</v>
      </c>
      <c r="C191" s="554"/>
      <c r="D191" s="84">
        <v>4</v>
      </c>
      <c r="E191" s="85">
        <f>+E184</f>
        <v>2.5131234497501729</v>
      </c>
      <c r="F191" s="85"/>
      <c r="G191" s="85">
        <f>+G184</f>
        <v>2.35</v>
      </c>
      <c r="H191" s="85">
        <f>+D191*E191*G191</f>
        <v>23.623360427651626</v>
      </c>
      <c r="I191" s="87"/>
      <c r="J191" s="87"/>
    </row>
    <row r="192" spans="1:10" x14ac:dyDescent="0.3">
      <c r="A192" s="78"/>
      <c r="B192" s="76"/>
      <c r="C192" s="76"/>
      <c r="D192" s="76"/>
      <c r="E192" s="76"/>
      <c r="F192" s="76"/>
      <c r="G192" s="76"/>
      <c r="H192" s="76"/>
      <c r="I192" s="76"/>
      <c r="J192" s="76"/>
    </row>
    <row r="193" spans="1:10" x14ac:dyDescent="0.3">
      <c r="A193" s="60">
        <f>+A186+0.000000000001</f>
        <v>1.0205020303029999</v>
      </c>
      <c r="B193" s="48" t="s">
        <v>377</v>
      </c>
      <c r="C193" s="48"/>
      <c r="D193" s="48"/>
      <c r="E193" s="48"/>
      <c r="F193" s="48"/>
      <c r="G193" s="48"/>
      <c r="H193" s="48"/>
      <c r="I193" s="75">
        <f>+ACERO!P49</f>
        <v>158.98192989193652</v>
      </c>
      <c r="J193" s="48" t="s">
        <v>223</v>
      </c>
    </row>
    <row r="194" spans="1:10" x14ac:dyDescent="0.3">
      <c r="A194" s="39"/>
      <c r="B194" s="48"/>
      <c r="C194" s="48"/>
      <c r="D194" s="48"/>
      <c r="E194" s="48"/>
      <c r="F194" s="48"/>
      <c r="G194" s="48"/>
      <c r="H194" s="48"/>
      <c r="I194" s="48"/>
      <c r="J194" s="48"/>
    </row>
    <row r="195" spans="1:10" x14ac:dyDescent="0.3">
      <c r="A195" s="74">
        <f>+A178+0.0000000001</f>
        <v>1.0205020303999996</v>
      </c>
      <c r="B195" s="59" t="s">
        <v>378</v>
      </c>
      <c r="C195" s="48"/>
      <c r="D195" s="48"/>
      <c r="E195" s="48"/>
      <c r="F195" s="48"/>
      <c r="G195" s="48"/>
      <c r="H195" s="48"/>
      <c r="I195" s="65"/>
      <c r="J195" s="48"/>
    </row>
    <row r="196" spans="1:10" ht="16.8" x14ac:dyDescent="0.3">
      <c r="A196" s="60">
        <f>+A195+0.000000000001</f>
        <v>1.0205020304009997</v>
      </c>
      <c r="B196" s="48" t="s">
        <v>379</v>
      </c>
      <c r="C196" s="48"/>
      <c r="D196" s="48"/>
      <c r="E196" s="48"/>
      <c r="F196" s="48"/>
      <c r="G196" s="48"/>
      <c r="H196" s="48"/>
      <c r="I196" s="53">
        <f>+I199</f>
        <v>1.3078369385151571</v>
      </c>
      <c r="J196" s="48" t="s">
        <v>320</v>
      </c>
    </row>
    <row r="197" spans="1:10" x14ac:dyDescent="0.3">
      <c r="A197" s="39"/>
      <c r="B197" s="48"/>
      <c r="C197" s="48"/>
      <c r="D197" s="48"/>
      <c r="E197" s="48"/>
      <c r="F197" s="48"/>
      <c r="G197" s="48"/>
      <c r="H197" s="48"/>
      <c r="I197" s="48"/>
      <c r="J197" s="48"/>
    </row>
    <row r="198" spans="1:10" x14ac:dyDescent="0.3">
      <c r="A198" s="39"/>
      <c r="B198" s="560" t="s">
        <v>306</v>
      </c>
      <c r="C198" s="561"/>
      <c r="D198" s="79" t="s">
        <v>307</v>
      </c>
      <c r="E198" s="43" t="s">
        <v>308</v>
      </c>
      <c r="F198" s="42" t="s">
        <v>309</v>
      </c>
      <c r="G198" s="42" t="s">
        <v>328</v>
      </c>
      <c r="H198" s="42" t="s">
        <v>311</v>
      </c>
      <c r="I198" s="79" t="s">
        <v>312</v>
      </c>
      <c r="J198" s="79" t="s">
        <v>313</v>
      </c>
    </row>
    <row r="199" spans="1:10" x14ac:dyDescent="0.3">
      <c r="A199" s="39"/>
      <c r="B199" s="81"/>
      <c r="C199" s="82"/>
      <c r="D199" s="79"/>
      <c r="E199" s="80"/>
      <c r="F199" s="79"/>
      <c r="G199" s="79"/>
      <c r="H199" s="79"/>
      <c r="I199" s="83">
        <f>+SUM(H200:H201)</f>
        <v>1.3078369385151571</v>
      </c>
      <c r="J199" s="84" t="s">
        <v>321</v>
      </c>
    </row>
    <row r="200" spans="1:10" x14ac:dyDescent="0.3">
      <c r="A200" s="39"/>
      <c r="B200" s="555" t="s">
        <v>380</v>
      </c>
      <c r="C200" s="555"/>
      <c r="D200" s="84">
        <v>1</v>
      </c>
      <c r="E200" s="47">
        <f>+D9+2*D13+2*D27</f>
        <v>3.0131234497501729</v>
      </c>
      <c r="F200" s="85">
        <f>+E200</f>
        <v>3.0131234497501729</v>
      </c>
      <c r="G200" s="47">
        <f>+D26</f>
        <v>0.15</v>
      </c>
      <c r="H200" s="85">
        <f>+D200*E200*F200*G200</f>
        <v>1.3618369385151572</v>
      </c>
      <c r="I200" s="83"/>
      <c r="J200" s="84"/>
    </row>
    <row r="201" spans="1:10" x14ac:dyDescent="0.3">
      <c r="A201" s="39"/>
      <c r="B201" s="555" t="s">
        <v>299</v>
      </c>
      <c r="C201" s="555"/>
      <c r="D201" s="84">
        <v>1</v>
      </c>
      <c r="E201" s="47">
        <f>+D28</f>
        <v>0.6</v>
      </c>
      <c r="F201" s="85">
        <f>+E201</f>
        <v>0.6</v>
      </c>
      <c r="G201" s="47">
        <f>+G200</f>
        <v>0.15</v>
      </c>
      <c r="H201" s="85">
        <f>-D201*E201*F201*G201</f>
        <v>-5.3999999999999999E-2</v>
      </c>
      <c r="I201" s="86"/>
      <c r="J201" s="87"/>
    </row>
    <row r="202" spans="1:10" x14ac:dyDescent="0.3">
      <c r="A202" s="39"/>
      <c r="B202" s="584"/>
      <c r="C202" s="584"/>
      <c r="D202" s="584"/>
      <c r="E202" s="584"/>
      <c r="F202" s="48"/>
      <c r="G202" s="48"/>
      <c r="H202" s="48"/>
      <c r="I202" s="48"/>
      <c r="J202" s="48"/>
    </row>
    <row r="203" spans="1:10" ht="16.8" x14ac:dyDescent="0.3">
      <c r="A203" s="60">
        <f>+A196+0.000000000001</f>
        <v>1.0205020304019998</v>
      </c>
      <c r="B203" s="48" t="s">
        <v>381</v>
      </c>
      <c r="C203" s="48"/>
      <c r="D203" s="48"/>
      <c r="E203" s="48"/>
      <c r="F203" s="48"/>
      <c r="G203" s="48"/>
      <c r="H203" s="48"/>
      <c r="I203" s="53">
        <f>+I206</f>
        <v>9.288912923434383</v>
      </c>
      <c r="J203" s="48" t="s">
        <v>305</v>
      </c>
    </row>
    <row r="204" spans="1:10" x14ac:dyDescent="0.3">
      <c r="A204" s="39"/>
      <c r="B204" s="48"/>
      <c r="C204" s="48"/>
      <c r="D204" s="48"/>
      <c r="E204" s="48"/>
      <c r="F204" s="48"/>
      <c r="G204" s="48"/>
      <c r="H204" s="48"/>
      <c r="I204" s="48"/>
      <c r="J204" s="48"/>
    </row>
    <row r="205" spans="1:10" x14ac:dyDescent="0.3">
      <c r="A205" s="39"/>
      <c r="B205" s="560" t="s">
        <v>306</v>
      </c>
      <c r="C205" s="561"/>
      <c r="D205" s="79" t="s">
        <v>307</v>
      </c>
      <c r="E205" s="43" t="s">
        <v>308</v>
      </c>
      <c r="F205" s="42" t="s">
        <v>309</v>
      </c>
      <c r="G205" s="42" t="s">
        <v>328</v>
      </c>
      <c r="H205" s="79" t="s">
        <v>311</v>
      </c>
      <c r="I205" s="79" t="s">
        <v>312</v>
      </c>
      <c r="J205" s="79" t="s">
        <v>313</v>
      </c>
    </row>
    <row r="206" spans="1:10" x14ac:dyDescent="0.3">
      <c r="A206" s="39"/>
      <c r="B206" s="81"/>
      <c r="C206" s="82"/>
      <c r="D206" s="79"/>
      <c r="E206" s="80"/>
      <c r="F206" s="79"/>
      <c r="G206" s="79"/>
      <c r="H206" s="79"/>
      <c r="I206" s="83">
        <f>+H207+H209+H210+H208</f>
        <v>9.288912923434383</v>
      </c>
      <c r="J206" s="84" t="s">
        <v>314</v>
      </c>
    </row>
    <row r="207" spans="1:10" x14ac:dyDescent="0.3">
      <c r="A207" s="39"/>
      <c r="B207" s="555" t="s">
        <v>382</v>
      </c>
      <c r="C207" s="555"/>
      <c r="D207" s="84">
        <v>1</v>
      </c>
      <c r="E207" s="47">
        <f>+E200</f>
        <v>3.0131234497501729</v>
      </c>
      <c r="F207" s="85">
        <f>+F200</f>
        <v>3.0131234497501729</v>
      </c>
      <c r="G207" s="47">
        <f>+G200</f>
        <v>0.15</v>
      </c>
      <c r="H207" s="85">
        <f>+(E207*2+F207*2)*G207*D207</f>
        <v>1.8078740698501037</v>
      </c>
      <c r="I207" s="86"/>
      <c r="J207" s="87"/>
    </row>
    <row r="208" spans="1:10" x14ac:dyDescent="0.3">
      <c r="A208" s="39"/>
      <c r="B208" s="284" t="s">
        <v>383</v>
      </c>
      <c r="C208" s="285"/>
      <c r="D208" s="84">
        <v>1</v>
      </c>
      <c r="E208" s="47">
        <f>+D9</f>
        <v>2.5131234497501729</v>
      </c>
      <c r="F208" s="85">
        <f>+E208</f>
        <v>2.5131234497501729</v>
      </c>
      <c r="G208" s="47"/>
      <c r="H208" s="47">
        <f>+D208*E208*F208</f>
        <v>6.3157894736842097</v>
      </c>
      <c r="I208" s="86"/>
      <c r="J208" s="87"/>
    </row>
    <row r="209" spans="1:10" x14ac:dyDescent="0.3">
      <c r="A209" s="39"/>
      <c r="B209" s="551" t="s">
        <v>384</v>
      </c>
      <c r="C209" s="552"/>
      <c r="D209" s="45">
        <v>2</v>
      </c>
      <c r="E209" s="47">
        <f>+E207</f>
        <v>3.0131234497501729</v>
      </c>
      <c r="F209" s="47">
        <f>+D27</f>
        <v>0.1</v>
      </c>
      <c r="G209" s="51"/>
      <c r="H209" s="47">
        <f>+D209*E209*F209</f>
        <v>0.6026246899500346</v>
      </c>
      <c r="I209" s="51"/>
      <c r="J209" s="51"/>
    </row>
    <row r="210" spans="1:10" x14ac:dyDescent="0.3">
      <c r="A210" s="39"/>
      <c r="B210" s="551" t="s">
        <v>384</v>
      </c>
      <c r="C210" s="552"/>
      <c r="D210" s="45">
        <v>2</v>
      </c>
      <c r="E210" s="47">
        <f>+E209-2*F209</f>
        <v>2.8131234497501727</v>
      </c>
      <c r="F210" s="47">
        <f>+F209</f>
        <v>0.1</v>
      </c>
      <c r="G210" s="47"/>
      <c r="H210" s="47">
        <f>+D210*E210*F210</f>
        <v>0.56262468995003456</v>
      </c>
      <c r="I210" s="51"/>
      <c r="J210" s="51"/>
    </row>
    <row r="211" spans="1:10" x14ac:dyDescent="0.3">
      <c r="A211" s="39"/>
      <c r="B211" s="48"/>
      <c r="C211" s="48"/>
      <c r="D211" s="48"/>
      <c r="E211" s="48"/>
      <c r="F211" s="48"/>
      <c r="G211" s="48"/>
      <c r="H211" s="48"/>
      <c r="I211" s="48"/>
      <c r="J211" s="48"/>
    </row>
    <row r="212" spans="1:10" x14ac:dyDescent="0.3">
      <c r="A212" s="60">
        <f>+A203+0.00000000000001</f>
        <v>1.0205020304020098</v>
      </c>
      <c r="B212" s="48" t="s">
        <v>385</v>
      </c>
      <c r="C212" s="48"/>
      <c r="D212" s="48"/>
      <c r="E212" s="48"/>
      <c r="F212" s="48"/>
      <c r="G212" s="48"/>
      <c r="H212" s="48"/>
      <c r="I212" s="75">
        <f>+ACERO!P62</f>
        <v>80.542729891936474</v>
      </c>
      <c r="J212" s="48" t="s">
        <v>223</v>
      </c>
    </row>
    <row r="213" spans="1:10" x14ac:dyDescent="0.3">
      <c r="A213" s="39"/>
      <c r="B213" s="48"/>
      <c r="C213" s="48"/>
      <c r="D213" s="48"/>
      <c r="E213" s="48"/>
      <c r="F213" s="48"/>
      <c r="G213" s="48"/>
      <c r="H213" s="48"/>
      <c r="I213" s="48"/>
      <c r="J213" s="48"/>
    </row>
    <row r="214" spans="1:10" x14ac:dyDescent="0.3">
      <c r="A214" s="74">
        <f>+A195+0.0000000001</f>
        <v>1.0205020304999997</v>
      </c>
      <c r="B214" s="59" t="s">
        <v>386</v>
      </c>
      <c r="C214" s="48"/>
      <c r="D214" s="48"/>
      <c r="E214" s="48"/>
      <c r="F214" s="48"/>
      <c r="G214" s="48"/>
      <c r="H214" s="48"/>
      <c r="I214" s="48"/>
      <c r="J214" s="48"/>
    </row>
    <row r="215" spans="1:10" x14ac:dyDescent="0.3">
      <c r="A215" s="60">
        <f>+A214+0.000000000001</f>
        <v>1.0205020305009997</v>
      </c>
      <c r="B215" s="48" t="s">
        <v>387</v>
      </c>
      <c r="C215" s="48"/>
      <c r="D215" s="48"/>
      <c r="E215" s="48"/>
      <c r="F215" s="48"/>
      <c r="G215" s="48"/>
      <c r="H215" s="48"/>
      <c r="I215" s="53">
        <v>1</v>
      </c>
      <c r="J215" s="48" t="s">
        <v>388</v>
      </c>
    </row>
    <row r="216" spans="1:10" x14ac:dyDescent="0.3">
      <c r="A216" s="88"/>
      <c r="B216" s="64"/>
      <c r="C216" s="48"/>
      <c r="D216" s="48"/>
      <c r="E216" s="48"/>
      <c r="F216" s="48"/>
      <c r="G216" s="48"/>
      <c r="H216" s="48"/>
      <c r="I216" s="65"/>
      <c r="J216" s="48"/>
    </row>
    <row r="217" spans="1:10" x14ac:dyDescent="0.3">
      <c r="A217" s="88"/>
      <c r="B217" s="565" t="s">
        <v>306</v>
      </c>
      <c r="C217" s="565"/>
      <c r="D217" s="42" t="s">
        <v>389</v>
      </c>
      <c r="E217" s="42" t="s">
        <v>390</v>
      </c>
      <c r="F217" s="42" t="s">
        <v>312</v>
      </c>
      <c r="G217" s="48"/>
      <c r="H217" s="48"/>
      <c r="I217" s="65"/>
      <c r="J217" s="48"/>
    </row>
    <row r="218" spans="1:10" x14ac:dyDescent="0.3">
      <c r="A218" s="88"/>
      <c r="B218" s="574" t="s">
        <v>391</v>
      </c>
      <c r="C218" s="565"/>
      <c r="D218" s="58">
        <v>0.80500000000000005</v>
      </c>
      <c r="E218" s="58">
        <v>7</v>
      </c>
      <c r="F218" s="50">
        <f>+D218*E218</f>
        <v>5.6350000000000007</v>
      </c>
      <c r="G218" s="48"/>
      <c r="H218" s="48"/>
      <c r="I218" s="65"/>
      <c r="J218" s="48"/>
    </row>
    <row r="219" spans="1:10" x14ac:dyDescent="0.3">
      <c r="A219" s="88"/>
      <c r="B219" s="574" t="s">
        <v>392</v>
      </c>
      <c r="C219" s="565"/>
      <c r="D219" s="58">
        <v>7.5999999999999998E-2</v>
      </c>
      <c r="E219" s="58">
        <f>+E218*2</f>
        <v>14</v>
      </c>
      <c r="F219" s="50">
        <f>+D219*E219</f>
        <v>1.0640000000000001</v>
      </c>
      <c r="G219" s="48"/>
      <c r="H219" s="48"/>
      <c r="I219" s="65"/>
      <c r="J219" s="48"/>
    </row>
    <row r="220" spans="1:10" x14ac:dyDescent="0.3">
      <c r="A220" s="88"/>
      <c r="B220" s="574" t="s">
        <v>393</v>
      </c>
      <c r="C220" s="565"/>
      <c r="D220" s="54">
        <f>+PI()*0.0254</f>
        <v>7.9796453401180745E-2</v>
      </c>
      <c r="E220" s="58">
        <f>+E219</f>
        <v>14</v>
      </c>
      <c r="F220" s="50">
        <f>+D220*E220</f>
        <v>1.1171503476165303</v>
      </c>
      <c r="G220" s="51" t="s">
        <v>394</v>
      </c>
      <c r="H220" s="89">
        <f>+F220/0.1</f>
        <v>11.171503476165302</v>
      </c>
      <c r="I220" s="65"/>
      <c r="J220" s="48"/>
    </row>
    <row r="221" spans="1:10" x14ac:dyDescent="0.3">
      <c r="A221" s="88"/>
      <c r="B221" s="64"/>
      <c r="C221" s="48"/>
      <c r="D221" s="48"/>
      <c r="E221" s="48"/>
      <c r="F221" s="48"/>
      <c r="G221" s="51" t="s">
        <v>395</v>
      </c>
      <c r="H221" s="89">
        <f>+H220/16</f>
        <v>0.69821896726033139</v>
      </c>
      <c r="I221" s="65"/>
      <c r="J221" s="48"/>
    </row>
    <row r="222" spans="1:10" x14ac:dyDescent="0.3">
      <c r="A222" s="60">
        <f>+A215+0.000000000001</f>
        <v>1.0205020305019998</v>
      </c>
      <c r="B222" s="48" t="s">
        <v>396</v>
      </c>
      <c r="C222" s="48"/>
      <c r="D222" s="48"/>
      <c r="E222" s="48"/>
      <c r="F222" s="48"/>
      <c r="G222" s="48"/>
      <c r="H222" s="48"/>
      <c r="I222" s="53">
        <v>1</v>
      </c>
      <c r="J222" s="48" t="s">
        <v>388</v>
      </c>
    </row>
    <row r="223" spans="1:10" x14ac:dyDescent="0.3">
      <c r="A223" s="88"/>
      <c r="B223" s="64"/>
      <c r="C223" s="48"/>
      <c r="D223" s="48"/>
      <c r="E223" s="48"/>
      <c r="F223" s="48"/>
      <c r="G223" s="48"/>
      <c r="H223" s="48"/>
      <c r="I223" s="65"/>
      <c r="J223" s="48"/>
    </row>
    <row r="224" spans="1:10" x14ac:dyDescent="0.3">
      <c r="A224" s="88"/>
      <c r="B224" s="565" t="s">
        <v>306</v>
      </c>
      <c r="C224" s="565"/>
      <c r="D224" s="42" t="s">
        <v>389</v>
      </c>
      <c r="E224" s="42" t="s">
        <v>390</v>
      </c>
      <c r="F224" s="42" t="s">
        <v>312</v>
      </c>
      <c r="G224" s="48"/>
      <c r="H224" s="48"/>
      <c r="I224" s="65"/>
      <c r="J224" s="48"/>
    </row>
    <row r="225" spans="1:10" x14ac:dyDescent="0.3">
      <c r="A225" s="88"/>
      <c r="B225" s="574" t="s">
        <v>391</v>
      </c>
      <c r="C225" s="565"/>
      <c r="D225" s="58">
        <v>0.80500000000000005</v>
      </c>
      <c r="E225" s="58">
        <v>7</v>
      </c>
      <c r="F225" s="50">
        <f>+D225*E225</f>
        <v>5.6350000000000007</v>
      </c>
      <c r="G225" s="48"/>
      <c r="H225" s="48"/>
      <c r="I225" s="65"/>
      <c r="J225" s="48"/>
    </row>
    <row r="226" spans="1:10" x14ac:dyDescent="0.3">
      <c r="A226" s="88"/>
      <c r="B226" s="574" t="s">
        <v>392</v>
      </c>
      <c r="C226" s="565"/>
      <c r="D226" s="58">
        <v>7.5999999999999998E-2</v>
      </c>
      <c r="E226" s="58">
        <f>+E219</f>
        <v>14</v>
      </c>
      <c r="F226" s="50">
        <f>+D226*E226</f>
        <v>1.0640000000000001</v>
      </c>
      <c r="G226" s="48"/>
      <c r="H226" s="48"/>
      <c r="I226" s="65"/>
      <c r="J226" s="48"/>
    </row>
    <row r="227" spans="1:10" x14ac:dyDescent="0.3">
      <c r="A227" s="88"/>
      <c r="B227" s="574" t="s">
        <v>397</v>
      </c>
      <c r="C227" s="565"/>
      <c r="D227" s="54">
        <f>+PI()*0.0254</f>
        <v>7.9796453401180745E-2</v>
      </c>
      <c r="E227" s="58">
        <f>+E220</f>
        <v>14</v>
      </c>
      <c r="F227" s="50">
        <f>+D227*E227</f>
        <v>1.1171503476165303</v>
      </c>
      <c r="G227" s="51" t="s">
        <v>394</v>
      </c>
      <c r="H227" s="89">
        <f>+F227/0.1</f>
        <v>11.171503476165302</v>
      </c>
      <c r="I227" s="65"/>
      <c r="J227" s="48"/>
    </row>
    <row r="228" spans="1:10" x14ac:dyDescent="0.3">
      <c r="A228" s="88"/>
      <c r="B228" s="64"/>
      <c r="C228" s="48"/>
      <c r="D228" s="48"/>
      <c r="E228" s="48"/>
      <c r="F228" s="48"/>
      <c r="G228" s="51" t="s">
        <v>395</v>
      </c>
      <c r="H228" s="89">
        <f>+H227/16</f>
        <v>0.69821896726033139</v>
      </c>
      <c r="I228" s="65"/>
      <c r="J228" s="48"/>
    </row>
    <row r="229" spans="1:10" x14ac:dyDescent="0.3">
      <c r="A229" s="88"/>
      <c r="B229" s="64"/>
      <c r="C229" s="48"/>
      <c r="D229" s="48"/>
      <c r="E229" s="48"/>
      <c r="F229" s="48"/>
      <c r="G229" s="48"/>
      <c r="H229" s="48"/>
      <c r="I229" s="65"/>
      <c r="J229" s="48"/>
    </row>
    <row r="230" spans="1:10" x14ac:dyDescent="0.3">
      <c r="A230" s="60">
        <f>+A222+0.000000000001</f>
        <v>1.0205020305029999</v>
      </c>
      <c r="B230" s="48" t="s">
        <v>398</v>
      </c>
      <c r="C230" s="48"/>
      <c r="D230" s="48"/>
      <c r="E230" s="48"/>
      <c r="F230" s="48"/>
      <c r="G230" s="48"/>
      <c r="H230" s="48"/>
      <c r="I230" s="53">
        <v>1</v>
      </c>
      <c r="J230" s="48" t="s">
        <v>388</v>
      </c>
    </row>
    <row r="231" spans="1:10" x14ac:dyDescent="0.3">
      <c r="A231" s="39"/>
      <c r="B231" s="48"/>
      <c r="C231" s="48"/>
      <c r="D231" s="48"/>
      <c r="E231" s="48"/>
      <c r="F231" s="48"/>
      <c r="G231" s="48"/>
      <c r="H231" s="48"/>
      <c r="I231" s="48"/>
      <c r="J231" s="48"/>
    </row>
    <row r="232" spans="1:10" x14ac:dyDescent="0.3">
      <c r="A232" s="20">
        <f>+A61+0.000001</f>
        <v>1.0205029999999997</v>
      </c>
      <c r="B232" s="21" t="s">
        <v>399</v>
      </c>
      <c r="C232" s="48"/>
      <c r="D232" s="48"/>
      <c r="E232" s="48"/>
      <c r="F232" s="48"/>
      <c r="G232" s="48"/>
      <c r="H232" s="48"/>
      <c r="I232" s="48"/>
      <c r="J232" s="48"/>
    </row>
    <row r="233" spans="1:10" x14ac:dyDescent="0.3">
      <c r="A233" s="90">
        <f>+A232+0.00000001</f>
        <v>1.0205030099999997</v>
      </c>
      <c r="B233" s="37" t="s">
        <v>400</v>
      </c>
      <c r="C233" s="48"/>
      <c r="D233" s="48"/>
      <c r="E233" s="48"/>
      <c r="F233" s="48"/>
      <c r="G233" s="48"/>
      <c r="H233" s="48"/>
      <c r="I233" s="48"/>
      <c r="J233" s="48"/>
    </row>
    <row r="234" spans="1:10" x14ac:dyDescent="0.3">
      <c r="A234" s="91"/>
      <c r="B234" s="64"/>
      <c r="C234" s="48"/>
      <c r="D234" s="48"/>
      <c r="E234" s="48"/>
      <c r="F234" s="48"/>
      <c r="G234" s="48"/>
      <c r="H234" s="48"/>
      <c r="I234" s="65"/>
      <c r="J234" s="64"/>
    </row>
    <row r="235" spans="1:10" ht="16.8" x14ac:dyDescent="0.3">
      <c r="A235" s="92">
        <f>+A233+0.0000000001</f>
        <v>1.0205030100999997</v>
      </c>
      <c r="B235" s="48" t="s">
        <v>401</v>
      </c>
      <c r="C235" s="48"/>
      <c r="D235" s="48"/>
      <c r="E235" s="48"/>
      <c r="F235" s="48"/>
      <c r="G235" s="48"/>
      <c r="H235" s="48"/>
      <c r="I235" s="53">
        <f>+I238</f>
        <v>21.018375239897601</v>
      </c>
      <c r="J235" s="48" t="s">
        <v>305</v>
      </c>
    </row>
    <row r="236" spans="1:10" x14ac:dyDescent="0.3">
      <c r="A236" s="39"/>
      <c r="B236" s="66"/>
      <c r="C236" s="66"/>
      <c r="D236" s="67"/>
      <c r="E236" s="66"/>
      <c r="F236" s="68"/>
      <c r="G236" s="48"/>
      <c r="H236" s="48"/>
      <c r="I236" s="48"/>
      <c r="J236" s="48"/>
    </row>
    <row r="237" spans="1:10" x14ac:dyDescent="0.3">
      <c r="A237" s="39"/>
      <c r="B237" s="560" t="s">
        <v>306</v>
      </c>
      <c r="C237" s="561"/>
      <c r="D237" s="79" t="s">
        <v>307</v>
      </c>
      <c r="E237" s="43" t="s">
        <v>308</v>
      </c>
      <c r="F237" s="42" t="s">
        <v>309</v>
      </c>
      <c r="G237" s="42" t="s">
        <v>328</v>
      </c>
      <c r="H237" s="79" t="s">
        <v>311</v>
      </c>
      <c r="I237" s="79" t="s">
        <v>312</v>
      </c>
      <c r="J237" s="79" t="s">
        <v>313</v>
      </c>
    </row>
    <row r="238" spans="1:10" x14ac:dyDescent="0.3">
      <c r="A238" s="39"/>
      <c r="B238" s="81"/>
      <c r="C238" s="82"/>
      <c r="D238" s="79"/>
      <c r="E238" s="80"/>
      <c r="F238" s="79"/>
      <c r="G238" s="79"/>
      <c r="H238" s="79"/>
      <c r="I238" s="83">
        <f>+SUM(H239:H244)</f>
        <v>21.018375239897601</v>
      </c>
      <c r="J238" s="84" t="s">
        <v>314</v>
      </c>
    </row>
    <row r="239" spans="1:10" x14ac:dyDescent="0.3">
      <c r="A239" s="39"/>
      <c r="B239" s="555" t="s">
        <v>402</v>
      </c>
      <c r="C239" s="555"/>
      <c r="D239" s="84">
        <v>1</v>
      </c>
      <c r="E239" s="47">
        <f>+D9</f>
        <v>2.5131234497501729</v>
      </c>
      <c r="F239" s="93"/>
      <c r="G239" s="94">
        <f>+D12</f>
        <v>2.35</v>
      </c>
      <c r="H239" s="47">
        <f>D239*E239*G239</f>
        <v>5.9058401069129065</v>
      </c>
      <c r="I239" s="86"/>
      <c r="J239" s="87"/>
    </row>
    <row r="240" spans="1:10" x14ac:dyDescent="0.3">
      <c r="A240" s="39"/>
      <c r="B240" s="551" t="s">
        <v>403</v>
      </c>
      <c r="C240" s="552"/>
      <c r="D240" s="45">
        <v>1</v>
      </c>
      <c r="E240" s="47">
        <f>+E239</f>
        <v>2.5131234497501729</v>
      </c>
      <c r="F240" s="68">
        <f>+E240</f>
        <v>2.5131234497501729</v>
      </c>
      <c r="G240" s="51"/>
      <c r="H240" s="47">
        <f>D240*E240*F240</f>
        <v>6.3157894736842097</v>
      </c>
      <c r="I240" s="51"/>
      <c r="J240" s="51"/>
    </row>
    <row r="241" spans="1:10" x14ac:dyDescent="0.3">
      <c r="A241" s="39"/>
      <c r="B241" s="551" t="s">
        <v>404</v>
      </c>
      <c r="C241" s="552"/>
      <c r="D241" s="49">
        <f>+D209</f>
        <v>2</v>
      </c>
      <c r="E241" s="49">
        <f>+E209</f>
        <v>3.0131234497501729</v>
      </c>
      <c r="F241" s="49">
        <f t="shared" ref="F241" si="3">+F209</f>
        <v>0.1</v>
      </c>
      <c r="G241" s="49"/>
      <c r="H241" s="47">
        <f>+D241*E241</f>
        <v>6.0262468995003458</v>
      </c>
      <c r="I241" s="51"/>
      <c r="J241" s="51"/>
    </row>
    <row r="242" spans="1:10" x14ac:dyDescent="0.3">
      <c r="A242" s="39"/>
      <c r="B242" s="162"/>
      <c r="C242" s="163"/>
      <c r="D242" s="49">
        <f>+D209</f>
        <v>2</v>
      </c>
      <c r="E242" s="49">
        <f>+E209</f>
        <v>3.0131234497501729</v>
      </c>
      <c r="F242" s="49">
        <f>+F209</f>
        <v>0.1</v>
      </c>
      <c r="G242" s="47"/>
      <c r="H242" s="45">
        <f>+D242*E242*F242</f>
        <v>0.6026246899500346</v>
      </c>
      <c r="I242" s="51"/>
      <c r="J242" s="51"/>
    </row>
    <row r="243" spans="1:10" x14ac:dyDescent="0.3">
      <c r="A243" s="39"/>
      <c r="B243" s="550" t="s">
        <v>405</v>
      </c>
      <c r="C243" s="550"/>
      <c r="D243" s="49">
        <v>1</v>
      </c>
      <c r="E243" s="49">
        <f>+F201</f>
        <v>0.6</v>
      </c>
      <c r="F243" s="49">
        <f>+E243</f>
        <v>0.6</v>
      </c>
      <c r="G243" s="47"/>
      <c r="H243" s="45">
        <f>+D243*E243*F243</f>
        <v>0.36</v>
      </c>
      <c r="I243" s="51"/>
      <c r="J243" s="51"/>
    </row>
    <row r="244" spans="1:10" x14ac:dyDescent="0.3">
      <c r="A244" s="39"/>
      <c r="B244" s="550" t="s">
        <v>406</v>
      </c>
      <c r="C244" s="550"/>
      <c r="D244" s="95">
        <f>+D207</f>
        <v>1</v>
      </c>
      <c r="E244" s="95">
        <f>+E207</f>
        <v>3.0131234497501729</v>
      </c>
      <c r="F244" s="95">
        <f>+F207</f>
        <v>3.0131234497501729</v>
      </c>
      <c r="G244" s="95"/>
      <c r="H244" s="95">
        <f>+H207</f>
        <v>1.8078740698501037</v>
      </c>
      <c r="I244" s="51"/>
      <c r="J244" s="51"/>
    </row>
    <row r="245" spans="1:10" x14ac:dyDescent="0.3">
      <c r="A245" s="39"/>
      <c r="B245" s="66"/>
      <c r="C245" s="66"/>
      <c r="D245" s="67"/>
      <c r="E245" s="66"/>
      <c r="F245" s="68"/>
      <c r="G245" s="48"/>
      <c r="H245" s="48"/>
      <c r="I245" s="48"/>
      <c r="J245" s="48"/>
    </row>
    <row r="246" spans="1:10" ht="16.8" x14ac:dyDescent="0.3">
      <c r="A246" s="92">
        <f>+A235+0.0000000001</f>
        <v>1.0205030101999997</v>
      </c>
      <c r="B246" s="48" t="s">
        <v>407</v>
      </c>
      <c r="C246" s="48"/>
      <c r="D246" s="48"/>
      <c r="E246" s="48"/>
      <c r="F246" s="48"/>
      <c r="G246" s="48"/>
      <c r="H246" s="48"/>
      <c r="I246" s="53">
        <f>+I249</f>
        <v>12.926629580597115</v>
      </c>
      <c r="J246" s="48" t="s">
        <v>305</v>
      </c>
    </row>
    <row r="247" spans="1:10" x14ac:dyDescent="0.3">
      <c r="A247" s="39"/>
      <c r="B247" s="66"/>
      <c r="C247" s="66"/>
      <c r="D247" s="67"/>
      <c r="E247" s="66"/>
      <c r="F247" s="68"/>
      <c r="G247" s="96"/>
      <c r="H247" s="48"/>
      <c r="I247" s="48"/>
      <c r="J247" s="48"/>
    </row>
    <row r="248" spans="1:10" x14ac:dyDescent="0.3">
      <c r="A248" s="39"/>
      <c r="B248" s="560" t="s">
        <v>306</v>
      </c>
      <c r="C248" s="561"/>
      <c r="D248" s="79" t="s">
        <v>307</v>
      </c>
      <c r="E248" s="43" t="s">
        <v>308</v>
      </c>
      <c r="F248" s="42" t="s">
        <v>309</v>
      </c>
      <c r="G248" s="42" t="s">
        <v>328</v>
      </c>
      <c r="H248" s="79" t="s">
        <v>311</v>
      </c>
      <c r="I248" s="79" t="s">
        <v>312</v>
      </c>
      <c r="J248" s="79" t="s">
        <v>313</v>
      </c>
    </row>
    <row r="249" spans="1:10" x14ac:dyDescent="0.3">
      <c r="A249" s="39"/>
      <c r="B249" s="81"/>
      <c r="C249" s="82"/>
      <c r="D249" s="79"/>
      <c r="E249" s="80"/>
      <c r="F249" s="79"/>
      <c r="G249" s="79"/>
      <c r="H249" s="79"/>
      <c r="I249" s="83">
        <f>+SUM(H250:H251)</f>
        <v>12.926629580597115</v>
      </c>
      <c r="J249" s="84" t="s">
        <v>314</v>
      </c>
    </row>
    <row r="250" spans="1:10" x14ac:dyDescent="0.3">
      <c r="A250" s="39"/>
      <c r="B250" s="555" t="s">
        <v>408</v>
      </c>
      <c r="C250" s="555"/>
      <c r="D250" s="84">
        <v>1</v>
      </c>
      <c r="E250" s="47">
        <f>+D9+2*D13</f>
        <v>2.8131234497501727</v>
      </c>
      <c r="F250" s="85"/>
      <c r="G250" s="68">
        <f>+D12</f>
        <v>2.35</v>
      </c>
      <c r="H250" s="47">
        <f>+D250*E250*G250</f>
        <v>6.6108401069129057</v>
      </c>
      <c r="I250" s="86"/>
      <c r="J250" s="87"/>
    </row>
    <row r="251" spans="1:10" x14ac:dyDescent="0.3">
      <c r="A251" s="39"/>
      <c r="B251" s="551" t="s">
        <v>409</v>
      </c>
      <c r="C251" s="552"/>
      <c r="D251" s="45">
        <v>1</v>
      </c>
      <c r="E251" s="47">
        <f>+E240</f>
        <v>2.5131234497501729</v>
      </c>
      <c r="F251" s="47">
        <f>+F240</f>
        <v>2.5131234497501729</v>
      </c>
      <c r="G251" s="51"/>
      <c r="H251" s="47">
        <f>+D251*E251*F251</f>
        <v>6.3157894736842097</v>
      </c>
      <c r="I251" s="51"/>
      <c r="J251" s="51"/>
    </row>
    <row r="252" spans="1:10" x14ac:dyDescent="0.3">
      <c r="A252" s="39"/>
      <c r="B252" s="66"/>
      <c r="C252" s="66"/>
      <c r="D252" s="67"/>
      <c r="E252" s="66"/>
      <c r="F252" s="68"/>
      <c r="G252" s="96"/>
      <c r="H252" s="48"/>
      <c r="I252" s="48"/>
      <c r="J252" s="48"/>
    </row>
    <row r="253" spans="1:10" x14ac:dyDescent="0.3">
      <c r="A253" s="91"/>
      <c r="B253" s="64"/>
      <c r="C253" s="48"/>
      <c r="D253" s="48"/>
      <c r="E253" s="48"/>
      <c r="F253" s="48"/>
      <c r="G253" s="48"/>
      <c r="H253" s="48"/>
      <c r="I253" s="65"/>
      <c r="J253" s="64"/>
    </row>
    <row r="254" spans="1:10" ht="16.8" x14ac:dyDescent="0.3">
      <c r="A254" s="92">
        <f>+A246+0.0000000001</f>
        <v>1.0205030102999997</v>
      </c>
      <c r="B254" s="48" t="s">
        <v>410</v>
      </c>
      <c r="C254" s="48"/>
      <c r="D254" s="48"/>
      <c r="E254" s="48"/>
      <c r="F254" s="48"/>
      <c r="G254" s="48"/>
      <c r="H254" s="48"/>
      <c r="I254" s="53">
        <f>+I257</f>
        <v>6.3157894736842097</v>
      </c>
      <c r="J254" s="48" t="s">
        <v>305</v>
      </c>
    </row>
    <row r="255" spans="1:10" x14ac:dyDescent="0.3">
      <c r="A255" s="39"/>
      <c r="B255" s="66"/>
      <c r="C255" s="66"/>
      <c r="D255" s="67"/>
      <c r="E255" s="66"/>
      <c r="F255" s="68"/>
      <c r="G255" s="48"/>
      <c r="H255" s="48"/>
      <c r="I255" s="48"/>
      <c r="J255" s="48"/>
    </row>
    <row r="256" spans="1:10" x14ac:dyDescent="0.3">
      <c r="A256" s="39"/>
      <c r="B256" s="560" t="s">
        <v>306</v>
      </c>
      <c r="C256" s="561"/>
      <c r="D256" s="79" t="s">
        <v>307</v>
      </c>
      <c r="E256" s="43" t="s">
        <v>308</v>
      </c>
      <c r="F256" s="42" t="s">
        <v>309</v>
      </c>
      <c r="G256" s="42" t="s">
        <v>328</v>
      </c>
      <c r="H256" s="79" t="s">
        <v>311</v>
      </c>
      <c r="I256" s="79" t="s">
        <v>312</v>
      </c>
      <c r="J256" s="79" t="s">
        <v>313</v>
      </c>
    </row>
    <row r="257" spans="1:10" x14ac:dyDescent="0.3">
      <c r="A257" s="39"/>
      <c r="B257" s="81"/>
      <c r="C257" s="82"/>
      <c r="D257" s="79"/>
      <c r="E257" s="80"/>
      <c r="F257" s="79"/>
      <c r="G257" s="79"/>
      <c r="H257" s="79"/>
      <c r="I257" s="83">
        <f>+SUM(H258:H258)</f>
        <v>6.3157894736842097</v>
      </c>
      <c r="J257" s="84" t="s">
        <v>314</v>
      </c>
    </row>
    <row r="258" spans="1:10" x14ac:dyDescent="0.3">
      <c r="A258" s="39"/>
      <c r="B258" s="551" t="s">
        <v>411</v>
      </c>
      <c r="C258" s="552"/>
      <c r="D258" s="45">
        <v>1</v>
      </c>
      <c r="E258" s="47">
        <f>+E251</f>
        <v>2.5131234497501729</v>
      </c>
      <c r="F258" s="47">
        <f>+E258</f>
        <v>2.5131234497501729</v>
      </c>
      <c r="G258" s="51"/>
      <c r="H258" s="47">
        <f>D258*E258*F258</f>
        <v>6.3157894736842097</v>
      </c>
      <c r="I258" s="51"/>
      <c r="J258" s="51"/>
    </row>
    <row r="259" spans="1:10" x14ac:dyDescent="0.3">
      <c r="A259" s="39"/>
      <c r="B259" s="69"/>
      <c r="C259" s="69"/>
      <c r="D259" s="66"/>
      <c r="E259" s="68"/>
      <c r="F259" s="68"/>
      <c r="G259" s="48"/>
      <c r="H259" s="68"/>
      <c r="I259" s="48"/>
      <c r="J259" s="48"/>
    </row>
    <row r="260" spans="1:10" x14ac:dyDescent="0.3">
      <c r="A260" s="92">
        <f>+A254+0.0000000001</f>
        <v>1.0205030103999997</v>
      </c>
      <c r="B260" s="48" t="s">
        <v>412</v>
      </c>
      <c r="C260" s="48"/>
      <c r="D260" s="48"/>
      <c r="E260" s="48"/>
      <c r="F260" s="48"/>
      <c r="G260" s="48"/>
      <c r="H260" s="48"/>
      <c r="I260" s="53">
        <f>+I262</f>
        <v>2.4</v>
      </c>
      <c r="J260" s="48" t="s">
        <v>349</v>
      </c>
    </row>
    <row r="261" spans="1:10" x14ac:dyDescent="0.3">
      <c r="A261" s="39"/>
      <c r="B261" s="560" t="s">
        <v>306</v>
      </c>
      <c r="C261" s="561"/>
      <c r="D261" s="79" t="s">
        <v>307</v>
      </c>
      <c r="E261" s="43" t="s">
        <v>308</v>
      </c>
      <c r="F261" s="42" t="s">
        <v>309</v>
      </c>
      <c r="G261" s="42" t="s">
        <v>328</v>
      </c>
      <c r="H261" s="79" t="s">
        <v>311</v>
      </c>
      <c r="I261" s="79" t="s">
        <v>312</v>
      </c>
      <c r="J261" s="79" t="s">
        <v>313</v>
      </c>
    </row>
    <row r="262" spans="1:10" x14ac:dyDescent="0.3">
      <c r="A262" s="39"/>
      <c r="B262" s="81"/>
      <c r="C262" s="82"/>
      <c r="D262" s="79"/>
      <c r="E262" s="80"/>
      <c r="F262" s="79"/>
      <c r="G262" s="79"/>
      <c r="H262" s="79"/>
      <c r="I262" s="83">
        <f>+SUM(H263:H263)</f>
        <v>2.4</v>
      </c>
      <c r="J262" s="84" t="s">
        <v>349</v>
      </c>
    </row>
    <row r="263" spans="1:10" x14ac:dyDescent="0.3">
      <c r="A263" s="39"/>
      <c r="B263" s="551" t="s">
        <v>413</v>
      </c>
      <c r="C263" s="552"/>
      <c r="D263" s="45">
        <v>1</v>
      </c>
      <c r="E263" s="47">
        <v>2.4</v>
      </c>
      <c r="F263" s="47"/>
      <c r="G263" s="51"/>
      <c r="H263" s="47">
        <f>+E263</f>
        <v>2.4</v>
      </c>
      <c r="I263" s="51"/>
      <c r="J263" s="51"/>
    </row>
    <row r="264" spans="1:10" x14ac:dyDescent="0.3">
      <c r="A264" s="39"/>
      <c r="B264" s="66"/>
      <c r="C264" s="66"/>
      <c r="D264" s="67"/>
      <c r="E264" s="66"/>
      <c r="F264" s="68"/>
      <c r="G264" s="48"/>
      <c r="H264" s="48"/>
      <c r="I264" s="48"/>
      <c r="J264" s="48"/>
    </row>
    <row r="265" spans="1:10" x14ac:dyDescent="0.3">
      <c r="A265" s="90">
        <f>+A233+0.00000001</f>
        <v>1.0205030199999996</v>
      </c>
      <c r="B265" s="37" t="s">
        <v>414</v>
      </c>
      <c r="C265" s="48"/>
      <c r="D265" s="48"/>
      <c r="E265" s="48"/>
      <c r="F265" s="48"/>
      <c r="G265" s="48"/>
      <c r="H265" s="48"/>
      <c r="I265" s="48"/>
      <c r="J265" s="48"/>
    </row>
    <row r="266" spans="1:10" ht="16.8" x14ac:dyDescent="0.3">
      <c r="A266" s="92">
        <f>+A265+0.0000000001</f>
        <v>1.0205030200999996</v>
      </c>
      <c r="B266" s="48" t="s">
        <v>415</v>
      </c>
      <c r="C266" s="48"/>
      <c r="D266" s="48"/>
      <c r="E266" s="48"/>
      <c r="F266" s="48"/>
      <c r="G266" s="48"/>
      <c r="H266" s="48"/>
      <c r="I266" s="53">
        <f>+I268</f>
        <v>20.471207975763701</v>
      </c>
      <c r="J266" s="48" t="s">
        <v>305</v>
      </c>
    </row>
    <row r="267" spans="1:10" x14ac:dyDescent="0.3">
      <c r="A267" s="39"/>
      <c r="B267" s="560" t="s">
        <v>306</v>
      </c>
      <c r="C267" s="561"/>
      <c r="D267" s="79" t="s">
        <v>307</v>
      </c>
      <c r="E267" s="80" t="s">
        <v>416</v>
      </c>
      <c r="F267" s="80" t="s">
        <v>309</v>
      </c>
      <c r="G267" s="79" t="s">
        <v>328</v>
      </c>
      <c r="H267" s="79" t="s">
        <v>311</v>
      </c>
      <c r="I267" s="79" t="s">
        <v>312</v>
      </c>
      <c r="J267" s="79" t="s">
        <v>313</v>
      </c>
    </row>
    <row r="268" spans="1:10" x14ac:dyDescent="0.3">
      <c r="A268" s="39"/>
      <c r="B268" s="81"/>
      <c r="C268" s="82"/>
      <c r="D268" s="79"/>
      <c r="E268" s="80"/>
      <c r="F268" s="79"/>
      <c r="G268" s="79"/>
      <c r="H268" s="79"/>
      <c r="I268" s="83">
        <f>+SUM(H269:H273)</f>
        <v>20.471207975763701</v>
      </c>
      <c r="J268" s="84" t="s">
        <v>314</v>
      </c>
    </row>
    <row r="269" spans="1:10" x14ac:dyDescent="0.3">
      <c r="A269" s="39"/>
      <c r="B269" s="87" t="str">
        <f>+B250</f>
        <v>Área paredes exteriores</v>
      </c>
      <c r="C269" s="87"/>
      <c r="D269" s="141">
        <f>+D250</f>
        <v>1</v>
      </c>
      <c r="E269" s="141">
        <f t="shared" ref="E269:H269" si="4">+E250</f>
        <v>2.8131234497501727</v>
      </c>
      <c r="F269" s="141"/>
      <c r="G269" s="141">
        <f t="shared" si="4"/>
        <v>2.35</v>
      </c>
      <c r="H269" s="47">
        <f t="shared" si="4"/>
        <v>6.6108401069129057</v>
      </c>
      <c r="I269" s="51"/>
      <c r="J269" s="51"/>
    </row>
    <row r="270" spans="1:10" x14ac:dyDescent="0.3">
      <c r="A270" s="39"/>
      <c r="B270" s="551" t="str">
        <f>+B241</f>
        <v xml:space="preserve">Área externa losa de techo </v>
      </c>
      <c r="C270" s="552"/>
      <c r="D270" s="141">
        <f>+D241</f>
        <v>2</v>
      </c>
      <c r="E270" s="141">
        <f t="shared" ref="E270:H271" si="5">+E241</f>
        <v>3.0131234497501729</v>
      </c>
      <c r="F270" s="141">
        <f t="shared" si="5"/>
        <v>0.1</v>
      </c>
      <c r="G270" s="141"/>
      <c r="H270" s="47">
        <f t="shared" si="5"/>
        <v>6.0262468995003458</v>
      </c>
      <c r="I270" s="51"/>
      <c r="J270" s="51"/>
    </row>
    <row r="271" spans="1:10" x14ac:dyDescent="0.3">
      <c r="A271" s="39"/>
      <c r="B271" s="551"/>
      <c r="C271" s="552"/>
      <c r="D271" s="141">
        <f>+D242</f>
        <v>2</v>
      </c>
      <c r="E271" s="141">
        <f t="shared" si="5"/>
        <v>3.0131234497501729</v>
      </c>
      <c r="F271" s="141">
        <f t="shared" si="5"/>
        <v>0.1</v>
      </c>
      <c r="G271" s="141"/>
      <c r="H271" s="47">
        <f>+D271*E271</f>
        <v>6.0262468995003458</v>
      </c>
      <c r="I271" s="51"/>
      <c r="J271" s="51"/>
    </row>
    <row r="272" spans="1:10" x14ac:dyDescent="0.3">
      <c r="A272" s="39"/>
      <c r="B272" s="550" t="str">
        <f>+B244</f>
        <v xml:space="preserve">Área de frizos en tapa </v>
      </c>
      <c r="C272" s="550"/>
      <c r="D272" s="141">
        <f>+D244</f>
        <v>1</v>
      </c>
      <c r="E272" s="141">
        <f t="shared" ref="E272:H272" si="6">+E244</f>
        <v>3.0131234497501729</v>
      </c>
      <c r="F272" s="141">
        <f t="shared" si="6"/>
        <v>3.0131234497501729</v>
      </c>
      <c r="G272" s="141"/>
      <c r="H272" s="47">
        <f t="shared" si="6"/>
        <v>1.8078740698501037</v>
      </c>
      <c r="I272" s="51"/>
      <c r="J272" s="51"/>
    </row>
    <row r="273" spans="1:10" x14ac:dyDescent="0.3">
      <c r="A273" s="39"/>
      <c r="B273" s="550"/>
      <c r="C273" s="550"/>
      <c r="D273" s="141"/>
      <c r="E273" s="141"/>
      <c r="F273" s="141"/>
      <c r="G273" s="286"/>
      <c r="H273" s="47"/>
      <c r="I273" s="51"/>
      <c r="J273" s="51"/>
    </row>
    <row r="274" spans="1:10" x14ac:dyDescent="0.3">
      <c r="A274" s="39"/>
      <c r="B274" s="66"/>
      <c r="C274" s="66"/>
      <c r="D274" s="67"/>
      <c r="E274" s="66"/>
      <c r="F274" s="68"/>
      <c r="G274" s="48"/>
      <c r="H274" s="48"/>
      <c r="I274" s="48"/>
      <c r="J274" s="48"/>
    </row>
    <row r="275" spans="1:10" x14ac:dyDescent="0.3">
      <c r="A275" s="90">
        <f>+A265+0.00000001</f>
        <v>1.0205030299999995</v>
      </c>
      <c r="B275" s="37" t="s">
        <v>417</v>
      </c>
      <c r="C275" s="97"/>
      <c r="D275" s="97"/>
      <c r="E275" s="97"/>
      <c r="F275" s="98"/>
      <c r="G275" s="48"/>
      <c r="H275" s="48"/>
      <c r="I275" s="48"/>
      <c r="J275" s="48"/>
    </row>
    <row r="276" spans="1:10" x14ac:dyDescent="0.3">
      <c r="A276" s="92">
        <f>+A275+0.0000000001</f>
        <v>1.0205030300999995</v>
      </c>
      <c r="B276" s="48" t="s">
        <v>418</v>
      </c>
      <c r="C276" s="48"/>
      <c r="D276" s="48"/>
      <c r="E276" s="48"/>
      <c r="F276" s="48"/>
      <c r="G276" s="48"/>
      <c r="H276" s="48"/>
      <c r="I276" s="48">
        <v>1</v>
      </c>
      <c r="J276" s="48" t="s">
        <v>388</v>
      </c>
    </row>
    <row r="277" spans="1:10" x14ac:dyDescent="0.3">
      <c r="A277" s="88"/>
      <c r="B277" s="64"/>
      <c r="C277" s="48"/>
      <c r="D277" s="48"/>
      <c r="E277" s="48"/>
      <c r="F277" s="48"/>
      <c r="G277" s="48"/>
      <c r="H277" s="48"/>
      <c r="I277" s="65"/>
      <c r="J277" s="64"/>
    </row>
    <row r="278" spans="1:10" x14ac:dyDescent="0.3">
      <c r="A278" s="39"/>
      <c r="B278" s="64"/>
      <c r="C278" s="99" t="s">
        <v>419</v>
      </c>
      <c r="D278" s="100"/>
      <c r="E278" s="100"/>
      <c r="F278" s="66"/>
      <c r="G278" s="66"/>
      <c r="H278" s="66"/>
      <c r="I278" s="66"/>
      <c r="J278" s="66"/>
    </row>
    <row r="279" spans="1:10" x14ac:dyDescent="0.3">
      <c r="A279" s="39"/>
      <c r="B279" s="64"/>
      <c r="C279" s="69" t="s">
        <v>420</v>
      </c>
      <c r="D279" s="69"/>
      <c r="E279" s="101">
        <f>+I16</f>
        <v>1.05</v>
      </c>
      <c r="F279" s="66"/>
      <c r="G279" s="66"/>
      <c r="H279" s="66"/>
      <c r="I279" s="66"/>
      <c r="J279" s="66"/>
    </row>
    <row r="280" spans="1:10" x14ac:dyDescent="0.3">
      <c r="A280" s="39"/>
      <c r="B280" s="64"/>
      <c r="C280" s="69" t="s">
        <v>421</v>
      </c>
      <c r="D280" s="69"/>
      <c r="E280" s="101">
        <f>+I17</f>
        <v>0.8</v>
      </c>
      <c r="F280" s="66"/>
      <c r="G280" s="66"/>
      <c r="H280" s="66"/>
      <c r="I280" s="66"/>
      <c r="J280" s="66"/>
    </row>
    <row r="281" spans="1:10" x14ac:dyDescent="0.3">
      <c r="A281" s="39"/>
      <c r="B281" s="64"/>
      <c r="C281" s="69" t="s">
        <v>422</v>
      </c>
      <c r="D281" s="69"/>
      <c r="E281" s="101">
        <f>+I19</f>
        <v>1.22</v>
      </c>
      <c r="F281" s="66"/>
      <c r="G281" s="66"/>
      <c r="H281" s="66"/>
      <c r="I281" s="66"/>
      <c r="J281" s="66"/>
    </row>
    <row r="282" spans="1:10" x14ac:dyDescent="0.3">
      <c r="A282" s="39"/>
      <c r="B282" s="64"/>
      <c r="C282" s="69" t="s">
        <v>423</v>
      </c>
      <c r="D282" s="69"/>
      <c r="E282" s="101">
        <f>+I18</f>
        <v>0.1</v>
      </c>
      <c r="F282" s="66"/>
      <c r="G282" s="66"/>
      <c r="H282" s="66"/>
      <c r="I282" s="66"/>
      <c r="J282" s="66"/>
    </row>
    <row r="283" spans="1:10" x14ac:dyDescent="0.3">
      <c r="A283" s="39"/>
      <c r="B283" s="64"/>
      <c r="C283" s="69" t="s">
        <v>424</v>
      </c>
      <c r="D283" s="69"/>
      <c r="E283" s="101">
        <f>+I20</f>
        <v>0.1</v>
      </c>
      <c r="F283" s="66"/>
      <c r="G283" s="66"/>
      <c r="H283" s="66"/>
      <c r="I283" s="66"/>
      <c r="J283" s="66"/>
    </row>
    <row r="284" spans="1:10" x14ac:dyDescent="0.3">
      <c r="A284" s="39"/>
      <c r="B284" s="64"/>
      <c r="C284" s="69" t="s">
        <v>425</v>
      </c>
      <c r="D284" s="69"/>
      <c r="E284" s="101">
        <f>+I21</f>
        <v>0.1</v>
      </c>
      <c r="F284" s="66"/>
      <c r="G284" s="66"/>
      <c r="H284" s="66"/>
      <c r="I284" s="66"/>
      <c r="J284" s="66"/>
    </row>
    <row r="285" spans="1:10" x14ac:dyDescent="0.3">
      <c r="A285" s="39"/>
      <c r="B285" s="64"/>
      <c r="C285" s="69"/>
      <c r="D285" s="69"/>
      <c r="E285" s="101"/>
      <c r="F285" s="66"/>
      <c r="G285" s="66"/>
      <c r="H285" s="66"/>
      <c r="I285" s="66"/>
      <c r="J285" s="66"/>
    </row>
    <row r="286" spans="1:10" x14ac:dyDescent="0.3">
      <c r="A286" s="102"/>
      <c r="B286" s="103" t="s">
        <v>426</v>
      </c>
      <c r="C286" s="22"/>
      <c r="D286" s="22"/>
      <c r="E286" s="22"/>
      <c r="F286" s="22"/>
      <c r="G286" s="22"/>
      <c r="H286" s="22"/>
      <c r="I286" s="104"/>
      <c r="J286" s="103"/>
    </row>
    <row r="287" spans="1:10" x14ac:dyDescent="0.3">
      <c r="A287" s="102"/>
      <c r="B287" s="103"/>
      <c r="C287" s="22"/>
      <c r="D287" s="22"/>
      <c r="E287" s="22"/>
      <c r="F287" s="22"/>
      <c r="G287" s="22"/>
      <c r="H287" s="22"/>
      <c r="I287" s="104"/>
      <c r="J287" s="103"/>
    </row>
    <row r="288" spans="1:10" x14ac:dyDescent="0.3">
      <c r="A288" s="25"/>
      <c r="B288" s="103"/>
      <c r="C288" s="103"/>
      <c r="D288" s="105"/>
      <c r="E288" s="105"/>
      <c r="F288" s="105"/>
      <c r="G288" s="105"/>
      <c r="H288" s="105"/>
      <c r="I288" s="105"/>
      <c r="J288" s="105"/>
    </row>
    <row r="289" spans="1:10" x14ac:dyDescent="0.3">
      <c r="A289" s="25"/>
      <c r="B289" s="579" t="s">
        <v>427</v>
      </c>
      <c r="C289" s="579"/>
      <c r="D289" s="579"/>
      <c r="E289" s="26" t="s">
        <v>244</v>
      </c>
      <c r="F289" s="26" t="s">
        <v>428</v>
      </c>
      <c r="G289" s="26" t="s">
        <v>313</v>
      </c>
      <c r="H289" s="105"/>
      <c r="I289" s="105"/>
      <c r="J289" s="105"/>
    </row>
    <row r="290" spans="1:10" x14ac:dyDescent="0.3">
      <c r="A290" s="25"/>
      <c r="B290" s="581" t="s">
        <v>429</v>
      </c>
      <c r="C290" s="582"/>
      <c r="D290" s="583"/>
      <c r="E290" s="26"/>
      <c r="F290" s="26"/>
      <c r="G290" s="30"/>
      <c r="H290" s="105"/>
      <c r="I290" s="105"/>
      <c r="J290" s="105"/>
    </row>
    <row r="291" spans="1:10" x14ac:dyDescent="0.3">
      <c r="A291" s="25"/>
      <c r="B291" s="578" t="s">
        <v>430</v>
      </c>
      <c r="C291" s="578"/>
      <c r="D291" s="578"/>
      <c r="E291" s="106" t="s">
        <v>265</v>
      </c>
      <c r="F291" s="107">
        <v>1</v>
      </c>
      <c r="G291" s="30" t="s">
        <v>388</v>
      </c>
      <c r="H291" s="105"/>
      <c r="I291" s="105"/>
      <c r="J291" s="105"/>
    </row>
    <row r="292" spans="1:10" x14ac:dyDescent="0.3">
      <c r="A292" s="25"/>
      <c r="B292" s="578" t="s">
        <v>431</v>
      </c>
      <c r="C292" s="578"/>
      <c r="D292" s="578"/>
      <c r="E292" s="106" t="s">
        <v>265</v>
      </c>
      <c r="F292" s="107">
        <v>1</v>
      </c>
      <c r="G292" s="30" t="s">
        <v>388</v>
      </c>
      <c r="H292" s="105"/>
      <c r="I292" s="105"/>
      <c r="J292" s="105"/>
    </row>
    <row r="293" spans="1:10" x14ac:dyDescent="0.3">
      <c r="A293" s="25"/>
      <c r="B293" s="578" t="s">
        <v>432</v>
      </c>
      <c r="C293" s="578"/>
      <c r="D293" s="578"/>
      <c r="E293" s="106" t="s">
        <v>265</v>
      </c>
      <c r="F293" s="107">
        <v>1</v>
      </c>
      <c r="G293" s="30" t="s">
        <v>388</v>
      </c>
      <c r="H293" s="105"/>
      <c r="I293" s="105"/>
      <c r="J293" s="105"/>
    </row>
    <row r="294" spans="1:10" x14ac:dyDescent="0.3">
      <c r="A294" s="25"/>
      <c r="B294" s="578" t="s">
        <v>433</v>
      </c>
      <c r="C294" s="578"/>
      <c r="D294" s="578"/>
      <c r="E294" s="106" t="s">
        <v>265</v>
      </c>
      <c r="F294" s="107">
        <v>2.2000000000000002</v>
      </c>
      <c r="G294" s="30" t="s">
        <v>349</v>
      </c>
      <c r="H294" s="105"/>
      <c r="I294" s="105"/>
      <c r="J294" s="105"/>
    </row>
    <row r="295" spans="1:10" x14ac:dyDescent="0.3">
      <c r="A295" s="25"/>
      <c r="B295" s="578" t="s">
        <v>434</v>
      </c>
      <c r="C295" s="578"/>
      <c r="D295" s="578"/>
      <c r="E295" s="106" t="s">
        <v>265</v>
      </c>
      <c r="F295" s="107">
        <v>2</v>
      </c>
      <c r="G295" s="30" t="s">
        <v>388</v>
      </c>
      <c r="H295" s="105"/>
      <c r="I295" s="105"/>
      <c r="J295" s="105"/>
    </row>
    <row r="296" spans="1:10" x14ac:dyDescent="0.3">
      <c r="A296" s="25"/>
      <c r="B296" s="578" t="s">
        <v>435</v>
      </c>
      <c r="C296" s="578"/>
      <c r="D296" s="578"/>
      <c r="E296" s="106" t="s">
        <v>265</v>
      </c>
      <c r="F296" s="107">
        <v>1</v>
      </c>
      <c r="G296" s="30" t="s">
        <v>349</v>
      </c>
      <c r="H296" s="105"/>
      <c r="I296" s="105"/>
      <c r="J296" s="105"/>
    </row>
    <row r="297" spans="1:10" x14ac:dyDescent="0.3">
      <c r="A297" s="25"/>
      <c r="B297" s="19"/>
      <c r="C297" s="19"/>
      <c r="D297" s="19"/>
      <c r="E297" s="108"/>
      <c r="F297" s="109"/>
      <c r="G297" s="105"/>
      <c r="H297" s="105"/>
      <c r="I297" s="105"/>
      <c r="J297" s="105"/>
    </row>
    <row r="298" spans="1:10" x14ac:dyDescent="0.3">
      <c r="A298" s="25"/>
      <c r="B298" s="19"/>
      <c r="C298" s="19"/>
      <c r="D298" s="19"/>
      <c r="E298" s="108"/>
      <c r="F298" s="109"/>
      <c r="G298" s="105"/>
      <c r="H298" s="105"/>
      <c r="I298" s="105"/>
      <c r="J298" s="105"/>
    </row>
    <row r="299" spans="1:10" x14ac:dyDescent="0.3">
      <c r="A299" s="25"/>
      <c r="B299" s="579" t="s">
        <v>427</v>
      </c>
      <c r="C299" s="579"/>
      <c r="D299" s="579"/>
      <c r="E299" s="26" t="s">
        <v>244</v>
      </c>
      <c r="F299" s="26" t="s">
        <v>428</v>
      </c>
      <c r="G299" s="26" t="s">
        <v>313</v>
      </c>
      <c r="H299" s="105"/>
      <c r="I299" s="105"/>
      <c r="J299" s="105"/>
    </row>
    <row r="300" spans="1:10" x14ac:dyDescent="0.3">
      <c r="A300" s="25"/>
      <c r="B300" s="580" t="s">
        <v>436</v>
      </c>
      <c r="C300" s="580"/>
      <c r="D300" s="580"/>
      <c r="E300" s="30"/>
      <c r="F300" s="107"/>
      <c r="G300" s="30"/>
      <c r="H300" s="105"/>
      <c r="I300" s="105"/>
      <c r="J300" s="105"/>
    </row>
    <row r="301" spans="1:10" x14ac:dyDescent="0.3">
      <c r="A301" s="25"/>
      <c r="B301" s="578" t="s">
        <v>437</v>
      </c>
      <c r="C301" s="578"/>
      <c r="D301" s="578"/>
      <c r="E301" s="106" t="s">
        <v>265</v>
      </c>
      <c r="F301" s="107">
        <v>1</v>
      </c>
      <c r="G301" s="30" t="s">
        <v>388</v>
      </c>
      <c r="H301" s="105"/>
      <c r="I301" s="105"/>
      <c r="J301" s="105"/>
    </row>
    <row r="302" spans="1:10" x14ac:dyDescent="0.3">
      <c r="A302" s="25"/>
      <c r="B302" s="578" t="s">
        <v>438</v>
      </c>
      <c r="C302" s="578"/>
      <c r="D302" s="578"/>
      <c r="E302" s="106" t="s">
        <v>265</v>
      </c>
      <c r="F302" s="107">
        <v>2</v>
      </c>
      <c r="G302" s="30" t="s">
        <v>388</v>
      </c>
      <c r="H302" s="105"/>
      <c r="I302" s="105"/>
      <c r="J302" s="105"/>
    </row>
    <row r="303" spans="1:10" x14ac:dyDescent="0.3">
      <c r="A303" s="25"/>
      <c r="B303" s="578" t="s">
        <v>439</v>
      </c>
      <c r="C303" s="578"/>
      <c r="D303" s="578"/>
      <c r="E303" s="106" t="s">
        <v>265</v>
      </c>
      <c r="F303" s="107">
        <v>2</v>
      </c>
      <c r="G303" s="30" t="s">
        <v>388</v>
      </c>
      <c r="H303" s="105"/>
      <c r="I303" s="105"/>
      <c r="J303" s="105"/>
    </row>
    <row r="304" spans="1:10" x14ac:dyDescent="0.3">
      <c r="A304" s="25"/>
      <c r="B304" s="578" t="s">
        <v>440</v>
      </c>
      <c r="C304" s="578"/>
      <c r="D304" s="578"/>
      <c r="E304" s="106" t="s">
        <v>265</v>
      </c>
      <c r="F304" s="107">
        <v>2</v>
      </c>
      <c r="G304" s="30" t="s">
        <v>388</v>
      </c>
      <c r="H304" s="105"/>
      <c r="I304" s="105"/>
      <c r="J304" s="105"/>
    </row>
    <row r="305" spans="1:10" x14ac:dyDescent="0.3">
      <c r="A305" s="25"/>
      <c r="B305" s="578" t="s">
        <v>441</v>
      </c>
      <c r="C305" s="578"/>
      <c r="D305" s="578"/>
      <c r="E305" s="106" t="s">
        <v>265</v>
      </c>
      <c r="F305" s="107">
        <v>1</v>
      </c>
      <c r="G305" s="30" t="s">
        <v>388</v>
      </c>
      <c r="H305" s="105"/>
      <c r="I305" s="105"/>
      <c r="J305" s="105"/>
    </row>
    <row r="306" spans="1:10" x14ac:dyDescent="0.3">
      <c r="A306" s="25"/>
      <c r="B306" s="578" t="s">
        <v>442</v>
      </c>
      <c r="C306" s="578"/>
      <c r="D306" s="578"/>
      <c r="E306" s="106" t="s">
        <v>265</v>
      </c>
      <c r="F306" s="107">
        <v>1</v>
      </c>
      <c r="G306" s="30" t="s">
        <v>349</v>
      </c>
      <c r="H306" s="105"/>
      <c r="I306" s="105"/>
      <c r="J306" s="105"/>
    </row>
    <row r="307" spans="1:10" x14ac:dyDescent="0.3">
      <c r="A307" s="25"/>
      <c r="B307" s="578" t="s">
        <v>443</v>
      </c>
      <c r="C307" s="578"/>
      <c r="D307" s="578"/>
      <c r="E307" s="106" t="s">
        <v>265</v>
      </c>
      <c r="F307" s="107">
        <v>1</v>
      </c>
      <c r="G307" s="30" t="s">
        <v>388</v>
      </c>
      <c r="H307" s="105"/>
      <c r="I307" s="105"/>
      <c r="J307" s="105"/>
    </row>
    <row r="308" spans="1:10" x14ac:dyDescent="0.3">
      <c r="A308" s="39"/>
      <c r="B308" s="64"/>
      <c r="C308" s="69"/>
      <c r="D308" s="69"/>
      <c r="E308" s="101"/>
      <c r="F308" s="66"/>
      <c r="G308" s="66"/>
      <c r="H308" s="66"/>
      <c r="I308" s="66"/>
      <c r="J308" s="66"/>
    </row>
    <row r="309" spans="1:10" x14ac:dyDescent="0.3">
      <c r="A309" s="39"/>
      <c r="B309" s="64"/>
      <c r="C309" s="69"/>
      <c r="D309" s="69"/>
      <c r="E309" s="101"/>
      <c r="F309" s="66"/>
      <c r="G309" s="66"/>
      <c r="H309" s="66"/>
      <c r="I309" s="66"/>
      <c r="J309" s="66"/>
    </row>
    <row r="310" spans="1:10" x14ac:dyDescent="0.3">
      <c r="A310" s="20">
        <f>+A232+0.000001</f>
        <v>1.0205039999999996</v>
      </c>
      <c r="B310" s="21" t="s">
        <v>444</v>
      </c>
      <c r="C310" s="19"/>
      <c r="D310" s="19"/>
      <c r="E310" s="110"/>
      <c r="F310" s="105"/>
      <c r="G310" s="105"/>
      <c r="H310" s="105"/>
      <c r="I310" s="105"/>
      <c r="J310" s="105"/>
    </row>
    <row r="311" spans="1:10" x14ac:dyDescent="0.3">
      <c r="A311" s="111"/>
      <c r="B311" s="21"/>
      <c r="C311" s="19"/>
      <c r="D311" s="19"/>
      <c r="E311" s="110"/>
      <c r="F311" s="105"/>
      <c r="G311" s="105"/>
      <c r="H311" s="105"/>
      <c r="I311" s="105"/>
      <c r="J311" s="105"/>
    </row>
    <row r="312" spans="1:10" x14ac:dyDescent="0.3">
      <c r="A312" s="90">
        <f>+A310+0.00000001</f>
        <v>1.0205040099999996</v>
      </c>
      <c r="B312" s="37" t="s">
        <v>445</v>
      </c>
      <c r="C312" s="69"/>
      <c r="D312" s="69"/>
      <c r="E312" s="101"/>
      <c r="F312" s="66"/>
      <c r="G312" s="66"/>
      <c r="H312" s="66"/>
      <c r="I312" s="66"/>
      <c r="J312" s="66"/>
    </row>
    <row r="313" spans="1:10" x14ac:dyDescent="0.3">
      <c r="A313" s="112"/>
      <c r="B313" s="37"/>
      <c r="C313" s="69"/>
      <c r="D313" s="69"/>
      <c r="E313" s="101"/>
      <c r="F313" s="66"/>
      <c r="G313" s="66"/>
      <c r="H313" s="66"/>
      <c r="I313" s="66"/>
      <c r="J313" s="66"/>
    </row>
    <row r="314" spans="1:10" x14ac:dyDescent="0.3">
      <c r="A314" s="92">
        <f>+A312+0.0000000001</f>
        <v>1.0205040100999996</v>
      </c>
      <c r="B314" s="69" t="s">
        <v>446</v>
      </c>
      <c r="C314" s="69"/>
      <c r="D314" s="66"/>
      <c r="E314" s="66"/>
      <c r="F314" s="66"/>
      <c r="G314" s="66"/>
      <c r="H314" s="48"/>
      <c r="I314" s="53">
        <f>+I318</f>
        <v>0.42390000000000005</v>
      </c>
      <c r="J314" s="48" t="s">
        <v>321</v>
      </c>
    </row>
    <row r="315" spans="1:10" x14ac:dyDescent="0.3">
      <c r="A315" s="23"/>
      <c r="B315" s="69"/>
      <c r="C315" s="69"/>
      <c r="D315" s="66"/>
      <c r="E315" s="66"/>
      <c r="F315" s="66"/>
      <c r="G315" s="66"/>
      <c r="H315" s="48"/>
      <c r="I315" s="53"/>
      <c r="J315" s="48"/>
    </row>
    <row r="316" spans="1:10" x14ac:dyDescent="0.3">
      <c r="A316" s="39"/>
      <c r="B316" s="113"/>
      <c r="C316" s="113"/>
      <c r="D316" s="66"/>
      <c r="E316" s="66"/>
      <c r="F316" s="66"/>
      <c r="G316" s="66"/>
      <c r="H316" s="114"/>
      <c r="I316" s="64"/>
      <c r="J316" s="66"/>
    </row>
    <row r="317" spans="1:10" x14ac:dyDescent="0.3">
      <c r="A317" s="39"/>
      <c r="B317" s="560" t="s">
        <v>306</v>
      </c>
      <c r="C317" s="561"/>
      <c r="D317" s="79" t="s">
        <v>307</v>
      </c>
      <c r="E317" s="80" t="s">
        <v>308</v>
      </c>
      <c r="F317" s="80" t="s">
        <v>309</v>
      </c>
      <c r="G317" s="79" t="s">
        <v>328</v>
      </c>
      <c r="H317" s="79" t="s">
        <v>311</v>
      </c>
      <c r="I317" s="79" t="s">
        <v>312</v>
      </c>
      <c r="J317" s="79" t="s">
        <v>313</v>
      </c>
    </row>
    <row r="318" spans="1:10" x14ac:dyDescent="0.3">
      <c r="A318" s="39"/>
      <c r="B318" s="81"/>
      <c r="C318" s="82"/>
      <c r="D318" s="79"/>
      <c r="E318" s="80"/>
      <c r="F318" s="79"/>
      <c r="G318" s="79"/>
      <c r="H318" s="79"/>
      <c r="I318" s="83">
        <f>+SUM(H319:H321)</f>
        <v>0.42390000000000005</v>
      </c>
      <c r="J318" s="84" t="s">
        <v>321</v>
      </c>
    </row>
    <row r="319" spans="1:10" x14ac:dyDescent="0.3">
      <c r="A319" s="39"/>
      <c r="B319" s="287" t="s">
        <v>447</v>
      </c>
      <c r="C319" s="82"/>
      <c r="D319" s="79">
        <v>1</v>
      </c>
      <c r="E319" s="80">
        <f>+E279</f>
        <v>1.05</v>
      </c>
      <c r="F319" s="80">
        <f>+E283</f>
        <v>0.1</v>
      </c>
      <c r="G319" s="80">
        <f>+E281</f>
        <v>1.22</v>
      </c>
      <c r="H319" s="47">
        <f>+D319*E319*F319*G319</f>
        <v>0.12810000000000002</v>
      </c>
      <c r="I319" s="83"/>
      <c r="J319" s="84"/>
    </row>
    <row r="320" spans="1:10" x14ac:dyDescent="0.3">
      <c r="A320" s="39"/>
      <c r="B320" s="287" t="s">
        <v>448</v>
      </c>
      <c r="C320" s="82"/>
      <c r="D320" s="79">
        <v>2</v>
      </c>
      <c r="E320" s="80">
        <f>+E280-E283</f>
        <v>0.70000000000000007</v>
      </c>
      <c r="F320" s="80">
        <f>+F319</f>
        <v>0.1</v>
      </c>
      <c r="G320" s="80">
        <f>+G319</f>
        <v>1.22</v>
      </c>
      <c r="H320" s="47">
        <f t="shared" ref="H320:H321" si="7">+D320*E320*F320*G320</f>
        <v>0.17080000000000001</v>
      </c>
      <c r="I320" s="83"/>
      <c r="J320" s="84"/>
    </row>
    <row r="321" spans="1:10" x14ac:dyDescent="0.3">
      <c r="A321" s="39"/>
      <c r="B321" s="555" t="s">
        <v>449</v>
      </c>
      <c r="C321" s="555"/>
      <c r="D321" s="45">
        <v>1</v>
      </c>
      <c r="E321" s="47">
        <f>+E279+(2*E284)</f>
        <v>1.25</v>
      </c>
      <c r="F321" s="47">
        <f>+E280+E284*2</f>
        <v>1</v>
      </c>
      <c r="G321" s="47">
        <v>0.1</v>
      </c>
      <c r="H321" s="47">
        <f t="shared" si="7"/>
        <v>0.125</v>
      </c>
      <c r="I321" s="51"/>
      <c r="J321" s="51"/>
    </row>
    <row r="322" spans="1:10" x14ac:dyDescent="0.3">
      <c r="A322" s="39"/>
      <c r="B322" s="113"/>
      <c r="C322" s="113"/>
      <c r="D322" s="66"/>
      <c r="E322" s="66"/>
      <c r="F322" s="66"/>
      <c r="G322" s="66"/>
      <c r="H322" s="114"/>
      <c r="I322" s="64"/>
      <c r="J322" s="66"/>
    </row>
    <row r="323" spans="1:10" x14ac:dyDescent="0.3">
      <c r="A323" s="39"/>
      <c r="B323" s="66"/>
      <c r="C323" s="72"/>
      <c r="D323" s="72"/>
      <c r="E323" s="72"/>
      <c r="F323" s="115"/>
      <c r="G323" s="66"/>
      <c r="H323" s="66"/>
      <c r="I323" s="66"/>
      <c r="J323" s="66"/>
    </row>
    <row r="324" spans="1:10" ht="16.8" x14ac:dyDescent="0.3">
      <c r="A324" s="92">
        <f>+A314+0.0000000001</f>
        <v>1.0205040101999996</v>
      </c>
      <c r="B324" s="116" t="s">
        <v>450</v>
      </c>
      <c r="C324" s="69"/>
      <c r="D324" s="66"/>
      <c r="E324" s="117"/>
      <c r="F324" s="66"/>
      <c r="G324" s="66"/>
      <c r="H324" s="48"/>
      <c r="I324" s="53">
        <f>+I327</f>
        <v>7.1880000000000006</v>
      </c>
      <c r="J324" s="48" t="s">
        <v>305</v>
      </c>
    </row>
    <row r="325" spans="1:10" x14ac:dyDescent="0.3">
      <c r="A325" s="39"/>
      <c r="B325" s="118"/>
      <c r="C325" s="69"/>
      <c r="D325" s="66"/>
      <c r="E325" s="119"/>
      <c r="F325" s="66"/>
      <c r="G325" s="66"/>
      <c r="H325" s="65"/>
      <c r="I325" s="64"/>
      <c r="J325" s="66"/>
    </row>
    <row r="326" spans="1:10" x14ac:dyDescent="0.3">
      <c r="A326" s="39"/>
      <c r="B326" s="560" t="s">
        <v>306</v>
      </c>
      <c r="C326" s="561"/>
      <c r="D326" s="79" t="s">
        <v>307</v>
      </c>
      <c r="E326" s="80" t="s">
        <v>308</v>
      </c>
      <c r="F326" s="80" t="s">
        <v>309</v>
      </c>
      <c r="G326" s="79" t="s">
        <v>328</v>
      </c>
      <c r="H326" s="79" t="s">
        <v>311</v>
      </c>
      <c r="I326" s="79" t="s">
        <v>312</v>
      </c>
      <c r="J326" s="79" t="s">
        <v>313</v>
      </c>
    </row>
    <row r="327" spans="1:10" x14ac:dyDescent="0.3">
      <c r="A327" s="39"/>
      <c r="B327" s="81"/>
      <c r="C327" s="82"/>
      <c r="D327" s="79"/>
      <c r="E327" s="80"/>
      <c r="F327" s="79"/>
      <c r="G327" s="79"/>
      <c r="H327" s="79"/>
      <c r="I327" s="86">
        <f>+SUM(H328:H331)</f>
        <v>7.1880000000000006</v>
      </c>
      <c r="J327" s="84" t="s">
        <v>314</v>
      </c>
    </row>
    <row r="328" spans="1:10" x14ac:dyDescent="0.3">
      <c r="A328" s="39"/>
      <c r="B328" s="555" t="s">
        <v>449</v>
      </c>
      <c r="C328" s="555"/>
      <c r="D328" s="45">
        <v>1</v>
      </c>
      <c r="E328" s="47">
        <f>+E279-E283*2+E284*2</f>
        <v>1.05</v>
      </c>
      <c r="F328" s="47">
        <f>+E280-E283*2+E284*2</f>
        <v>0.8</v>
      </c>
      <c r="G328" s="47"/>
      <c r="H328" s="47">
        <f>+D328*E328*F328</f>
        <v>0.84000000000000008</v>
      </c>
      <c r="I328" s="51"/>
      <c r="J328" s="51"/>
    </row>
    <row r="329" spans="1:10" x14ac:dyDescent="0.3">
      <c r="A329" s="39"/>
      <c r="B329" s="569" t="s">
        <v>363</v>
      </c>
      <c r="C329" s="569"/>
      <c r="D329" s="45">
        <v>1</v>
      </c>
      <c r="E329" s="47">
        <f>+E279*2+E280*2</f>
        <v>3.7</v>
      </c>
      <c r="F329" s="45"/>
      <c r="G329" s="47">
        <f>+E282</f>
        <v>0.1</v>
      </c>
      <c r="H329" s="47">
        <f>+D329*E329*G329</f>
        <v>0.37000000000000005</v>
      </c>
      <c r="I329" s="120"/>
      <c r="J329" s="45"/>
    </row>
    <row r="330" spans="1:10" x14ac:dyDescent="0.3">
      <c r="A330" s="39"/>
      <c r="B330" s="287" t="s">
        <v>447</v>
      </c>
      <c r="C330" s="82"/>
      <c r="D330" s="79">
        <f>+D319*2</f>
        <v>2</v>
      </c>
      <c r="E330" s="80">
        <f>+E319</f>
        <v>1.05</v>
      </c>
      <c r="F330" s="80">
        <f t="shared" ref="F330:G331" si="8">+F319</f>
        <v>0.1</v>
      </c>
      <c r="G330" s="80">
        <f t="shared" si="8"/>
        <v>1.22</v>
      </c>
      <c r="H330" s="47">
        <f>+D330*E330*G330</f>
        <v>2.5619999999999998</v>
      </c>
      <c r="I330" s="66"/>
      <c r="J330" s="66"/>
    </row>
    <row r="331" spans="1:10" x14ac:dyDescent="0.3">
      <c r="A331" s="39"/>
      <c r="B331" s="287" t="s">
        <v>448</v>
      </c>
      <c r="C331" s="82"/>
      <c r="D331" s="79">
        <f>+D320*2</f>
        <v>4</v>
      </c>
      <c r="E331" s="80">
        <f>+E320</f>
        <v>0.70000000000000007</v>
      </c>
      <c r="F331" s="80">
        <f t="shared" si="8"/>
        <v>0.1</v>
      </c>
      <c r="G331" s="80">
        <f t="shared" si="8"/>
        <v>1.22</v>
      </c>
      <c r="H331" s="47">
        <f>+D331*E331*G331</f>
        <v>3.4160000000000004</v>
      </c>
      <c r="I331" s="66"/>
      <c r="J331" s="66"/>
    </row>
    <row r="332" spans="1:10" x14ac:dyDescent="0.3">
      <c r="A332" s="39"/>
      <c r="B332" s="69"/>
      <c r="C332" s="72"/>
      <c r="D332" s="72"/>
      <c r="E332" s="72"/>
      <c r="F332" s="115"/>
      <c r="G332" s="66"/>
      <c r="H332" s="66"/>
      <c r="I332" s="66"/>
      <c r="J332" s="66"/>
    </row>
    <row r="333" spans="1:10" x14ac:dyDescent="0.3">
      <c r="A333" s="39"/>
      <c r="B333" s="69"/>
      <c r="C333" s="72"/>
      <c r="D333" s="72"/>
      <c r="E333" s="72"/>
      <c r="F333" s="115"/>
      <c r="G333" s="66"/>
      <c r="H333" s="66"/>
      <c r="I333" s="66"/>
      <c r="J333" s="66"/>
    </row>
    <row r="334" spans="1:10" x14ac:dyDescent="0.3">
      <c r="A334" s="92">
        <f>+A324+0.0000000001</f>
        <v>1.0205040102999996</v>
      </c>
      <c r="B334" s="69" t="s">
        <v>451</v>
      </c>
      <c r="C334" s="121"/>
      <c r="D334" s="72"/>
      <c r="E334" s="117"/>
      <c r="F334" s="66"/>
      <c r="G334" s="66"/>
      <c r="H334" s="48"/>
      <c r="I334" s="53">
        <f>+G348</f>
        <v>39.0182</v>
      </c>
      <c r="J334" s="48" t="s">
        <v>218</v>
      </c>
    </row>
    <row r="335" spans="1:10" x14ac:dyDescent="0.3">
      <c r="A335" s="39"/>
      <c r="B335" s="55"/>
      <c r="C335" s="121"/>
      <c r="D335" s="72"/>
      <c r="E335" s="119"/>
      <c r="F335" s="66"/>
      <c r="G335" s="66"/>
      <c r="H335" s="65"/>
      <c r="I335" s="64"/>
      <c r="J335" s="66"/>
    </row>
    <row r="336" spans="1:10" x14ac:dyDescent="0.3">
      <c r="A336" s="39"/>
      <c r="B336" s="575" t="s">
        <v>452</v>
      </c>
      <c r="C336" s="575" t="s">
        <v>453</v>
      </c>
      <c r="D336" s="576" t="s">
        <v>244</v>
      </c>
      <c r="E336" s="122" t="s">
        <v>454</v>
      </c>
      <c r="F336" s="123" t="s">
        <v>455</v>
      </c>
      <c r="G336" s="576" t="s">
        <v>456</v>
      </c>
      <c r="H336" s="577"/>
      <c r="I336" s="64"/>
      <c r="J336" s="66"/>
    </row>
    <row r="337" spans="1:10" x14ac:dyDescent="0.3">
      <c r="A337" s="39"/>
      <c r="B337" s="575"/>
      <c r="C337" s="575"/>
      <c r="D337" s="576"/>
      <c r="E337" s="124" t="s">
        <v>457</v>
      </c>
      <c r="F337" s="125" t="s">
        <v>458</v>
      </c>
      <c r="G337" s="126" t="s">
        <v>262</v>
      </c>
      <c r="H337" s="126">
        <v>0.375</v>
      </c>
      <c r="I337" s="64"/>
      <c r="J337" s="66"/>
    </row>
    <row r="338" spans="1:10" ht="41.4" x14ac:dyDescent="0.3">
      <c r="A338" s="39"/>
      <c r="B338" s="127" t="s">
        <v>459</v>
      </c>
      <c r="C338" s="128"/>
      <c r="D338" s="129" t="s">
        <v>264</v>
      </c>
      <c r="E338" s="130">
        <v>9</v>
      </c>
      <c r="F338" s="131">
        <v>1.7</v>
      </c>
      <c r="G338" s="132"/>
      <c r="H338" s="132">
        <f t="shared" ref="H338:H343" si="9">+E338*F338</f>
        <v>15.299999999999999</v>
      </c>
      <c r="I338" s="64"/>
      <c r="J338" s="66"/>
    </row>
    <row r="339" spans="1:10" ht="41.4" x14ac:dyDescent="0.3">
      <c r="A339" s="39"/>
      <c r="B339" s="127" t="s">
        <v>460</v>
      </c>
      <c r="C339" s="128"/>
      <c r="D339" s="129" t="s">
        <v>264</v>
      </c>
      <c r="E339" s="128">
        <v>9</v>
      </c>
      <c r="F339" s="49">
        <v>1.65</v>
      </c>
      <c r="G339" s="132"/>
      <c r="H339" s="132">
        <f t="shared" si="9"/>
        <v>14.85</v>
      </c>
      <c r="I339" s="64"/>
      <c r="J339" s="66"/>
    </row>
    <row r="340" spans="1:10" ht="27.6" x14ac:dyDescent="0.3">
      <c r="A340" s="39"/>
      <c r="B340" s="127" t="str">
        <f>+B330</f>
        <v>Muro Posterior</v>
      </c>
      <c r="C340" s="128"/>
      <c r="D340" s="129" t="s">
        <v>264</v>
      </c>
      <c r="E340" s="128">
        <v>7</v>
      </c>
      <c r="F340" s="49">
        <v>1.55</v>
      </c>
      <c r="G340" s="132"/>
      <c r="H340" s="132">
        <f t="shared" si="9"/>
        <v>10.85</v>
      </c>
      <c r="I340" s="64"/>
      <c r="J340" s="66"/>
    </row>
    <row r="341" spans="1:10" ht="27.6" x14ac:dyDescent="0.3">
      <c r="A341" s="39"/>
      <c r="B341" s="127" t="str">
        <f>+B340</f>
        <v>Muro Posterior</v>
      </c>
      <c r="C341" s="128"/>
      <c r="D341" s="129" t="s">
        <v>264</v>
      </c>
      <c r="E341" s="128">
        <v>8</v>
      </c>
      <c r="F341" s="49">
        <v>1.25</v>
      </c>
      <c r="G341" s="132"/>
      <c r="H341" s="132">
        <f t="shared" si="9"/>
        <v>10</v>
      </c>
      <c r="I341" s="64"/>
      <c r="J341" s="66"/>
    </row>
    <row r="342" spans="1:10" x14ac:dyDescent="0.3">
      <c r="A342" s="39"/>
      <c r="B342" s="127" t="str">
        <f>+B331</f>
        <v>Muro Lateral</v>
      </c>
      <c r="C342" s="128"/>
      <c r="D342" s="129" t="s">
        <v>264</v>
      </c>
      <c r="E342" s="128">
        <v>7</v>
      </c>
      <c r="F342" s="49">
        <v>0.9</v>
      </c>
      <c r="G342" s="132"/>
      <c r="H342" s="132">
        <f t="shared" si="9"/>
        <v>6.3</v>
      </c>
      <c r="I342" s="64"/>
      <c r="J342" s="66"/>
    </row>
    <row r="343" spans="1:10" x14ac:dyDescent="0.3">
      <c r="A343" s="39"/>
      <c r="B343" s="127" t="str">
        <f>+B342</f>
        <v>Muro Lateral</v>
      </c>
      <c r="C343" s="128"/>
      <c r="D343" s="129" t="s">
        <v>264</v>
      </c>
      <c r="E343" s="128">
        <v>10</v>
      </c>
      <c r="F343" s="49">
        <v>1.25</v>
      </c>
      <c r="G343" s="132"/>
      <c r="H343" s="132">
        <f t="shared" si="9"/>
        <v>12.5</v>
      </c>
      <c r="I343" s="64"/>
      <c r="J343" s="66"/>
    </row>
    <row r="344" spans="1:10" x14ac:dyDescent="0.3">
      <c r="A344" s="39"/>
      <c r="B344" s="288"/>
      <c r="C344" s="289"/>
      <c r="D344" s="290"/>
      <c r="E344" s="291"/>
      <c r="F344" s="292"/>
      <c r="G344" s="132"/>
      <c r="H344" s="132"/>
      <c r="I344" s="64"/>
      <c r="J344" s="66"/>
    </row>
    <row r="345" spans="1:10" x14ac:dyDescent="0.3">
      <c r="A345" s="39"/>
      <c r="B345" s="48"/>
      <c r="C345" s="48"/>
      <c r="D345" s="48"/>
      <c r="E345" s="558" t="s">
        <v>461</v>
      </c>
      <c r="F345" s="559"/>
      <c r="G345" s="89">
        <f>+SUM(G338:G339)</f>
        <v>0</v>
      </c>
      <c r="H345" s="89">
        <f>+SUM(H338:H343)</f>
        <v>69.8</v>
      </c>
      <c r="I345" s="64"/>
      <c r="J345" s="66"/>
    </row>
    <row r="346" spans="1:10" x14ac:dyDescent="0.3">
      <c r="A346" s="39"/>
      <c r="B346" s="48"/>
      <c r="C346" s="48"/>
      <c r="D346" s="48"/>
      <c r="E346" s="558" t="s">
        <v>462</v>
      </c>
      <c r="F346" s="559"/>
      <c r="G346" s="89">
        <v>0.25</v>
      </c>
      <c r="H346" s="89">
        <v>0.55900000000000005</v>
      </c>
      <c r="I346" s="64"/>
      <c r="J346" s="66"/>
    </row>
    <row r="347" spans="1:10" x14ac:dyDescent="0.3">
      <c r="A347" s="39"/>
      <c r="B347" s="48"/>
      <c r="C347" s="48"/>
      <c r="D347" s="48"/>
      <c r="E347" s="558" t="s">
        <v>463</v>
      </c>
      <c r="F347" s="559"/>
      <c r="G347" s="89">
        <f>+G345*G346</f>
        <v>0</v>
      </c>
      <c r="H347" s="89">
        <f>+H345*H346</f>
        <v>39.0182</v>
      </c>
      <c r="I347" s="64"/>
      <c r="J347" s="66"/>
    </row>
    <row r="348" spans="1:10" x14ac:dyDescent="0.3">
      <c r="A348" s="39"/>
      <c r="B348" s="55"/>
      <c r="C348" s="121"/>
      <c r="D348" s="72"/>
      <c r="E348" s="558" t="s">
        <v>463</v>
      </c>
      <c r="F348" s="559"/>
      <c r="G348" s="573">
        <f>+SUM(G347:H347)</f>
        <v>39.0182</v>
      </c>
      <c r="H348" s="574"/>
      <c r="I348" s="64"/>
      <c r="J348" s="66"/>
    </row>
    <row r="349" spans="1:10" x14ac:dyDescent="0.3">
      <c r="A349" s="39"/>
      <c r="B349" s="55"/>
      <c r="C349" s="72"/>
      <c r="D349" s="72"/>
      <c r="E349" s="72"/>
      <c r="F349" s="66"/>
      <c r="G349" s="66"/>
      <c r="H349" s="66"/>
      <c r="I349" s="66"/>
      <c r="J349" s="66"/>
    </row>
    <row r="350" spans="1:10" x14ac:dyDescent="0.3">
      <c r="A350" s="39"/>
      <c r="B350" s="69"/>
      <c r="C350" s="69"/>
      <c r="D350" s="133"/>
      <c r="E350" s="68"/>
      <c r="F350" s="68"/>
      <c r="G350" s="68"/>
      <c r="H350" s="68"/>
      <c r="I350" s="48"/>
      <c r="J350" s="48"/>
    </row>
    <row r="351" spans="1:10" x14ac:dyDescent="0.3">
      <c r="A351" s="90">
        <f>A312+0.00000001</f>
        <v>1.0205040199999995</v>
      </c>
      <c r="B351" s="37" t="s">
        <v>464</v>
      </c>
      <c r="C351" s="69"/>
      <c r="D351" s="133"/>
      <c r="E351" s="68"/>
      <c r="F351" s="68"/>
      <c r="G351" s="68"/>
      <c r="H351" s="68"/>
      <c r="I351" s="48"/>
      <c r="J351" s="48"/>
    </row>
    <row r="352" spans="1:10" ht="16.8" x14ac:dyDescent="0.3">
      <c r="A352" s="92">
        <f>+A351+0.0000000001</f>
        <v>1.0205040200999995</v>
      </c>
      <c r="B352" s="116" t="s">
        <v>465</v>
      </c>
      <c r="C352" s="116"/>
      <c r="D352" s="48"/>
      <c r="E352" s="48"/>
      <c r="F352" s="48"/>
      <c r="G352" s="48"/>
      <c r="H352" s="48"/>
      <c r="I352" s="53">
        <f>+I355</f>
        <v>8.4719999999999995</v>
      </c>
      <c r="J352" s="48" t="s">
        <v>305</v>
      </c>
    </row>
    <row r="353" spans="1:10" x14ac:dyDescent="0.3">
      <c r="A353" s="39"/>
      <c r="B353" s="118"/>
      <c r="C353" s="118"/>
      <c r="D353" s="48"/>
      <c r="E353" s="48"/>
      <c r="F353" s="48"/>
      <c r="G353" s="48"/>
      <c r="H353" s="65"/>
      <c r="I353" s="64"/>
      <c r="J353" s="66"/>
    </row>
    <row r="354" spans="1:10" x14ac:dyDescent="0.3">
      <c r="A354" s="39"/>
      <c r="B354" s="560" t="s">
        <v>306</v>
      </c>
      <c r="C354" s="561"/>
      <c r="D354" s="79" t="s">
        <v>307</v>
      </c>
      <c r="E354" s="80" t="s">
        <v>308</v>
      </c>
      <c r="F354" s="80" t="s">
        <v>309</v>
      </c>
      <c r="G354" s="79" t="s">
        <v>328</v>
      </c>
      <c r="H354" s="79" t="s">
        <v>311</v>
      </c>
      <c r="I354" s="79" t="s">
        <v>312</v>
      </c>
      <c r="J354" s="79" t="s">
        <v>313</v>
      </c>
    </row>
    <row r="355" spans="1:10" x14ac:dyDescent="0.3">
      <c r="A355" s="39"/>
      <c r="B355" s="81"/>
      <c r="C355" s="82"/>
      <c r="D355" s="79"/>
      <c r="E355" s="80"/>
      <c r="F355" s="79"/>
      <c r="G355" s="79"/>
      <c r="H355" s="79"/>
      <c r="I355" s="86">
        <f>+SUM(H356:H362)</f>
        <v>8.4719999999999995</v>
      </c>
      <c r="J355" s="84" t="s">
        <v>314</v>
      </c>
    </row>
    <row r="356" spans="1:10" x14ac:dyDescent="0.3">
      <c r="A356" s="39"/>
      <c r="B356" s="555" t="s">
        <v>449</v>
      </c>
      <c r="C356" s="555"/>
      <c r="D356" s="45">
        <v>1</v>
      </c>
      <c r="E356" s="47">
        <f>+E279+0.2</f>
        <v>1.25</v>
      </c>
      <c r="F356" s="47">
        <f>+E280+0.2</f>
        <v>1</v>
      </c>
      <c r="G356" s="47"/>
      <c r="H356" s="47">
        <f>+D356*E356*F356</f>
        <v>1.25</v>
      </c>
      <c r="I356" s="51"/>
      <c r="J356" s="51"/>
    </row>
    <row r="357" spans="1:10" x14ac:dyDescent="0.3">
      <c r="A357" s="39"/>
      <c r="B357" s="551" t="s">
        <v>466</v>
      </c>
      <c r="C357" s="552"/>
      <c r="D357" s="95">
        <v>2</v>
      </c>
      <c r="E357" s="47">
        <f>+E279</f>
        <v>1.05</v>
      </c>
      <c r="F357" s="48"/>
      <c r="G357" s="47">
        <f>+E281</f>
        <v>1.22</v>
      </c>
      <c r="H357" s="47">
        <f>+D357*E357*G357</f>
        <v>2.5619999999999998</v>
      </c>
      <c r="I357" s="51"/>
      <c r="J357" s="51"/>
    </row>
    <row r="358" spans="1:10" x14ac:dyDescent="0.3">
      <c r="A358" s="39"/>
      <c r="B358" s="551" t="s">
        <v>467</v>
      </c>
      <c r="C358" s="552"/>
      <c r="D358" s="95">
        <v>1</v>
      </c>
      <c r="E358" s="47"/>
      <c r="F358" s="47">
        <f>+E280</f>
        <v>0.8</v>
      </c>
      <c r="G358" s="47">
        <f>+E281</f>
        <v>1.22</v>
      </c>
      <c r="H358" s="47">
        <f>+D358*F358*G358</f>
        <v>0.97599999999999998</v>
      </c>
      <c r="I358" s="51"/>
      <c r="J358" s="51"/>
    </row>
    <row r="359" spans="1:10" x14ac:dyDescent="0.3">
      <c r="A359" s="39"/>
      <c r="B359" s="569" t="s">
        <v>468</v>
      </c>
      <c r="C359" s="569"/>
      <c r="D359" s="45">
        <v>2</v>
      </c>
      <c r="E359" s="52">
        <f>+E279-E283</f>
        <v>0.95000000000000007</v>
      </c>
      <c r="F359" s="48"/>
      <c r="G359" s="47">
        <f>+E281</f>
        <v>1.22</v>
      </c>
      <c r="H359" s="47">
        <f>+D359*E359*G359</f>
        <v>2.3180000000000001</v>
      </c>
      <c r="I359" s="120"/>
      <c r="J359" s="45"/>
    </row>
    <row r="360" spans="1:10" x14ac:dyDescent="0.3">
      <c r="A360" s="39"/>
      <c r="B360" s="570" t="s">
        <v>469</v>
      </c>
      <c r="C360" s="571"/>
      <c r="D360" s="45">
        <v>1</v>
      </c>
      <c r="E360" s="47"/>
      <c r="F360" s="47">
        <f>+E280-E283*2</f>
        <v>0.60000000000000009</v>
      </c>
      <c r="G360" s="47">
        <f>+E281</f>
        <v>1.22</v>
      </c>
      <c r="H360" s="47">
        <f>+D360*F360*G360</f>
        <v>0.7320000000000001</v>
      </c>
      <c r="I360" s="120"/>
      <c r="J360" s="45"/>
    </row>
    <row r="361" spans="1:10" x14ac:dyDescent="0.3">
      <c r="A361" s="39"/>
      <c r="B361" s="569" t="s">
        <v>363</v>
      </c>
      <c r="C361" s="569"/>
      <c r="D361" s="45">
        <v>1</v>
      </c>
      <c r="E361" s="47">
        <f>+E279*2+E280*2</f>
        <v>3.7</v>
      </c>
      <c r="F361" s="45"/>
      <c r="G361" s="47">
        <f>+E282</f>
        <v>0.1</v>
      </c>
      <c r="H361" s="47">
        <f>+D361*E361*G361</f>
        <v>0.37000000000000005</v>
      </c>
      <c r="I361" s="120"/>
      <c r="J361" s="45"/>
    </row>
    <row r="362" spans="1:10" x14ac:dyDescent="0.3">
      <c r="A362" s="39"/>
      <c r="B362" s="569" t="s">
        <v>470</v>
      </c>
      <c r="C362" s="569"/>
      <c r="D362" s="45">
        <v>2</v>
      </c>
      <c r="E362" s="47">
        <f>+E283</f>
        <v>0.1</v>
      </c>
      <c r="F362" s="47"/>
      <c r="G362" s="47">
        <f>+E281+E282</f>
        <v>1.32</v>
      </c>
      <c r="H362" s="47">
        <f>+D362*E362*G362</f>
        <v>0.26400000000000001</v>
      </c>
      <c r="I362" s="120"/>
      <c r="J362" s="45"/>
    </row>
    <row r="363" spans="1:10" x14ac:dyDescent="0.3">
      <c r="A363" s="39"/>
      <c r="B363" s="134"/>
      <c r="C363" s="134"/>
      <c r="D363" s="48"/>
      <c r="E363" s="48"/>
      <c r="F363" s="48"/>
      <c r="G363" s="48"/>
      <c r="H363" s="65"/>
      <c r="I363" s="64"/>
      <c r="J363" s="66"/>
    </row>
    <row r="364" spans="1:10" x14ac:dyDescent="0.3">
      <c r="A364" s="90">
        <f>+A351+0.00000001</f>
        <v>1.0205040299999995</v>
      </c>
      <c r="B364" s="37" t="s">
        <v>417</v>
      </c>
      <c r="C364" s="64"/>
      <c r="D364" s="64"/>
      <c r="E364" s="97"/>
      <c r="F364" s="98"/>
      <c r="G364" s="48"/>
      <c r="H364" s="48"/>
      <c r="I364" s="48"/>
      <c r="J364" s="48"/>
    </row>
    <row r="365" spans="1:10" x14ac:dyDescent="0.3">
      <c r="A365" s="92">
        <f>+A364+0.0000000001</f>
        <v>1.0205040300999995</v>
      </c>
      <c r="B365" s="48" t="s">
        <v>471</v>
      </c>
      <c r="C365" s="72"/>
      <c r="D365" s="72"/>
      <c r="E365" s="72"/>
      <c r="F365" s="66"/>
      <c r="G365" s="66"/>
      <c r="H365" s="48"/>
      <c r="I365" s="53">
        <v>1</v>
      </c>
      <c r="J365" s="48" t="s">
        <v>388</v>
      </c>
    </row>
    <row r="366" spans="1:10" x14ac:dyDescent="0.3">
      <c r="A366" s="39"/>
      <c r="B366" s="64"/>
      <c r="C366" s="72"/>
      <c r="D366" s="72"/>
      <c r="E366" s="72"/>
      <c r="F366" s="66"/>
      <c r="G366" s="66"/>
      <c r="H366" s="48"/>
      <c r="I366" s="65"/>
      <c r="J366" s="64"/>
    </row>
    <row r="367" spans="1:10" x14ac:dyDescent="0.3">
      <c r="A367" s="39"/>
      <c r="B367" s="135"/>
      <c r="C367" s="572" t="s">
        <v>306</v>
      </c>
      <c r="D367" s="572"/>
      <c r="E367" s="572"/>
      <c r="F367" s="42" t="s">
        <v>472</v>
      </c>
      <c r="G367" s="42" t="s">
        <v>313</v>
      </c>
      <c r="H367" s="65"/>
      <c r="I367" s="64"/>
      <c r="J367" s="66"/>
    </row>
    <row r="368" spans="1:10" x14ac:dyDescent="0.3">
      <c r="A368" s="39"/>
      <c r="B368" s="135"/>
      <c r="C368" s="566" t="s">
        <v>473</v>
      </c>
      <c r="D368" s="567"/>
      <c r="E368" s="568"/>
      <c r="F368" s="52">
        <v>1</v>
      </c>
      <c r="G368" s="45" t="s">
        <v>314</v>
      </c>
      <c r="H368" s="65"/>
      <c r="I368" s="64"/>
      <c r="J368" s="66"/>
    </row>
    <row r="369" spans="1:10" x14ac:dyDescent="0.3">
      <c r="A369" s="39"/>
      <c r="B369" s="135"/>
      <c r="C369" s="566" t="s">
        <v>474</v>
      </c>
      <c r="D369" s="567"/>
      <c r="E369" s="568"/>
      <c r="F369" s="52">
        <f>6*0.9</f>
        <v>5.4</v>
      </c>
      <c r="G369" s="45" t="s">
        <v>349</v>
      </c>
      <c r="H369" s="65"/>
      <c r="I369" s="64"/>
      <c r="J369" s="66"/>
    </row>
    <row r="370" spans="1:10" x14ac:dyDescent="0.3">
      <c r="A370" s="39"/>
      <c r="B370" s="135"/>
      <c r="C370" s="566" t="s">
        <v>475</v>
      </c>
      <c r="D370" s="567"/>
      <c r="E370" s="568"/>
      <c r="F370" s="52">
        <v>4</v>
      </c>
      <c r="G370" s="45" t="s">
        <v>476</v>
      </c>
      <c r="H370" s="65"/>
      <c r="I370" s="64"/>
      <c r="J370" s="66"/>
    </row>
    <row r="371" spans="1:10" x14ac:dyDescent="0.3">
      <c r="A371" s="39"/>
      <c r="B371" s="135"/>
      <c r="C371" s="566" t="s">
        <v>477</v>
      </c>
      <c r="D371" s="567"/>
      <c r="E371" s="568"/>
      <c r="F371" s="52">
        <v>1</v>
      </c>
      <c r="G371" s="45" t="s">
        <v>476</v>
      </c>
      <c r="H371" s="65"/>
      <c r="I371" s="64"/>
      <c r="J371" s="66"/>
    </row>
    <row r="372" spans="1:10" x14ac:dyDescent="0.3">
      <c r="A372" s="39"/>
      <c r="B372" s="64"/>
      <c r="C372" s="551" t="s">
        <v>478</v>
      </c>
      <c r="D372" s="556"/>
      <c r="E372" s="552"/>
      <c r="F372" s="52">
        <v>1</v>
      </c>
      <c r="G372" s="45" t="s">
        <v>476</v>
      </c>
      <c r="H372" s="66"/>
      <c r="I372" s="66"/>
      <c r="J372" s="66"/>
    </row>
    <row r="373" spans="1:10" x14ac:dyDescent="0.3">
      <c r="A373" s="39"/>
      <c r="B373" s="64"/>
      <c r="C373" s="64"/>
      <c r="D373" s="66"/>
      <c r="E373" s="66"/>
      <c r="F373" s="66"/>
      <c r="G373" s="66"/>
      <c r="H373" s="66"/>
      <c r="I373" s="66"/>
      <c r="J373" s="66"/>
    </row>
    <row r="374" spans="1:10" x14ac:dyDescent="0.3">
      <c r="A374" s="62"/>
      <c r="B374" s="62"/>
      <c r="C374" s="62"/>
      <c r="D374" s="62"/>
      <c r="E374" s="62"/>
      <c r="F374" s="62"/>
      <c r="G374" s="62"/>
      <c r="H374" s="62"/>
      <c r="I374" s="62"/>
      <c r="J374" s="62"/>
    </row>
    <row r="375" spans="1:10" x14ac:dyDescent="0.3">
      <c r="A375" s="92">
        <f>+A365+0.0000000001</f>
        <v>1.0205040301999995</v>
      </c>
      <c r="B375" s="48" t="s">
        <v>479</v>
      </c>
      <c r="C375" s="48"/>
      <c r="D375" s="48"/>
      <c r="E375" s="48"/>
      <c r="F375" s="48"/>
      <c r="G375" s="48"/>
      <c r="H375" s="48"/>
      <c r="I375" s="53">
        <f>+I378</f>
        <v>30.159289474462014</v>
      </c>
      <c r="J375" s="48" t="s">
        <v>349</v>
      </c>
    </row>
    <row r="376" spans="1:10" x14ac:dyDescent="0.3">
      <c r="A376" s="39"/>
      <c r="B376" s="48"/>
      <c r="C376" s="48"/>
      <c r="D376" s="48"/>
      <c r="E376" s="48"/>
      <c r="F376" s="48"/>
      <c r="G376" s="48"/>
      <c r="H376" s="48"/>
      <c r="I376" s="48"/>
      <c r="J376" s="64"/>
    </row>
    <row r="377" spans="1:10" x14ac:dyDescent="0.3">
      <c r="A377" s="39"/>
      <c r="B377" s="560" t="s">
        <v>306</v>
      </c>
      <c r="C377" s="561"/>
      <c r="D377" s="79" t="s">
        <v>307</v>
      </c>
      <c r="E377" s="80" t="s">
        <v>308</v>
      </c>
      <c r="F377" s="80" t="s">
        <v>309</v>
      </c>
      <c r="G377" s="79" t="s">
        <v>328</v>
      </c>
      <c r="H377" s="79" t="s">
        <v>311</v>
      </c>
      <c r="I377" s="79" t="s">
        <v>312</v>
      </c>
      <c r="J377" s="79" t="s">
        <v>313</v>
      </c>
    </row>
    <row r="378" spans="1:10" x14ac:dyDescent="0.3">
      <c r="A378" s="39"/>
      <c r="B378" s="81"/>
      <c r="C378" s="82"/>
      <c r="D378" s="79"/>
      <c r="E378" s="80"/>
      <c r="F378" s="79"/>
      <c r="G378" s="79"/>
      <c r="H378" s="79"/>
      <c r="I378" s="83">
        <f>+SUM(H379:H379)</f>
        <v>30.159289474462014</v>
      </c>
      <c r="J378" s="84" t="s">
        <v>349</v>
      </c>
    </row>
    <row r="379" spans="1:10" x14ac:dyDescent="0.3">
      <c r="A379" s="39"/>
      <c r="B379" s="555" t="s">
        <v>480</v>
      </c>
      <c r="C379" s="555"/>
      <c r="D379" s="45">
        <v>1</v>
      </c>
      <c r="E379" s="47">
        <f>2.4*4</f>
        <v>9.6</v>
      </c>
      <c r="F379" s="47"/>
      <c r="G379" s="47"/>
      <c r="H379" s="47">
        <f>+D379*PI()*E379</f>
        <v>30.159289474462014</v>
      </c>
      <c r="I379" s="51"/>
      <c r="J379" s="51"/>
    </row>
    <row r="380" spans="1:10" x14ac:dyDescent="0.3">
      <c r="A380" s="39"/>
      <c r="B380" s="48"/>
      <c r="C380" s="48"/>
      <c r="D380" s="48"/>
      <c r="E380" s="48"/>
      <c r="F380" s="48"/>
      <c r="G380" s="48"/>
      <c r="H380" s="48"/>
      <c r="I380" s="48"/>
      <c r="J380" s="48"/>
    </row>
    <row r="381" spans="1:10" x14ac:dyDescent="0.3">
      <c r="A381" s="92">
        <f>+A375+0.0000000001</f>
        <v>1.0205040302999995</v>
      </c>
      <c r="B381" s="48" t="s">
        <v>481</v>
      </c>
      <c r="C381" s="48"/>
      <c r="D381" s="48"/>
      <c r="E381" s="48"/>
      <c r="F381" s="48"/>
      <c r="G381" s="48"/>
      <c r="H381" s="48"/>
      <c r="I381" s="75">
        <v>1</v>
      </c>
      <c r="J381" s="48" t="s">
        <v>388</v>
      </c>
    </row>
    <row r="382" spans="1:10" x14ac:dyDescent="0.3">
      <c r="A382" s="39"/>
      <c r="B382" s="66"/>
      <c r="C382" s="66"/>
      <c r="D382" s="67"/>
      <c r="E382" s="66"/>
      <c r="F382" s="68"/>
      <c r="G382" s="96"/>
      <c r="H382" s="48"/>
      <c r="I382" s="48"/>
      <c r="J382" s="48"/>
    </row>
    <row r="383" spans="1:10" x14ac:dyDescent="0.3">
      <c r="A383" s="39"/>
      <c r="B383" s="565" t="s">
        <v>306</v>
      </c>
      <c r="C383" s="565"/>
      <c r="D383" s="565"/>
      <c r="E383" s="42" t="s">
        <v>472</v>
      </c>
      <c r="F383" s="44" t="s">
        <v>313</v>
      </c>
      <c r="G383" s="96"/>
      <c r="H383" s="48"/>
      <c r="I383" s="48"/>
      <c r="J383" s="48"/>
    </row>
    <row r="384" spans="1:10" x14ac:dyDescent="0.3">
      <c r="A384" s="39"/>
      <c r="B384" s="550" t="s">
        <v>482</v>
      </c>
      <c r="C384" s="550"/>
      <c r="D384" s="550"/>
      <c r="E384" s="136">
        <v>1</v>
      </c>
      <c r="F384" s="47" t="s">
        <v>388</v>
      </c>
      <c r="G384" s="96"/>
      <c r="H384" s="48"/>
      <c r="I384" s="48"/>
      <c r="J384" s="48"/>
    </row>
    <row r="385" spans="1:10" x14ac:dyDescent="0.3">
      <c r="A385" s="39"/>
      <c r="B385" s="550" t="s">
        <v>483</v>
      </c>
      <c r="C385" s="550"/>
      <c r="D385" s="550"/>
      <c r="E385" s="136">
        <v>2</v>
      </c>
      <c r="F385" s="47" t="s">
        <v>388</v>
      </c>
      <c r="G385" s="96"/>
      <c r="H385" s="48"/>
      <c r="I385" s="48"/>
      <c r="J385" s="48"/>
    </row>
    <row r="386" spans="1:10" x14ac:dyDescent="0.3">
      <c r="A386" s="39"/>
      <c r="B386" s="550" t="s">
        <v>484</v>
      </c>
      <c r="C386" s="550"/>
      <c r="D386" s="550"/>
      <c r="E386" s="136">
        <v>1</v>
      </c>
      <c r="F386" s="47" t="s">
        <v>388</v>
      </c>
      <c r="G386" s="96"/>
      <c r="H386" s="48"/>
      <c r="I386" s="48"/>
      <c r="J386" s="48"/>
    </row>
    <row r="387" spans="1:10" x14ac:dyDescent="0.3">
      <c r="A387" s="39"/>
      <c r="B387" s="48"/>
      <c r="C387" s="48"/>
      <c r="D387" s="48"/>
      <c r="E387" s="48"/>
      <c r="F387" s="48"/>
      <c r="G387" s="48"/>
      <c r="H387" s="48"/>
      <c r="I387" s="48"/>
      <c r="J387" s="48"/>
    </row>
    <row r="388" spans="1:10" x14ac:dyDescent="0.3">
      <c r="A388" s="92">
        <f>+A381+0.0000000001</f>
        <v>1.0205040303999995</v>
      </c>
      <c r="B388" s="48" t="s">
        <v>485</v>
      </c>
      <c r="C388" s="48"/>
      <c r="D388" s="48"/>
      <c r="E388" s="48"/>
      <c r="F388" s="48"/>
      <c r="G388" s="48"/>
      <c r="H388" s="48"/>
      <c r="I388" s="53">
        <v>1</v>
      </c>
      <c r="J388" s="48" t="s">
        <v>486</v>
      </c>
    </row>
    <row r="389" spans="1:10" x14ac:dyDescent="0.3">
      <c r="A389" s="39"/>
      <c r="B389" s="48"/>
      <c r="C389" s="48"/>
      <c r="D389" s="48"/>
      <c r="E389" s="48"/>
      <c r="F389" s="48"/>
      <c r="G389" s="48"/>
      <c r="H389" s="48"/>
      <c r="I389" s="48"/>
      <c r="J389" s="48"/>
    </row>
    <row r="390" spans="1:10" x14ac:dyDescent="0.3">
      <c r="A390" s="293">
        <f>+A310+0.000001</f>
        <v>1.0205049999999996</v>
      </c>
      <c r="B390" s="294" t="s">
        <v>293</v>
      </c>
      <c r="C390" s="295"/>
      <c r="D390" s="296"/>
      <c r="E390" s="296"/>
      <c r="F390" s="296"/>
      <c r="G390" s="297"/>
      <c r="H390" s="298"/>
      <c r="I390" s="299"/>
      <c r="J390" s="299"/>
    </row>
    <row r="391" spans="1:10" x14ac:dyDescent="0.3">
      <c r="A391" s="90">
        <f>+A390+0.00000001</f>
        <v>1.0205050099999995</v>
      </c>
      <c r="B391" s="37" t="s">
        <v>318</v>
      </c>
      <c r="C391" s="48"/>
      <c r="D391" s="48"/>
      <c r="E391" s="48"/>
      <c r="F391" s="48"/>
      <c r="G391" s="48"/>
      <c r="H391" s="48"/>
      <c r="I391" s="48"/>
      <c r="J391" s="48"/>
    </row>
    <row r="392" spans="1:10" ht="16.8" x14ac:dyDescent="0.3">
      <c r="A392" s="92">
        <f>+A391+0.0000000001</f>
        <v>1.0205050100999995</v>
      </c>
      <c r="B392" s="48" t="s">
        <v>487</v>
      </c>
      <c r="C392" s="48"/>
      <c r="D392" s="48"/>
      <c r="E392" s="48"/>
      <c r="F392" s="48"/>
      <c r="G392" s="48"/>
      <c r="H392" s="48"/>
      <c r="I392" s="53">
        <f>+I395</f>
        <v>0.23400000000000001</v>
      </c>
      <c r="J392" s="48" t="s">
        <v>320</v>
      </c>
    </row>
    <row r="393" spans="1:10" x14ac:dyDescent="0.3">
      <c r="A393" s="63"/>
      <c r="B393" s="113"/>
      <c r="C393" s="137"/>
      <c r="D393" s="138"/>
      <c r="E393" s="138"/>
      <c r="F393" s="138"/>
      <c r="G393" s="100"/>
      <c r="H393" s="139"/>
      <c r="I393" s="69"/>
      <c r="J393" s="69"/>
    </row>
    <row r="394" spans="1:10" x14ac:dyDescent="0.3">
      <c r="A394" s="63"/>
      <c r="B394" s="560" t="s">
        <v>306</v>
      </c>
      <c r="C394" s="561"/>
      <c r="D394" s="79" t="s">
        <v>307</v>
      </c>
      <c r="E394" s="80" t="s">
        <v>308</v>
      </c>
      <c r="F394" s="80" t="s">
        <v>309</v>
      </c>
      <c r="G394" s="79" t="s">
        <v>328</v>
      </c>
      <c r="H394" s="79" t="s">
        <v>311</v>
      </c>
      <c r="I394" s="79" t="s">
        <v>312</v>
      </c>
      <c r="J394" s="79" t="s">
        <v>313</v>
      </c>
    </row>
    <row r="395" spans="1:10" x14ac:dyDescent="0.3">
      <c r="A395" s="63"/>
      <c r="B395" s="81"/>
      <c r="C395" s="82"/>
      <c r="D395" s="79"/>
      <c r="E395" s="80"/>
      <c r="F395" s="79"/>
      <c r="G395" s="79"/>
      <c r="H395" s="79"/>
      <c r="I395" s="83">
        <f>+SUM(H396:H397)</f>
        <v>0.23400000000000001</v>
      </c>
      <c r="J395" s="84" t="s">
        <v>321</v>
      </c>
    </row>
    <row r="396" spans="1:10" x14ac:dyDescent="0.3">
      <c r="A396" s="63"/>
      <c r="B396" s="555" t="s">
        <v>488</v>
      </c>
      <c r="C396" s="555"/>
      <c r="D396" s="45">
        <v>1</v>
      </c>
      <c r="E396" s="54">
        <f>+I24+2*I26</f>
        <v>1.2</v>
      </c>
      <c r="F396" s="47">
        <f>+I25+I26</f>
        <v>0.9</v>
      </c>
      <c r="G396" s="58">
        <v>0.2</v>
      </c>
      <c r="H396" s="47">
        <f>+D396*E396*F396*G396</f>
        <v>0.21600000000000003</v>
      </c>
      <c r="I396" s="51"/>
      <c r="J396" s="51"/>
    </row>
    <row r="397" spans="1:10" x14ac:dyDescent="0.3">
      <c r="A397" s="63"/>
      <c r="B397" s="550" t="s">
        <v>489</v>
      </c>
      <c r="C397" s="550"/>
      <c r="D397" s="140">
        <v>1</v>
      </c>
      <c r="E397" s="54">
        <v>0.3</v>
      </c>
      <c r="F397" s="47">
        <v>0.3</v>
      </c>
      <c r="G397" s="58">
        <v>0.2</v>
      </c>
      <c r="H397" s="47">
        <f>+D397*E397*F397*G397</f>
        <v>1.7999999999999999E-2</v>
      </c>
      <c r="I397" s="142"/>
      <c r="J397" s="142"/>
    </row>
    <row r="398" spans="1:10" x14ac:dyDescent="0.3">
      <c r="A398" s="63"/>
      <c r="B398" s="113"/>
      <c r="C398" s="137"/>
      <c r="D398" s="138"/>
      <c r="E398" s="138"/>
      <c r="F398" s="138"/>
      <c r="G398" s="100"/>
      <c r="H398" s="139"/>
      <c r="I398" s="69"/>
      <c r="J398" s="69"/>
    </row>
    <row r="399" spans="1:10" x14ac:dyDescent="0.3">
      <c r="A399" s="143"/>
      <c r="B399" s="48"/>
      <c r="C399" s="48"/>
      <c r="D399" s="48"/>
      <c r="E399" s="48"/>
      <c r="F399" s="48"/>
      <c r="G399" s="48"/>
      <c r="H399" s="48"/>
      <c r="I399" s="48"/>
      <c r="J399" s="48"/>
    </row>
    <row r="400" spans="1:10" ht="16.8" x14ac:dyDescent="0.3">
      <c r="A400" s="92">
        <f>+A392+0.0000000001</f>
        <v>1.0205050101999995</v>
      </c>
      <c r="B400" s="48" t="s">
        <v>490</v>
      </c>
      <c r="C400" s="48"/>
      <c r="D400" s="48"/>
      <c r="E400" s="48"/>
      <c r="F400" s="48"/>
      <c r="G400" s="48"/>
      <c r="H400" s="48"/>
      <c r="I400" s="53">
        <f>+I403</f>
        <v>7.1999999999999995E-2</v>
      </c>
      <c r="J400" s="48" t="s">
        <v>320</v>
      </c>
    </row>
    <row r="401" spans="1:10" x14ac:dyDescent="0.3">
      <c r="A401" s="143"/>
      <c r="B401" s="48"/>
      <c r="C401" s="48"/>
      <c r="D401" s="48"/>
      <c r="E401" s="48"/>
      <c r="F401" s="48"/>
      <c r="G401" s="48"/>
      <c r="H401" s="48"/>
      <c r="I401" s="48"/>
      <c r="J401" s="48"/>
    </row>
    <row r="402" spans="1:10" x14ac:dyDescent="0.3">
      <c r="A402" s="143"/>
      <c r="B402" s="560" t="s">
        <v>306</v>
      </c>
      <c r="C402" s="561"/>
      <c r="D402" s="79" t="s">
        <v>307</v>
      </c>
      <c r="E402" s="80" t="s">
        <v>308</v>
      </c>
      <c r="F402" s="80" t="s">
        <v>309</v>
      </c>
      <c r="G402" s="79" t="s">
        <v>328</v>
      </c>
      <c r="H402" s="79" t="s">
        <v>311</v>
      </c>
      <c r="I402" s="79" t="s">
        <v>312</v>
      </c>
      <c r="J402" s="79" t="s">
        <v>313</v>
      </c>
    </row>
    <row r="403" spans="1:10" x14ac:dyDescent="0.3">
      <c r="A403" s="143"/>
      <c r="B403" s="81"/>
      <c r="C403" s="82"/>
      <c r="D403" s="79"/>
      <c r="E403" s="80"/>
      <c r="F403" s="79"/>
      <c r="G403" s="79"/>
      <c r="H403" s="79"/>
      <c r="I403" s="83">
        <f>+SUM(H404:H404)</f>
        <v>7.1999999999999995E-2</v>
      </c>
      <c r="J403" s="84" t="s">
        <v>321</v>
      </c>
    </row>
    <row r="404" spans="1:10" x14ac:dyDescent="0.3">
      <c r="A404" s="143"/>
      <c r="B404" s="555" t="s">
        <v>491</v>
      </c>
      <c r="C404" s="555"/>
      <c r="D404" s="45">
        <v>1.2</v>
      </c>
      <c r="E404" s="58">
        <v>3</v>
      </c>
      <c r="F404" s="58">
        <v>0.1</v>
      </c>
      <c r="G404" s="58">
        <v>0.2</v>
      </c>
      <c r="H404" s="141">
        <f>+D404*E404*F404*G404</f>
        <v>7.1999999999999995E-2</v>
      </c>
      <c r="I404" s="51"/>
      <c r="J404" s="51"/>
    </row>
    <row r="405" spans="1:10" x14ac:dyDescent="0.3">
      <c r="A405" s="143"/>
      <c r="B405" s="48"/>
      <c r="C405" s="48"/>
      <c r="D405" s="48"/>
      <c r="E405" s="48"/>
      <c r="F405" s="48"/>
      <c r="G405" s="48"/>
      <c r="H405" s="48"/>
      <c r="I405" s="48"/>
      <c r="J405" s="48"/>
    </row>
    <row r="406" spans="1:10" ht="16.8" x14ac:dyDescent="0.3">
      <c r="A406" s="92">
        <f>+A400+0.0000000001</f>
        <v>1.0205050102999995</v>
      </c>
      <c r="B406" s="48" t="s">
        <v>492</v>
      </c>
      <c r="C406" s="48"/>
      <c r="D406" s="48"/>
      <c r="E406" s="48"/>
      <c r="F406" s="48"/>
      <c r="G406" s="48"/>
      <c r="H406" s="48"/>
      <c r="I406" s="53">
        <f>+I409</f>
        <v>0.20879999999999999</v>
      </c>
      <c r="J406" s="48" t="s">
        <v>320</v>
      </c>
    </row>
    <row r="407" spans="1:10" x14ac:dyDescent="0.3">
      <c r="A407" s="143"/>
      <c r="B407" s="48"/>
      <c r="C407" s="48"/>
      <c r="D407" s="48"/>
      <c r="E407" s="48"/>
      <c r="F407" s="48"/>
      <c r="G407" s="48"/>
      <c r="H407" s="48"/>
      <c r="I407" s="48"/>
      <c r="J407" s="48"/>
    </row>
    <row r="408" spans="1:10" x14ac:dyDescent="0.3">
      <c r="A408" s="143"/>
      <c r="B408" s="560" t="s">
        <v>306</v>
      </c>
      <c r="C408" s="561"/>
      <c r="D408" s="79" t="s">
        <v>307</v>
      </c>
      <c r="E408" s="80" t="s">
        <v>330</v>
      </c>
      <c r="F408" s="80" t="s">
        <v>493</v>
      </c>
      <c r="G408" s="79" t="s">
        <v>328</v>
      </c>
      <c r="H408" s="79" t="s">
        <v>311</v>
      </c>
      <c r="I408" s="79" t="s">
        <v>312</v>
      </c>
      <c r="J408" s="79" t="s">
        <v>313</v>
      </c>
    </row>
    <row r="409" spans="1:10" x14ac:dyDescent="0.3">
      <c r="A409" s="143"/>
      <c r="B409" s="81"/>
      <c r="C409" s="82"/>
      <c r="D409" s="79"/>
      <c r="E409" s="80"/>
      <c r="F409" s="79"/>
      <c r="G409" s="79"/>
      <c r="H409" s="79"/>
      <c r="I409" s="83">
        <f>+SUM(H410:H410)</f>
        <v>0.20879999999999999</v>
      </c>
      <c r="J409" s="84" t="s">
        <v>321</v>
      </c>
    </row>
    <row r="410" spans="1:10" x14ac:dyDescent="0.3">
      <c r="A410" s="143"/>
      <c r="B410" s="555" t="s">
        <v>494</v>
      </c>
      <c r="C410" s="555"/>
      <c r="D410" s="45">
        <v>1</v>
      </c>
      <c r="E410" s="54">
        <f>+I392*1.2</f>
        <v>0.28079999999999999</v>
      </c>
      <c r="F410" s="58">
        <f>+I400</f>
        <v>7.1999999999999995E-2</v>
      </c>
      <c r="G410" s="58"/>
      <c r="H410" s="141">
        <f>+D410*(E410-F410)</f>
        <v>0.20879999999999999</v>
      </c>
      <c r="I410" s="51"/>
      <c r="J410" s="51"/>
    </row>
    <row r="411" spans="1:10" x14ac:dyDescent="0.3">
      <c r="A411" s="143"/>
      <c r="B411" s="48"/>
      <c r="C411" s="48"/>
      <c r="D411" s="48"/>
      <c r="E411" s="48"/>
      <c r="F411" s="48"/>
      <c r="G411" s="48"/>
      <c r="H411" s="48"/>
      <c r="I411" s="48"/>
      <c r="J411" s="48"/>
    </row>
    <row r="412" spans="1:10" ht="16.8" x14ac:dyDescent="0.3">
      <c r="A412" s="92">
        <f>+A406+0.0000000001</f>
        <v>1.0205050103999995</v>
      </c>
      <c r="B412" s="48" t="s">
        <v>495</v>
      </c>
      <c r="C412" s="48"/>
      <c r="D412" s="48"/>
      <c r="E412" s="48"/>
      <c r="F412" s="48"/>
      <c r="G412" s="48"/>
      <c r="H412" s="48"/>
      <c r="I412" s="53">
        <f>+I415</f>
        <v>2.5446900494077322E-2</v>
      </c>
      <c r="J412" s="48" t="s">
        <v>320</v>
      </c>
    </row>
    <row r="413" spans="1:10" x14ac:dyDescent="0.3">
      <c r="A413" s="143"/>
      <c r="B413" s="48"/>
      <c r="C413" s="48"/>
      <c r="D413" s="48"/>
      <c r="E413" s="48"/>
      <c r="F413" s="48"/>
      <c r="G413" s="48"/>
      <c r="H413" s="48"/>
      <c r="I413" s="48"/>
      <c r="J413" s="48"/>
    </row>
    <row r="414" spans="1:10" x14ac:dyDescent="0.3">
      <c r="A414" s="143"/>
      <c r="B414" s="560" t="s">
        <v>306</v>
      </c>
      <c r="C414" s="561"/>
      <c r="D414" s="79" t="s">
        <v>307</v>
      </c>
      <c r="E414" s="80" t="s">
        <v>308</v>
      </c>
      <c r="F414" s="80" t="s">
        <v>309</v>
      </c>
      <c r="G414" s="79" t="s">
        <v>328</v>
      </c>
      <c r="H414" s="79" t="s">
        <v>311</v>
      </c>
      <c r="I414" s="79" t="s">
        <v>312</v>
      </c>
      <c r="J414" s="79" t="s">
        <v>313</v>
      </c>
    </row>
    <row r="415" spans="1:10" x14ac:dyDescent="0.3">
      <c r="A415" s="143"/>
      <c r="B415" s="81"/>
      <c r="C415" s="82"/>
      <c r="D415" s="79"/>
      <c r="E415" s="80"/>
      <c r="F415" s="79"/>
      <c r="G415" s="79"/>
      <c r="H415" s="79"/>
      <c r="I415" s="83">
        <f>+SUM(H416:H416)</f>
        <v>2.5446900494077322E-2</v>
      </c>
      <c r="J415" s="84" t="s">
        <v>321</v>
      </c>
    </row>
    <row r="416" spans="1:10" x14ac:dyDescent="0.3">
      <c r="A416" s="143"/>
      <c r="B416" s="555" t="s">
        <v>496</v>
      </c>
      <c r="C416" s="555"/>
      <c r="D416" s="45">
        <v>1.2</v>
      </c>
      <c r="E416" s="58">
        <f>+E397</f>
        <v>0.3</v>
      </c>
      <c r="F416" s="58">
        <f>+F397</f>
        <v>0.3</v>
      </c>
      <c r="G416" s="58">
        <v>0.3</v>
      </c>
      <c r="H416" s="141">
        <f>+D416*PI()*(E416^2)/4*G416</f>
        <v>2.5446900494077322E-2</v>
      </c>
      <c r="I416" s="51"/>
      <c r="J416" s="51"/>
    </row>
    <row r="417" spans="1:10" x14ac:dyDescent="0.3">
      <c r="A417" s="143"/>
      <c r="B417" s="48"/>
      <c r="C417" s="48"/>
      <c r="D417" s="48"/>
      <c r="E417" s="48"/>
      <c r="F417" s="48"/>
      <c r="G417" s="48"/>
      <c r="H417" s="48"/>
      <c r="I417" s="48"/>
      <c r="J417" s="48"/>
    </row>
    <row r="418" spans="1:10" x14ac:dyDescent="0.3">
      <c r="A418" s="90">
        <f>+A391+0.00000001</f>
        <v>1.0205050199999994</v>
      </c>
      <c r="B418" s="59" t="s">
        <v>358</v>
      </c>
      <c r="C418" s="48"/>
      <c r="D418" s="48"/>
      <c r="E418" s="48"/>
      <c r="F418" s="48"/>
      <c r="G418" s="48"/>
      <c r="H418" s="48"/>
      <c r="I418" s="48"/>
      <c r="J418" s="48"/>
    </row>
    <row r="419" spans="1:10" x14ac:dyDescent="0.3">
      <c r="A419" s="143"/>
      <c r="B419" s="48"/>
      <c r="C419" s="48"/>
      <c r="D419" s="48"/>
      <c r="E419" s="48"/>
      <c r="F419" s="48"/>
      <c r="G419" s="48"/>
      <c r="H419" s="48"/>
      <c r="I419" s="48"/>
      <c r="J419" s="48"/>
    </row>
    <row r="420" spans="1:10" ht="16.8" x14ac:dyDescent="0.3">
      <c r="A420" s="92">
        <f>+A418+0.0000000001</f>
        <v>1.0205050200999994</v>
      </c>
      <c r="B420" s="48" t="s">
        <v>497</v>
      </c>
      <c r="C420" s="48"/>
      <c r="D420" s="48"/>
      <c r="E420" s="48"/>
      <c r="F420" s="48"/>
      <c r="G420" s="48"/>
      <c r="H420" s="48"/>
      <c r="I420" s="53">
        <f>+I424</f>
        <v>0.38700000000000001</v>
      </c>
      <c r="J420" s="48" t="s">
        <v>320</v>
      </c>
    </row>
    <row r="421" spans="1:10" x14ac:dyDescent="0.3">
      <c r="A421" s="144"/>
      <c r="B421" s="48" t="s">
        <v>498</v>
      </c>
      <c r="C421" s="48"/>
      <c r="D421" s="48"/>
      <c r="E421" s="48"/>
      <c r="F421" s="48"/>
      <c r="G421" s="48"/>
      <c r="H421" s="48"/>
      <c r="I421" s="53"/>
      <c r="J421" s="48"/>
    </row>
    <row r="422" spans="1:10" x14ac:dyDescent="0.3">
      <c r="A422" s="88"/>
      <c r="B422" s="64"/>
      <c r="C422" s="48"/>
      <c r="D422" s="48"/>
      <c r="E422" s="48"/>
      <c r="F422" s="48"/>
      <c r="G422" s="48"/>
      <c r="H422" s="48"/>
      <c r="I422" s="65"/>
      <c r="J422" s="64"/>
    </row>
    <row r="423" spans="1:10" x14ac:dyDescent="0.3">
      <c r="A423" s="88"/>
      <c r="B423" s="560" t="s">
        <v>306</v>
      </c>
      <c r="C423" s="561"/>
      <c r="D423" s="79" t="s">
        <v>307</v>
      </c>
      <c r="E423" s="80" t="s">
        <v>308</v>
      </c>
      <c r="F423" s="80" t="s">
        <v>309</v>
      </c>
      <c r="G423" s="79" t="s">
        <v>328</v>
      </c>
      <c r="H423" s="79" t="s">
        <v>311</v>
      </c>
      <c r="I423" s="79" t="s">
        <v>312</v>
      </c>
      <c r="J423" s="79" t="s">
        <v>313</v>
      </c>
    </row>
    <row r="424" spans="1:10" x14ac:dyDescent="0.3">
      <c r="A424" s="88"/>
      <c r="B424" s="81"/>
      <c r="C424" s="82"/>
      <c r="D424" s="79"/>
      <c r="E424" s="80"/>
      <c r="F424" s="79"/>
      <c r="G424" s="79"/>
      <c r="H424" s="79"/>
      <c r="I424" s="83">
        <f>+SUM(H425:H430)</f>
        <v>0.38700000000000001</v>
      </c>
      <c r="J424" s="84" t="s">
        <v>321</v>
      </c>
    </row>
    <row r="425" spans="1:10" x14ac:dyDescent="0.3">
      <c r="A425" s="88"/>
      <c r="B425" s="555" t="s">
        <v>499</v>
      </c>
      <c r="C425" s="555"/>
      <c r="D425" s="45">
        <v>1</v>
      </c>
      <c r="E425" s="54">
        <f>+I24+2*I26</f>
        <v>1.2</v>
      </c>
      <c r="F425" s="58">
        <f>+I25+I26</f>
        <v>0.9</v>
      </c>
      <c r="G425" s="58">
        <f>+I18</f>
        <v>0.1</v>
      </c>
      <c r="H425" s="141">
        <f t="shared" ref="H425:H430" si="10">+D425*E425*F425*G425</f>
        <v>0.10800000000000001</v>
      </c>
      <c r="I425" s="51"/>
      <c r="J425" s="51"/>
    </row>
    <row r="426" spans="1:10" x14ac:dyDescent="0.3">
      <c r="A426" s="88"/>
      <c r="B426" s="562" t="s">
        <v>500</v>
      </c>
      <c r="C426" s="563"/>
      <c r="D426" s="45">
        <v>-1</v>
      </c>
      <c r="E426" s="54">
        <f>+I30</f>
        <v>0.6</v>
      </c>
      <c r="F426" s="58">
        <f>+E426</f>
        <v>0.6</v>
      </c>
      <c r="G426" s="58">
        <f>+G425</f>
        <v>0.1</v>
      </c>
      <c r="H426" s="141">
        <f t="shared" si="10"/>
        <v>-3.5999999999999997E-2</v>
      </c>
      <c r="I426" s="51"/>
      <c r="J426" s="51"/>
    </row>
    <row r="427" spans="1:10" x14ac:dyDescent="0.3">
      <c r="A427" s="88"/>
      <c r="B427" s="550" t="s">
        <v>501</v>
      </c>
      <c r="C427" s="550"/>
      <c r="D427" s="45">
        <v>1</v>
      </c>
      <c r="E427" s="47">
        <f>+E425</f>
        <v>1.2</v>
      </c>
      <c r="F427" s="47">
        <f>+I26</f>
        <v>0.1</v>
      </c>
      <c r="G427" s="47">
        <f>+I27</f>
        <v>0.7</v>
      </c>
      <c r="H427" s="45">
        <f t="shared" si="10"/>
        <v>8.3999999999999991E-2</v>
      </c>
      <c r="I427" s="145"/>
      <c r="J427" s="120"/>
    </row>
    <row r="428" spans="1:10" x14ac:dyDescent="0.3">
      <c r="A428" s="88"/>
      <c r="B428" s="550" t="s">
        <v>502</v>
      </c>
      <c r="C428" s="550"/>
      <c r="D428" s="45">
        <v>2</v>
      </c>
      <c r="E428" s="47">
        <f>+I25+0.1</f>
        <v>0.9</v>
      </c>
      <c r="F428" s="146">
        <f>+F427</f>
        <v>0.1</v>
      </c>
      <c r="G428" s="47">
        <f>+G427</f>
        <v>0.7</v>
      </c>
      <c r="H428" s="45">
        <f t="shared" si="10"/>
        <v>0.126</v>
      </c>
      <c r="I428" s="145"/>
      <c r="J428" s="120"/>
    </row>
    <row r="429" spans="1:10" x14ac:dyDescent="0.3">
      <c r="A429" s="88"/>
      <c r="B429" s="564" t="s">
        <v>503</v>
      </c>
      <c r="C429" s="564"/>
      <c r="D429" s="147">
        <v>1</v>
      </c>
      <c r="E429" s="47">
        <f>+E425</f>
        <v>1.2</v>
      </c>
      <c r="F429" s="47">
        <f>+E428+2*F428</f>
        <v>1.1000000000000001</v>
      </c>
      <c r="G429" s="68">
        <f>+G426</f>
        <v>0.1</v>
      </c>
      <c r="H429" s="147">
        <f t="shared" si="10"/>
        <v>0.13200000000000001</v>
      </c>
      <c r="I429" s="148"/>
      <c r="J429" s="149"/>
    </row>
    <row r="430" spans="1:10" x14ac:dyDescent="0.3">
      <c r="A430" s="88"/>
      <c r="B430" s="557" t="s">
        <v>504</v>
      </c>
      <c r="C430" s="557"/>
      <c r="D430" s="45">
        <v>-1</v>
      </c>
      <c r="E430" s="47">
        <f>+E416</f>
        <v>0.3</v>
      </c>
      <c r="F430" s="47">
        <f t="shared" ref="F430:G430" si="11">+F416</f>
        <v>0.3</v>
      </c>
      <c r="G430" s="47">
        <f t="shared" si="11"/>
        <v>0.3</v>
      </c>
      <c r="H430" s="147">
        <f t="shared" si="10"/>
        <v>-2.7E-2</v>
      </c>
      <c r="I430" s="145"/>
      <c r="J430" s="120"/>
    </row>
    <row r="431" spans="1:10" x14ac:dyDescent="0.3">
      <c r="A431" s="88"/>
      <c r="B431" s="64"/>
      <c r="C431" s="48"/>
      <c r="D431" s="48"/>
      <c r="E431" s="48"/>
      <c r="F431" s="48"/>
      <c r="G431" s="48"/>
      <c r="H431" s="48"/>
      <c r="I431" s="65"/>
      <c r="J431" s="64"/>
    </row>
    <row r="432" spans="1:10" x14ac:dyDescent="0.3">
      <c r="A432" s="39"/>
      <c r="B432" s="69"/>
      <c r="C432" s="69"/>
      <c r="D432" s="72"/>
      <c r="E432" s="57"/>
      <c r="F432" s="48"/>
      <c r="G432" s="48"/>
      <c r="H432" s="48"/>
      <c r="I432" s="48"/>
      <c r="J432" s="48"/>
    </row>
    <row r="433" spans="1:10" ht="16.8" x14ac:dyDescent="0.3">
      <c r="A433" s="92">
        <f>+A420+0.0000000001</f>
        <v>1.0205050201999994</v>
      </c>
      <c r="B433" s="48" t="s">
        <v>505</v>
      </c>
      <c r="C433" s="48"/>
      <c r="D433" s="48"/>
      <c r="E433" s="48"/>
      <c r="F433" s="48"/>
      <c r="G433" s="48"/>
      <c r="H433" s="48"/>
      <c r="I433" s="53">
        <f>+I437</f>
        <v>5.0199999999999996</v>
      </c>
      <c r="J433" s="48" t="s">
        <v>305</v>
      </c>
    </row>
    <row r="434" spans="1:10" x14ac:dyDescent="0.3">
      <c r="A434" s="144"/>
      <c r="B434" s="48" t="s">
        <v>506</v>
      </c>
      <c r="C434" s="48"/>
      <c r="D434" s="48"/>
      <c r="E434" s="48"/>
      <c r="F434" s="48"/>
      <c r="G434" s="48"/>
      <c r="H434" s="48"/>
      <c r="I434" s="53"/>
      <c r="J434" s="48"/>
    </row>
    <row r="435" spans="1:10" x14ac:dyDescent="0.3">
      <c r="A435" s="88"/>
      <c r="B435" s="64"/>
      <c r="C435" s="48"/>
      <c r="D435" s="48"/>
      <c r="E435" s="48"/>
      <c r="F435" s="48"/>
      <c r="G435" s="48"/>
      <c r="H435" s="48"/>
      <c r="I435" s="65"/>
      <c r="J435" s="64"/>
    </row>
    <row r="436" spans="1:10" x14ac:dyDescent="0.3">
      <c r="A436" s="88"/>
      <c r="B436" s="560" t="s">
        <v>306</v>
      </c>
      <c r="C436" s="561"/>
      <c r="D436" s="79" t="s">
        <v>307</v>
      </c>
      <c r="E436" s="80" t="s">
        <v>308</v>
      </c>
      <c r="F436" s="80" t="s">
        <v>309</v>
      </c>
      <c r="G436" s="79" t="s">
        <v>328</v>
      </c>
      <c r="H436" s="79" t="s">
        <v>311</v>
      </c>
      <c r="I436" s="79" t="s">
        <v>312</v>
      </c>
      <c r="J436" s="79" t="s">
        <v>313</v>
      </c>
    </row>
    <row r="437" spans="1:10" x14ac:dyDescent="0.3">
      <c r="A437" s="88"/>
      <c r="B437" s="81"/>
      <c r="C437" s="82"/>
      <c r="D437" s="79"/>
      <c r="E437" s="80"/>
      <c r="F437" s="79"/>
      <c r="G437" s="79"/>
      <c r="H437" s="79"/>
      <c r="I437" s="83">
        <f>+SUM(H438:H445)</f>
        <v>5.0199999999999996</v>
      </c>
      <c r="J437" s="84" t="s">
        <v>314</v>
      </c>
    </row>
    <row r="438" spans="1:10" x14ac:dyDescent="0.3">
      <c r="A438" s="88"/>
      <c r="B438" s="555" t="s">
        <v>507</v>
      </c>
      <c r="C438" s="555"/>
      <c r="D438" s="45"/>
      <c r="E438" s="54"/>
      <c r="F438" s="58"/>
      <c r="G438" s="58"/>
      <c r="H438" s="141"/>
      <c r="I438" s="51"/>
      <c r="J438" s="51"/>
    </row>
    <row r="439" spans="1:10" x14ac:dyDescent="0.3">
      <c r="A439" s="88"/>
      <c r="B439" s="562" t="s">
        <v>508</v>
      </c>
      <c r="C439" s="563"/>
      <c r="D439" s="45">
        <v>1</v>
      </c>
      <c r="E439" s="47">
        <f>+E425</f>
        <v>1.2</v>
      </c>
      <c r="F439" s="48"/>
      <c r="G439" s="47">
        <f>+G427</f>
        <v>0.7</v>
      </c>
      <c r="H439" s="141">
        <f>+D439*E439*G439</f>
        <v>0.84</v>
      </c>
      <c r="I439" s="51"/>
      <c r="J439" s="51"/>
    </row>
    <row r="440" spans="1:10" x14ac:dyDescent="0.3">
      <c r="A440" s="88"/>
      <c r="B440" s="562" t="s">
        <v>509</v>
      </c>
      <c r="C440" s="563"/>
      <c r="D440" s="45">
        <v>2</v>
      </c>
      <c r="E440" s="47"/>
      <c r="F440" s="47">
        <f>+E428</f>
        <v>0.9</v>
      </c>
      <c r="G440" s="52">
        <f>+G439</f>
        <v>0.7</v>
      </c>
      <c r="H440" s="141">
        <f>+D440*F440*G440</f>
        <v>1.26</v>
      </c>
      <c r="I440" s="51"/>
      <c r="J440" s="51"/>
    </row>
    <row r="441" spans="1:10" x14ac:dyDescent="0.3">
      <c r="A441" s="88"/>
      <c r="B441" s="562" t="s">
        <v>510</v>
      </c>
      <c r="C441" s="563"/>
      <c r="D441" s="45">
        <v>1</v>
      </c>
      <c r="E441" s="47">
        <f>+I24</f>
        <v>1</v>
      </c>
      <c r="F441" s="48"/>
      <c r="G441" s="47">
        <f>+G440</f>
        <v>0.7</v>
      </c>
      <c r="H441" s="141">
        <f>+D441*E441*G441</f>
        <v>0.7</v>
      </c>
      <c r="I441" s="51"/>
      <c r="J441" s="51"/>
    </row>
    <row r="442" spans="1:10" x14ac:dyDescent="0.3">
      <c r="A442" s="88"/>
      <c r="B442" s="562" t="s">
        <v>511</v>
      </c>
      <c r="C442" s="563"/>
      <c r="D442" s="45">
        <v>2</v>
      </c>
      <c r="E442" s="47"/>
      <c r="F442" s="47">
        <f>+F440-0.1</f>
        <v>0.8</v>
      </c>
      <c r="G442" s="52">
        <f>+G441</f>
        <v>0.7</v>
      </c>
      <c r="H442" s="141">
        <f>+D442*F442*G442</f>
        <v>1.1199999999999999</v>
      </c>
      <c r="I442" s="51"/>
      <c r="J442" s="51"/>
    </row>
    <row r="443" spans="1:10" x14ac:dyDescent="0.3">
      <c r="A443" s="88"/>
      <c r="B443" s="555" t="s">
        <v>512</v>
      </c>
      <c r="C443" s="555"/>
      <c r="D443" s="45"/>
      <c r="E443" s="47"/>
      <c r="F443" s="47"/>
      <c r="G443" s="47"/>
      <c r="H443" s="45"/>
      <c r="I443" s="145"/>
      <c r="J443" s="120"/>
    </row>
    <row r="444" spans="1:10" x14ac:dyDescent="0.3">
      <c r="A444" s="88"/>
      <c r="B444" s="557" t="s">
        <v>513</v>
      </c>
      <c r="C444" s="557"/>
      <c r="D444" s="45">
        <v>1</v>
      </c>
      <c r="E444" s="50">
        <f>+E441</f>
        <v>1</v>
      </c>
      <c r="F444" s="72">
        <f>+F442</f>
        <v>0.8</v>
      </c>
      <c r="G444" s="47"/>
      <c r="H444" s="45">
        <f>+D444*E444*F444</f>
        <v>0.8</v>
      </c>
      <c r="I444" s="145"/>
      <c r="J444" s="120"/>
    </row>
    <row r="445" spans="1:10" x14ac:dyDescent="0.3">
      <c r="A445" s="88"/>
      <c r="B445" s="557" t="s">
        <v>514</v>
      </c>
      <c r="C445" s="557"/>
      <c r="D445" s="45">
        <v>1</v>
      </c>
      <c r="E445" s="50">
        <f>+E439</f>
        <v>1.2</v>
      </c>
      <c r="F445" s="146">
        <f>+F425</f>
        <v>0.9</v>
      </c>
      <c r="G445" s="50">
        <v>0.1</v>
      </c>
      <c r="H445" s="45">
        <f>+(E445+2*F445)*G445</f>
        <v>0.30000000000000004</v>
      </c>
      <c r="I445" s="145"/>
      <c r="J445" s="120"/>
    </row>
    <row r="446" spans="1:10" x14ac:dyDescent="0.3">
      <c r="A446" s="88"/>
      <c r="B446" s="64"/>
      <c r="C446" s="48"/>
      <c r="D446" s="48"/>
      <c r="E446" s="48"/>
      <c r="F446" s="48"/>
      <c r="G446" s="48"/>
      <c r="H446" s="48"/>
      <c r="I446" s="65"/>
      <c r="J446" s="64"/>
    </row>
    <row r="447" spans="1:10" x14ac:dyDescent="0.3">
      <c r="A447" s="39"/>
      <c r="B447" s="69"/>
      <c r="C447" s="69"/>
      <c r="D447" s="72"/>
      <c r="E447" s="150"/>
      <c r="F447" s="48"/>
      <c r="G447" s="48"/>
      <c r="H447" s="48"/>
      <c r="I447" s="48"/>
      <c r="J447" s="48"/>
    </row>
    <row r="448" spans="1:10" x14ac:dyDescent="0.3">
      <c r="A448" s="92">
        <f>+A433+0.0000000001</f>
        <v>1.0205050202999995</v>
      </c>
      <c r="B448" s="48" t="s">
        <v>515</v>
      </c>
      <c r="C448" s="48"/>
      <c r="D448" s="48"/>
      <c r="E448" s="48"/>
      <c r="F448" s="48"/>
      <c r="G448" s="48"/>
      <c r="H448" s="48"/>
      <c r="I448" s="75">
        <f>+ACERO!P90</f>
        <v>26.812800000000006</v>
      </c>
      <c r="J448" s="48" t="s">
        <v>223</v>
      </c>
    </row>
    <row r="449" spans="1:10" x14ac:dyDescent="0.3">
      <c r="A449" s="88"/>
      <c r="B449" s="64"/>
      <c r="C449" s="48"/>
      <c r="D449" s="48"/>
      <c r="E449" s="48"/>
      <c r="F449" s="48"/>
      <c r="G449" s="48"/>
      <c r="H449" s="48"/>
      <c r="I449" s="65"/>
      <c r="J449" s="64"/>
    </row>
    <row r="450" spans="1:10" x14ac:dyDescent="0.3">
      <c r="A450" s="90">
        <f>+A418+0.00000001</f>
        <v>1.0205050299999994</v>
      </c>
      <c r="B450" s="59" t="s">
        <v>516</v>
      </c>
      <c r="C450" s="48"/>
      <c r="D450" s="48"/>
      <c r="E450" s="48"/>
      <c r="F450" s="48"/>
      <c r="G450" s="48"/>
      <c r="H450" s="48"/>
      <c r="I450" s="48"/>
      <c r="J450" s="48"/>
    </row>
    <row r="451" spans="1:10" ht="16.8" x14ac:dyDescent="0.3">
      <c r="A451" s="92">
        <f>+A450+0.0000000001</f>
        <v>1.0205050300999994</v>
      </c>
      <c r="B451" s="48" t="s">
        <v>517</v>
      </c>
      <c r="C451" s="48"/>
      <c r="D451" s="48"/>
      <c r="E451" s="48"/>
      <c r="F451" s="48"/>
      <c r="G451" s="48"/>
      <c r="H451" s="48"/>
      <c r="I451" s="53">
        <f>+I455</f>
        <v>5.7199999999999989</v>
      </c>
      <c r="J451" s="48" t="s">
        <v>305</v>
      </c>
    </row>
    <row r="452" spans="1:10" x14ac:dyDescent="0.3">
      <c r="A452" s="63"/>
      <c r="B452" s="64"/>
      <c r="C452" s="48"/>
      <c r="D452" s="48"/>
      <c r="E452" s="48"/>
      <c r="F452" s="48"/>
      <c r="G452" s="48"/>
      <c r="H452" s="48"/>
      <c r="I452" s="65"/>
      <c r="J452" s="64"/>
    </row>
    <row r="453" spans="1:10" x14ac:dyDescent="0.3">
      <c r="A453" s="143"/>
      <c r="B453" s="64"/>
      <c r="C453" s="64"/>
      <c r="D453" s="70"/>
      <c r="E453" s="151"/>
      <c r="F453" s="66"/>
      <c r="G453" s="66"/>
      <c r="H453" s="96"/>
      <c r="I453" s="68"/>
      <c r="J453" s="68"/>
    </row>
    <row r="454" spans="1:10" x14ac:dyDescent="0.3">
      <c r="A454" s="143"/>
      <c r="B454" s="560" t="s">
        <v>306</v>
      </c>
      <c r="C454" s="561"/>
      <c r="D454" s="79" t="s">
        <v>307</v>
      </c>
      <c r="E454" s="80" t="s">
        <v>308</v>
      </c>
      <c r="F454" s="80" t="s">
        <v>309</v>
      </c>
      <c r="G454" s="79" t="s">
        <v>328</v>
      </c>
      <c r="H454" s="79" t="s">
        <v>311</v>
      </c>
      <c r="I454" s="79" t="s">
        <v>312</v>
      </c>
      <c r="J454" s="79" t="s">
        <v>313</v>
      </c>
    </row>
    <row r="455" spans="1:10" x14ac:dyDescent="0.3">
      <c r="A455" s="143"/>
      <c r="B455" s="81"/>
      <c r="C455" s="82"/>
      <c r="D455" s="79"/>
      <c r="E455" s="80"/>
      <c r="F455" s="79"/>
      <c r="G455" s="79"/>
      <c r="H455" s="79"/>
      <c r="I455" s="83">
        <f>+SUM(H456:H464)</f>
        <v>5.7199999999999989</v>
      </c>
      <c r="J455" s="84" t="s">
        <v>314</v>
      </c>
    </row>
    <row r="456" spans="1:10" x14ac:dyDescent="0.3">
      <c r="A456" s="143"/>
      <c r="B456" s="555" t="s">
        <v>518</v>
      </c>
      <c r="C456" s="555"/>
      <c r="D456" s="45"/>
      <c r="E456" s="54"/>
      <c r="F456" s="58"/>
      <c r="G456" s="58"/>
      <c r="H456" s="141"/>
      <c r="I456" s="51"/>
      <c r="J456" s="51"/>
    </row>
    <row r="457" spans="1:10" x14ac:dyDescent="0.3">
      <c r="A457" s="143"/>
      <c r="B457" s="562" t="s">
        <v>519</v>
      </c>
      <c r="C457" s="563"/>
      <c r="D457" s="45">
        <v>1</v>
      </c>
      <c r="E457" s="47">
        <f>+E444+2*F444</f>
        <v>2.6</v>
      </c>
      <c r="F457" s="51"/>
      <c r="G457" s="47">
        <f>+G442</f>
        <v>0.7</v>
      </c>
      <c r="H457" s="47">
        <f>+D457*E457*G457</f>
        <v>1.8199999999999998</v>
      </c>
      <c r="I457" s="51"/>
      <c r="J457" s="51"/>
    </row>
    <row r="458" spans="1:10" x14ac:dyDescent="0.3">
      <c r="A458" s="143"/>
      <c r="B458" s="562" t="s">
        <v>520</v>
      </c>
      <c r="C458" s="563"/>
      <c r="D458" s="45">
        <v>1</v>
      </c>
      <c r="E458" s="47">
        <f>+E445+2*F445</f>
        <v>3</v>
      </c>
      <c r="F458" s="152"/>
      <c r="G458" s="68">
        <f>+G457</f>
        <v>0.7</v>
      </c>
      <c r="H458" s="47">
        <f>+D458*E458*G458</f>
        <v>2.0999999999999996</v>
      </c>
      <c r="I458" s="51"/>
      <c r="J458" s="51"/>
    </row>
    <row r="459" spans="1:10" x14ac:dyDescent="0.3">
      <c r="A459" s="143"/>
      <c r="B459" s="555" t="s">
        <v>521</v>
      </c>
      <c r="C459" s="555"/>
      <c r="D459" s="45"/>
      <c r="E459" s="47"/>
      <c r="F459" s="47"/>
      <c r="G459" s="47"/>
      <c r="H459" s="45"/>
      <c r="I459" s="145"/>
      <c r="J459" s="120"/>
    </row>
    <row r="460" spans="1:10" x14ac:dyDescent="0.3">
      <c r="A460" s="143"/>
      <c r="B460" s="557" t="s">
        <v>522</v>
      </c>
      <c r="C460" s="557"/>
      <c r="D460" s="45">
        <v>1</v>
      </c>
      <c r="E460" s="47">
        <f>+E444</f>
        <v>1</v>
      </c>
      <c r="F460" s="47">
        <f>+F444</f>
        <v>0.8</v>
      </c>
      <c r="G460" s="47"/>
      <c r="H460" s="45">
        <f>+D460*E460*F460</f>
        <v>0.8</v>
      </c>
      <c r="I460" s="145"/>
      <c r="J460" s="120"/>
    </row>
    <row r="461" spans="1:10" x14ac:dyDescent="0.3">
      <c r="A461" s="143"/>
      <c r="B461" s="558" t="s">
        <v>523</v>
      </c>
      <c r="C461" s="559"/>
      <c r="D461" s="45">
        <v>1</v>
      </c>
      <c r="E461" s="68">
        <f>+E457</f>
        <v>2.6</v>
      </c>
      <c r="F461" s="50"/>
      <c r="G461" s="47">
        <f>+G445</f>
        <v>0.1</v>
      </c>
      <c r="H461" s="45">
        <f>+D461*E461*G461</f>
        <v>0.26</v>
      </c>
      <c r="I461" s="145"/>
      <c r="J461" s="120"/>
    </row>
    <row r="462" spans="1:10" x14ac:dyDescent="0.3">
      <c r="A462" s="143"/>
      <c r="B462" s="558" t="s">
        <v>524</v>
      </c>
      <c r="C462" s="559"/>
      <c r="D462" s="45">
        <v>1</v>
      </c>
      <c r="E462" s="47">
        <f>+E458</f>
        <v>3</v>
      </c>
      <c r="F462" s="50"/>
      <c r="G462" s="47">
        <f>+G461</f>
        <v>0.1</v>
      </c>
      <c r="H462" s="45">
        <f>+D462*E462*G462</f>
        <v>0.30000000000000004</v>
      </c>
      <c r="I462" s="145"/>
      <c r="J462" s="120"/>
    </row>
    <row r="463" spans="1:10" x14ac:dyDescent="0.3">
      <c r="A463" s="143"/>
      <c r="B463" s="557" t="s">
        <v>525</v>
      </c>
      <c r="C463" s="557"/>
      <c r="D463" s="45">
        <v>-1</v>
      </c>
      <c r="E463" s="47">
        <f>+E426</f>
        <v>0.6</v>
      </c>
      <c r="F463" s="146">
        <f>+E463</f>
        <v>0.6</v>
      </c>
      <c r="G463" s="50"/>
      <c r="H463" s="45">
        <f>+D463*E463*F463</f>
        <v>-0.36</v>
      </c>
      <c r="I463" s="145"/>
      <c r="J463" s="120"/>
    </row>
    <row r="464" spans="1:10" x14ac:dyDescent="0.3">
      <c r="A464" s="143"/>
      <c r="B464" s="550" t="s">
        <v>526</v>
      </c>
      <c r="C464" s="550"/>
      <c r="D464" s="153">
        <v>1</v>
      </c>
      <c r="E464" s="58">
        <f>+E444</f>
        <v>1</v>
      </c>
      <c r="F464" s="47">
        <f>+F444</f>
        <v>0.8</v>
      </c>
      <c r="G464" s="45"/>
      <c r="H464" s="47">
        <f>+D464*E464*F464</f>
        <v>0.8</v>
      </c>
      <c r="I464" s="47"/>
      <c r="J464" s="47"/>
    </row>
    <row r="465" spans="1:10" x14ac:dyDescent="0.3">
      <c r="A465" s="143"/>
      <c r="B465" s="64"/>
      <c r="C465" s="64"/>
      <c r="D465" s="70"/>
      <c r="E465" s="151"/>
      <c r="F465" s="66"/>
      <c r="G465" s="66"/>
      <c r="H465" s="96"/>
      <c r="I465" s="68"/>
      <c r="J465" s="68"/>
    </row>
    <row r="466" spans="1:10" x14ac:dyDescent="0.3">
      <c r="A466" s="90">
        <f>+A450+0.00000001</f>
        <v>1.0205050399999993</v>
      </c>
      <c r="B466" s="59" t="s">
        <v>527</v>
      </c>
      <c r="C466" s="48"/>
      <c r="D466" s="48"/>
      <c r="E466" s="48"/>
      <c r="F466" s="48"/>
      <c r="G466" s="48"/>
      <c r="H466" s="48"/>
      <c r="I466" s="48"/>
      <c r="J466" s="48"/>
    </row>
    <row r="467" spans="1:10" ht="16.8" x14ac:dyDescent="0.3">
      <c r="A467" s="92">
        <f>+A466+0.0000000001</f>
        <v>1.0205050400999993</v>
      </c>
      <c r="B467" s="48" t="s">
        <v>528</v>
      </c>
      <c r="C467" s="48"/>
      <c r="D467" s="48"/>
      <c r="E467" s="48"/>
      <c r="F467" s="48"/>
      <c r="G467" s="48"/>
      <c r="H467" s="48"/>
      <c r="I467" s="53">
        <f>+I470</f>
        <v>1.9999999999999996</v>
      </c>
      <c r="J467" s="48" t="s">
        <v>305</v>
      </c>
    </row>
    <row r="468" spans="1:10" x14ac:dyDescent="0.3">
      <c r="A468" s="143"/>
      <c r="B468" s="64"/>
      <c r="C468" s="64"/>
      <c r="D468" s="66"/>
      <c r="E468" s="66"/>
      <c r="F468" s="66"/>
      <c r="G468" s="66"/>
      <c r="H468" s="66"/>
      <c r="I468" s="66"/>
      <c r="J468" s="66"/>
    </row>
    <row r="469" spans="1:10" x14ac:dyDescent="0.3">
      <c r="A469" s="143"/>
      <c r="B469" s="560" t="s">
        <v>306</v>
      </c>
      <c r="C469" s="561"/>
      <c r="D469" s="79" t="s">
        <v>307</v>
      </c>
      <c r="E469" s="80" t="s">
        <v>308</v>
      </c>
      <c r="F469" s="80" t="s">
        <v>309</v>
      </c>
      <c r="G469" s="79" t="s">
        <v>328</v>
      </c>
      <c r="H469" s="79" t="s">
        <v>311</v>
      </c>
      <c r="I469" s="79" t="s">
        <v>312</v>
      </c>
      <c r="J469" s="79" t="s">
        <v>313</v>
      </c>
    </row>
    <row r="470" spans="1:10" x14ac:dyDescent="0.3">
      <c r="A470" s="143"/>
      <c r="B470" s="81"/>
      <c r="C470" s="82"/>
      <c r="D470" s="79"/>
      <c r="E470" s="80"/>
      <c r="F470" s="79"/>
      <c r="G470" s="79"/>
      <c r="H470" s="79"/>
      <c r="I470" s="83">
        <f>+SUM(H471:H475)</f>
        <v>1.9999999999999996</v>
      </c>
      <c r="J470" s="84" t="s">
        <v>314</v>
      </c>
    </row>
    <row r="471" spans="1:10" x14ac:dyDescent="0.3">
      <c r="A471" s="143"/>
      <c r="B471" s="555" t="s">
        <v>529</v>
      </c>
      <c r="C471" s="555"/>
      <c r="D471" s="45"/>
      <c r="E471" s="54"/>
      <c r="F471" s="58"/>
      <c r="G471" s="58"/>
      <c r="H471" s="141"/>
      <c r="I471" s="51"/>
      <c r="J471" s="51"/>
    </row>
    <row r="472" spans="1:10" x14ac:dyDescent="0.3">
      <c r="A472" s="143"/>
      <c r="B472" s="562" t="s">
        <v>520</v>
      </c>
      <c r="C472" s="563"/>
      <c r="D472" s="45">
        <v>1</v>
      </c>
      <c r="E472" s="47">
        <f>+E458</f>
        <v>3</v>
      </c>
      <c r="F472" s="51"/>
      <c r="G472" s="47">
        <f>+G458</f>
        <v>0.7</v>
      </c>
      <c r="H472" s="47">
        <f>+D472*E472*G472</f>
        <v>2.0999999999999996</v>
      </c>
      <c r="I472" s="51"/>
      <c r="J472" s="51"/>
    </row>
    <row r="473" spans="1:10" x14ac:dyDescent="0.3">
      <c r="A473" s="143"/>
      <c r="B473" s="555" t="s">
        <v>530</v>
      </c>
      <c r="C473" s="555"/>
      <c r="D473" s="45"/>
      <c r="E473" s="47"/>
      <c r="F473" s="47"/>
      <c r="G473" s="47"/>
      <c r="H473" s="45"/>
      <c r="I473" s="145"/>
      <c r="J473" s="120"/>
    </row>
    <row r="474" spans="1:10" x14ac:dyDescent="0.3">
      <c r="A474" s="143"/>
      <c r="B474" s="557" t="s">
        <v>523</v>
      </c>
      <c r="C474" s="557"/>
      <c r="D474" s="45">
        <v>1</v>
      </c>
      <c r="E474" s="47">
        <f>+E461</f>
        <v>2.6</v>
      </c>
      <c r="F474" s="47"/>
      <c r="G474" s="47">
        <f>+G461</f>
        <v>0.1</v>
      </c>
      <c r="H474" s="45">
        <f>+D474*E474*G474</f>
        <v>0.26</v>
      </c>
      <c r="I474" s="145"/>
      <c r="J474" s="120"/>
    </row>
    <row r="475" spans="1:10" x14ac:dyDescent="0.3">
      <c r="A475" s="143"/>
      <c r="B475" s="558" t="s">
        <v>531</v>
      </c>
      <c r="C475" s="559"/>
      <c r="D475" s="45">
        <v>-1</v>
      </c>
      <c r="E475" s="47">
        <f>+E463</f>
        <v>0.6</v>
      </c>
      <c r="F475" s="47">
        <f>+F463</f>
        <v>0.6</v>
      </c>
      <c r="G475" s="47"/>
      <c r="H475" s="45">
        <f>+D475*E475*F475</f>
        <v>-0.36</v>
      </c>
      <c r="I475" s="145"/>
      <c r="J475" s="120"/>
    </row>
    <row r="476" spans="1:10" x14ac:dyDescent="0.3">
      <c r="A476" s="143"/>
      <c r="B476" s="64"/>
      <c r="C476" s="64"/>
      <c r="D476" s="66"/>
      <c r="E476" s="66"/>
      <c r="F476" s="66"/>
      <c r="G476" s="66"/>
      <c r="H476" s="66"/>
      <c r="I476" s="66"/>
      <c r="J476" s="66"/>
    </row>
    <row r="477" spans="1:10" x14ac:dyDescent="0.3">
      <c r="A477" s="143"/>
      <c r="B477" s="48"/>
      <c r="C477" s="48"/>
      <c r="D477" s="48"/>
      <c r="E477" s="48"/>
      <c r="F477" s="48"/>
      <c r="G477" s="48"/>
      <c r="H477" s="48"/>
      <c r="I477" s="48"/>
      <c r="J477" s="48"/>
    </row>
    <row r="478" spans="1:10" x14ac:dyDescent="0.3">
      <c r="A478" s="90">
        <f>+A466+0.00000001</f>
        <v>1.0205050499999992</v>
      </c>
      <c r="B478" s="59" t="s">
        <v>532</v>
      </c>
      <c r="C478" s="48"/>
      <c r="D478" s="48"/>
      <c r="E478" s="48"/>
      <c r="F478" s="48"/>
      <c r="G478" s="48"/>
      <c r="H478" s="48"/>
      <c r="I478" s="48"/>
      <c r="J478" s="48"/>
    </row>
    <row r="479" spans="1:10" x14ac:dyDescent="0.3">
      <c r="A479" s="92">
        <f>+A478+0.0000000001</f>
        <v>1.0205050500999993</v>
      </c>
      <c r="B479" s="48" t="s">
        <v>533</v>
      </c>
      <c r="C479" s="48"/>
      <c r="D479" s="48"/>
      <c r="E479" s="48"/>
      <c r="F479" s="48"/>
      <c r="G479" s="48"/>
      <c r="H479" s="48"/>
      <c r="I479" s="53">
        <v>1</v>
      </c>
      <c r="J479" s="48" t="s">
        <v>388</v>
      </c>
    </row>
    <row r="480" spans="1:10" x14ac:dyDescent="0.3">
      <c r="A480" s="143"/>
      <c r="B480" s="64"/>
      <c r="C480" s="64"/>
      <c r="D480" s="66"/>
      <c r="E480" s="66"/>
      <c r="F480" s="66"/>
      <c r="G480" s="66" t="s">
        <v>87</v>
      </c>
      <c r="H480" s="66"/>
      <c r="I480" s="66"/>
      <c r="J480" s="66"/>
    </row>
    <row r="481" spans="1:10" x14ac:dyDescent="0.3">
      <c r="A481" s="143"/>
      <c r="B481" s="549" t="s">
        <v>427</v>
      </c>
      <c r="C481" s="549"/>
      <c r="D481" s="549"/>
      <c r="E481" s="42" t="s">
        <v>244</v>
      </c>
      <c r="F481" s="42" t="s">
        <v>428</v>
      </c>
      <c r="G481" s="42" t="s">
        <v>313</v>
      </c>
      <c r="H481" s="66"/>
      <c r="I481" s="66"/>
      <c r="J481" s="66"/>
    </row>
    <row r="482" spans="1:10" x14ac:dyDescent="0.3">
      <c r="A482" s="143"/>
      <c r="B482" s="550" t="s">
        <v>534</v>
      </c>
      <c r="C482" s="550"/>
      <c r="D482" s="550"/>
      <c r="E482" s="154" t="s">
        <v>535</v>
      </c>
      <c r="F482" s="155">
        <v>2</v>
      </c>
      <c r="G482" s="45" t="s">
        <v>388</v>
      </c>
      <c r="H482" s="66"/>
      <c r="I482" s="66"/>
      <c r="J482" s="66"/>
    </row>
    <row r="483" spans="1:10" x14ac:dyDescent="0.3">
      <c r="A483" s="143"/>
      <c r="B483" s="550" t="s">
        <v>439</v>
      </c>
      <c r="C483" s="550"/>
      <c r="D483" s="550"/>
      <c r="E483" s="154" t="s">
        <v>535</v>
      </c>
      <c r="F483" s="155">
        <f>+F482*2</f>
        <v>4</v>
      </c>
      <c r="G483" s="45" t="s">
        <v>388</v>
      </c>
      <c r="H483" s="66"/>
      <c r="I483" s="66"/>
      <c r="J483" s="66"/>
    </row>
    <row r="484" spans="1:10" x14ac:dyDescent="0.3">
      <c r="A484" s="143"/>
      <c r="B484" s="550" t="s">
        <v>438</v>
      </c>
      <c r="C484" s="550"/>
      <c r="D484" s="550"/>
      <c r="E484" s="154" t="s">
        <v>535</v>
      </c>
      <c r="F484" s="155">
        <f>+F482*2</f>
        <v>4</v>
      </c>
      <c r="G484" s="45" t="s">
        <v>388</v>
      </c>
      <c r="H484" s="66"/>
      <c r="I484" s="66"/>
      <c r="J484" s="66"/>
    </row>
    <row r="485" spans="1:10" x14ac:dyDescent="0.3">
      <c r="A485" s="143"/>
      <c r="B485" s="550" t="s">
        <v>536</v>
      </c>
      <c r="C485" s="550"/>
      <c r="D485" s="550"/>
      <c r="E485" s="154" t="s">
        <v>535</v>
      </c>
      <c r="F485" s="155">
        <v>4</v>
      </c>
      <c r="G485" s="45" t="s">
        <v>388</v>
      </c>
      <c r="H485" s="66"/>
      <c r="I485" s="66"/>
      <c r="J485" s="66"/>
    </row>
    <row r="486" spans="1:10" x14ac:dyDescent="0.3">
      <c r="A486" s="143"/>
      <c r="B486" s="550" t="s">
        <v>537</v>
      </c>
      <c r="C486" s="550"/>
      <c r="D486" s="550"/>
      <c r="E486" s="154" t="s">
        <v>535</v>
      </c>
      <c r="F486" s="155">
        <v>1</v>
      </c>
      <c r="G486" s="45" t="s">
        <v>388</v>
      </c>
      <c r="H486" s="66"/>
      <c r="I486" s="66"/>
      <c r="J486" s="66"/>
    </row>
    <row r="487" spans="1:10" x14ac:dyDescent="0.3">
      <c r="A487" s="143"/>
      <c r="B487" s="550" t="s">
        <v>538</v>
      </c>
      <c r="C487" s="550"/>
      <c r="D487" s="550"/>
      <c r="E487" s="154" t="s">
        <v>535</v>
      </c>
      <c r="F487" s="155">
        <v>2</v>
      </c>
      <c r="G487" s="45" t="s">
        <v>388</v>
      </c>
      <c r="H487" s="66"/>
      <c r="I487" s="66"/>
      <c r="J487" s="66"/>
    </row>
    <row r="488" spans="1:10" x14ac:dyDescent="0.3">
      <c r="A488" s="143"/>
      <c r="B488" s="550" t="s">
        <v>539</v>
      </c>
      <c r="C488" s="550"/>
      <c r="D488" s="550"/>
      <c r="E488" s="154" t="s">
        <v>535</v>
      </c>
      <c r="F488" s="155">
        <v>1</v>
      </c>
      <c r="G488" s="45" t="s">
        <v>388</v>
      </c>
      <c r="H488" s="66"/>
      <c r="I488" s="66"/>
      <c r="J488" s="66"/>
    </row>
    <row r="489" spans="1:10" x14ac:dyDescent="0.3">
      <c r="A489" s="143"/>
      <c r="B489" s="551" t="s">
        <v>540</v>
      </c>
      <c r="C489" s="556"/>
      <c r="D489" s="552"/>
      <c r="E489" s="156" t="s">
        <v>541</v>
      </c>
      <c r="F489" s="155">
        <v>1</v>
      </c>
      <c r="G489" s="45" t="s">
        <v>388</v>
      </c>
      <c r="H489" s="66"/>
      <c r="I489" s="66"/>
      <c r="J489" s="66"/>
    </row>
    <row r="490" spans="1:10" x14ac:dyDescent="0.3">
      <c r="A490" s="143"/>
      <c r="B490" s="551" t="s">
        <v>542</v>
      </c>
      <c r="C490" s="556"/>
      <c r="D490" s="552"/>
      <c r="E490" s="154" t="s">
        <v>535</v>
      </c>
      <c r="F490" s="155">
        <v>1</v>
      </c>
      <c r="G490" s="45" t="s">
        <v>388</v>
      </c>
      <c r="H490" s="66"/>
      <c r="I490" s="66"/>
      <c r="J490" s="66"/>
    </row>
    <row r="491" spans="1:10" x14ac:dyDescent="0.3">
      <c r="A491" s="143"/>
      <c r="B491" s="551" t="s">
        <v>543</v>
      </c>
      <c r="C491" s="556"/>
      <c r="D491" s="552"/>
      <c r="E491" s="154" t="s">
        <v>535</v>
      </c>
      <c r="F491" s="44">
        <v>1.6</v>
      </c>
      <c r="G491" s="45" t="s">
        <v>349</v>
      </c>
      <c r="H491" s="66"/>
      <c r="I491" s="66"/>
      <c r="J491" s="66"/>
    </row>
    <row r="492" spans="1:10" x14ac:dyDescent="0.3">
      <c r="A492" s="143"/>
      <c r="B492" s="550" t="s">
        <v>544</v>
      </c>
      <c r="C492" s="550"/>
      <c r="D492" s="550"/>
      <c r="E492" s="154" t="s">
        <v>535</v>
      </c>
      <c r="F492" s="155">
        <v>1</v>
      </c>
      <c r="G492" s="45" t="s">
        <v>388</v>
      </c>
      <c r="H492" s="66"/>
      <c r="I492" s="66"/>
      <c r="J492" s="66"/>
    </row>
    <row r="493" spans="1:10" x14ac:dyDescent="0.3">
      <c r="A493" s="143"/>
      <c r="B493" s="48"/>
      <c r="C493" s="48"/>
      <c r="D493" s="48"/>
      <c r="E493" s="48"/>
      <c r="F493" s="48"/>
      <c r="G493" s="48"/>
      <c r="H493" s="48"/>
      <c r="I493" s="48"/>
      <c r="J493" s="48"/>
    </row>
    <row r="494" spans="1:10" x14ac:dyDescent="0.3">
      <c r="A494" s="92">
        <f>+A479+0.0000000001</f>
        <v>1.0205050501999993</v>
      </c>
      <c r="B494" s="48" t="s">
        <v>545</v>
      </c>
      <c r="C494" s="48"/>
      <c r="D494" s="48"/>
      <c r="E494" s="48"/>
      <c r="F494" s="48"/>
      <c r="G494" s="48"/>
      <c r="H494" s="48"/>
      <c r="I494" s="53">
        <v>1</v>
      </c>
      <c r="J494" s="48" t="s">
        <v>388</v>
      </c>
    </row>
    <row r="495" spans="1:10" x14ac:dyDescent="0.3">
      <c r="A495" s="143"/>
      <c r="B495" s="64"/>
      <c r="C495" s="64"/>
      <c r="D495" s="66"/>
      <c r="E495" s="66"/>
      <c r="F495" s="66"/>
      <c r="G495" s="66"/>
      <c r="H495" s="66"/>
      <c r="I495" s="66"/>
      <c r="J495" s="66"/>
    </row>
    <row r="496" spans="1:10" x14ac:dyDescent="0.3">
      <c r="A496" s="143"/>
      <c r="B496" s="549" t="s">
        <v>427</v>
      </c>
      <c r="C496" s="549"/>
      <c r="D496" s="549"/>
      <c r="E496" s="42" t="s">
        <v>244</v>
      </c>
      <c r="F496" s="42" t="s">
        <v>428</v>
      </c>
      <c r="G496" s="42" t="s">
        <v>313</v>
      </c>
      <c r="H496" s="66"/>
      <c r="I496" s="66"/>
      <c r="J496" s="66"/>
    </row>
    <row r="497" spans="1:10" x14ac:dyDescent="0.3">
      <c r="A497" s="143"/>
      <c r="B497" s="550" t="s">
        <v>534</v>
      </c>
      <c r="C497" s="550"/>
      <c r="D497" s="550"/>
      <c r="E497" s="154" t="s">
        <v>535</v>
      </c>
      <c r="F497" s="155">
        <v>1</v>
      </c>
      <c r="G497" s="45" t="s">
        <v>388</v>
      </c>
      <c r="H497" s="66"/>
      <c r="I497" s="66"/>
      <c r="J497" s="66"/>
    </row>
    <row r="498" spans="1:10" x14ac:dyDescent="0.3">
      <c r="A498" s="143"/>
      <c r="B498" s="550" t="s">
        <v>439</v>
      </c>
      <c r="C498" s="550"/>
      <c r="D498" s="550"/>
      <c r="E498" s="154" t="s">
        <v>535</v>
      </c>
      <c r="F498" s="155">
        <v>2</v>
      </c>
      <c r="G498" s="45" t="s">
        <v>388</v>
      </c>
      <c r="H498" s="66"/>
      <c r="I498" s="66"/>
      <c r="J498" s="66"/>
    </row>
    <row r="499" spans="1:10" x14ac:dyDescent="0.3">
      <c r="A499" s="143"/>
      <c r="B499" s="550" t="s">
        <v>546</v>
      </c>
      <c r="C499" s="550"/>
      <c r="D499" s="550"/>
      <c r="E499" s="154" t="s">
        <v>535</v>
      </c>
      <c r="F499" s="155">
        <v>2</v>
      </c>
      <c r="G499" s="45" t="s">
        <v>388</v>
      </c>
      <c r="H499" s="66"/>
      <c r="I499" s="66"/>
      <c r="J499" s="66"/>
    </row>
    <row r="500" spans="1:10" x14ac:dyDescent="0.3">
      <c r="A500" s="143"/>
      <c r="B500" s="550" t="s">
        <v>536</v>
      </c>
      <c r="C500" s="550"/>
      <c r="D500" s="550"/>
      <c r="E500" s="154" t="s">
        <v>535</v>
      </c>
      <c r="F500" s="155">
        <v>2</v>
      </c>
      <c r="G500" s="45" t="s">
        <v>388</v>
      </c>
      <c r="H500" s="66"/>
      <c r="I500" s="66"/>
      <c r="J500" s="66"/>
    </row>
    <row r="501" spans="1:10" x14ac:dyDescent="0.3">
      <c r="A501" s="143"/>
      <c r="B501" s="550" t="s">
        <v>547</v>
      </c>
      <c r="C501" s="550"/>
      <c r="D501" s="550"/>
      <c r="E501" s="154" t="s">
        <v>548</v>
      </c>
      <c r="F501" s="155">
        <v>1</v>
      </c>
      <c r="G501" s="45" t="s">
        <v>388</v>
      </c>
      <c r="H501" s="66"/>
      <c r="I501" s="66"/>
      <c r="J501" s="66"/>
    </row>
    <row r="502" spans="1:10" x14ac:dyDescent="0.3">
      <c r="A502" s="143"/>
      <c r="B502" s="550" t="s">
        <v>549</v>
      </c>
      <c r="C502" s="550"/>
      <c r="D502" s="550"/>
      <c r="E502" s="154" t="s">
        <v>535</v>
      </c>
      <c r="F502" s="155">
        <v>1</v>
      </c>
      <c r="G502" s="45" t="s">
        <v>388</v>
      </c>
      <c r="H502" s="66"/>
      <c r="I502" s="66"/>
      <c r="J502" s="66"/>
    </row>
    <row r="503" spans="1:10" x14ac:dyDescent="0.3">
      <c r="A503" s="143"/>
      <c r="B503" s="551" t="s">
        <v>537</v>
      </c>
      <c r="C503" s="556"/>
      <c r="D503" s="552"/>
      <c r="E503" s="154" t="s">
        <v>535</v>
      </c>
      <c r="F503" s="155">
        <v>1</v>
      </c>
      <c r="G503" s="45" t="s">
        <v>388</v>
      </c>
      <c r="H503" s="66"/>
      <c r="I503" s="66"/>
      <c r="J503" s="66"/>
    </row>
    <row r="504" spans="1:10" x14ac:dyDescent="0.3">
      <c r="A504" s="143"/>
      <c r="B504" s="551" t="s">
        <v>550</v>
      </c>
      <c r="C504" s="556"/>
      <c r="D504" s="552"/>
      <c r="E504" s="154" t="s">
        <v>535</v>
      </c>
      <c r="F504" s="155">
        <v>1</v>
      </c>
      <c r="G504" s="45" t="s">
        <v>388</v>
      </c>
      <c r="H504" s="66"/>
      <c r="I504" s="66"/>
      <c r="J504" s="66"/>
    </row>
    <row r="505" spans="1:10" x14ac:dyDescent="0.3">
      <c r="A505" s="143"/>
      <c r="B505" s="69"/>
      <c r="C505" s="69"/>
      <c r="D505" s="69"/>
      <c r="E505" s="157"/>
      <c r="F505" s="119"/>
      <c r="G505" s="66"/>
      <c r="H505" s="66"/>
      <c r="I505" s="66"/>
      <c r="J505" s="66"/>
    </row>
    <row r="506" spans="1:10" x14ac:dyDescent="0.3">
      <c r="A506" s="92">
        <f>+A494+0.0000000001</f>
        <v>1.0205050502999993</v>
      </c>
      <c r="B506" s="48" t="s">
        <v>551</v>
      </c>
      <c r="C506" s="48"/>
      <c r="D506" s="48"/>
      <c r="E506" s="48"/>
      <c r="F506" s="48"/>
      <c r="G506" s="48"/>
      <c r="H506" s="48"/>
      <c r="I506" s="53">
        <v>1</v>
      </c>
      <c r="J506" s="48" t="s">
        <v>388</v>
      </c>
    </row>
    <row r="507" spans="1:10" x14ac:dyDescent="0.3">
      <c r="A507" s="143"/>
      <c r="B507" s="64"/>
      <c r="C507" s="64"/>
      <c r="D507" s="66"/>
      <c r="E507" s="66"/>
      <c r="F507" s="66"/>
      <c r="G507" s="66"/>
      <c r="H507" s="66"/>
      <c r="I507" s="66"/>
      <c r="J507" s="66"/>
    </row>
    <row r="508" spans="1:10" x14ac:dyDescent="0.3">
      <c r="A508" s="143"/>
      <c r="B508" s="549" t="s">
        <v>427</v>
      </c>
      <c r="C508" s="549"/>
      <c r="D508" s="549"/>
      <c r="E508" s="42" t="s">
        <v>244</v>
      </c>
      <c r="F508" s="42" t="s">
        <v>428</v>
      </c>
      <c r="G508" s="42" t="s">
        <v>313</v>
      </c>
      <c r="H508" s="66"/>
      <c r="I508" s="66"/>
      <c r="J508" s="66"/>
    </row>
    <row r="509" spans="1:10" x14ac:dyDescent="0.3">
      <c r="A509" s="143"/>
      <c r="B509" s="550" t="s">
        <v>534</v>
      </c>
      <c r="C509" s="550"/>
      <c r="D509" s="550"/>
      <c r="E509" s="154" t="s">
        <v>535</v>
      </c>
      <c r="F509" s="155">
        <v>1</v>
      </c>
      <c r="G509" s="45" t="s">
        <v>388</v>
      </c>
      <c r="H509" s="66"/>
      <c r="I509" s="66"/>
      <c r="J509" s="66"/>
    </row>
    <row r="510" spans="1:10" x14ac:dyDescent="0.3">
      <c r="A510" s="143"/>
      <c r="B510" s="550" t="s">
        <v>552</v>
      </c>
      <c r="C510" s="550"/>
      <c r="D510" s="550"/>
      <c r="E510" s="154" t="s">
        <v>535</v>
      </c>
      <c r="F510" s="155">
        <v>2</v>
      </c>
      <c r="G510" s="45" t="s">
        <v>388</v>
      </c>
      <c r="H510" s="66"/>
      <c r="I510" s="66"/>
      <c r="J510" s="66"/>
    </row>
    <row r="511" spans="1:10" x14ac:dyDescent="0.3">
      <c r="A511" s="143"/>
      <c r="B511" s="550" t="s">
        <v>553</v>
      </c>
      <c r="C511" s="550"/>
      <c r="D511" s="550"/>
      <c r="E511" s="154" t="s">
        <v>535</v>
      </c>
      <c r="F511" s="155">
        <v>2</v>
      </c>
      <c r="G511" s="45" t="s">
        <v>388</v>
      </c>
      <c r="H511" s="66"/>
      <c r="I511" s="66"/>
      <c r="J511" s="66"/>
    </row>
    <row r="512" spans="1:10" x14ac:dyDescent="0.3">
      <c r="A512" s="143"/>
      <c r="B512" s="550" t="s">
        <v>536</v>
      </c>
      <c r="C512" s="550"/>
      <c r="D512" s="550"/>
      <c r="E512" s="154" t="s">
        <v>535</v>
      </c>
      <c r="F512" s="155">
        <v>2</v>
      </c>
      <c r="G512" s="45" t="s">
        <v>388</v>
      </c>
      <c r="H512" s="66"/>
      <c r="I512" s="66"/>
      <c r="J512" s="66"/>
    </row>
    <row r="513" spans="1:10" x14ac:dyDescent="0.3">
      <c r="A513" s="143"/>
      <c r="B513" s="550" t="s">
        <v>441</v>
      </c>
      <c r="C513" s="550"/>
      <c r="D513" s="550"/>
      <c r="E513" s="154" t="s">
        <v>535</v>
      </c>
      <c r="F513" s="155">
        <v>4</v>
      </c>
      <c r="G513" s="45" t="s">
        <v>388</v>
      </c>
      <c r="H513" s="66"/>
      <c r="I513" s="66"/>
      <c r="J513" s="66"/>
    </row>
    <row r="514" spans="1:10" x14ac:dyDescent="0.3">
      <c r="A514" s="143"/>
      <c r="B514" s="550" t="s">
        <v>537</v>
      </c>
      <c r="C514" s="550"/>
      <c r="D514" s="550"/>
      <c r="E514" s="154" t="s">
        <v>535</v>
      </c>
      <c r="F514" s="155">
        <v>3</v>
      </c>
      <c r="G514" s="45" t="s">
        <v>349</v>
      </c>
      <c r="H514" s="66"/>
      <c r="I514" s="66"/>
      <c r="J514" s="66"/>
    </row>
    <row r="515" spans="1:10" x14ac:dyDescent="0.3">
      <c r="A515" s="143"/>
      <c r="B515" s="551" t="s">
        <v>554</v>
      </c>
      <c r="C515" s="556"/>
      <c r="D515" s="552"/>
      <c r="E515" s="154" t="s">
        <v>535</v>
      </c>
      <c r="F515" s="155">
        <v>2</v>
      </c>
      <c r="G515" s="45" t="s">
        <v>388</v>
      </c>
      <c r="H515" s="66"/>
      <c r="I515" s="66"/>
      <c r="J515" s="66"/>
    </row>
    <row r="516" spans="1:10" x14ac:dyDescent="0.3">
      <c r="A516" s="143"/>
      <c r="B516" s="550" t="s">
        <v>542</v>
      </c>
      <c r="C516" s="550"/>
      <c r="D516" s="550"/>
      <c r="E516" s="154" t="s">
        <v>535</v>
      </c>
      <c r="F516" s="155">
        <v>1</v>
      </c>
      <c r="G516" s="45" t="s">
        <v>388</v>
      </c>
      <c r="H516" s="66"/>
      <c r="I516" s="66"/>
      <c r="J516" s="66"/>
    </row>
    <row r="517" spans="1:10" x14ac:dyDescent="0.3">
      <c r="A517" s="143"/>
      <c r="B517" s="550" t="s">
        <v>543</v>
      </c>
      <c r="C517" s="550"/>
      <c r="D517" s="550"/>
      <c r="E517" s="154" t="s">
        <v>535</v>
      </c>
      <c r="F517" s="44">
        <v>1.9</v>
      </c>
      <c r="G517" s="45" t="s">
        <v>349</v>
      </c>
      <c r="H517" s="66"/>
      <c r="I517" s="66"/>
      <c r="J517" s="66"/>
    </row>
    <row r="518" spans="1:10" x14ac:dyDescent="0.3">
      <c r="A518" s="143"/>
      <c r="B518" s="550" t="s">
        <v>544</v>
      </c>
      <c r="C518" s="550"/>
      <c r="D518" s="550"/>
      <c r="E518" s="154" t="s">
        <v>535</v>
      </c>
      <c r="F518" s="155">
        <v>1</v>
      </c>
      <c r="G518" s="45" t="s">
        <v>388</v>
      </c>
      <c r="H518" s="66"/>
      <c r="I518" s="66"/>
      <c r="J518" s="66"/>
    </row>
    <row r="519" spans="1:10" x14ac:dyDescent="0.3">
      <c r="A519" s="143"/>
      <c r="B519" s="550" t="s">
        <v>550</v>
      </c>
      <c r="C519" s="550"/>
      <c r="D519" s="550"/>
      <c r="E519" s="154" t="s">
        <v>535</v>
      </c>
      <c r="F519" s="155">
        <v>1</v>
      </c>
      <c r="G519" s="45" t="s">
        <v>388</v>
      </c>
      <c r="H519" s="66"/>
      <c r="I519" s="66"/>
      <c r="J519" s="66"/>
    </row>
    <row r="520" spans="1:10" x14ac:dyDescent="0.3">
      <c r="A520" s="143"/>
      <c r="B520" s="69"/>
      <c r="C520" s="69"/>
      <c r="D520" s="69"/>
      <c r="E520" s="66"/>
      <c r="F520" s="119"/>
      <c r="G520" s="66"/>
      <c r="H520" s="66"/>
      <c r="I520" s="66"/>
      <c r="J520" s="66"/>
    </row>
    <row r="521" spans="1:10" x14ac:dyDescent="0.3">
      <c r="A521" s="90">
        <f>+A478+0.00000001</f>
        <v>1.0205050599999992</v>
      </c>
      <c r="B521" s="59" t="s">
        <v>417</v>
      </c>
      <c r="C521" s="48"/>
      <c r="D521" s="48"/>
      <c r="E521" s="48"/>
      <c r="F521" s="48"/>
      <c r="G521" s="48"/>
      <c r="H521" s="48"/>
      <c r="I521" s="48"/>
      <c r="J521" s="48"/>
    </row>
    <row r="522" spans="1:10" x14ac:dyDescent="0.3">
      <c r="A522" s="92">
        <f>+A521+0.0000000001</f>
        <v>1.0205050600999992</v>
      </c>
      <c r="B522" s="48" t="s">
        <v>555</v>
      </c>
      <c r="C522" s="48"/>
      <c r="D522" s="48"/>
      <c r="E522" s="48"/>
      <c r="F522" s="48"/>
      <c r="G522" s="48"/>
      <c r="H522" s="48"/>
      <c r="I522" s="53">
        <f>+E524</f>
        <v>1</v>
      </c>
      <c r="J522" s="48" t="s">
        <v>388</v>
      </c>
    </row>
    <row r="523" spans="1:10" x14ac:dyDescent="0.3">
      <c r="A523" s="69"/>
      <c r="B523" s="549" t="s">
        <v>556</v>
      </c>
      <c r="C523" s="549"/>
      <c r="D523" s="549"/>
      <c r="E523" s="42" t="s">
        <v>472</v>
      </c>
      <c r="F523" s="42" t="s">
        <v>313</v>
      </c>
      <c r="G523" s="97"/>
      <c r="H523" s="66"/>
      <c r="I523" s="66"/>
      <c r="J523" s="66"/>
    </row>
    <row r="524" spans="1:10" x14ac:dyDescent="0.3">
      <c r="A524" s="69"/>
      <c r="B524" s="550" t="s">
        <v>557</v>
      </c>
      <c r="C524" s="550"/>
      <c r="D524" s="550"/>
      <c r="E524" s="45">
        <v>1</v>
      </c>
      <c r="F524" s="45" t="s">
        <v>388</v>
      </c>
      <c r="G524" s="119"/>
      <c r="H524" s="66"/>
      <c r="I524" s="66"/>
      <c r="J524" s="66"/>
    </row>
  </sheetData>
  <mergeCells count="214">
    <mergeCell ref="B50:C50"/>
    <mergeCell ref="B52:C52"/>
    <mergeCell ref="B53:C53"/>
    <mergeCell ref="B56:C56"/>
    <mergeCell ref="B58:C58"/>
    <mergeCell ref="B59:C59"/>
    <mergeCell ref="B75:C75"/>
    <mergeCell ref="B76:C76"/>
    <mergeCell ref="B79:C79"/>
    <mergeCell ref="B81:C81"/>
    <mergeCell ref="B84:C84"/>
    <mergeCell ref="B64:C64"/>
    <mergeCell ref="B66:C66"/>
    <mergeCell ref="B67:C67"/>
    <mergeCell ref="B68:C68"/>
    <mergeCell ref="B70:C70"/>
    <mergeCell ref="B73:C73"/>
    <mergeCell ref="B102:C102"/>
    <mergeCell ref="B109:C109"/>
    <mergeCell ref="B111:C111"/>
    <mergeCell ref="B112:C112"/>
    <mergeCell ref="B114:C114"/>
    <mergeCell ref="B119:C119"/>
    <mergeCell ref="B86:C86"/>
    <mergeCell ref="B93:C93"/>
    <mergeCell ref="B95:C95"/>
    <mergeCell ref="B100:C100"/>
    <mergeCell ref="B135:C135"/>
    <mergeCell ref="B140:C140"/>
    <mergeCell ref="B142:C142"/>
    <mergeCell ref="B143:C143"/>
    <mergeCell ref="B148:C148"/>
    <mergeCell ref="B150:C150"/>
    <mergeCell ref="B121:C121"/>
    <mergeCell ref="B125:C125"/>
    <mergeCell ref="B127:C127"/>
    <mergeCell ref="B133:C133"/>
    <mergeCell ref="B181:C181"/>
    <mergeCell ref="B183:C183"/>
    <mergeCell ref="B188:C188"/>
    <mergeCell ref="B190:C190"/>
    <mergeCell ref="B191:C191"/>
    <mergeCell ref="B157:C157"/>
    <mergeCell ref="B159:C159"/>
    <mergeCell ref="B163:C163"/>
    <mergeCell ref="B165:C165"/>
    <mergeCell ref="B172:C172"/>
    <mergeCell ref="B174:C174"/>
    <mergeCell ref="B210:C210"/>
    <mergeCell ref="B217:C217"/>
    <mergeCell ref="B218:C218"/>
    <mergeCell ref="B219:C219"/>
    <mergeCell ref="B220:C220"/>
    <mergeCell ref="B224:C224"/>
    <mergeCell ref="B198:C198"/>
    <mergeCell ref="B201:C201"/>
    <mergeCell ref="B202:E202"/>
    <mergeCell ref="B205:C205"/>
    <mergeCell ref="B207:C207"/>
    <mergeCell ref="B209:C209"/>
    <mergeCell ref="B241:C241"/>
    <mergeCell ref="B243:C243"/>
    <mergeCell ref="B244:C244"/>
    <mergeCell ref="B248:C248"/>
    <mergeCell ref="B250:C250"/>
    <mergeCell ref="B251:C251"/>
    <mergeCell ref="B225:C225"/>
    <mergeCell ref="B226:C226"/>
    <mergeCell ref="B227:C227"/>
    <mergeCell ref="B237:C237"/>
    <mergeCell ref="B239:C239"/>
    <mergeCell ref="B240:C240"/>
    <mergeCell ref="B270:C270"/>
    <mergeCell ref="B271:C271"/>
    <mergeCell ref="B272:C272"/>
    <mergeCell ref="B273:C273"/>
    <mergeCell ref="B289:D289"/>
    <mergeCell ref="B290:D290"/>
    <mergeCell ref="B256:C256"/>
    <mergeCell ref="B258:C258"/>
    <mergeCell ref="B261:C261"/>
    <mergeCell ref="B263:C263"/>
    <mergeCell ref="B267:C267"/>
    <mergeCell ref="B299:D299"/>
    <mergeCell ref="B300:D300"/>
    <mergeCell ref="B301:D301"/>
    <mergeCell ref="B302:D302"/>
    <mergeCell ref="B303:D303"/>
    <mergeCell ref="B304:D304"/>
    <mergeCell ref="B291:D291"/>
    <mergeCell ref="B292:D292"/>
    <mergeCell ref="B293:D293"/>
    <mergeCell ref="B294:D294"/>
    <mergeCell ref="B295:D295"/>
    <mergeCell ref="B296:D296"/>
    <mergeCell ref="B328:C328"/>
    <mergeCell ref="B329:C329"/>
    <mergeCell ref="B336:B337"/>
    <mergeCell ref="C336:C337"/>
    <mergeCell ref="D336:D337"/>
    <mergeCell ref="G336:H336"/>
    <mergeCell ref="B305:D305"/>
    <mergeCell ref="B306:D306"/>
    <mergeCell ref="B307:D307"/>
    <mergeCell ref="B317:C317"/>
    <mergeCell ref="B321:C321"/>
    <mergeCell ref="B326:C326"/>
    <mergeCell ref="B354:C354"/>
    <mergeCell ref="B356:C356"/>
    <mergeCell ref="B357:C357"/>
    <mergeCell ref="B358:C358"/>
    <mergeCell ref="E345:F345"/>
    <mergeCell ref="E346:F346"/>
    <mergeCell ref="E347:F347"/>
    <mergeCell ref="E348:F348"/>
    <mergeCell ref="G348:H348"/>
    <mergeCell ref="C369:E369"/>
    <mergeCell ref="C370:E370"/>
    <mergeCell ref="C371:E371"/>
    <mergeCell ref="C372:E372"/>
    <mergeCell ref="B377:C377"/>
    <mergeCell ref="B379:C379"/>
    <mergeCell ref="B359:C359"/>
    <mergeCell ref="B360:C360"/>
    <mergeCell ref="B361:C361"/>
    <mergeCell ref="B362:C362"/>
    <mergeCell ref="C367:E367"/>
    <mergeCell ref="C368:E368"/>
    <mergeCell ref="B397:C397"/>
    <mergeCell ref="B402:C402"/>
    <mergeCell ref="B404:C404"/>
    <mergeCell ref="B408:C408"/>
    <mergeCell ref="B410:C410"/>
    <mergeCell ref="B414:C414"/>
    <mergeCell ref="B383:D383"/>
    <mergeCell ref="B384:D384"/>
    <mergeCell ref="B385:D385"/>
    <mergeCell ref="B386:D386"/>
    <mergeCell ref="B394:C394"/>
    <mergeCell ref="B396:C396"/>
    <mergeCell ref="B429:C429"/>
    <mergeCell ref="B430:C430"/>
    <mergeCell ref="B436:C436"/>
    <mergeCell ref="B438:C438"/>
    <mergeCell ref="B439:C439"/>
    <mergeCell ref="B440:C440"/>
    <mergeCell ref="B416:C416"/>
    <mergeCell ref="B423:C423"/>
    <mergeCell ref="B425:C425"/>
    <mergeCell ref="B426:C426"/>
    <mergeCell ref="B427:C427"/>
    <mergeCell ref="B428:C428"/>
    <mergeCell ref="B456:C456"/>
    <mergeCell ref="B457:C457"/>
    <mergeCell ref="B458:C458"/>
    <mergeCell ref="B459:C459"/>
    <mergeCell ref="B460:C460"/>
    <mergeCell ref="B461:C461"/>
    <mergeCell ref="B441:C441"/>
    <mergeCell ref="B442:C442"/>
    <mergeCell ref="B443:C443"/>
    <mergeCell ref="B444:C444"/>
    <mergeCell ref="B445:C445"/>
    <mergeCell ref="B454:C454"/>
    <mergeCell ref="B473:C473"/>
    <mergeCell ref="B474:C474"/>
    <mergeCell ref="B475:C475"/>
    <mergeCell ref="B481:D481"/>
    <mergeCell ref="B482:D482"/>
    <mergeCell ref="B483:D483"/>
    <mergeCell ref="B462:C462"/>
    <mergeCell ref="B463:C463"/>
    <mergeCell ref="B464:C464"/>
    <mergeCell ref="B469:C469"/>
    <mergeCell ref="B471:C471"/>
    <mergeCell ref="B472:C472"/>
    <mergeCell ref="B503:D503"/>
    <mergeCell ref="B504:D504"/>
    <mergeCell ref="B490:D490"/>
    <mergeCell ref="B491:D491"/>
    <mergeCell ref="B492:D492"/>
    <mergeCell ref="B496:D496"/>
    <mergeCell ref="B497:D497"/>
    <mergeCell ref="B498:D498"/>
    <mergeCell ref="B484:D484"/>
    <mergeCell ref="B485:D485"/>
    <mergeCell ref="B486:D486"/>
    <mergeCell ref="B487:D487"/>
    <mergeCell ref="B488:D488"/>
    <mergeCell ref="B489:D489"/>
    <mergeCell ref="A1:I1"/>
    <mergeCell ref="B3:I4"/>
    <mergeCell ref="B523:D523"/>
    <mergeCell ref="B524:D524"/>
    <mergeCell ref="B103:C103"/>
    <mergeCell ref="B104:C104"/>
    <mergeCell ref="B184:C184"/>
    <mergeCell ref="B200:C200"/>
    <mergeCell ref="B514:D514"/>
    <mergeCell ref="B515:D515"/>
    <mergeCell ref="B516:D516"/>
    <mergeCell ref="B517:D517"/>
    <mergeCell ref="B518:D518"/>
    <mergeCell ref="B519:D519"/>
    <mergeCell ref="B508:D508"/>
    <mergeCell ref="B509:D509"/>
    <mergeCell ref="B510:D510"/>
    <mergeCell ref="B511:D511"/>
    <mergeCell ref="B512:D512"/>
    <mergeCell ref="B513:D513"/>
    <mergeCell ref="B499:D499"/>
    <mergeCell ref="B500:D500"/>
    <mergeCell ref="B501:D501"/>
    <mergeCell ref="B502:D502"/>
  </mergeCell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35"/>
  <sheetViews>
    <sheetView topLeftCell="B7" workbookViewId="0">
      <selection activeCell="B21" sqref="B21"/>
    </sheetView>
  </sheetViews>
  <sheetFormatPr baseColWidth="10" defaultColWidth="11.44140625" defaultRowHeight="14.4" x14ac:dyDescent="0.3"/>
  <cols>
    <col min="1" max="1" width="15.5546875" customWidth="1"/>
    <col min="2" max="2" width="63" customWidth="1"/>
    <col min="3" max="3" width="7.44140625" customWidth="1"/>
    <col min="4" max="4" width="7.33203125" customWidth="1"/>
    <col min="5" max="5" width="7" customWidth="1"/>
    <col min="6" max="6" width="7.44140625" customWidth="1"/>
    <col min="7" max="7" width="8.109375" customWidth="1"/>
    <col min="8" max="8" width="9.109375" customWidth="1"/>
    <col min="9" max="9" width="5.109375" customWidth="1"/>
  </cols>
  <sheetData>
    <row r="1" spans="1:9" ht="18" x14ac:dyDescent="0.3">
      <c r="A1" s="547" t="s">
        <v>276</v>
      </c>
      <c r="B1" s="547"/>
      <c r="C1" s="547"/>
      <c r="D1" s="547"/>
      <c r="E1" s="547"/>
      <c r="F1" s="547"/>
      <c r="G1" s="547"/>
      <c r="H1" s="547"/>
      <c r="I1" s="547"/>
    </row>
    <row r="2" spans="1:9" x14ac:dyDescent="0.3">
      <c r="A2" s="300"/>
      <c r="B2" s="300"/>
      <c r="C2" s="300"/>
      <c r="D2" s="300"/>
      <c r="E2" s="300"/>
      <c r="F2" s="300"/>
      <c r="G2" s="300"/>
      <c r="H2" s="300"/>
      <c r="I2" s="300"/>
    </row>
    <row r="3" spans="1:9" ht="16.5" customHeight="1" x14ac:dyDescent="0.3">
      <c r="A3" s="301" t="s">
        <v>277</v>
      </c>
      <c r="B3" s="548" t="s">
        <v>278</v>
      </c>
      <c r="C3" s="548"/>
      <c r="D3" s="548"/>
      <c r="E3" s="548"/>
      <c r="F3" s="548"/>
      <c r="G3" s="548"/>
      <c r="H3" s="548"/>
      <c r="I3" s="548"/>
    </row>
    <row r="4" spans="1:9" ht="36" customHeight="1" x14ac:dyDescent="0.3">
      <c r="A4" s="302"/>
      <c r="B4" s="548"/>
      <c r="C4" s="548"/>
      <c r="D4" s="548"/>
      <c r="E4" s="548"/>
      <c r="F4" s="548"/>
      <c r="G4" s="548"/>
      <c r="H4" s="548"/>
      <c r="I4" s="548"/>
    </row>
    <row r="5" spans="1:9" x14ac:dyDescent="0.3">
      <c r="A5" s="16"/>
      <c r="B5" s="303" t="s">
        <v>558</v>
      </c>
      <c r="C5" s="304"/>
      <c r="D5" s="304"/>
      <c r="E5" s="305"/>
      <c r="F5" s="305"/>
      <c r="G5" s="305"/>
      <c r="H5" s="305"/>
      <c r="I5" s="305"/>
    </row>
    <row r="6" spans="1:9" x14ac:dyDescent="0.3">
      <c r="A6" s="16"/>
      <c r="B6" s="306" t="s">
        <v>559</v>
      </c>
      <c r="C6" s="307"/>
      <c r="D6" s="307"/>
      <c r="E6" s="305"/>
      <c r="F6" s="305"/>
      <c r="G6" s="305"/>
      <c r="H6" s="305"/>
      <c r="I6" s="305"/>
    </row>
    <row r="7" spans="1:9" x14ac:dyDescent="0.3">
      <c r="A7" s="16"/>
      <c r="B7" s="306" t="s">
        <v>560</v>
      </c>
      <c r="C7" s="307"/>
      <c r="D7" s="304"/>
      <c r="E7" s="305"/>
      <c r="F7" s="305"/>
      <c r="G7" s="305"/>
      <c r="H7" s="305"/>
      <c r="I7" s="305"/>
    </row>
    <row r="8" spans="1:9" x14ac:dyDescent="0.3">
      <c r="A8" s="16"/>
      <c r="B8" s="306" t="s">
        <v>561</v>
      </c>
      <c r="C8" s="304"/>
      <c r="D8" s="304"/>
      <c r="E8" s="305"/>
      <c r="F8" s="305"/>
      <c r="G8" s="305"/>
      <c r="H8" s="305"/>
      <c r="I8" s="305"/>
    </row>
    <row r="9" spans="1:9" x14ac:dyDescent="0.3">
      <c r="A9" s="16"/>
      <c r="B9" s="306" t="s">
        <v>562</v>
      </c>
      <c r="C9" s="308"/>
      <c r="D9" s="308"/>
      <c r="E9" s="305"/>
      <c r="F9" s="305"/>
      <c r="G9" s="305"/>
      <c r="H9" s="305"/>
      <c r="I9" s="305"/>
    </row>
    <row r="10" spans="1:9" x14ac:dyDescent="0.3">
      <c r="A10" s="309"/>
      <c r="B10" s="139"/>
      <c r="C10" s="310"/>
      <c r="D10" s="305"/>
      <c r="E10" s="305"/>
      <c r="F10" s="305"/>
      <c r="G10" s="305"/>
      <c r="H10" s="305"/>
      <c r="I10" s="305"/>
    </row>
    <row r="11" spans="1:9" x14ac:dyDescent="0.3">
      <c r="A11" s="139"/>
      <c r="B11" s="138"/>
      <c r="C11" s="138"/>
      <c r="D11" s="138"/>
      <c r="E11" s="138"/>
      <c r="F11" s="138"/>
      <c r="G11" s="138"/>
      <c r="H11" s="138"/>
      <c r="I11" s="311"/>
    </row>
    <row r="12" spans="1:9" x14ac:dyDescent="0.3">
      <c r="A12" s="591" t="s">
        <v>563</v>
      </c>
      <c r="B12" s="592" t="s">
        <v>564</v>
      </c>
      <c r="C12" s="593" t="s">
        <v>565</v>
      </c>
      <c r="D12" s="312" t="s">
        <v>566</v>
      </c>
      <c r="E12" s="312"/>
      <c r="F12" s="312"/>
      <c r="G12" s="593" t="s">
        <v>311</v>
      </c>
      <c r="H12" s="593" t="s">
        <v>312</v>
      </c>
      <c r="I12" s="593" t="s">
        <v>567</v>
      </c>
    </row>
    <row r="13" spans="1:9" x14ac:dyDescent="0.3">
      <c r="A13" s="591"/>
      <c r="B13" s="592"/>
      <c r="C13" s="593"/>
      <c r="D13" s="313" t="s">
        <v>308</v>
      </c>
      <c r="E13" s="313" t="s">
        <v>309</v>
      </c>
      <c r="F13" s="313" t="s">
        <v>310</v>
      </c>
      <c r="G13" s="593"/>
      <c r="H13" s="593"/>
      <c r="I13" s="593"/>
    </row>
    <row r="14" spans="1:9" x14ac:dyDescent="0.3">
      <c r="A14" s="314">
        <f>'[1]RESERV. 10 m3'!A418+0.000001</f>
        <v>1.0205059999999995</v>
      </c>
      <c r="B14" s="315" t="s">
        <v>568</v>
      </c>
      <c r="C14" s="316"/>
      <c r="D14" s="317"/>
      <c r="E14" s="317"/>
      <c r="F14" s="318"/>
      <c r="G14" s="319"/>
      <c r="H14" s="319"/>
      <c r="I14" s="320"/>
    </row>
    <row r="15" spans="1:9" x14ac:dyDescent="0.3">
      <c r="A15" s="321">
        <f>+A14+0.00000001</f>
        <v>1.0205060099999994</v>
      </c>
      <c r="B15" s="322" t="s">
        <v>303</v>
      </c>
      <c r="C15" s="323"/>
      <c r="D15" s="324"/>
      <c r="E15" s="324"/>
      <c r="F15" s="325"/>
      <c r="G15" s="326"/>
      <c r="H15" s="326"/>
      <c r="I15" s="327"/>
    </row>
    <row r="16" spans="1:9" x14ac:dyDescent="0.3">
      <c r="A16" s="328">
        <f>+A15+0.0000000001</f>
        <v>1.0205060100999994</v>
      </c>
      <c r="B16" s="329" t="s">
        <v>316</v>
      </c>
      <c r="C16" s="330"/>
      <c r="D16" s="331"/>
      <c r="E16" s="331"/>
      <c r="F16" s="332"/>
      <c r="G16" s="333"/>
      <c r="H16" s="334">
        <f>SUM(H17:H18)</f>
        <v>24</v>
      </c>
      <c r="I16" s="335" t="s">
        <v>314</v>
      </c>
    </row>
    <row r="17" spans="1:9" x14ac:dyDescent="0.3">
      <c r="A17" s="336"/>
      <c r="B17" s="337" t="s">
        <v>569</v>
      </c>
      <c r="C17" s="330">
        <v>2</v>
      </c>
      <c r="D17" s="331">
        <v>10</v>
      </c>
      <c r="E17" s="331">
        <v>0.6</v>
      </c>
      <c r="F17" s="332"/>
      <c r="G17" s="333">
        <f>+E17*D17</f>
        <v>6</v>
      </c>
      <c r="H17" s="333">
        <f>+G17*C17</f>
        <v>12</v>
      </c>
      <c r="I17" s="335" t="s">
        <v>570</v>
      </c>
    </row>
    <row r="18" spans="1:9" x14ac:dyDescent="0.3">
      <c r="A18" s="336"/>
      <c r="B18" s="337" t="s">
        <v>571</v>
      </c>
      <c r="C18" s="330">
        <v>2</v>
      </c>
      <c r="D18" s="331">
        <v>10</v>
      </c>
      <c r="E18" s="331">
        <v>0.6</v>
      </c>
      <c r="F18" s="332"/>
      <c r="G18" s="333">
        <f>+E18*D18</f>
        <v>6</v>
      </c>
      <c r="H18" s="333">
        <f>+G18*C18</f>
        <v>12</v>
      </c>
      <c r="I18" s="335" t="s">
        <v>570</v>
      </c>
    </row>
    <row r="19" spans="1:9" x14ac:dyDescent="0.3">
      <c r="A19" s="336"/>
      <c r="B19" s="337"/>
      <c r="C19" s="330"/>
      <c r="D19" s="331"/>
      <c r="E19" s="331"/>
      <c r="F19" s="332"/>
      <c r="G19" s="333"/>
      <c r="H19" s="333"/>
      <c r="I19" s="335" t="s">
        <v>570</v>
      </c>
    </row>
    <row r="20" spans="1:9" x14ac:dyDescent="0.3">
      <c r="A20" s="321">
        <f>+A15+0.00000001</f>
        <v>1.0205060199999993</v>
      </c>
      <c r="B20" s="322" t="s">
        <v>318</v>
      </c>
      <c r="C20" s="323"/>
      <c r="D20" s="324"/>
      <c r="E20" s="324"/>
      <c r="F20" s="325"/>
      <c r="G20" s="326"/>
      <c r="H20" s="326"/>
      <c r="I20" s="338" t="s">
        <v>570</v>
      </c>
    </row>
    <row r="21" spans="1:9" x14ac:dyDescent="0.3">
      <c r="A21" s="328">
        <f>+A20+0.0000000001</f>
        <v>1.0205060200999994</v>
      </c>
      <c r="B21" s="329" t="s">
        <v>572</v>
      </c>
      <c r="C21" s="330"/>
      <c r="D21" s="331"/>
      <c r="E21" s="331"/>
      <c r="F21" s="332"/>
      <c r="G21" s="333"/>
      <c r="H21" s="334">
        <f>SUM(H22)</f>
        <v>2</v>
      </c>
      <c r="I21" s="335" t="s">
        <v>321</v>
      </c>
    </row>
    <row r="22" spans="1:9" x14ac:dyDescent="0.3">
      <c r="A22" s="336"/>
      <c r="B22" s="337" t="s">
        <v>573</v>
      </c>
      <c r="C22" s="330">
        <v>16</v>
      </c>
      <c r="D22" s="331">
        <v>0.5</v>
      </c>
      <c r="E22" s="331">
        <v>0.5</v>
      </c>
      <c r="F22" s="332">
        <v>0.5</v>
      </c>
      <c r="G22" s="333">
        <f>D22*E22*F22</f>
        <v>0.125</v>
      </c>
      <c r="H22" s="333">
        <f>+G22*C22</f>
        <v>2</v>
      </c>
      <c r="I22" s="335" t="s">
        <v>570</v>
      </c>
    </row>
    <row r="23" spans="1:9" x14ac:dyDescent="0.3">
      <c r="A23" s="328">
        <f>+A21+0.000000001</f>
        <v>1.0205060210999994</v>
      </c>
      <c r="B23" s="329" t="s">
        <v>574</v>
      </c>
      <c r="C23" s="339"/>
      <c r="D23" s="340"/>
      <c r="E23" s="340"/>
      <c r="F23" s="341"/>
      <c r="G23" s="341"/>
      <c r="H23" s="334">
        <f>+E24*D24</f>
        <v>2.4</v>
      </c>
      <c r="I23" s="335" t="s">
        <v>321</v>
      </c>
    </row>
    <row r="24" spans="1:9" x14ac:dyDescent="0.3">
      <c r="A24" s="342"/>
      <c r="B24" s="337" t="s">
        <v>575</v>
      </c>
      <c r="C24" s="330">
        <v>1</v>
      </c>
      <c r="D24" s="330">
        <v>1.2</v>
      </c>
      <c r="E24" s="343">
        <f>+H21</f>
        <v>2</v>
      </c>
      <c r="F24" s="330"/>
      <c r="G24" s="341"/>
      <c r="H24" s="333"/>
      <c r="I24" s="335" t="s">
        <v>570</v>
      </c>
    </row>
    <row r="25" spans="1:9" x14ac:dyDescent="0.3">
      <c r="A25" s="336"/>
      <c r="B25" s="337"/>
      <c r="C25" s="330"/>
      <c r="D25" s="331"/>
      <c r="E25" s="331"/>
      <c r="F25" s="332"/>
      <c r="G25" s="333"/>
      <c r="H25" s="333"/>
      <c r="I25" s="335" t="s">
        <v>570</v>
      </c>
    </row>
    <row r="26" spans="1:9" x14ac:dyDescent="0.3">
      <c r="A26" s="321">
        <f>+A20+0.00000001</f>
        <v>1.0205060299999993</v>
      </c>
      <c r="B26" s="322" t="s">
        <v>338</v>
      </c>
      <c r="C26" s="323"/>
      <c r="D26" s="324"/>
      <c r="E26" s="324"/>
      <c r="F26" s="325"/>
      <c r="G26" s="326"/>
      <c r="H26" s="326"/>
      <c r="I26" s="338" t="s">
        <v>570</v>
      </c>
    </row>
    <row r="27" spans="1:9" x14ac:dyDescent="0.3">
      <c r="A27" s="328">
        <f>+A26+0.0000000001</f>
        <v>1.0205060300999993</v>
      </c>
      <c r="B27" s="329" t="s">
        <v>576</v>
      </c>
      <c r="C27" s="330"/>
      <c r="D27" s="331"/>
      <c r="E27" s="331"/>
      <c r="F27" s="332"/>
      <c r="G27" s="333"/>
      <c r="H27" s="334">
        <f>SUM(H28:H28)</f>
        <v>2</v>
      </c>
      <c r="I27" s="335" t="s">
        <v>321</v>
      </c>
    </row>
    <row r="28" spans="1:9" x14ac:dyDescent="0.3">
      <c r="A28" s="336"/>
      <c r="B28" s="337" t="s">
        <v>577</v>
      </c>
      <c r="C28" s="330">
        <f>+C22</f>
        <v>16</v>
      </c>
      <c r="D28" s="331">
        <v>0.5</v>
      </c>
      <c r="E28" s="331">
        <v>0.5</v>
      </c>
      <c r="F28" s="332">
        <v>0.5</v>
      </c>
      <c r="G28" s="333">
        <f>D28*E28*F28</f>
        <v>0.125</v>
      </c>
      <c r="H28" s="333">
        <f>+G28*C28</f>
        <v>2</v>
      </c>
      <c r="I28" s="335" t="s">
        <v>570</v>
      </c>
    </row>
    <row r="29" spans="1:9" x14ac:dyDescent="0.3">
      <c r="A29" s="321">
        <f>+A26+0.00000001</f>
        <v>1.0205060399999992</v>
      </c>
      <c r="B29" s="322" t="s">
        <v>417</v>
      </c>
      <c r="C29" s="323"/>
      <c r="D29" s="324"/>
      <c r="E29" s="324"/>
      <c r="F29" s="325"/>
      <c r="G29" s="326"/>
      <c r="H29" s="326"/>
      <c r="I29" s="338" t="s">
        <v>570</v>
      </c>
    </row>
    <row r="30" spans="1:9" x14ac:dyDescent="0.3">
      <c r="A30" s="328">
        <f>+A29+0.0000000001</f>
        <v>1.0205060400999992</v>
      </c>
      <c r="B30" s="329" t="s">
        <v>578</v>
      </c>
      <c r="C30" s="330"/>
      <c r="D30" s="331"/>
      <c r="E30" s="331"/>
      <c r="F30" s="332"/>
      <c r="G30" s="333"/>
      <c r="H30" s="334">
        <f>SUM(H31:H32)</f>
        <v>78.2</v>
      </c>
      <c r="I30" s="335" t="s">
        <v>314</v>
      </c>
    </row>
    <row r="31" spans="1:9" x14ac:dyDescent="0.3">
      <c r="A31" s="344"/>
      <c r="B31" s="337" t="s">
        <v>579</v>
      </c>
      <c r="C31" s="330">
        <v>4</v>
      </c>
      <c r="D31" s="331">
        <v>10</v>
      </c>
      <c r="E31" s="331"/>
      <c r="F31" s="332">
        <v>2</v>
      </c>
      <c r="G31" s="333">
        <f>+F31*D31</f>
        <v>20</v>
      </c>
      <c r="H31" s="333">
        <f>+G31*C31</f>
        <v>80</v>
      </c>
      <c r="I31" s="335" t="s">
        <v>570</v>
      </c>
    </row>
    <row r="32" spans="1:9" x14ac:dyDescent="0.3">
      <c r="A32" s="336"/>
      <c r="B32" s="337"/>
      <c r="C32" s="330">
        <v>-1</v>
      </c>
      <c r="D32" s="331">
        <v>0.9</v>
      </c>
      <c r="E32" s="331"/>
      <c r="F32" s="332">
        <f>+F31</f>
        <v>2</v>
      </c>
      <c r="G32" s="333">
        <f>+F32*D32</f>
        <v>1.8</v>
      </c>
      <c r="H32" s="333">
        <f>+G32*C32</f>
        <v>-1.8</v>
      </c>
      <c r="I32" s="335" t="s">
        <v>570</v>
      </c>
    </row>
    <row r="33" spans="1:9" x14ac:dyDescent="0.3">
      <c r="A33" s="328">
        <f>+A30+0.0000000001</f>
        <v>1.0205060401999992</v>
      </c>
      <c r="B33" s="329" t="s">
        <v>580</v>
      </c>
      <c r="C33" s="330"/>
      <c r="D33" s="331"/>
      <c r="E33" s="331"/>
      <c r="F33" s="332"/>
      <c r="G33" s="333"/>
      <c r="H33" s="334">
        <f>SUM(H34:H35)</f>
        <v>1</v>
      </c>
      <c r="I33" s="335" t="s">
        <v>388</v>
      </c>
    </row>
    <row r="34" spans="1:9" x14ac:dyDescent="0.3">
      <c r="A34" s="336"/>
      <c r="B34" s="337" t="s">
        <v>581</v>
      </c>
      <c r="C34" s="330">
        <v>1</v>
      </c>
      <c r="D34" s="331"/>
      <c r="E34" s="331"/>
      <c r="F34" s="332"/>
      <c r="G34" s="333">
        <f>+C34</f>
        <v>1</v>
      </c>
      <c r="H34" s="333">
        <f>+G34*C34</f>
        <v>1</v>
      </c>
      <c r="I34" s="335" t="s">
        <v>570</v>
      </c>
    </row>
    <row r="35" spans="1:9" x14ac:dyDescent="0.3">
      <c r="A35" s="336"/>
      <c r="B35" s="337"/>
      <c r="C35" s="330"/>
      <c r="D35" s="331"/>
      <c r="E35" s="331"/>
      <c r="F35" s="332"/>
      <c r="G35" s="333"/>
      <c r="H35" s="333"/>
      <c r="I35" s="335" t="s">
        <v>570</v>
      </c>
    </row>
  </sheetData>
  <mergeCells count="8">
    <mergeCell ref="A1:I1"/>
    <mergeCell ref="A12:A13"/>
    <mergeCell ref="B12:B13"/>
    <mergeCell ref="C12:C13"/>
    <mergeCell ref="G12:G13"/>
    <mergeCell ref="H12:H13"/>
    <mergeCell ref="I12:I13"/>
    <mergeCell ref="B3:I4"/>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U91"/>
  <sheetViews>
    <sheetView topLeftCell="A13" workbookViewId="0">
      <selection activeCell="T83" sqref="T83"/>
    </sheetView>
  </sheetViews>
  <sheetFormatPr baseColWidth="10" defaultColWidth="11.44140625" defaultRowHeight="14.4" x14ac:dyDescent="0.3"/>
  <cols>
    <col min="1" max="1" width="18.109375" customWidth="1"/>
    <col min="2" max="2" width="19.5546875" customWidth="1"/>
    <col min="3" max="10" width="3.6640625" customWidth="1"/>
    <col min="11" max="11" width="3" customWidth="1"/>
    <col min="12" max="12" width="8.33203125" customWidth="1"/>
    <col min="13" max="13" width="12.109375" customWidth="1"/>
    <col min="14" max="14" width="11.33203125" customWidth="1"/>
    <col min="15" max="15" width="9" customWidth="1"/>
    <col min="16" max="21" width="12.6640625" customWidth="1"/>
  </cols>
  <sheetData>
    <row r="1" spans="1:21" ht="18" x14ac:dyDescent="0.3">
      <c r="A1" s="613" t="s">
        <v>582</v>
      </c>
      <c r="B1" s="613"/>
      <c r="C1" s="613"/>
      <c r="D1" s="613"/>
      <c r="E1" s="613"/>
      <c r="F1" s="613"/>
      <c r="G1" s="613"/>
      <c r="H1" s="613"/>
      <c r="I1" s="613"/>
      <c r="J1" s="613"/>
      <c r="K1" s="613"/>
      <c r="L1" s="613"/>
      <c r="M1" s="613"/>
      <c r="N1" s="613"/>
      <c r="O1" s="613"/>
      <c r="P1" s="613"/>
      <c r="Q1" s="613"/>
      <c r="R1" s="168"/>
      <c r="S1" s="168"/>
      <c r="T1" s="168"/>
      <c r="U1" s="168"/>
    </row>
    <row r="2" spans="1:21" ht="15" thickBot="1" x14ac:dyDescent="0.35">
      <c r="A2" s="169"/>
      <c r="B2" s="169"/>
      <c r="C2" s="169"/>
      <c r="D2" s="169"/>
      <c r="E2" s="169"/>
      <c r="F2" s="169"/>
      <c r="G2" s="169"/>
      <c r="H2" s="169"/>
      <c r="I2" s="169"/>
      <c r="J2" s="169"/>
      <c r="K2" s="169"/>
      <c r="L2" s="169"/>
      <c r="M2" s="169"/>
      <c r="N2" s="169"/>
      <c r="O2" s="169"/>
      <c r="P2" s="169"/>
      <c r="Q2" s="169"/>
      <c r="R2" s="169"/>
      <c r="S2" s="169"/>
      <c r="T2" s="170"/>
      <c r="U2" s="169"/>
    </row>
    <row r="3" spans="1:21" x14ac:dyDescent="0.3">
      <c r="A3" s="614" t="s">
        <v>583</v>
      </c>
      <c r="B3" s="616" t="s">
        <v>584</v>
      </c>
      <c r="C3" s="616" t="s">
        <v>585</v>
      </c>
      <c r="D3" s="616"/>
      <c r="E3" s="616"/>
      <c r="F3" s="616"/>
      <c r="G3" s="616"/>
      <c r="H3" s="616"/>
      <c r="I3" s="616"/>
      <c r="J3" s="616"/>
      <c r="K3" s="616"/>
      <c r="L3" s="616" t="s">
        <v>586</v>
      </c>
      <c r="M3" s="616" t="s">
        <v>587</v>
      </c>
      <c r="N3" s="616" t="s">
        <v>588</v>
      </c>
      <c r="O3" s="616" t="s">
        <v>589</v>
      </c>
      <c r="P3" s="619" t="s">
        <v>590</v>
      </c>
      <c r="Q3" s="620"/>
      <c r="R3" s="171"/>
      <c r="S3" s="171"/>
      <c r="T3" s="171"/>
      <c r="U3" s="172"/>
    </row>
    <row r="4" spans="1:21" ht="28.5" customHeight="1" thickBot="1" x14ac:dyDescent="0.35">
      <c r="A4" s="615"/>
      <c r="B4" s="617" t="s">
        <v>591</v>
      </c>
      <c r="C4" s="618"/>
      <c r="D4" s="618"/>
      <c r="E4" s="618"/>
      <c r="F4" s="618"/>
      <c r="G4" s="618"/>
      <c r="H4" s="618"/>
      <c r="I4" s="618"/>
      <c r="J4" s="618"/>
      <c r="K4" s="618"/>
      <c r="L4" s="617" t="s">
        <v>592</v>
      </c>
      <c r="M4" s="617" t="s">
        <v>593</v>
      </c>
      <c r="N4" s="617" t="s">
        <v>594</v>
      </c>
      <c r="O4" s="617" t="s">
        <v>595</v>
      </c>
      <c r="P4" s="173" t="s">
        <v>596</v>
      </c>
      <c r="Q4" s="174" t="s">
        <v>597</v>
      </c>
      <c r="R4" s="175" t="s">
        <v>598</v>
      </c>
      <c r="S4" s="173" t="s">
        <v>599</v>
      </c>
      <c r="T4" s="173" t="s">
        <v>600</v>
      </c>
      <c r="U4" s="174" t="s">
        <v>601</v>
      </c>
    </row>
    <row r="5" spans="1:21" ht="15" thickBot="1" x14ac:dyDescent="0.35">
      <c r="A5" s="176"/>
      <c r="B5" s="177"/>
      <c r="C5" s="177"/>
      <c r="D5" s="177"/>
      <c r="E5" s="177"/>
      <c r="F5" s="177"/>
      <c r="G5" s="177"/>
      <c r="H5" s="177"/>
      <c r="I5" s="177"/>
      <c r="J5" s="177"/>
      <c r="K5" s="177"/>
      <c r="L5" s="177"/>
      <c r="M5" s="177"/>
      <c r="N5" s="177"/>
      <c r="O5" s="177"/>
      <c r="P5" s="177"/>
      <c r="Q5" s="178"/>
      <c r="R5" s="177"/>
      <c r="S5" s="177"/>
      <c r="T5" s="177"/>
      <c r="U5" s="178"/>
    </row>
    <row r="6" spans="1:21" x14ac:dyDescent="0.3">
      <c r="A6" s="179">
        <f>+'[1]RESERV. 10 m3'!A201</f>
        <v>1.0205020301029999</v>
      </c>
      <c r="B6" s="180" t="str">
        <f>+'[1]RESERV. 10 m3'!B201</f>
        <v>ACERO CORRUGADO fy=4200 kg/cm2 GRADO 60, PARA ZAPATA</v>
      </c>
      <c r="C6" s="181"/>
      <c r="D6" s="181"/>
      <c r="E6" s="181"/>
      <c r="F6" s="181"/>
      <c r="G6" s="181"/>
      <c r="H6" s="181"/>
      <c r="I6" s="181"/>
      <c r="J6" s="181"/>
      <c r="K6" s="169"/>
      <c r="L6" s="182"/>
      <c r="M6" s="183"/>
      <c r="N6" s="182" t="s">
        <v>602</v>
      </c>
      <c r="O6" s="184"/>
      <c r="P6" s="185"/>
      <c r="Q6" s="186" t="str">
        <f>IF(L6="3/8",(M6*#REF!*O6),"")</f>
        <v/>
      </c>
      <c r="R6" s="187"/>
      <c r="S6" s="188"/>
      <c r="T6" s="188"/>
      <c r="U6" s="189"/>
    </row>
    <row r="7" spans="1:21" x14ac:dyDescent="0.3">
      <c r="A7" s="190"/>
      <c r="B7" s="191"/>
      <c r="C7" s="169"/>
      <c r="D7" s="169"/>
      <c r="E7" s="169"/>
      <c r="F7" s="169"/>
      <c r="G7" s="169"/>
      <c r="H7" s="169"/>
      <c r="I7" s="169"/>
      <c r="J7" s="169"/>
      <c r="K7" s="192"/>
      <c r="L7" s="193"/>
      <c r="M7" s="194"/>
      <c r="N7" s="195"/>
      <c r="O7" s="196"/>
      <c r="P7" s="197"/>
      <c r="Q7" s="198"/>
      <c r="R7" s="197"/>
      <c r="S7" s="199"/>
      <c r="T7" s="200"/>
      <c r="U7" s="201"/>
    </row>
    <row r="8" spans="1:21" x14ac:dyDescent="0.3">
      <c r="A8" s="190"/>
      <c r="B8" s="191" t="s">
        <v>603</v>
      </c>
      <c r="C8" s="169"/>
      <c r="D8" s="169"/>
      <c r="E8" s="169"/>
      <c r="F8" s="169"/>
      <c r="G8" s="169"/>
      <c r="H8" s="169"/>
      <c r="I8" s="169"/>
      <c r="J8" s="169"/>
      <c r="K8" s="192"/>
      <c r="L8" s="193"/>
      <c r="M8" s="194"/>
      <c r="N8" s="195"/>
      <c r="O8" s="196"/>
      <c r="P8" s="197"/>
      <c r="Q8" s="198"/>
      <c r="R8" s="197"/>
      <c r="S8" s="199"/>
      <c r="T8" s="200"/>
      <c r="U8" s="201"/>
    </row>
    <row r="9" spans="1:21" x14ac:dyDescent="0.3">
      <c r="A9" s="190"/>
      <c r="B9" s="191"/>
      <c r="C9" s="169"/>
      <c r="D9" s="169"/>
      <c r="E9" s="169"/>
      <c r="F9" s="169"/>
      <c r="G9" s="169"/>
      <c r="H9" s="169"/>
      <c r="I9" s="169"/>
      <c r="J9" s="169"/>
      <c r="K9" s="192"/>
      <c r="L9" s="193"/>
      <c r="M9" s="194"/>
      <c r="N9" s="195"/>
      <c r="O9" s="196"/>
      <c r="P9" s="197"/>
      <c r="Q9" s="198"/>
      <c r="R9" s="197"/>
      <c r="S9" s="199"/>
      <c r="T9" s="200"/>
      <c r="U9" s="201"/>
    </row>
    <row r="10" spans="1:21" x14ac:dyDescent="0.3">
      <c r="A10" s="202"/>
      <c r="B10" s="203" t="s">
        <v>604</v>
      </c>
      <c r="C10" s="204"/>
      <c r="D10" s="204"/>
      <c r="E10" s="204"/>
      <c r="F10" s="204"/>
      <c r="G10" s="204"/>
      <c r="H10" s="204"/>
      <c r="I10" s="204"/>
      <c r="J10" s="204"/>
      <c r="K10" s="205"/>
      <c r="L10" s="206" t="s">
        <v>598</v>
      </c>
      <c r="M10" s="207">
        <v>1.2250000000000001</v>
      </c>
      <c r="N10" s="208">
        <v>4</v>
      </c>
      <c r="O10" s="209">
        <f>+'METRADOS DE RESER'!E165/Memoria!I383+1</f>
        <v>17.065617248750861</v>
      </c>
      <c r="P10" s="210" t="str">
        <f>IF(L10="1/4",(M10*N10*O10),"")</f>
        <v/>
      </c>
      <c r="Q10" s="211" t="str">
        <f>IF(L10="3/8",(M10*N10*O10),"")</f>
        <v/>
      </c>
      <c r="R10" s="210">
        <f>IF(L10="1/2",(M10*N10*O10),"")</f>
        <v>83.621524518879227</v>
      </c>
      <c r="S10" s="212" t="str">
        <f>IF(L10="5/8",(M10*N10*O10),"")</f>
        <v/>
      </c>
      <c r="T10" s="213" t="str">
        <f>IF(L10="3/4",(M10*N10*O10),"")</f>
        <v/>
      </c>
      <c r="U10" s="214" t="str">
        <f>IF(L10="1",(M10*N10*O10),"")</f>
        <v/>
      </c>
    </row>
    <row r="11" spans="1:21" x14ac:dyDescent="0.3">
      <c r="A11" s="202"/>
      <c r="B11" s="203"/>
      <c r="C11" s="204"/>
      <c r="D11" s="204"/>
      <c r="E11" s="204"/>
      <c r="F11" s="204"/>
      <c r="G11" s="204"/>
      <c r="H11" s="204"/>
      <c r="I11" s="204"/>
      <c r="J11" s="204"/>
      <c r="K11" s="205"/>
      <c r="L11" s="206"/>
      <c r="M11" s="207"/>
      <c r="N11" s="208"/>
      <c r="O11" s="209"/>
      <c r="P11" s="210" t="str">
        <f>IF(L11="1/4",(M11*N11*O11),"")</f>
        <v/>
      </c>
      <c r="Q11" s="211" t="str">
        <f>IF(L11="3/8",(M11*N11*O11),"")</f>
        <v/>
      </c>
      <c r="R11" s="210"/>
      <c r="S11" s="212"/>
      <c r="T11" s="213"/>
      <c r="U11" s="214"/>
    </row>
    <row r="12" spans="1:21" x14ac:dyDescent="0.3">
      <c r="A12" s="202"/>
      <c r="B12" s="203"/>
      <c r="C12" s="204"/>
      <c r="D12" s="204"/>
      <c r="E12" s="204"/>
      <c r="F12" s="204"/>
      <c r="G12" s="204"/>
      <c r="H12" s="204"/>
      <c r="I12" s="204"/>
      <c r="J12" s="204"/>
      <c r="K12" s="205"/>
      <c r="L12" s="206"/>
      <c r="M12" s="207"/>
      <c r="N12" s="208"/>
      <c r="O12" s="209"/>
      <c r="P12" s="210" t="str">
        <f>IF(L12="1/4",(M12*N12*O12),"")</f>
        <v/>
      </c>
      <c r="Q12" s="211" t="str">
        <f>IF(L12="3/8",(M12*N12*O12),"")</f>
        <v/>
      </c>
      <c r="R12" s="210"/>
      <c r="S12" s="212"/>
      <c r="T12" s="213"/>
      <c r="U12" s="214"/>
    </row>
    <row r="13" spans="1:21" x14ac:dyDescent="0.3">
      <c r="A13" s="202"/>
      <c r="B13" s="203" t="s">
        <v>605</v>
      </c>
      <c r="C13" s="204"/>
      <c r="D13" s="204"/>
      <c r="E13" s="204"/>
      <c r="F13" s="204"/>
      <c r="G13" s="204"/>
      <c r="H13" s="204"/>
      <c r="I13" s="204"/>
      <c r="J13" s="204"/>
      <c r="K13" s="205"/>
      <c r="L13" s="206" t="s">
        <v>598</v>
      </c>
      <c r="M13" s="207">
        <f>+'METRADOS DE RESER'!E165</f>
        <v>3.2131234497501726</v>
      </c>
      <c r="N13" s="208">
        <f>+N10</f>
        <v>4</v>
      </c>
      <c r="O13" s="209">
        <v>3</v>
      </c>
      <c r="P13" s="210" t="str">
        <f>IF(L13="1/4",(M13*N13*O13),"")</f>
        <v/>
      </c>
      <c r="Q13" s="211" t="str">
        <f>IF(L13="3/8",(M13*N13*O13),"")</f>
        <v/>
      </c>
      <c r="R13" s="210">
        <f>IF(L13="1/2",(M13*N13*O13),"")</f>
        <v>38.557481397002071</v>
      </c>
      <c r="S13" s="212"/>
      <c r="T13" s="213"/>
      <c r="U13" s="214"/>
    </row>
    <row r="14" spans="1:21" x14ac:dyDescent="0.3">
      <c r="A14" s="202"/>
      <c r="B14" s="203"/>
      <c r="C14" s="204"/>
      <c r="D14" s="204"/>
      <c r="E14" s="204"/>
      <c r="F14" s="204"/>
      <c r="G14" s="204"/>
      <c r="H14" s="204"/>
      <c r="I14" s="204"/>
      <c r="J14" s="204"/>
      <c r="K14" s="205"/>
      <c r="L14" s="206"/>
      <c r="M14" s="215"/>
      <c r="N14" s="216"/>
      <c r="O14" s="217"/>
      <c r="P14" s="210"/>
      <c r="Q14" s="211"/>
      <c r="R14" s="210"/>
      <c r="S14" s="212"/>
      <c r="T14" s="213"/>
      <c r="U14" s="214"/>
    </row>
    <row r="15" spans="1:21" x14ac:dyDescent="0.3">
      <c r="A15" s="202"/>
      <c r="B15" s="605" t="s">
        <v>606</v>
      </c>
      <c r="C15" s="606"/>
      <c r="D15" s="606"/>
      <c r="E15" s="606"/>
      <c r="F15" s="606"/>
      <c r="G15" s="606"/>
      <c r="H15" s="606"/>
      <c r="I15" s="606"/>
      <c r="J15" s="606"/>
      <c r="K15" s="606"/>
      <c r="L15" s="606"/>
      <c r="M15" s="606"/>
      <c r="N15" s="606"/>
      <c r="O15" s="606"/>
      <c r="P15" s="218">
        <v>0.25</v>
      </c>
      <c r="Q15" s="219">
        <v>0.56000000000000005</v>
      </c>
      <c r="R15" s="220">
        <v>0.99399999999999999</v>
      </c>
      <c r="S15" s="218">
        <v>1.552</v>
      </c>
      <c r="T15" s="218">
        <v>2.2349999999999999</v>
      </c>
      <c r="U15" s="219">
        <v>3.9729999999999999</v>
      </c>
    </row>
    <row r="16" spans="1:21" x14ac:dyDescent="0.3">
      <c r="A16" s="202"/>
      <c r="B16" s="605" t="s">
        <v>607</v>
      </c>
      <c r="C16" s="606"/>
      <c r="D16" s="606"/>
      <c r="E16" s="606"/>
      <c r="F16" s="606"/>
      <c r="G16" s="606"/>
      <c r="H16" s="606"/>
      <c r="I16" s="606"/>
      <c r="J16" s="606"/>
      <c r="K16" s="606"/>
      <c r="L16" s="606"/>
      <c r="M16" s="606"/>
      <c r="N16" s="606"/>
      <c r="O16" s="606"/>
      <c r="P16" s="221">
        <f t="shared" ref="P16:U16" si="0">SUM(P7:P14)</f>
        <v>0</v>
      </c>
      <c r="Q16" s="222">
        <f t="shared" si="0"/>
        <v>0</v>
      </c>
      <c r="R16" s="223">
        <f t="shared" si="0"/>
        <v>122.17900591588131</v>
      </c>
      <c r="S16" s="221">
        <f t="shared" si="0"/>
        <v>0</v>
      </c>
      <c r="T16" s="221">
        <f t="shared" si="0"/>
        <v>0</v>
      </c>
      <c r="U16" s="222">
        <f t="shared" si="0"/>
        <v>0</v>
      </c>
    </row>
    <row r="17" spans="1:21" x14ac:dyDescent="0.3">
      <c r="A17" s="202"/>
      <c r="B17" s="605" t="s">
        <v>608</v>
      </c>
      <c r="C17" s="606"/>
      <c r="D17" s="606"/>
      <c r="E17" s="606"/>
      <c r="F17" s="606"/>
      <c r="G17" s="606"/>
      <c r="H17" s="606"/>
      <c r="I17" s="606"/>
      <c r="J17" s="606"/>
      <c r="K17" s="606"/>
      <c r="L17" s="606"/>
      <c r="M17" s="606"/>
      <c r="N17" s="606"/>
      <c r="O17" s="606"/>
      <c r="P17" s="221">
        <f t="shared" ref="P17:U17" si="1">+P15*P16</f>
        <v>0</v>
      </c>
      <c r="Q17" s="222">
        <f t="shared" si="1"/>
        <v>0</v>
      </c>
      <c r="R17" s="223">
        <f t="shared" si="1"/>
        <v>121.44593188038601</v>
      </c>
      <c r="S17" s="221">
        <f t="shared" si="1"/>
        <v>0</v>
      </c>
      <c r="T17" s="221">
        <f t="shared" si="1"/>
        <v>0</v>
      </c>
      <c r="U17" s="221">
        <f t="shared" si="1"/>
        <v>0</v>
      </c>
    </row>
    <row r="18" spans="1:21" x14ac:dyDescent="0.3">
      <c r="A18" s="202"/>
      <c r="B18" s="607" t="s">
        <v>609</v>
      </c>
      <c r="C18" s="608"/>
      <c r="D18" s="608"/>
      <c r="E18" s="608"/>
      <c r="F18" s="608"/>
      <c r="G18" s="608"/>
      <c r="H18" s="608"/>
      <c r="I18" s="608"/>
      <c r="J18" s="608"/>
      <c r="K18" s="608"/>
      <c r="L18" s="608"/>
      <c r="M18" s="608"/>
      <c r="N18" s="608"/>
      <c r="O18" s="608" t="s">
        <v>609</v>
      </c>
      <c r="P18" s="221">
        <f t="shared" ref="P18:U18" si="2">ROUNDUP(P17/(P15*9),2)</f>
        <v>0</v>
      </c>
      <c r="Q18" s="222">
        <f>ROUNDUP(Q17/(Q15*9),2)</f>
        <v>0</v>
      </c>
      <c r="R18" s="223">
        <f t="shared" si="2"/>
        <v>13.58</v>
      </c>
      <c r="S18" s="221">
        <f t="shared" si="2"/>
        <v>0</v>
      </c>
      <c r="T18" s="221">
        <f t="shared" si="2"/>
        <v>0</v>
      </c>
      <c r="U18" s="222">
        <f t="shared" si="2"/>
        <v>0</v>
      </c>
    </row>
    <row r="19" spans="1:21" ht="15" thickBot="1" x14ac:dyDescent="0.35">
      <c r="A19" s="224"/>
      <c r="B19" s="609" t="s">
        <v>610</v>
      </c>
      <c r="C19" s="610"/>
      <c r="D19" s="610"/>
      <c r="E19" s="610"/>
      <c r="F19" s="610"/>
      <c r="G19" s="610"/>
      <c r="H19" s="610"/>
      <c r="I19" s="610"/>
      <c r="J19" s="610"/>
      <c r="K19" s="610"/>
      <c r="L19" s="610"/>
      <c r="M19" s="610"/>
      <c r="N19" s="610"/>
      <c r="O19" s="610"/>
      <c r="P19" s="611">
        <f>SUM(P17:U17)*1.05</f>
        <v>127.51822847440532</v>
      </c>
      <c r="Q19" s="612"/>
      <c r="R19" s="225"/>
      <c r="S19" s="226"/>
      <c r="T19" s="226"/>
      <c r="U19" s="227"/>
    </row>
    <row r="20" spans="1:21" ht="15" thickBot="1" x14ac:dyDescent="0.35">
      <c r="A20" s="228"/>
      <c r="B20" s="229"/>
      <c r="C20" s="229"/>
      <c r="D20" s="229"/>
      <c r="E20" s="229"/>
      <c r="F20" s="229"/>
      <c r="G20" s="229"/>
      <c r="H20" s="229"/>
      <c r="I20" s="229"/>
      <c r="J20" s="229"/>
      <c r="K20" s="229"/>
      <c r="L20" s="229"/>
      <c r="M20" s="229"/>
      <c r="N20" s="229"/>
      <c r="O20" s="229"/>
      <c r="P20" s="229"/>
      <c r="Q20" s="229"/>
      <c r="R20" s="229"/>
      <c r="S20" s="229"/>
      <c r="T20" s="229"/>
      <c r="U20" s="230"/>
    </row>
    <row r="21" spans="1:21" x14ac:dyDescent="0.3">
      <c r="A21" s="231">
        <f>+'[1]RESERV. 10 m3'!A211</f>
        <v>1.0205020302019998</v>
      </c>
      <c r="B21" s="232" t="str">
        <f>+'[1]RESERV. 10 m3'!B211</f>
        <v>ACERO CORRUGADO fy=4200 kg/cm2 GRADO 60, PARA LOSA DE CIMENTACIÓN</v>
      </c>
      <c r="C21" s="181"/>
      <c r="D21" s="181"/>
      <c r="E21" s="181"/>
      <c r="F21" s="181"/>
      <c r="G21" s="181"/>
      <c r="H21" s="181"/>
      <c r="I21" s="181"/>
      <c r="J21" s="181"/>
      <c r="K21" s="233"/>
      <c r="L21" s="234"/>
      <c r="M21" s="235"/>
      <c r="N21" s="233"/>
      <c r="O21" s="233"/>
      <c r="P21" s="236"/>
      <c r="Q21" s="186" t="str">
        <f>IF(L21="3/8",(M21*#REF!*#REF!),"")</f>
        <v/>
      </c>
      <c r="R21" s="187"/>
      <c r="S21" s="188"/>
      <c r="T21" s="188"/>
      <c r="U21" s="189"/>
    </row>
    <row r="22" spans="1:21" x14ac:dyDescent="0.3">
      <c r="A22" s="237"/>
      <c r="B22" s="238"/>
      <c r="C22" s="238"/>
      <c r="D22" s="238"/>
      <c r="E22" s="238"/>
      <c r="F22" s="238"/>
      <c r="G22" s="238"/>
      <c r="H22" s="238"/>
      <c r="I22" s="238"/>
      <c r="J22" s="238"/>
      <c r="K22" s="238"/>
      <c r="L22" s="206"/>
      <c r="M22" s="215"/>
      <c r="N22" s="203"/>
      <c r="O22" s="217"/>
      <c r="P22" s="210"/>
      <c r="Q22" s="239"/>
      <c r="R22" s="240"/>
      <c r="S22" s="241"/>
      <c r="T22" s="241"/>
      <c r="U22" s="242"/>
    </row>
    <row r="23" spans="1:21" x14ac:dyDescent="0.3">
      <c r="A23" s="237"/>
      <c r="B23" s="203"/>
      <c r="C23" s="238"/>
      <c r="D23" s="238"/>
      <c r="E23" s="238"/>
      <c r="F23" s="238"/>
      <c r="G23" s="238"/>
      <c r="H23" s="238"/>
      <c r="I23" s="238"/>
      <c r="J23" s="238"/>
      <c r="K23" s="238"/>
      <c r="L23" s="206"/>
      <c r="M23" s="215"/>
      <c r="N23" s="203"/>
      <c r="O23" s="217"/>
      <c r="P23" s="210"/>
      <c r="Q23" s="239"/>
      <c r="R23" s="240"/>
      <c r="S23" s="241"/>
      <c r="T23" s="241"/>
      <c r="U23" s="242"/>
    </row>
    <row r="24" spans="1:21" x14ac:dyDescent="0.3">
      <c r="A24" s="237"/>
      <c r="B24" s="203" t="s">
        <v>611</v>
      </c>
      <c r="C24" s="238"/>
      <c r="D24" s="238"/>
      <c r="E24" s="238"/>
      <c r="F24" s="238"/>
      <c r="G24" s="238"/>
      <c r="H24" s="238"/>
      <c r="I24" s="238"/>
      <c r="J24" s="238"/>
      <c r="K24" s="238"/>
      <c r="L24" s="206" t="s">
        <v>597</v>
      </c>
      <c r="M24" s="207">
        <f>+M13+0.1</f>
        <v>3.3131234497501727</v>
      </c>
      <c r="N24" s="208">
        <v>1</v>
      </c>
      <c r="O24" s="209">
        <f>FLOOR((+M13/Memoria!I381+1),1)</f>
        <v>13</v>
      </c>
      <c r="P24" s="210" t="str">
        <f>IF(L24="1/4",(M24*N24*O24),"")</f>
        <v/>
      </c>
      <c r="Q24" s="211">
        <f t="shared" ref="Q24:Q27" si="3">IF(L24="3/8",(M24*N24*O24),"")</f>
        <v>43.070604846752246</v>
      </c>
      <c r="R24" s="210" t="str">
        <f>IF(L24="1/2",(M24*N24*O24),"")</f>
        <v/>
      </c>
      <c r="S24" s="212" t="str">
        <f>IF(L24="5/8",(M24*N24*O24),"")</f>
        <v/>
      </c>
      <c r="T24" s="213" t="str">
        <f>IF(L24="3/4",(M24*N24*O24),"")</f>
        <v/>
      </c>
      <c r="U24" s="214" t="str">
        <f>IF(L24="1",(M24*N24*O24),"")</f>
        <v/>
      </c>
    </row>
    <row r="25" spans="1:21" x14ac:dyDescent="0.3">
      <c r="A25" s="237"/>
      <c r="B25" s="203" t="s">
        <v>612</v>
      </c>
      <c r="C25" s="238"/>
      <c r="D25" s="238"/>
      <c r="E25" s="238"/>
      <c r="F25" s="238"/>
      <c r="G25" s="238"/>
      <c r="H25" s="238"/>
      <c r="I25" s="238"/>
      <c r="J25" s="238"/>
      <c r="K25" s="238"/>
      <c r="L25" s="206" t="s">
        <v>597</v>
      </c>
      <c r="M25" s="207">
        <f>+M24</f>
        <v>3.3131234497501727</v>
      </c>
      <c r="N25" s="208">
        <v>1</v>
      </c>
      <c r="O25" s="209">
        <f>FLOOR((+M13/Memoria!I381+1),1)</f>
        <v>13</v>
      </c>
      <c r="P25" s="210"/>
      <c r="Q25" s="211">
        <f t="shared" si="3"/>
        <v>43.070604846752246</v>
      </c>
      <c r="R25" s="210" t="str">
        <f>IF(L25="1/2",(M25*N25*O25),"")</f>
        <v/>
      </c>
      <c r="S25" s="243"/>
      <c r="T25" s="241"/>
      <c r="U25" s="244"/>
    </row>
    <row r="26" spans="1:21" x14ac:dyDescent="0.3">
      <c r="A26" s="237"/>
      <c r="B26" s="203" t="s">
        <v>613</v>
      </c>
      <c r="C26" s="238"/>
      <c r="D26" s="238"/>
      <c r="E26" s="238"/>
      <c r="F26" s="238"/>
      <c r="G26" s="238"/>
      <c r="H26" s="238"/>
      <c r="I26" s="238"/>
      <c r="J26" s="238"/>
      <c r="K26" s="238"/>
      <c r="L26" s="206" t="s">
        <v>597</v>
      </c>
      <c r="M26" s="207">
        <f>+M25</f>
        <v>3.3131234497501727</v>
      </c>
      <c r="N26" s="208">
        <v>1</v>
      </c>
      <c r="O26" s="209">
        <f>+O25</f>
        <v>13</v>
      </c>
      <c r="P26" s="210"/>
      <c r="Q26" s="211">
        <f t="shared" si="3"/>
        <v>43.070604846752246</v>
      </c>
      <c r="R26" s="240"/>
      <c r="S26" s="243"/>
      <c r="T26" s="241"/>
      <c r="U26" s="244"/>
    </row>
    <row r="27" spans="1:21" x14ac:dyDescent="0.3">
      <c r="A27" s="237"/>
      <c r="B27" s="203" t="s">
        <v>614</v>
      </c>
      <c r="C27" s="238"/>
      <c r="D27" s="238"/>
      <c r="E27" s="238"/>
      <c r="F27" s="238"/>
      <c r="G27" s="238"/>
      <c r="H27" s="238"/>
      <c r="I27" s="238"/>
      <c r="J27" s="238"/>
      <c r="K27" s="238"/>
      <c r="L27" s="206" t="s">
        <v>597</v>
      </c>
      <c r="M27" s="207">
        <f>+M26</f>
        <v>3.3131234497501727</v>
      </c>
      <c r="N27" s="208">
        <v>1</v>
      </c>
      <c r="O27" s="279">
        <f>+O26</f>
        <v>13</v>
      </c>
      <c r="P27" s="210"/>
      <c r="Q27" s="211">
        <f t="shared" si="3"/>
        <v>43.070604846752246</v>
      </c>
      <c r="R27" s="240"/>
      <c r="S27" s="241"/>
      <c r="T27" s="241"/>
      <c r="U27" s="242"/>
    </row>
    <row r="28" spans="1:21" x14ac:dyDescent="0.3">
      <c r="A28" s="237"/>
      <c r="B28" s="238"/>
      <c r="C28" s="238"/>
      <c r="D28" s="238"/>
      <c r="E28" s="238"/>
      <c r="F28" s="238"/>
      <c r="G28" s="238"/>
      <c r="H28" s="238"/>
      <c r="I28" s="238"/>
      <c r="J28" s="238"/>
      <c r="K28" s="238"/>
      <c r="L28" s="206"/>
      <c r="M28" s="215"/>
      <c r="N28" s="203"/>
      <c r="O28" s="217"/>
      <c r="P28" s="210"/>
      <c r="Q28" s="211"/>
      <c r="R28" s="240"/>
      <c r="S28" s="241"/>
      <c r="T28" s="241"/>
      <c r="U28" s="242"/>
    </row>
    <row r="29" spans="1:21" x14ac:dyDescent="0.3">
      <c r="A29" s="202"/>
      <c r="B29" s="605" t="s">
        <v>606</v>
      </c>
      <c r="C29" s="606"/>
      <c r="D29" s="606"/>
      <c r="E29" s="606"/>
      <c r="F29" s="606"/>
      <c r="G29" s="606"/>
      <c r="H29" s="606"/>
      <c r="I29" s="606"/>
      <c r="J29" s="606"/>
      <c r="K29" s="606"/>
      <c r="L29" s="606"/>
      <c r="M29" s="606"/>
      <c r="N29" s="606"/>
      <c r="O29" s="606"/>
      <c r="P29" s="218">
        <v>0.25</v>
      </c>
      <c r="Q29" s="219">
        <v>0.56000000000000005</v>
      </c>
      <c r="R29" s="220">
        <v>0.99399999999999999</v>
      </c>
      <c r="S29" s="218">
        <v>1.552</v>
      </c>
      <c r="T29" s="218">
        <v>2.2349999999999999</v>
      </c>
      <c r="U29" s="219">
        <v>3.9729999999999999</v>
      </c>
    </row>
    <row r="30" spans="1:21" x14ac:dyDescent="0.3">
      <c r="A30" s="202"/>
      <c r="B30" s="605" t="s">
        <v>607</v>
      </c>
      <c r="C30" s="606"/>
      <c r="D30" s="606"/>
      <c r="E30" s="606"/>
      <c r="F30" s="606"/>
      <c r="G30" s="606"/>
      <c r="H30" s="606"/>
      <c r="I30" s="606"/>
      <c r="J30" s="606"/>
      <c r="K30" s="606"/>
      <c r="L30" s="606"/>
      <c r="M30" s="606"/>
      <c r="N30" s="606"/>
      <c r="O30" s="606"/>
      <c r="P30" s="221">
        <f t="shared" ref="P30:U30" si="4">SUM(P21:P28)</f>
        <v>0</v>
      </c>
      <c r="Q30" s="222">
        <f t="shared" si="4"/>
        <v>172.28241938700899</v>
      </c>
      <c r="R30" s="223">
        <f t="shared" si="4"/>
        <v>0</v>
      </c>
      <c r="S30" s="221">
        <f t="shared" si="4"/>
        <v>0</v>
      </c>
      <c r="T30" s="221">
        <f t="shared" si="4"/>
        <v>0</v>
      </c>
      <c r="U30" s="221">
        <f t="shared" si="4"/>
        <v>0</v>
      </c>
    </row>
    <row r="31" spans="1:21" x14ac:dyDescent="0.3">
      <c r="A31" s="202"/>
      <c r="B31" s="605" t="s">
        <v>608</v>
      </c>
      <c r="C31" s="606"/>
      <c r="D31" s="606"/>
      <c r="E31" s="606"/>
      <c r="F31" s="606"/>
      <c r="G31" s="606"/>
      <c r="H31" s="606"/>
      <c r="I31" s="606"/>
      <c r="J31" s="606"/>
      <c r="K31" s="606"/>
      <c r="L31" s="606"/>
      <c r="M31" s="606"/>
      <c r="N31" s="606"/>
      <c r="O31" s="606"/>
      <c r="P31" s="221">
        <f t="shared" ref="P31:U31" si="5">+P29*P30</f>
        <v>0</v>
      </c>
      <c r="Q31" s="222">
        <f t="shared" si="5"/>
        <v>96.478154856725041</v>
      </c>
      <c r="R31" s="223">
        <f t="shared" si="5"/>
        <v>0</v>
      </c>
      <c r="S31" s="221">
        <f t="shared" si="5"/>
        <v>0</v>
      </c>
      <c r="T31" s="221">
        <f t="shared" si="5"/>
        <v>0</v>
      </c>
      <c r="U31" s="221">
        <f t="shared" si="5"/>
        <v>0</v>
      </c>
    </row>
    <row r="32" spans="1:21" x14ac:dyDescent="0.3">
      <c r="A32" s="202"/>
      <c r="B32" s="607" t="s">
        <v>609</v>
      </c>
      <c r="C32" s="608"/>
      <c r="D32" s="608"/>
      <c r="E32" s="608"/>
      <c r="F32" s="608"/>
      <c r="G32" s="608"/>
      <c r="H32" s="608"/>
      <c r="I32" s="608"/>
      <c r="J32" s="608"/>
      <c r="K32" s="608"/>
      <c r="L32" s="608"/>
      <c r="M32" s="608"/>
      <c r="N32" s="608"/>
      <c r="O32" s="608" t="s">
        <v>609</v>
      </c>
      <c r="P32" s="221">
        <f t="shared" ref="P32:U32" si="6">ROUNDUP(P31/(P29*9),2)</f>
        <v>0</v>
      </c>
      <c r="Q32" s="222">
        <f t="shared" si="6"/>
        <v>19.150000000000002</v>
      </c>
      <c r="R32" s="223">
        <f t="shared" si="6"/>
        <v>0</v>
      </c>
      <c r="S32" s="221">
        <f t="shared" si="6"/>
        <v>0</v>
      </c>
      <c r="T32" s="221">
        <f t="shared" si="6"/>
        <v>0</v>
      </c>
      <c r="U32" s="222">
        <f t="shared" si="6"/>
        <v>0</v>
      </c>
    </row>
    <row r="33" spans="1:21" ht="15" thickBot="1" x14ac:dyDescent="0.35">
      <c r="A33" s="245"/>
      <c r="B33" s="609" t="s">
        <v>610</v>
      </c>
      <c r="C33" s="610"/>
      <c r="D33" s="610"/>
      <c r="E33" s="610"/>
      <c r="F33" s="610"/>
      <c r="G33" s="610"/>
      <c r="H33" s="610"/>
      <c r="I33" s="610"/>
      <c r="J33" s="610"/>
      <c r="K33" s="610"/>
      <c r="L33" s="610"/>
      <c r="M33" s="610"/>
      <c r="N33" s="610"/>
      <c r="O33" s="610"/>
      <c r="P33" s="611">
        <f>SUM(P31:U31)*1.05</f>
        <v>101.3020625995613</v>
      </c>
      <c r="Q33" s="612"/>
      <c r="R33" s="225"/>
      <c r="S33" s="226"/>
      <c r="T33" s="226"/>
      <c r="U33" s="227"/>
    </row>
    <row r="34" spans="1:21" ht="15" thickBot="1" x14ac:dyDescent="0.35">
      <c r="A34" s="228"/>
      <c r="B34" s="229"/>
      <c r="C34" s="229"/>
      <c r="D34" s="229"/>
      <c r="E34" s="229"/>
      <c r="F34" s="229"/>
      <c r="G34" s="229"/>
      <c r="H34" s="229"/>
      <c r="I34" s="229"/>
      <c r="J34" s="229"/>
      <c r="K34" s="229"/>
      <c r="L34" s="229"/>
      <c r="M34" s="229"/>
      <c r="N34" s="229"/>
      <c r="O34" s="229"/>
      <c r="P34" s="229"/>
      <c r="Q34" s="230"/>
      <c r="R34" s="229"/>
      <c r="S34" s="229"/>
      <c r="T34" s="229"/>
      <c r="U34" s="230"/>
    </row>
    <row r="35" spans="1:21" x14ac:dyDescent="0.3">
      <c r="A35" s="231">
        <f>+'[1]RESERV. 10 m3'!A225</f>
        <v>1.0205020303029999</v>
      </c>
      <c r="B35" s="232" t="str">
        <f>+'[1]RESERV. 10 m3'!B225</f>
        <v>ACERO CORRUGADO fy=4200 kg/cm2 PARA MURO DE CUBA</v>
      </c>
      <c r="C35" s="181"/>
      <c r="D35" s="181"/>
      <c r="E35" s="181"/>
      <c r="F35" s="181"/>
      <c r="G35" s="181"/>
      <c r="H35" s="181"/>
      <c r="I35" s="181"/>
      <c r="J35" s="181"/>
      <c r="K35" s="246"/>
      <c r="L35" s="234"/>
      <c r="M35" s="246"/>
      <c r="N35" s="247"/>
      <c r="O35" s="248"/>
      <c r="P35" s="249"/>
      <c r="Q35" s="186" t="str">
        <f>IF(L35="3/8",(#REF!*#REF!*O35),"")</f>
        <v/>
      </c>
      <c r="R35" s="187"/>
      <c r="S35" s="188"/>
      <c r="T35" s="188"/>
      <c r="U35" s="189"/>
    </row>
    <row r="36" spans="1:21" x14ac:dyDescent="0.3">
      <c r="A36" s="237"/>
      <c r="B36" s="238" t="s">
        <v>615</v>
      </c>
      <c r="C36" s="238"/>
      <c r="D36" s="238"/>
      <c r="E36" s="238"/>
      <c r="F36" s="238"/>
      <c r="G36" s="238"/>
      <c r="H36" s="238"/>
      <c r="I36" s="238"/>
      <c r="J36" s="238"/>
      <c r="K36" s="238"/>
      <c r="L36" s="206" t="s">
        <v>597</v>
      </c>
      <c r="M36" s="207">
        <f>+'METRADOS DE RESER'!D9+'METRADOS DE RESER'!D13+0.1</f>
        <v>2.7631234497501729</v>
      </c>
      <c r="N36" s="208">
        <v>4</v>
      </c>
      <c r="O36" s="209">
        <f>FLOOR(('METRADOS DE RESER'!D12/Memoria!I378+2),1)</f>
        <v>11</v>
      </c>
      <c r="P36" s="210" t="str">
        <f>IF(L36="1/4",(M36*N36*O36),"")</f>
        <v/>
      </c>
      <c r="Q36" s="211">
        <f>+M36*N36*O36</f>
        <v>121.5774317890076</v>
      </c>
      <c r="R36" s="169"/>
      <c r="S36" s="212" t="str">
        <f>IF(L36="5/8",(M36*N36*O36),"")</f>
        <v/>
      </c>
      <c r="T36" s="213" t="str">
        <f>IF(L36="3/4",(M36*N36*O36),"")</f>
        <v/>
      </c>
      <c r="U36" s="214" t="str">
        <f>IF(L36="1",(M36*N36*O36),"")</f>
        <v/>
      </c>
    </row>
    <row r="37" spans="1:21" x14ac:dyDescent="0.3">
      <c r="A37" s="251"/>
      <c r="B37" s="169"/>
      <c r="C37" s="238"/>
      <c r="D37" s="238"/>
      <c r="E37" s="238"/>
      <c r="F37" s="238"/>
      <c r="G37" s="238"/>
      <c r="H37" s="238"/>
      <c r="I37" s="238"/>
      <c r="J37" s="238"/>
      <c r="K37" s="238"/>
      <c r="L37" s="206"/>
      <c r="M37" s="215"/>
      <c r="N37" s="203"/>
      <c r="O37" s="217"/>
      <c r="P37" s="240"/>
      <c r="Q37" s="242"/>
      <c r="R37" s="169"/>
      <c r="S37" s="241"/>
      <c r="T37" s="241"/>
      <c r="U37" s="242"/>
    </row>
    <row r="38" spans="1:21" x14ac:dyDescent="0.3">
      <c r="A38" s="237"/>
      <c r="B38" s="238" t="s">
        <v>616</v>
      </c>
      <c r="C38" s="238"/>
      <c r="D38" s="238"/>
      <c r="E38" s="238"/>
      <c r="F38" s="238"/>
      <c r="G38" s="238"/>
      <c r="H38" s="238"/>
      <c r="I38" s="238"/>
      <c r="J38" s="238"/>
      <c r="K38" s="238"/>
      <c r="L38" s="206" t="s">
        <v>597</v>
      </c>
      <c r="M38" s="207">
        <f>+'METRADOS DE RESER'!D12+'METRADOS DE RESER'!D20+0.4</f>
        <v>3.1</v>
      </c>
      <c r="N38" s="208">
        <v>4</v>
      </c>
      <c r="O38" s="209">
        <f>_xlfn.CEILING.MATH(('METRADOS DE RESER'!D9/Memoria!I377+1),1)</f>
        <v>12</v>
      </c>
      <c r="P38" s="210" t="str">
        <f>IF(L38="1/4",(M38*N38*O38),"")</f>
        <v/>
      </c>
      <c r="Q38" s="211">
        <f>+M38*N38*O38</f>
        <v>148.80000000000001</v>
      </c>
      <c r="R38" s="169"/>
      <c r="S38" s="212" t="str">
        <f>IF(L38="5/8",(M38*N38*O38),"")</f>
        <v/>
      </c>
      <c r="T38" s="213" t="str">
        <f>IF(L38="3/4",(M38*N38*O38),"")</f>
        <v/>
      </c>
      <c r="U38" s="214" t="str">
        <f>IF(L38="1",(M38*N38*O38),"")</f>
        <v/>
      </c>
    </row>
    <row r="39" spans="1:21" x14ac:dyDescent="0.3">
      <c r="A39" s="237"/>
      <c r="B39" s="238"/>
      <c r="C39" s="238"/>
      <c r="D39" s="238"/>
      <c r="E39" s="238"/>
      <c r="F39" s="238"/>
      <c r="G39" s="238"/>
      <c r="H39" s="238"/>
      <c r="I39" s="238"/>
      <c r="J39" s="238"/>
      <c r="K39" s="238"/>
      <c r="L39" s="206"/>
      <c r="M39" s="215"/>
      <c r="N39" s="203"/>
      <c r="O39" s="217"/>
      <c r="P39" s="240"/>
      <c r="Q39" s="242"/>
      <c r="R39" s="169"/>
      <c r="S39" s="241"/>
      <c r="T39" s="241"/>
      <c r="U39" s="242"/>
    </row>
    <row r="40" spans="1:21" x14ac:dyDescent="0.3">
      <c r="A40" s="237"/>
      <c r="B40" s="238"/>
      <c r="C40" s="238"/>
      <c r="D40" s="238"/>
      <c r="E40" s="238"/>
      <c r="F40" s="238"/>
      <c r="G40" s="238"/>
      <c r="H40" s="238"/>
      <c r="I40" s="238"/>
      <c r="J40" s="238"/>
      <c r="K40" s="238"/>
      <c r="L40" s="206"/>
      <c r="M40" s="215"/>
      <c r="N40" s="203"/>
      <c r="O40" s="217"/>
      <c r="P40" s="240"/>
      <c r="Q40" s="242"/>
      <c r="R40" s="169"/>
      <c r="S40" s="241"/>
      <c r="T40" s="241"/>
      <c r="U40" s="242"/>
    </row>
    <row r="41" spans="1:21" x14ac:dyDescent="0.3">
      <c r="A41" s="237"/>
      <c r="B41" s="238"/>
      <c r="C41" s="238"/>
      <c r="D41" s="238"/>
      <c r="E41" s="238"/>
      <c r="F41" s="238"/>
      <c r="G41" s="238"/>
      <c r="H41" s="238"/>
      <c r="I41" s="238"/>
      <c r="J41" s="238"/>
      <c r="K41" s="238"/>
      <c r="L41" s="206"/>
      <c r="M41" s="215"/>
      <c r="N41" s="203"/>
      <c r="O41" s="217"/>
      <c r="P41" s="240"/>
      <c r="Q41" s="242"/>
      <c r="R41" s="169"/>
      <c r="S41" s="241"/>
      <c r="T41" s="241"/>
      <c r="U41" s="242"/>
    </row>
    <row r="42" spans="1:21" x14ac:dyDescent="0.3">
      <c r="A42" s="237"/>
      <c r="B42" s="238"/>
      <c r="C42" s="238"/>
      <c r="D42" s="238"/>
      <c r="E42" s="238"/>
      <c r="F42" s="238"/>
      <c r="G42" s="238"/>
      <c r="H42" s="238"/>
      <c r="I42" s="238"/>
      <c r="J42" s="238"/>
      <c r="K42" s="238"/>
      <c r="L42" s="206"/>
      <c r="M42" s="215"/>
      <c r="N42" s="203"/>
      <c r="O42" s="217"/>
      <c r="P42" s="240"/>
      <c r="Q42" s="242"/>
      <c r="R42" s="169"/>
      <c r="S42" s="241"/>
      <c r="T42" s="241"/>
      <c r="U42" s="242"/>
    </row>
    <row r="43" spans="1:21" x14ac:dyDescent="0.3">
      <c r="A43" s="237"/>
      <c r="B43" s="238"/>
      <c r="C43" s="238"/>
      <c r="D43" s="238"/>
      <c r="E43" s="238"/>
      <c r="F43" s="238"/>
      <c r="G43" s="238"/>
      <c r="H43" s="238"/>
      <c r="I43" s="238"/>
      <c r="J43" s="238"/>
      <c r="K43" s="238"/>
      <c r="L43" s="206"/>
      <c r="M43" s="215"/>
      <c r="N43" s="203"/>
      <c r="O43" s="217"/>
      <c r="P43" s="240"/>
      <c r="Q43" s="242"/>
      <c r="R43" s="169"/>
      <c r="S43" s="241"/>
      <c r="T43" s="241"/>
      <c r="U43" s="242"/>
    </row>
    <row r="44" spans="1:21" x14ac:dyDescent="0.3">
      <c r="A44" s="237"/>
      <c r="B44" s="238"/>
      <c r="C44" s="238"/>
      <c r="D44" s="238"/>
      <c r="E44" s="238"/>
      <c r="F44" s="238"/>
      <c r="G44" s="238"/>
      <c r="H44" s="238"/>
      <c r="I44" s="238"/>
      <c r="J44" s="238"/>
      <c r="K44" s="238"/>
      <c r="L44" s="206"/>
      <c r="M44" s="215"/>
      <c r="N44" s="203"/>
      <c r="O44" s="217"/>
      <c r="P44" s="240"/>
      <c r="Q44" s="242"/>
      <c r="R44" s="169"/>
      <c r="S44" s="241"/>
      <c r="T44" s="241"/>
      <c r="U44" s="242"/>
    </row>
    <row r="45" spans="1:21" x14ac:dyDescent="0.3">
      <c r="A45" s="202"/>
      <c r="B45" s="605" t="s">
        <v>606</v>
      </c>
      <c r="C45" s="606"/>
      <c r="D45" s="606"/>
      <c r="E45" s="606"/>
      <c r="F45" s="606"/>
      <c r="G45" s="606"/>
      <c r="H45" s="606"/>
      <c r="I45" s="606"/>
      <c r="J45" s="606"/>
      <c r="K45" s="606"/>
      <c r="L45" s="606"/>
      <c r="M45" s="606"/>
      <c r="N45" s="606"/>
      <c r="O45" s="606"/>
      <c r="P45" s="218">
        <v>0.25</v>
      </c>
      <c r="Q45" s="219">
        <v>0.56000000000000005</v>
      </c>
      <c r="R45" s="220">
        <v>0.99399999999999999</v>
      </c>
      <c r="S45" s="218">
        <v>1.552</v>
      </c>
      <c r="T45" s="218">
        <v>2.2349999999999999</v>
      </c>
      <c r="U45" s="219">
        <v>3.9729999999999999</v>
      </c>
    </row>
    <row r="46" spans="1:21" x14ac:dyDescent="0.3">
      <c r="A46" s="202"/>
      <c r="B46" s="605" t="s">
        <v>607</v>
      </c>
      <c r="C46" s="606"/>
      <c r="D46" s="606"/>
      <c r="E46" s="606"/>
      <c r="F46" s="606"/>
      <c r="G46" s="606"/>
      <c r="H46" s="606"/>
      <c r="I46" s="606"/>
      <c r="J46" s="606"/>
      <c r="K46" s="606"/>
      <c r="L46" s="606"/>
      <c r="M46" s="606"/>
      <c r="N46" s="606"/>
      <c r="O46" s="606"/>
      <c r="P46" s="221">
        <f>SUM(P35:P44)</f>
        <v>0</v>
      </c>
      <c r="Q46" s="222">
        <f>SUM(Q36:Q44)</f>
        <v>270.37743178900763</v>
      </c>
      <c r="R46" s="223">
        <f>SUM(R35:R44)</f>
        <v>0</v>
      </c>
      <c r="S46" s="221">
        <f>SUM(S35:S44)</f>
        <v>0</v>
      </c>
      <c r="T46" s="221">
        <f>SUM(T35:T44)</f>
        <v>0</v>
      </c>
      <c r="U46" s="221">
        <f>SUM(U35:U44)</f>
        <v>0</v>
      </c>
    </row>
    <row r="47" spans="1:21" x14ac:dyDescent="0.3">
      <c r="A47" s="202"/>
      <c r="B47" s="605" t="s">
        <v>608</v>
      </c>
      <c r="C47" s="606"/>
      <c r="D47" s="606"/>
      <c r="E47" s="606"/>
      <c r="F47" s="606"/>
      <c r="G47" s="606"/>
      <c r="H47" s="606"/>
      <c r="I47" s="606"/>
      <c r="J47" s="606"/>
      <c r="K47" s="606"/>
      <c r="L47" s="606"/>
      <c r="M47" s="606"/>
      <c r="N47" s="606"/>
      <c r="O47" s="606"/>
      <c r="P47" s="221">
        <f t="shared" ref="P47:U47" si="7">+P45*P46</f>
        <v>0</v>
      </c>
      <c r="Q47" s="222">
        <f>+Q45*Q46</f>
        <v>151.41136180184429</v>
      </c>
      <c r="R47" s="223">
        <f t="shared" si="7"/>
        <v>0</v>
      </c>
      <c r="S47" s="221">
        <f t="shared" si="7"/>
        <v>0</v>
      </c>
      <c r="T47" s="221">
        <f t="shared" si="7"/>
        <v>0</v>
      </c>
      <c r="U47" s="221">
        <f t="shared" si="7"/>
        <v>0</v>
      </c>
    </row>
    <row r="48" spans="1:21" x14ac:dyDescent="0.3">
      <c r="A48" s="202"/>
      <c r="B48" s="607" t="s">
        <v>609</v>
      </c>
      <c r="C48" s="608"/>
      <c r="D48" s="608"/>
      <c r="E48" s="608"/>
      <c r="F48" s="608"/>
      <c r="G48" s="608"/>
      <c r="H48" s="608"/>
      <c r="I48" s="608"/>
      <c r="J48" s="608"/>
      <c r="K48" s="608"/>
      <c r="L48" s="608"/>
      <c r="M48" s="608"/>
      <c r="N48" s="608"/>
      <c r="O48" s="608" t="s">
        <v>609</v>
      </c>
      <c r="P48" s="221">
        <f t="shared" ref="P48:U48" si="8">ROUNDUP(P47/(P45*9),2)</f>
        <v>0</v>
      </c>
      <c r="Q48" s="222">
        <f>ROUNDUP(Q47/(Q45*9),2)</f>
        <v>30.05</v>
      </c>
      <c r="R48" s="223">
        <f t="shared" si="8"/>
        <v>0</v>
      </c>
      <c r="S48" s="221">
        <f t="shared" si="8"/>
        <v>0</v>
      </c>
      <c r="T48" s="221">
        <f t="shared" si="8"/>
        <v>0</v>
      </c>
      <c r="U48" s="222">
        <f t="shared" si="8"/>
        <v>0</v>
      </c>
    </row>
    <row r="49" spans="1:21" ht="15" thickBot="1" x14ac:dyDescent="0.35">
      <c r="A49" s="245"/>
      <c r="B49" s="609" t="s">
        <v>610</v>
      </c>
      <c r="C49" s="610"/>
      <c r="D49" s="610"/>
      <c r="E49" s="610"/>
      <c r="F49" s="610"/>
      <c r="G49" s="610"/>
      <c r="H49" s="610"/>
      <c r="I49" s="610"/>
      <c r="J49" s="610"/>
      <c r="K49" s="610"/>
      <c r="L49" s="610"/>
      <c r="M49" s="610"/>
      <c r="N49" s="610"/>
      <c r="O49" s="610"/>
      <c r="P49" s="611">
        <f>SUM(P47:U47)*1.05</f>
        <v>158.98192989193652</v>
      </c>
      <c r="Q49" s="612"/>
      <c r="R49" s="252"/>
      <c r="S49" s="253"/>
      <c r="T49" s="253"/>
      <c r="U49" s="254"/>
    </row>
    <row r="50" spans="1:21" ht="15" thickBot="1" x14ac:dyDescent="0.35">
      <c r="A50" s="228"/>
      <c r="B50" s="229"/>
      <c r="C50" s="229"/>
      <c r="D50" s="229"/>
      <c r="E50" s="229"/>
      <c r="F50" s="229"/>
      <c r="G50" s="229"/>
      <c r="H50" s="229"/>
      <c r="I50" s="229"/>
      <c r="J50" s="229"/>
      <c r="K50" s="229"/>
      <c r="L50" s="229"/>
      <c r="M50" s="229"/>
      <c r="N50" s="229"/>
      <c r="O50" s="229"/>
      <c r="P50" s="229"/>
      <c r="Q50" s="230"/>
      <c r="R50" s="229"/>
      <c r="S50" s="229"/>
      <c r="T50" s="229"/>
      <c r="U50" s="230"/>
    </row>
    <row r="51" spans="1:21" ht="15" thickBot="1" x14ac:dyDescent="0.35">
      <c r="A51" s="228"/>
      <c r="B51" s="229"/>
      <c r="C51" s="229"/>
      <c r="D51" s="229"/>
      <c r="E51" s="229"/>
      <c r="F51" s="229"/>
      <c r="G51" s="229"/>
      <c r="H51" s="229"/>
      <c r="I51" s="229"/>
      <c r="J51" s="229"/>
      <c r="K51" s="229"/>
      <c r="L51" s="229"/>
      <c r="M51" s="229"/>
      <c r="N51" s="229"/>
      <c r="O51" s="229"/>
      <c r="P51" s="229"/>
      <c r="Q51" s="230"/>
      <c r="R51" s="229"/>
      <c r="S51" s="229"/>
      <c r="T51" s="229"/>
      <c r="U51" s="230"/>
    </row>
    <row r="52" spans="1:21" x14ac:dyDescent="0.3">
      <c r="A52" s="231">
        <f>+'[1]RESERV. 10 m3'!A242</f>
        <v>1.0205020304020098</v>
      </c>
      <c r="B52" s="232" t="str">
        <f>+'[1]RESERV. 10 m3'!B242</f>
        <v>ACERO CORRUGADO fy=4200 kg/cm2 PARA LOSA DE TECHO</v>
      </c>
      <c r="C52" s="181"/>
      <c r="D52" s="181"/>
      <c r="E52" s="181"/>
      <c r="F52" s="181"/>
      <c r="G52" s="181"/>
      <c r="H52" s="181"/>
      <c r="I52" s="181"/>
      <c r="J52" s="181"/>
      <c r="K52" s="246"/>
      <c r="L52" s="234"/>
      <c r="M52" s="246"/>
      <c r="N52" s="247" t="s">
        <v>617</v>
      </c>
      <c r="O52" s="248"/>
      <c r="P52" s="249"/>
      <c r="Q52" s="186" t="str">
        <f>IF(L52="3/8",(#REF!*#REF!*O52),"")</f>
        <v/>
      </c>
      <c r="R52" s="187"/>
      <c r="S52" s="188"/>
      <c r="T52" s="188"/>
      <c r="U52" s="189"/>
    </row>
    <row r="53" spans="1:21" x14ac:dyDescent="0.3">
      <c r="A53" s="255"/>
      <c r="B53" s="250"/>
      <c r="C53" s="238"/>
      <c r="D53" s="238"/>
      <c r="E53" s="238"/>
      <c r="F53" s="238"/>
      <c r="G53" s="238"/>
      <c r="H53" s="238"/>
      <c r="I53" s="238"/>
      <c r="J53" s="238"/>
      <c r="K53" s="204"/>
      <c r="L53" s="206"/>
      <c r="M53" s="204"/>
      <c r="N53" s="256"/>
      <c r="O53" s="217"/>
      <c r="P53" s="210"/>
      <c r="Q53" s="239"/>
      <c r="R53" s="257"/>
      <c r="S53" s="258"/>
      <c r="T53" s="258"/>
      <c r="U53" s="259"/>
    </row>
    <row r="54" spans="1:21" x14ac:dyDescent="0.3">
      <c r="A54" s="237"/>
      <c r="B54" s="203" t="s">
        <v>618</v>
      </c>
      <c r="C54" s="238"/>
      <c r="D54" s="238"/>
      <c r="E54" s="238"/>
      <c r="F54" s="238"/>
      <c r="G54" s="238"/>
      <c r="H54" s="238"/>
      <c r="I54" s="238"/>
      <c r="J54" s="238"/>
      <c r="K54" s="238"/>
      <c r="L54" s="206"/>
      <c r="M54" s="215"/>
      <c r="N54" s="203"/>
      <c r="O54" s="217"/>
      <c r="P54" s="210"/>
      <c r="Q54" s="239"/>
      <c r="R54" s="240"/>
      <c r="S54" s="241"/>
      <c r="T54" s="241"/>
      <c r="U54" s="242"/>
    </row>
    <row r="55" spans="1:21" x14ac:dyDescent="0.3">
      <c r="A55" s="237"/>
      <c r="B55" s="203"/>
      <c r="C55" s="238"/>
      <c r="D55" s="238"/>
      <c r="E55" s="238"/>
      <c r="F55" s="238"/>
      <c r="G55" s="238"/>
      <c r="H55" s="238"/>
      <c r="I55" s="238"/>
      <c r="J55" s="238"/>
      <c r="K55" s="238"/>
      <c r="L55" s="206" t="s">
        <v>597</v>
      </c>
      <c r="M55" s="207">
        <f>+'METRADOS DE RESER'!E207+0.1</f>
        <v>3.113123449750173</v>
      </c>
      <c r="N55" s="208">
        <v>1</v>
      </c>
      <c r="O55" s="209">
        <f>CEILING(('METRADOS DE RESER'!E200/Memoria!I379+1),1)</f>
        <v>22</v>
      </c>
      <c r="P55" s="210" t="str">
        <f>IF(L55="1/4",(M55*N55*O55),"")</f>
        <v/>
      </c>
      <c r="Q55" s="211">
        <f>IF(L55="3/8",(M55*N55*O55),"")</f>
        <v>68.488715894503798</v>
      </c>
      <c r="R55" s="210" t="str">
        <f>IF(L55="1/2",(M55*N55*O55),"")</f>
        <v/>
      </c>
      <c r="S55" s="212" t="str">
        <f>IF(L55="5/8",(M55*N55*O55),"")</f>
        <v/>
      </c>
      <c r="T55" s="213" t="str">
        <f>IF(L55="3/4",(M55*N55*O55),"")</f>
        <v/>
      </c>
      <c r="U55" s="214" t="str">
        <f>IF(L55="1",(M55*N55*O55),"")</f>
        <v/>
      </c>
    </row>
    <row r="56" spans="1:21" x14ac:dyDescent="0.3">
      <c r="A56" s="237"/>
      <c r="B56" s="203" t="s">
        <v>619</v>
      </c>
      <c r="C56" s="238"/>
      <c r="D56" s="238"/>
      <c r="E56" s="238"/>
      <c r="F56" s="238"/>
      <c r="G56" s="238"/>
      <c r="H56" s="238"/>
      <c r="I56" s="238"/>
      <c r="J56" s="238"/>
      <c r="K56" s="238"/>
      <c r="L56" s="206"/>
      <c r="M56" s="215"/>
      <c r="N56" s="203"/>
      <c r="O56" s="217"/>
      <c r="P56" s="210"/>
      <c r="Q56" s="239"/>
      <c r="R56" s="240"/>
      <c r="S56" s="241"/>
      <c r="T56" s="241"/>
      <c r="U56" s="242"/>
    </row>
    <row r="57" spans="1:21" x14ac:dyDescent="0.3">
      <c r="A57" s="237"/>
      <c r="B57" s="203"/>
      <c r="C57" s="238"/>
      <c r="D57" s="238"/>
      <c r="E57" s="238"/>
      <c r="F57" s="238"/>
      <c r="G57" s="238"/>
      <c r="H57" s="238"/>
      <c r="I57" s="238"/>
      <c r="J57" s="238"/>
      <c r="K57" s="238"/>
      <c r="L57" s="206" t="s">
        <v>597</v>
      </c>
      <c r="M57" s="207">
        <f>+M55</f>
        <v>3.113123449750173</v>
      </c>
      <c r="N57" s="208">
        <f>+N55</f>
        <v>1</v>
      </c>
      <c r="O57" s="209">
        <f>+O55</f>
        <v>22</v>
      </c>
      <c r="P57" s="210" t="str">
        <f>IF(L57="1/4",(M57*N57*O57),"")</f>
        <v/>
      </c>
      <c r="Q57" s="211">
        <f>IF(L57="3/8",(M57*N57*O57),"")</f>
        <v>68.488715894503798</v>
      </c>
      <c r="R57" s="210" t="str">
        <f>IF(L57="1/2",(M57*N57*O57),"")</f>
        <v/>
      </c>
      <c r="S57" s="212" t="str">
        <f>IF(L57="5/8",(M57*N57*O57),"")</f>
        <v/>
      </c>
      <c r="T57" s="213" t="str">
        <f>IF(L57="3/4",(M57*N57*O57),"")</f>
        <v/>
      </c>
      <c r="U57" s="214" t="str">
        <f>IF(L57="1",(M57*N57*O57),"")</f>
        <v/>
      </c>
    </row>
    <row r="58" spans="1:21" x14ac:dyDescent="0.3">
      <c r="A58" s="202"/>
      <c r="B58" s="605" t="s">
        <v>606</v>
      </c>
      <c r="C58" s="606"/>
      <c r="D58" s="606"/>
      <c r="E58" s="606"/>
      <c r="F58" s="606"/>
      <c r="G58" s="606"/>
      <c r="H58" s="606"/>
      <c r="I58" s="606"/>
      <c r="J58" s="606"/>
      <c r="K58" s="606"/>
      <c r="L58" s="606"/>
      <c r="M58" s="606"/>
      <c r="N58" s="606"/>
      <c r="O58" s="606"/>
      <c r="P58" s="218">
        <v>0.25</v>
      </c>
      <c r="Q58" s="219">
        <v>0.56000000000000005</v>
      </c>
      <c r="R58" s="220">
        <v>0.99399999999999999</v>
      </c>
      <c r="S58" s="218">
        <v>1.552</v>
      </c>
      <c r="T58" s="218">
        <v>2.2349999999999999</v>
      </c>
      <c r="U58" s="219">
        <v>3.9729999999999999</v>
      </c>
    </row>
    <row r="59" spans="1:21" x14ac:dyDescent="0.3">
      <c r="A59" s="190"/>
      <c r="B59" s="597" t="s">
        <v>607</v>
      </c>
      <c r="C59" s="598"/>
      <c r="D59" s="598"/>
      <c r="E59" s="598"/>
      <c r="F59" s="598"/>
      <c r="G59" s="598"/>
      <c r="H59" s="598"/>
      <c r="I59" s="598"/>
      <c r="J59" s="598"/>
      <c r="K59" s="598"/>
      <c r="L59" s="598"/>
      <c r="M59" s="598"/>
      <c r="N59" s="598"/>
      <c r="O59" s="598"/>
      <c r="P59" s="260">
        <f t="shared" ref="P59:U59" si="9">SUM(P52:P57)</f>
        <v>0</v>
      </c>
      <c r="Q59" s="261">
        <f t="shared" si="9"/>
        <v>136.9774317890076</v>
      </c>
      <c r="R59" s="262">
        <f t="shared" si="9"/>
        <v>0</v>
      </c>
      <c r="S59" s="260">
        <f t="shared" si="9"/>
        <v>0</v>
      </c>
      <c r="T59" s="260">
        <f t="shared" si="9"/>
        <v>0</v>
      </c>
      <c r="U59" s="260">
        <f t="shared" si="9"/>
        <v>0</v>
      </c>
    </row>
    <row r="60" spans="1:21" x14ac:dyDescent="0.3">
      <c r="A60" s="190"/>
      <c r="B60" s="597" t="s">
        <v>608</v>
      </c>
      <c r="C60" s="598"/>
      <c r="D60" s="598"/>
      <c r="E60" s="598"/>
      <c r="F60" s="598"/>
      <c r="G60" s="598"/>
      <c r="H60" s="598"/>
      <c r="I60" s="598"/>
      <c r="J60" s="598"/>
      <c r="K60" s="598"/>
      <c r="L60" s="598"/>
      <c r="M60" s="598"/>
      <c r="N60" s="598"/>
      <c r="O60" s="598"/>
      <c r="P60" s="260">
        <f t="shared" ref="P60:U60" si="10">+P58*P59</f>
        <v>0</v>
      </c>
      <c r="Q60" s="261">
        <f t="shared" si="10"/>
        <v>76.707361801844257</v>
      </c>
      <c r="R60" s="262">
        <f t="shared" si="10"/>
        <v>0</v>
      </c>
      <c r="S60" s="260">
        <f t="shared" si="10"/>
        <v>0</v>
      </c>
      <c r="T60" s="260">
        <f t="shared" si="10"/>
        <v>0</v>
      </c>
      <c r="U60" s="260">
        <f t="shared" si="10"/>
        <v>0</v>
      </c>
    </row>
    <row r="61" spans="1:21" x14ac:dyDescent="0.3">
      <c r="A61" s="190"/>
      <c r="B61" s="599" t="s">
        <v>609</v>
      </c>
      <c r="C61" s="600"/>
      <c r="D61" s="600"/>
      <c r="E61" s="600"/>
      <c r="F61" s="600"/>
      <c r="G61" s="600"/>
      <c r="H61" s="600"/>
      <c r="I61" s="600"/>
      <c r="J61" s="600"/>
      <c r="K61" s="600"/>
      <c r="L61" s="600"/>
      <c r="M61" s="600"/>
      <c r="N61" s="600"/>
      <c r="O61" s="600" t="s">
        <v>609</v>
      </c>
      <c r="P61" s="260">
        <f t="shared" ref="P61:U61" si="11">ROUNDUP(P60/(P58*9),2)</f>
        <v>0</v>
      </c>
      <c r="Q61" s="261">
        <f t="shared" si="11"/>
        <v>15.22</v>
      </c>
      <c r="R61" s="262">
        <f t="shared" si="11"/>
        <v>0</v>
      </c>
      <c r="S61" s="260">
        <f t="shared" si="11"/>
        <v>0</v>
      </c>
      <c r="T61" s="260">
        <f t="shared" si="11"/>
        <v>0</v>
      </c>
      <c r="U61" s="261">
        <f t="shared" si="11"/>
        <v>0</v>
      </c>
    </row>
    <row r="62" spans="1:21" ht="15" thickBot="1" x14ac:dyDescent="0.35">
      <c r="A62" s="263"/>
      <c r="B62" s="601" t="s">
        <v>610</v>
      </c>
      <c r="C62" s="602"/>
      <c r="D62" s="602"/>
      <c r="E62" s="602"/>
      <c r="F62" s="602"/>
      <c r="G62" s="602"/>
      <c r="H62" s="602"/>
      <c r="I62" s="602"/>
      <c r="J62" s="602"/>
      <c r="K62" s="602"/>
      <c r="L62" s="602"/>
      <c r="M62" s="602"/>
      <c r="N62" s="602"/>
      <c r="O62" s="602"/>
      <c r="P62" s="603">
        <f>SUM(P60:U60)*1.05</f>
        <v>80.542729891936474</v>
      </c>
      <c r="Q62" s="604"/>
      <c r="R62" s="264"/>
      <c r="S62" s="265"/>
      <c r="T62" s="265"/>
      <c r="U62" s="266"/>
    </row>
    <row r="63" spans="1:21" x14ac:dyDescent="0.3">
      <c r="A63" s="267">
        <f>+'[1]RESERV. 10 m3'!A476</f>
        <v>1.0205050202999995</v>
      </c>
      <c r="B63" s="232" t="str">
        <f>+'[1]RESERV. 10 m3'!B476</f>
        <v>ACERO fy=4,200 kg/cm2</v>
      </c>
      <c r="C63" s="181"/>
      <c r="D63" s="181"/>
      <c r="E63" s="181"/>
      <c r="F63" s="181"/>
      <c r="G63" s="181"/>
      <c r="H63" s="181"/>
      <c r="I63" s="181"/>
      <c r="J63" s="181"/>
      <c r="K63" s="247" t="s">
        <v>620</v>
      </c>
      <c r="L63" s="234"/>
      <c r="M63" s="235"/>
      <c r="N63" s="268"/>
      <c r="O63" s="248"/>
      <c r="P63" s="249"/>
      <c r="Q63" s="186" t="str">
        <f>IF(L63="3/8",(M63*N63*O63),"")</f>
        <v/>
      </c>
      <c r="R63" s="187"/>
      <c r="S63" s="188"/>
      <c r="T63" s="188"/>
      <c r="U63" s="189"/>
    </row>
    <row r="64" spans="1:21" x14ac:dyDescent="0.3">
      <c r="A64" s="269"/>
      <c r="B64" s="191" t="s">
        <v>621</v>
      </c>
      <c r="C64" s="270"/>
      <c r="D64" s="270"/>
      <c r="E64" s="270"/>
      <c r="F64" s="270"/>
      <c r="G64" s="270"/>
      <c r="H64" s="270"/>
      <c r="I64" s="270"/>
      <c r="J64" s="270"/>
      <c r="K64" s="270"/>
      <c r="L64" s="193"/>
      <c r="M64" s="194"/>
      <c r="N64" s="191"/>
      <c r="O64" s="196"/>
      <c r="P64" s="197"/>
      <c r="Q64" s="271"/>
      <c r="R64" s="272"/>
      <c r="S64" s="273"/>
      <c r="T64" s="273"/>
      <c r="U64" s="274"/>
    </row>
    <row r="65" spans="1:21" x14ac:dyDescent="0.3">
      <c r="A65" s="269"/>
      <c r="B65" s="191"/>
      <c r="C65" s="270"/>
      <c r="D65" s="270"/>
      <c r="E65" s="270"/>
      <c r="F65" s="270"/>
      <c r="G65" s="270"/>
      <c r="H65" s="270"/>
      <c r="I65" s="270"/>
      <c r="J65" s="270"/>
      <c r="K65" s="270"/>
      <c r="L65" s="193" t="s">
        <v>597</v>
      </c>
      <c r="M65" s="207">
        <v>1.1499999999999999</v>
      </c>
      <c r="N65" s="208">
        <v>5</v>
      </c>
      <c r="O65" s="209">
        <v>1</v>
      </c>
      <c r="P65" s="197" t="str">
        <f>IF(L65="1/4",(M65*N65*O65),"")</f>
        <v/>
      </c>
      <c r="Q65" s="198">
        <f>IF(L65="3/8",(M65*N65*O65),"")</f>
        <v>5.75</v>
      </c>
      <c r="R65" s="197" t="str">
        <f>IF(L65="1/2",(M65*N65*O65),"")</f>
        <v/>
      </c>
      <c r="S65" s="199" t="str">
        <f>IF(L65="5/8",(M65*N65*O65),"")</f>
        <v/>
      </c>
      <c r="T65" s="200" t="str">
        <f>IF(L65="3/4",(M65*N65*O65),"")</f>
        <v/>
      </c>
      <c r="U65" s="201" t="str">
        <f>IF(L65="1",(M65*N65*O65),"")</f>
        <v/>
      </c>
    </row>
    <row r="66" spans="1:21" x14ac:dyDescent="0.3">
      <c r="A66" s="269"/>
      <c r="B66" s="191"/>
      <c r="C66" s="270"/>
      <c r="D66" s="270"/>
      <c r="E66" s="270"/>
      <c r="F66" s="270"/>
      <c r="G66" s="270"/>
      <c r="H66" s="270"/>
      <c r="I66" s="270"/>
      <c r="J66" s="270"/>
      <c r="K66" s="270"/>
      <c r="L66" s="193" t="s">
        <v>597</v>
      </c>
      <c r="M66" s="207">
        <v>1.05</v>
      </c>
      <c r="N66" s="208">
        <v>6</v>
      </c>
      <c r="O66" s="209">
        <v>1</v>
      </c>
      <c r="P66" s="197"/>
      <c r="Q66" s="198"/>
      <c r="R66" s="197"/>
      <c r="S66" s="199"/>
      <c r="T66" s="200"/>
      <c r="U66" s="201"/>
    </row>
    <row r="67" spans="1:21" x14ac:dyDescent="0.3">
      <c r="A67" s="269"/>
      <c r="B67" s="191" t="s">
        <v>622</v>
      </c>
      <c r="C67" s="270"/>
      <c r="D67" s="270"/>
      <c r="E67" s="270"/>
      <c r="F67" s="270"/>
      <c r="G67" s="270"/>
      <c r="H67" s="270"/>
      <c r="I67" s="270"/>
      <c r="J67" s="270"/>
      <c r="K67" s="270"/>
      <c r="L67" s="193"/>
      <c r="M67" s="194"/>
      <c r="N67" s="191"/>
      <c r="O67" s="196"/>
      <c r="P67" s="197" t="str">
        <f t="shared" ref="P67:P85" si="12">IF(L67="1/4",(M67*N67*O67),"")</f>
        <v/>
      </c>
      <c r="Q67" s="198" t="str">
        <f t="shared" ref="Q67:Q85" si="13">IF(L67="3/8",(M67*N67*O67),"")</f>
        <v/>
      </c>
      <c r="R67" s="197" t="str">
        <f t="shared" ref="R67:R85" si="14">IF(L67="1/2",(M67*N67*O67),"")</f>
        <v/>
      </c>
      <c r="S67" s="199" t="str">
        <f t="shared" ref="S67:S85" si="15">IF(L67="5/8",(M67*N67*O67),"")</f>
        <v/>
      </c>
      <c r="T67" s="200" t="str">
        <f t="shared" ref="T67:T85" si="16">IF(L67="3/4",(M67*N67*O67),"")</f>
        <v/>
      </c>
      <c r="U67" s="201" t="str">
        <f t="shared" ref="U67:U85" si="17">IF(L67="1",(M67*N67*O67),"")</f>
        <v/>
      </c>
    </row>
    <row r="68" spans="1:21" x14ac:dyDescent="0.3">
      <c r="A68" s="269"/>
      <c r="B68" s="191"/>
      <c r="C68" s="270"/>
      <c r="D68" s="270"/>
      <c r="E68" s="270"/>
      <c r="F68" s="270"/>
      <c r="G68" s="270"/>
      <c r="H68" s="270"/>
      <c r="I68" s="270"/>
      <c r="J68" s="270"/>
      <c r="K68" s="270"/>
      <c r="L68" s="193" t="s">
        <v>597</v>
      </c>
      <c r="M68" s="207">
        <v>1.1499999999999999</v>
      </c>
      <c r="N68" s="208">
        <v>4</v>
      </c>
      <c r="O68" s="209">
        <v>1</v>
      </c>
      <c r="P68" s="197" t="str">
        <f t="shared" si="12"/>
        <v/>
      </c>
      <c r="Q68" s="198">
        <f t="shared" si="13"/>
        <v>4.5999999999999996</v>
      </c>
      <c r="R68" s="197" t="str">
        <f t="shared" si="14"/>
        <v/>
      </c>
      <c r="S68" s="199" t="str">
        <f t="shared" si="15"/>
        <v/>
      </c>
      <c r="T68" s="200" t="str">
        <f t="shared" si="16"/>
        <v/>
      </c>
      <c r="U68" s="201" t="str">
        <f t="shared" si="17"/>
        <v/>
      </c>
    </row>
    <row r="69" spans="1:21" x14ac:dyDescent="0.3">
      <c r="A69" s="269"/>
      <c r="B69" s="191"/>
      <c r="C69" s="270"/>
      <c r="D69" s="270"/>
      <c r="E69" s="270"/>
      <c r="F69" s="270"/>
      <c r="G69" s="270"/>
      <c r="H69" s="270"/>
      <c r="I69" s="270"/>
      <c r="J69" s="270"/>
      <c r="K69" s="270"/>
      <c r="L69" s="193" t="s">
        <v>597</v>
      </c>
      <c r="M69" s="207">
        <v>1.05</v>
      </c>
      <c r="N69" s="208">
        <v>4</v>
      </c>
      <c r="O69" s="209">
        <v>1</v>
      </c>
      <c r="P69" s="197"/>
      <c r="Q69" s="198">
        <f t="shared" si="13"/>
        <v>4.2</v>
      </c>
      <c r="R69" s="197"/>
      <c r="S69" s="199"/>
      <c r="T69" s="200"/>
      <c r="U69" s="201"/>
    </row>
    <row r="70" spans="1:21" x14ac:dyDescent="0.3">
      <c r="A70" s="269"/>
      <c r="B70" s="191"/>
      <c r="C70" s="270"/>
      <c r="D70" s="270"/>
      <c r="E70" s="270"/>
      <c r="F70" s="270"/>
      <c r="G70" s="270"/>
      <c r="H70" s="270"/>
      <c r="I70" s="270"/>
      <c r="J70" s="270"/>
      <c r="K70" s="270"/>
      <c r="L70" s="193" t="s">
        <v>597</v>
      </c>
      <c r="M70" s="207">
        <v>0.5</v>
      </c>
      <c r="N70" s="208">
        <v>4</v>
      </c>
      <c r="O70" s="209">
        <v>1</v>
      </c>
      <c r="P70" s="197"/>
      <c r="Q70" s="198">
        <f t="shared" si="13"/>
        <v>2</v>
      </c>
      <c r="R70" s="197"/>
      <c r="S70" s="199"/>
      <c r="T70" s="200"/>
      <c r="U70" s="201"/>
    </row>
    <row r="71" spans="1:21" x14ac:dyDescent="0.3">
      <c r="A71" s="269"/>
      <c r="B71" s="191"/>
      <c r="C71" s="270"/>
      <c r="D71" s="270"/>
      <c r="E71" s="270"/>
      <c r="F71" s="270"/>
      <c r="G71" s="270"/>
      <c r="H71" s="270"/>
      <c r="I71" s="270"/>
      <c r="J71" s="270"/>
      <c r="K71" s="270"/>
      <c r="L71" s="169"/>
      <c r="M71" s="169"/>
      <c r="N71" s="169"/>
      <c r="O71" s="169"/>
      <c r="P71" s="197" t="str">
        <f t="shared" si="12"/>
        <v/>
      </c>
      <c r="Q71" s="198" t="str">
        <f t="shared" si="13"/>
        <v/>
      </c>
      <c r="R71" s="197" t="str">
        <f t="shared" si="14"/>
        <v/>
      </c>
      <c r="S71" s="199" t="str">
        <f t="shared" si="15"/>
        <v/>
      </c>
      <c r="T71" s="200" t="str">
        <f t="shared" si="16"/>
        <v/>
      </c>
      <c r="U71" s="201" t="str">
        <f t="shared" si="17"/>
        <v/>
      </c>
    </row>
    <row r="72" spans="1:21" x14ac:dyDescent="0.3">
      <c r="A72" s="269"/>
      <c r="B72" s="191"/>
      <c r="C72" s="270"/>
      <c r="D72" s="270"/>
      <c r="E72" s="270"/>
      <c r="F72" s="270"/>
      <c r="G72" s="270"/>
      <c r="H72" s="270"/>
      <c r="I72" s="270"/>
      <c r="J72" s="270"/>
      <c r="K72" s="270"/>
      <c r="L72" s="193"/>
      <c r="M72" s="207"/>
      <c r="N72" s="208"/>
      <c r="O72" s="209"/>
      <c r="P72" s="197" t="str">
        <f t="shared" si="12"/>
        <v/>
      </c>
      <c r="Q72" s="198" t="str">
        <f t="shared" si="13"/>
        <v/>
      </c>
      <c r="R72" s="197" t="str">
        <f t="shared" si="14"/>
        <v/>
      </c>
      <c r="S72" s="199" t="str">
        <f t="shared" si="15"/>
        <v/>
      </c>
      <c r="T72" s="200" t="str">
        <f t="shared" si="16"/>
        <v/>
      </c>
      <c r="U72" s="201" t="str">
        <f t="shared" si="17"/>
        <v/>
      </c>
    </row>
    <row r="73" spans="1:21" x14ac:dyDescent="0.3">
      <c r="A73" s="269"/>
      <c r="B73" s="191" t="s">
        <v>623</v>
      </c>
      <c r="C73" s="270"/>
      <c r="D73" s="270"/>
      <c r="E73" s="270"/>
      <c r="F73" s="270"/>
      <c r="G73" s="270"/>
      <c r="H73" s="270"/>
      <c r="I73" s="270"/>
      <c r="J73" s="270"/>
      <c r="K73" s="270"/>
      <c r="L73" s="193"/>
      <c r="M73" s="215"/>
      <c r="N73" s="203"/>
      <c r="O73" s="217"/>
      <c r="P73" s="197" t="str">
        <f t="shared" si="12"/>
        <v/>
      </c>
      <c r="Q73" s="198" t="str">
        <f t="shared" si="13"/>
        <v/>
      </c>
      <c r="R73" s="197" t="str">
        <f t="shared" si="14"/>
        <v/>
      </c>
      <c r="S73" s="199" t="str">
        <f t="shared" si="15"/>
        <v/>
      </c>
      <c r="T73" s="200" t="str">
        <f t="shared" si="16"/>
        <v/>
      </c>
      <c r="U73" s="201" t="str">
        <f t="shared" si="17"/>
        <v/>
      </c>
    </row>
    <row r="74" spans="1:21" x14ac:dyDescent="0.3">
      <c r="A74" s="269"/>
      <c r="B74" s="191" t="s">
        <v>615</v>
      </c>
      <c r="C74" s="270"/>
      <c r="D74" s="270"/>
      <c r="E74" s="270"/>
      <c r="F74" s="270"/>
      <c r="G74" s="270"/>
      <c r="H74" s="270"/>
      <c r="I74" s="270"/>
      <c r="J74" s="270"/>
      <c r="K74" s="270"/>
      <c r="L74" s="193" t="s">
        <v>597</v>
      </c>
      <c r="M74" s="207">
        <v>2.8</v>
      </c>
      <c r="N74" s="208">
        <v>4</v>
      </c>
      <c r="O74" s="209">
        <v>1</v>
      </c>
      <c r="P74" s="197" t="str">
        <f t="shared" si="12"/>
        <v/>
      </c>
      <c r="Q74" s="198">
        <f t="shared" si="13"/>
        <v>11.2</v>
      </c>
      <c r="R74" s="197" t="str">
        <f t="shared" si="14"/>
        <v/>
      </c>
      <c r="S74" s="199" t="str">
        <f t="shared" si="15"/>
        <v/>
      </c>
      <c r="T74" s="200" t="str">
        <f t="shared" si="16"/>
        <v/>
      </c>
      <c r="U74" s="201" t="str">
        <f t="shared" si="17"/>
        <v/>
      </c>
    </row>
    <row r="75" spans="1:21" x14ac:dyDescent="0.3">
      <c r="A75" s="269"/>
      <c r="B75" s="169"/>
      <c r="C75" s="270"/>
      <c r="D75" s="270"/>
      <c r="E75" s="270"/>
      <c r="F75" s="270"/>
      <c r="G75" s="270"/>
      <c r="H75" s="270"/>
      <c r="I75" s="270"/>
      <c r="J75" s="270"/>
      <c r="K75" s="270"/>
      <c r="L75" s="169"/>
      <c r="M75" s="169"/>
      <c r="N75" s="169"/>
      <c r="O75" s="169"/>
      <c r="P75" s="197" t="str">
        <f t="shared" si="12"/>
        <v/>
      </c>
      <c r="Q75" s="198" t="str">
        <f t="shared" si="13"/>
        <v/>
      </c>
      <c r="R75" s="197" t="str">
        <f t="shared" si="14"/>
        <v/>
      </c>
      <c r="S75" s="199" t="str">
        <f t="shared" si="15"/>
        <v/>
      </c>
      <c r="T75" s="200" t="str">
        <f t="shared" si="16"/>
        <v/>
      </c>
      <c r="U75" s="201" t="str">
        <f t="shared" si="17"/>
        <v/>
      </c>
    </row>
    <row r="76" spans="1:21" x14ac:dyDescent="0.3">
      <c r="A76" s="269"/>
      <c r="B76" s="191"/>
      <c r="C76" s="270"/>
      <c r="D76" s="270"/>
      <c r="E76" s="270"/>
      <c r="F76" s="270"/>
      <c r="G76" s="270"/>
      <c r="H76" s="270"/>
      <c r="I76" s="270"/>
      <c r="J76" s="270"/>
      <c r="K76" s="270"/>
      <c r="L76" s="193"/>
      <c r="M76" s="207"/>
      <c r="N76" s="208"/>
      <c r="O76" s="209"/>
      <c r="P76" s="197" t="str">
        <f t="shared" si="12"/>
        <v/>
      </c>
      <c r="Q76" s="198" t="str">
        <f t="shared" si="13"/>
        <v/>
      </c>
      <c r="R76" s="197" t="str">
        <f t="shared" si="14"/>
        <v/>
      </c>
      <c r="S76" s="199" t="str">
        <f t="shared" si="15"/>
        <v/>
      </c>
      <c r="T76" s="200" t="str">
        <f t="shared" si="16"/>
        <v/>
      </c>
      <c r="U76" s="201" t="str">
        <f t="shared" si="17"/>
        <v/>
      </c>
    </row>
    <row r="77" spans="1:21" x14ac:dyDescent="0.3">
      <c r="A77" s="269"/>
      <c r="B77" s="191"/>
      <c r="C77" s="270"/>
      <c r="D77" s="270"/>
      <c r="E77" s="270"/>
      <c r="F77" s="270"/>
      <c r="G77" s="270"/>
      <c r="H77" s="270"/>
      <c r="I77" s="270"/>
      <c r="J77" s="270"/>
      <c r="K77" s="270"/>
      <c r="L77" s="193"/>
      <c r="M77" s="207"/>
      <c r="N77" s="208"/>
      <c r="O77" s="209"/>
      <c r="P77" s="197" t="str">
        <f t="shared" si="12"/>
        <v/>
      </c>
      <c r="Q77" s="198" t="str">
        <f t="shared" si="13"/>
        <v/>
      </c>
      <c r="R77" s="197" t="str">
        <f t="shared" si="14"/>
        <v/>
      </c>
      <c r="S77" s="199" t="str">
        <f t="shared" si="15"/>
        <v/>
      </c>
      <c r="T77" s="200" t="str">
        <f t="shared" si="16"/>
        <v/>
      </c>
      <c r="U77" s="201" t="str">
        <f t="shared" si="17"/>
        <v/>
      </c>
    </row>
    <row r="78" spans="1:21" x14ac:dyDescent="0.3">
      <c r="A78" s="269"/>
      <c r="B78" s="191"/>
      <c r="C78" s="270"/>
      <c r="D78" s="270"/>
      <c r="E78" s="270"/>
      <c r="F78" s="270"/>
      <c r="G78" s="270"/>
      <c r="H78" s="270"/>
      <c r="I78" s="270"/>
      <c r="J78" s="270"/>
      <c r="K78" s="270"/>
      <c r="L78" s="193"/>
      <c r="M78" s="207"/>
      <c r="N78" s="208"/>
      <c r="O78" s="209"/>
      <c r="P78" s="197" t="str">
        <f t="shared" si="12"/>
        <v/>
      </c>
      <c r="Q78" s="198" t="str">
        <f t="shared" si="13"/>
        <v/>
      </c>
      <c r="R78" s="197" t="str">
        <f t="shared" si="14"/>
        <v/>
      </c>
      <c r="S78" s="199" t="str">
        <f t="shared" si="15"/>
        <v/>
      </c>
      <c r="T78" s="200" t="str">
        <f t="shared" si="16"/>
        <v/>
      </c>
      <c r="U78" s="201" t="str">
        <f t="shared" si="17"/>
        <v/>
      </c>
    </row>
    <row r="79" spans="1:21" x14ac:dyDescent="0.3">
      <c r="A79" s="269"/>
      <c r="B79" s="191"/>
      <c r="C79" s="270"/>
      <c r="D79" s="270"/>
      <c r="E79" s="270"/>
      <c r="F79" s="270"/>
      <c r="G79" s="270"/>
      <c r="H79" s="270"/>
      <c r="I79" s="270"/>
      <c r="J79" s="270"/>
      <c r="K79" s="270"/>
      <c r="L79" s="193"/>
      <c r="M79" s="207"/>
      <c r="N79" s="208"/>
      <c r="O79" s="209"/>
      <c r="P79" s="197" t="str">
        <f t="shared" si="12"/>
        <v/>
      </c>
      <c r="Q79" s="198" t="str">
        <f t="shared" si="13"/>
        <v/>
      </c>
      <c r="R79" s="197" t="str">
        <f t="shared" si="14"/>
        <v/>
      </c>
      <c r="S79" s="199" t="str">
        <f t="shared" si="15"/>
        <v/>
      </c>
      <c r="T79" s="200" t="str">
        <f t="shared" si="16"/>
        <v/>
      </c>
      <c r="U79" s="201" t="str">
        <f t="shared" si="17"/>
        <v/>
      </c>
    </row>
    <row r="80" spans="1:21" x14ac:dyDescent="0.3">
      <c r="A80" s="269"/>
      <c r="B80" s="191" t="s">
        <v>616</v>
      </c>
      <c r="C80" s="270"/>
      <c r="D80" s="270"/>
      <c r="E80" s="270"/>
      <c r="F80" s="270"/>
      <c r="G80" s="270"/>
      <c r="H80" s="270"/>
      <c r="I80" s="270"/>
      <c r="J80" s="270"/>
      <c r="K80" s="270"/>
      <c r="L80" s="193" t="s">
        <v>597</v>
      </c>
      <c r="M80" s="207">
        <v>1.05</v>
      </c>
      <c r="N80" s="208">
        <v>17</v>
      </c>
      <c r="O80" s="209">
        <v>1</v>
      </c>
      <c r="P80" s="197" t="str">
        <f t="shared" si="12"/>
        <v/>
      </c>
      <c r="Q80" s="198">
        <f t="shared" si="13"/>
        <v>17.850000000000001</v>
      </c>
      <c r="R80" s="197" t="str">
        <f t="shared" si="14"/>
        <v/>
      </c>
      <c r="S80" s="199" t="str">
        <f t="shared" si="15"/>
        <v/>
      </c>
      <c r="T80" s="200" t="str">
        <f t="shared" si="16"/>
        <v/>
      </c>
      <c r="U80" s="201" t="str">
        <f t="shared" si="17"/>
        <v/>
      </c>
    </row>
    <row r="81" spans="1:21" x14ac:dyDescent="0.3">
      <c r="A81" s="269"/>
      <c r="B81" s="191"/>
      <c r="C81" s="270"/>
      <c r="D81" s="270"/>
      <c r="E81" s="270"/>
      <c r="F81" s="270"/>
      <c r="G81" s="270"/>
      <c r="H81" s="270"/>
      <c r="I81" s="270"/>
      <c r="J81" s="270"/>
      <c r="K81" s="270"/>
      <c r="L81" s="193"/>
      <c r="M81" s="207"/>
      <c r="N81" s="208"/>
      <c r="O81" s="209"/>
      <c r="P81" s="197" t="str">
        <f t="shared" si="12"/>
        <v/>
      </c>
      <c r="Q81" s="198" t="str">
        <f t="shared" si="13"/>
        <v/>
      </c>
      <c r="R81" s="197" t="str">
        <f t="shared" si="14"/>
        <v/>
      </c>
      <c r="S81" s="199" t="str">
        <f t="shared" si="15"/>
        <v/>
      </c>
      <c r="T81" s="200" t="str">
        <f t="shared" si="16"/>
        <v/>
      </c>
      <c r="U81" s="201" t="str">
        <f t="shared" si="17"/>
        <v/>
      </c>
    </row>
    <row r="82" spans="1:21" x14ac:dyDescent="0.3">
      <c r="A82" s="269"/>
      <c r="B82" s="191"/>
      <c r="C82" s="270"/>
      <c r="D82" s="270"/>
      <c r="E82" s="270"/>
      <c r="F82" s="270"/>
      <c r="G82" s="270"/>
      <c r="H82" s="270"/>
      <c r="I82" s="270"/>
      <c r="J82" s="270"/>
      <c r="K82" s="270"/>
      <c r="L82" s="193"/>
      <c r="M82" s="207"/>
      <c r="N82" s="208"/>
      <c r="O82" s="209"/>
      <c r="P82" s="197" t="str">
        <f t="shared" si="12"/>
        <v/>
      </c>
      <c r="Q82" s="198" t="str">
        <f t="shared" si="13"/>
        <v/>
      </c>
      <c r="R82" s="197" t="str">
        <f t="shared" si="14"/>
        <v/>
      </c>
      <c r="S82" s="199" t="str">
        <f t="shared" si="15"/>
        <v/>
      </c>
      <c r="T82" s="200" t="str">
        <f t="shared" si="16"/>
        <v/>
      </c>
      <c r="U82" s="201" t="str">
        <f t="shared" si="17"/>
        <v/>
      </c>
    </row>
    <row r="83" spans="1:21" x14ac:dyDescent="0.3">
      <c r="A83" s="269"/>
      <c r="B83" s="191"/>
      <c r="C83" s="270"/>
      <c r="D83" s="270"/>
      <c r="E83" s="270"/>
      <c r="F83" s="270"/>
      <c r="G83" s="270"/>
      <c r="H83" s="270"/>
      <c r="I83" s="270"/>
      <c r="J83" s="270"/>
      <c r="K83" s="270"/>
      <c r="L83" s="193"/>
      <c r="M83" s="207"/>
      <c r="N83" s="208"/>
      <c r="O83" s="209"/>
      <c r="P83" s="197" t="str">
        <f t="shared" si="12"/>
        <v/>
      </c>
      <c r="Q83" s="198" t="str">
        <f t="shared" si="13"/>
        <v/>
      </c>
      <c r="R83" s="197" t="str">
        <f t="shared" si="14"/>
        <v/>
      </c>
      <c r="S83" s="199" t="str">
        <f t="shared" si="15"/>
        <v/>
      </c>
      <c r="T83" s="200" t="str">
        <f t="shared" si="16"/>
        <v/>
      </c>
      <c r="U83" s="201" t="str">
        <f t="shared" si="17"/>
        <v/>
      </c>
    </row>
    <row r="84" spans="1:21" x14ac:dyDescent="0.3">
      <c r="A84" s="269"/>
      <c r="B84" s="191"/>
      <c r="C84" s="270"/>
      <c r="D84" s="270"/>
      <c r="E84" s="270"/>
      <c r="F84" s="270"/>
      <c r="G84" s="270"/>
      <c r="H84" s="270"/>
      <c r="I84" s="270"/>
      <c r="J84" s="270"/>
      <c r="K84" s="270"/>
      <c r="L84" s="193"/>
      <c r="M84" s="207"/>
      <c r="N84" s="208"/>
      <c r="O84" s="209"/>
      <c r="P84" s="197" t="str">
        <f t="shared" si="12"/>
        <v/>
      </c>
      <c r="Q84" s="198" t="str">
        <f t="shared" si="13"/>
        <v/>
      </c>
      <c r="R84" s="197" t="str">
        <f t="shared" si="14"/>
        <v/>
      </c>
      <c r="S84" s="199" t="str">
        <f t="shared" si="15"/>
        <v/>
      </c>
      <c r="T84" s="200" t="str">
        <f t="shared" si="16"/>
        <v/>
      </c>
      <c r="U84" s="201" t="str">
        <f t="shared" si="17"/>
        <v/>
      </c>
    </row>
    <row r="85" spans="1:21" x14ac:dyDescent="0.3">
      <c r="A85" s="269"/>
      <c r="B85" s="270"/>
      <c r="C85" s="270"/>
      <c r="D85" s="270"/>
      <c r="E85" s="270"/>
      <c r="F85" s="270"/>
      <c r="G85" s="270"/>
      <c r="H85" s="270"/>
      <c r="I85" s="270"/>
      <c r="J85" s="270"/>
      <c r="K85" s="270"/>
      <c r="L85" s="275"/>
      <c r="M85" s="276"/>
      <c r="N85" s="277"/>
      <c r="O85" s="278"/>
      <c r="P85" s="197" t="str">
        <f t="shared" si="12"/>
        <v/>
      </c>
      <c r="Q85" s="198" t="str">
        <f t="shared" si="13"/>
        <v/>
      </c>
      <c r="R85" s="197" t="str">
        <f t="shared" si="14"/>
        <v/>
      </c>
      <c r="S85" s="199" t="str">
        <f t="shared" si="15"/>
        <v/>
      </c>
      <c r="T85" s="200" t="str">
        <f t="shared" si="16"/>
        <v/>
      </c>
      <c r="U85" s="201" t="str">
        <f t="shared" si="17"/>
        <v/>
      </c>
    </row>
    <row r="86" spans="1:21" x14ac:dyDescent="0.3">
      <c r="A86" s="190"/>
      <c r="B86" s="597" t="s">
        <v>606</v>
      </c>
      <c r="C86" s="598"/>
      <c r="D86" s="598"/>
      <c r="E86" s="598"/>
      <c r="F86" s="598"/>
      <c r="G86" s="598"/>
      <c r="H86" s="598"/>
      <c r="I86" s="598"/>
      <c r="J86" s="598"/>
      <c r="K86" s="598"/>
      <c r="L86" s="598"/>
      <c r="M86" s="598"/>
      <c r="N86" s="598"/>
      <c r="O86" s="598"/>
      <c r="P86" s="218">
        <v>0.25</v>
      </c>
      <c r="Q86" s="219">
        <v>0.56000000000000005</v>
      </c>
      <c r="R86" s="220">
        <v>0.99399999999999999</v>
      </c>
      <c r="S86" s="218">
        <v>1.552</v>
      </c>
      <c r="T86" s="218">
        <v>2.2349999999999999</v>
      </c>
      <c r="U86" s="219">
        <v>3.9729999999999999</v>
      </c>
    </row>
    <row r="87" spans="1:21" x14ac:dyDescent="0.3">
      <c r="A87" s="190"/>
      <c r="B87" s="597" t="s">
        <v>607</v>
      </c>
      <c r="C87" s="598"/>
      <c r="D87" s="598"/>
      <c r="E87" s="598"/>
      <c r="F87" s="598"/>
      <c r="G87" s="598"/>
      <c r="H87" s="598"/>
      <c r="I87" s="598"/>
      <c r="J87" s="598"/>
      <c r="K87" s="598"/>
      <c r="L87" s="598"/>
      <c r="M87" s="598"/>
      <c r="N87" s="598"/>
      <c r="O87" s="598"/>
      <c r="P87" s="260">
        <f>SUM(P63:P85)</f>
        <v>0</v>
      </c>
      <c r="Q87" s="261">
        <f>SUM(Q63:Q85)</f>
        <v>45.6</v>
      </c>
      <c r="R87" s="262">
        <f>SUM(R63:R65)</f>
        <v>0</v>
      </c>
      <c r="S87" s="260">
        <f>SUM(S63:S65)</f>
        <v>0</v>
      </c>
      <c r="T87" s="260">
        <f>SUM(T63:T65)</f>
        <v>0</v>
      </c>
      <c r="U87" s="260">
        <f>SUM(U63:U65)</f>
        <v>0</v>
      </c>
    </row>
    <row r="88" spans="1:21" x14ac:dyDescent="0.3">
      <c r="A88" s="190"/>
      <c r="B88" s="597" t="s">
        <v>608</v>
      </c>
      <c r="C88" s="598"/>
      <c r="D88" s="598"/>
      <c r="E88" s="598"/>
      <c r="F88" s="598"/>
      <c r="G88" s="598"/>
      <c r="H88" s="598"/>
      <c r="I88" s="598"/>
      <c r="J88" s="598"/>
      <c r="K88" s="598"/>
      <c r="L88" s="598"/>
      <c r="M88" s="598"/>
      <c r="N88" s="598"/>
      <c r="O88" s="598"/>
      <c r="P88" s="260">
        <f t="shared" ref="P88:U88" si="18">+P86*P87</f>
        <v>0</v>
      </c>
      <c r="Q88" s="261">
        <f t="shared" si="18"/>
        <v>25.536000000000005</v>
      </c>
      <c r="R88" s="262">
        <f t="shared" si="18"/>
        <v>0</v>
      </c>
      <c r="S88" s="260">
        <f t="shared" si="18"/>
        <v>0</v>
      </c>
      <c r="T88" s="260">
        <f t="shared" si="18"/>
        <v>0</v>
      </c>
      <c r="U88" s="260">
        <f t="shared" si="18"/>
        <v>0</v>
      </c>
    </row>
    <row r="89" spans="1:21" x14ac:dyDescent="0.3">
      <c r="A89" s="190"/>
      <c r="B89" s="599" t="s">
        <v>609</v>
      </c>
      <c r="C89" s="600"/>
      <c r="D89" s="600"/>
      <c r="E89" s="600"/>
      <c r="F89" s="600"/>
      <c r="G89" s="600"/>
      <c r="H89" s="600"/>
      <c r="I89" s="600"/>
      <c r="J89" s="600"/>
      <c r="K89" s="600"/>
      <c r="L89" s="600"/>
      <c r="M89" s="600"/>
      <c r="N89" s="600"/>
      <c r="O89" s="600" t="s">
        <v>609</v>
      </c>
      <c r="P89" s="260">
        <f t="shared" ref="P89:U89" si="19">ROUNDUP(P88/(P86*9),2)</f>
        <v>0</v>
      </c>
      <c r="Q89" s="261">
        <f t="shared" si="19"/>
        <v>5.0699999999999994</v>
      </c>
      <c r="R89" s="262">
        <f t="shared" si="19"/>
        <v>0</v>
      </c>
      <c r="S89" s="260">
        <f t="shared" si="19"/>
        <v>0</v>
      </c>
      <c r="T89" s="260">
        <f t="shared" si="19"/>
        <v>0</v>
      </c>
      <c r="U89" s="261">
        <f t="shared" si="19"/>
        <v>0</v>
      </c>
    </row>
    <row r="90" spans="1:21" ht="15" thickBot="1" x14ac:dyDescent="0.35">
      <c r="A90" s="263"/>
      <c r="B90" s="601" t="s">
        <v>610</v>
      </c>
      <c r="C90" s="602"/>
      <c r="D90" s="602"/>
      <c r="E90" s="602"/>
      <c r="F90" s="602"/>
      <c r="G90" s="602"/>
      <c r="H90" s="602"/>
      <c r="I90" s="602"/>
      <c r="J90" s="602"/>
      <c r="K90" s="602"/>
      <c r="L90" s="602"/>
      <c r="M90" s="602"/>
      <c r="N90" s="602"/>
      <c r="O90" s="602"/>
      <c r="P90" s="603">
        <f>SUM(P88:U88)*1.05</f>
        <v>26.812800000000006</v>
      </c>
      <c r="Q90" s="604"/>
      <c r="R90" s="264"/>
      <c r="S90" s="265"/>
      <c r="T90" s="265"/>
      <c r="U90" s="266"/>
    </row>
    <row r="91" spans="1:21" ht="15" thickBot="1" x14ac:dyDescent="0.35">
      <c r="A91" s="594"/>
      <c r="B91" s="595"/>
      <c r="C91" s="595"/>
      <c r="D91" s="595"/>
      <c r="E91" s="595"/>
      <c r="F91" s="595"/>
      <c r="G91" s="595"/>
      <c r="H91" s="595"/>
      <c r="I91" s="595"/>
      <c r="J91" s="595"/>
      <c r="K91" s="595"/>
      <c r="L91" s="595"/>
      <c r="M91" s="595"/>
      <c r="N91" s="595"/>
      <c r="O91" s="595"/>
      <c r="P91" s="595"/>
      <c r="Q91" s="595"/>
      <c r="R91" s="595"/>
      <c r="S91" s="595"/>
      <c r="T91" s="595"/>
      <c r="U91" s="596"/>
    </row>
  </sheetData>
  <mergeCells count="40">
    <mergeCell ref="A1:Q1"/>
    <mergeCell ref="A3:A4"/>
    <mergeCell ref="B3:B4"/>
    <mergeCell ref="C3:K4"/>
    <mergeCell ref="L3:L4"/>
    <mergeCell ref="M3:M4"/>
    <mergeCell ref="N3:N4"/>
    <mergeCell ref="O3:O4"/>
    <mergeCell ref="P3:Q3"/>
    <mergeCell ref="P33:Q33"/>
    <mergeCell ref="B15:O15"/>
    <mergeCell ref="B16:O16"/>
    <mergeCell ref="B17:O17"/>
    <mergeCell ref="B18:O18"/>
    <mergeCell ref="B19:O19"/>
    <mergeCell ref="P19:Q19"/>
    <mergeCell ref="B29:O29"/>
    <mergeCell ref="B30:O30"/>
    <mergeCell ref="B31:O31"/>
    <mergeCell ref="B32:O32"/>
    <mergeCell ref="B33:O33"/>
    <mergeCell ref="P62:Q62"/>
    <mergeCell ref="B45:O45"/>
    <mergeCell ref="B46:O46"/>
    <mergeCell ref="B47:O47"/>
    <mergeCell ref="B48:O48"/>
    <mergeCell ref="B49:O49"/>
    <mergeCell ref="P49:Q49"/>
    <mergeCell ref="B58:O58"/>
    <mergeCell ref="B59:O59"/>
    <mergeCell ref="B60:O60"/>
    <mergeCell ref="B61:O61"/>
    <mergeCell ref="B62:O62"/>
    <mergeCell ref="A91:U91"/>
    <mergeCell ref="B86:O86"/>
    <mergeCell ref="B87:O87"/>
    <mergeCell ref="B88:O88"/>
    <mergeCell ref="B89:O89"/>
    <mergeCell ref="B90:O90"/>
    <mergeCell ref="P90:Q90"/>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ab9a227b-6695-4bb5-bb12-b970c8c35a49" xsi:nil="true"/>
    <lcf76f155ced4ddcb4097134ff3c332f xmlns="53106979-1996-48ab-b41e-67dc6495b45b">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873217FB9474A44EAAB8438242DA9C9E" ma:contentTypeVersion="9" ma:contentTypeDescription="Create a new document." ma:contentTypeScope="" ma:versionID="61dc7ed6c2d3c94a43e20e46134fa855">
  <xsd:schema xmlns:xsd="http://www.w3.org/2001/XMLSchema" xmlns:xs="http://www.w3.org/2001/XMLSchema" xmlns:p="http://schemas.microsoft.com/office/2006/metadata/properties" xmlns:ns2="53106979-1996-48ab-b41e-67dc6495b45b" xmlns:ns3="ab9a227b-6695-4bb5-bb12-b970c8c35a49" targetNamespace="http://schemas.microsoft.com/office/2006/metadata/properties" ma:root="true" ma:fieldsID="f2a8241b04890717afd67cfa2c761b6c" ns2:_="" ns3:_="">
    <xsd:import namespace="53106979-1996-48ab-b41e-67dc6495b45b"/>
    <xsd:import namespace="ab9a227b-6695-4bb5-bb12-b970c8c35a49"/>
    <xsd:element name="properties">
      <xsd:complexType>
        <xsd:sequence>
          <xsd:element name="documentManagement">
            <xsd:complexType>
              <xsd:all>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3106979-1996-48ab-b41e-67dc6495b45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lcf76f155ced4ddcb4097134ff3c332f" ma:index="11" nillable="true" ma:taxonomy="true" ma:internalName="lcf76f155ced4ddcb4097134ff3c332f" ma:taxonomyFieldName="MediaServiceImageTags" ma:displayName="Image Tags" ma:readOnly="false" ma:fieldId="{5cf76f15-5ced-4ddc-b409-7134ff3c332f}" ma:taxonomyMulti="true" ma:sspId="55b21e80-d618-4d88-be9d-58a55c16f9a9"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bjectDetectorVersions" ma:index="16"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ab9a227b-6695-4bb5-bb12-b970c8c35a49" elementFormDefault="qualified">
    <xsd:import namespace="http://schemas.microsoft.com/office/2006/documentManagement/types"/>
    <xsd:import namespace="http://schemas.microsoft.com/office/infopath/2007/PartnerControls"/>
    <xsd:element name="TaxCatchAll" ma:index="12" nillable="true" ma:displayName="Taxonomy Catch All Column" ma:hidden="true" ma:list="{df5588ed-915d-4821-be78-aeefbcf80e28}" ma:internalName="TaxCatchAll" ma:showField="CatchAllData" ma:web="ab9a227b-6695-4bb5-bb12-b970c8c35a4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462AB4F2-FF30-4C73-A712-CD2AF3B920B9}">
  <ds:schemaRefs>
    <ds:schemaRef ds:uri="http://schemas.microsoft.com/office/2006/metadata/properties"/>
    <ds:schemaRef ds:uri="http://schemas.microsoft.com/office/infopath/2007/PartnerControls"/>
    <ds:schemaRef ds:uri="ab9a227b-6695-4bb5-bb12-b970c8c35a49"/>
    <ds:schemaRef ds:uri="53106979-1996-48ab-b41e-67dc6495b45b"/>
  </ds:schemaRefs>
</ds:datastoreItem>
</file>

<file path=customXml/itemProps2.xml><?xml version="1.0" encoding="utf-8"?>
<ds:datastoreItem xmlns:ds="http://schemas.openxmlformats.org/officeDocument/2006/customXml" ds:itemID="{683AE42D-73ED-473F-A1DB-A3C6CE7D970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53106979-1996-48ab-b41e-67dc6495b45b"/>
    <ds:schemaRef ds:uri="ab9a227b-6695-4bb5-bb12-b970c8c35a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0C7ECBC6-3907-495B-BDC9-9B379EC8394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6</vt:i4>
      </vt:variant>
    </vt:vector>
  </HeadingPairs>
  <TitlesOfParts>
    <vt:vector size="12" baseType="lpstr">
      <vt:lpstr>Memoria</vt:lpstr>
      <vt:lpstr>Datos</vt:lpstr>
      <vt:lpstr>Bibliografia</vt:lpstr>
      <vt:lpstr>METRADOS DE RESER</vt:lpstr>
      <vt:lpstr>CER PER</vt:lpstr>
      <vt:lpstr>ACERO</vt:lpstr>
      <vt:lpstr>Memoria!Área_de_impresión</vt:lpstr>
      <vt:lpstr>CONEXION</vt:lpstr>
      <vt:lpstr>MATRIZ</vt:lpstr>
      <vt:lpstr>RESISCONCRETO</vt:lpstr>
      <vt:lpstr>tabla</vt:lpstr>
      <vt:lpstr>Memoria!Títulos_a_imprimir</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Erik Trujillo</dc:creator>
  <cp:keywords/>
  <dc:description/>
  <cp:lastModifiedBy>Josué René Carbajal Guerrero</cp:lastModifiedBy>
  <cp:revision/>
  <dcterms:created xsi:type="dcterms:W3CDTF">2016-01-15T21:46:02Z</dcterms:created>
  <dcterms:modified xsi:type="dcterms:W3CDTF">2024-05-26T19:09:58Z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0x010100873217FB9474A44EAAB8438242DA9C9E</vt:lpwstr>
  </property>
  <property fmtid="{D5CDD505-2E9C-101B-9397-08002B2CF9AE}" pid="3" name="MediaServiceImageTags">
    <vt:lpwstr/>
  </property>
</Properties>
</file>