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onal\OneDrive\Escritorio\troqueles_sw\"/>
    </mc:Choice>
  </mc:AlternateContent>
  <xr:revisionPtr revIDLastSave="0" documentId="13_ncr:1_{FF5E3B18-E551-47FC-9076-C9FC7EFB8FA8}" xr6:coauthVersionLast="47" xr6:coauthVersionMax="47" xr10:uidLastSave="{00000000-0000-0000-0000-000000000000}"/>
  <bookViews>
    <workbookView xWindow="-120" yWindow="-120" windowWidth="20730" windowHeight="11040" tabRatio="651" activeTab="4" xr2:uid="{00000000-000D-0000-FFFF-FFFF00000000}"/>
  </bookViews>
  <sheets>
    <sheet name="CONTENIDO" sheetId="2" r:id="rId1"/>
    <sheet name="General" sheetId="5" r:id="rId2"/>
    <sheet name="Consumos" sheetId="6" r:id="rId3"/>
    <sheet name="Tiempos" sheetId="3" r:id="rId4"/>
    <sheet name="Data" sheetId="1" r:id="rId5"/>
    <sheet name="Ingresos" sheetId="10" r:id="rId6"/>
    <sheet name="Inventario " sheetId="15" r:id="rId7"/>
    <sheet name="Resumen" sheetId="8" r:id="rId8"/>
    <sheet name="General (2)" sheetId="16" state="hidden" r:id="rId9"/>
    <sheet name="tablainfo" sheetId="20" state="hidden" r:id="rId10"/>
  </sheets>
  <definedNames>
    <definedName name="_xlnm._FilterDatabase" localSheetId="6" hidden="1">'Inventario '!$A$1:$BD$333</definedName>
    <definedName name="_xlnm.Print_Area" localSheetId="6">'Inventario '!$B$1:$AG$333</definedName>
    <definedName name="Codigos" localSheetId="8">TablaMateriales[Códigos]</definedName>
    <definedName name="Codigos">TablaMateriales[Códigos]</definedName>
    <definedName name="CódigosConversión" localSheetId="8">TablaConversión[Códigos]</definedName>
    <definedName name="CódigosConversión">TablaConversión[Códigos]</definedName>
    <definedName name="DatosExternos_1" localSheetId="9" hidden="1">tablainfo!$A$1:$L$88</definedName>
    <definedName name="RangoActividad" localSheetId="8">TablaActividad[Código]</definedName>
    <definedName name="RangoActividad">TablaActividad[Código]</definedName>
    <definedName name="RangoClientes" localSheetId="8">TablaClientes[Cliente]</definedName>
    <definedName name="RangoClientes">TablaClientes[Cliente]</definedName>
    <definedName name="RangoOperarios" localSheetId="8">#REF!</definedName>
    <definedName name="RangoOperarios">#REF!</definedName>
    <definedName name="RangoTipoTrabajo" localSheetId="8">TablaTipoTrabajo[especifíco]</definedName>
    <definedName name="RangoTipoTrabajo">TablaTipoTrabajo[especifíco]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0" l="1"/>
  <c r="D4" i="10"/>
  <c r="D5" i="10"/>
  <c r="D6" i="10"/>
  <c r="D7" i="10"/>
  <c r="D8" i="10"/>
  <c r="D9" i="10"/>
  <c r="D10" i="10"/>
  <c r="D11" i="10"/>
  <c r="D12" i="10"/>
  <c r="D13" i="10"/>
  <c r="C3" i="10"/>
  <c r="C4" i="10"/>
  <c r="C5" i="10"/>
  <c r="C6" i="10"/>
  <c r="C7" i="10"/>
  <c r="C8" i="10"/>
  <c r="C9" i="10"/>
  <c r="C10" i="10"/>
  <c r="C11" i="10"/>
  <c r="C12" i="10"/>
  <c r="C13" i="10"/>
  <c r="E3" i="5"/>
  <c r="H3" i="5"/>
  <c r="I3" i="5"/>
  <c r="J3" i="5"/>
  <c r="K3" i="5"/>
  <c r="M3" i="5"/>
  <c r="N3" i="5"/>
  <c r="P3" i="5"/>
  <c r="Q3" i="5"/>
  <c r="R3" i="5" l="1"/>
  <c r="O3" i="5"/>
  <c r="L3" i="5"/>
  <c r="G8" i="10"/>
  <c r="G9" i="10"/>
  <c r="G10" i="10"/>
  <c r="G11" i="10"/>
  <c r="G12" i="10"/>
  <c r="Q72" i="16" l="1"/>
  <c r="P72" i="16"/>
  <c r="N72" i="16"/>
  <c r="M72" i="16"/>
  <c r="K72" i="16"/>
  <c r="J72" i="16"/>
  <c r="I72" i="16"/>
  <c r="E72" i="16"/>
  <c r="Q71" i="16"/>
  <c r="P71" i="16"/>
  <c r="N71" i="16"/>
  <c r="M71" i="16"/>
  <c r="K71" i="16"/>
  <c r="J71" i="16"/>
  <c r="I71" i="16"/>
  <c r="E71" i="16"/>
  <c r="Q70" i="16"/>
  <c r="P70" i="16"/>
  <c r="N70" i="16"/>
  <c r="M70" i="16"/>
  <c r="K70" i="16"/>
  <c r="J70" i="16"/>
  <c r="I70" i="16"/>
  <c r="E70" i="16"/>
  <c r="Q69" i="16"/>
  <c r="P69" i="16"/>
  <c r="N69" i="16"/>
  <c r="M69" i="16"/>
  <c r="K69" i="16"/>
  <c r="J69" i="16"/>
  <c r="I69" i="16"/>
  <c r="E69" i="16"/>
  <c r="Q68" i="16"/>
  <c r="P68" i="16"/>
  <c r="N68" i="16"/>
  <c r="M68" i="16"/>
  <c r="K68" i="16"/>
  <c r="J68" i="16"/>
  <c r="I68" i="16"/>
  <c r="E68" i="16"/>
  <c r="Q67" i="16"/>
  <c r="P67" i="16"/>
  <c r="N67" i="16"/>
  <c r="M67" i="16"/>
  <c r="K67" i="16"/>
  <c r="J67" i="16"/>
  <c r="I67" i="16"/>
  <c r="E67" i="16"/>
  <c r="Q66" i="16"/>
  <c r="P66" i="16"/>
  <c r="N66" i="16"/>
  <c r="M66" i="16"/>
  <c r="K66" i="16"/>
  <c r="J66" i="16"/>
  <c r="I66" i="16"/>
  <c r="E66" i="16"/>
  <c r="Q65" i="16"/>
  <c r="P65" i="16"/>
  <c r="N65" i="16"/>
  <c r="M65" i="16"/>
  <c r="K65" i="16"/>
  <c r="J65" i="16"/>
  <c r="I65" i="16"/>
  <c r="E65" i="16"/>
  <c r="Q64" i="16"/>
  <c r="P64" i="16"/>
  <c r="N64" i="16"/>
  <c r="M64" i="16"/>
  <c r="K64" i="16"/>
  <c r="J64" i="16"/>
  <c r="I64" i="16"/>
  <c r="E64" i="16"/>
  <c r="Q63" i="16"/>
  <c r="P63" i="16"/>
  <c r="N63" i="16"/>
  <c r="M63" i="16"/>
  <c r="K63" i="16"/>
  <c r="J63" i="16"/>
  <c r="I63" i="16"/>
  <c r="E63" i="16"/>
  <c r="Q62" i="16"/>
  <c r="P62" i="16"/>
  <c r="N62" i="16"/>
  <c r="M62" i="16"/>
  <c r="K62" i="16"/>
  <c r="J62" i="16"/>
  <c r="I62" i="16"/>
  <c r="E62" i="16"/>
  <c r="Q61" i="16"/>
  <c r="P61" i="16"/>
  <c r="N61" i="16"/>
  <c r="M61" i="16"/>
  <c r="K61" i="16"/>
  <c r="J61" i="16"/>
  <c r="I61" i="16"/>
  <c r="E61" i="16"/>
  <c r="Q60" i="16"/>
  <c r="P60" i="16"/>
  <c r="N60" i="16"/>
  <c r="M60" i="16"/>
  <c r="K60" i="16"/>
  <c r="J60" i="16"/>
  <c r="I60" i="16"/>
  <c r="E60" i="16"/>
  <c r="Q59" i="16"/>
  <c r="P59" i="16"/>
  <c r="N59" i="16"/>
  <c r="M59" i="16"/>
  <c r="K59" i="16"/>
  <c r="J59" i="16"/>
  <c r="I59" i="16"/>
  <c r="E59" i="16"/>
  <c r="Q58" i="16"/>
  <c r="P58" i="16"/>
  <c r="N58" i="16"/>
  <c r="M58" i="16"/>
  <c r="K58" i="16"/>
  <c r="J58" i="16"/>
  <c r="I58" i="16"/>
  <c r="E58" i="16"/>
  <c r="Q57" i="16"/>
  <c r="P57" i="16"/>
  <c r="N57" i="16"/>
  <c r="M57" i="16"/>
  <c r="K57" i="16"/>
  <c r="J57" i="16"/>
  <c r="I57" i="16"/>
  <c r="E57" i="16"/>
  <c r="Q56" i="16"/>
  <c r="P56" i="16"/>
  <c r="N56" i="16"/>
  <c r="M56" i="16"/>
  <c r="K56" i="16"/>
  <c r="J56" i="16"/>
  <c r="I56" i="16"/>
  <c r="E56" i="16"/>
  <c r="Q55" i="16"/>
  <c r="P55" i="16"/>
  <c r="N55" i="16"/>
  <c r="M55" i="16"/>
  <c r="K55" i="16"/>
  <c r="J55" i="16"/>
  <c r="I55" i="16"/>
  <c r="E55" i="16"/>
  <c r="Q54" i="16"/>
  <c r="P54" i="16"/>
  <c r="N54" i="16"/>
  <c r="M54" i="16"/>
  <c r="K54" i="16"/>
  <c r="J54" i="16"/>
  <c r="I54" i="16"/>
  <c r="E54" i="16"/>
  <c r="Q53" i="16"/>
  <c r="P53" i="16"/>
  <c r="N53" i="16"/>
  <c r="M53" i="16"/>
  <c r="K53" i="16"/>
  <c r="J53" i="16"/>
  <c r="I53" i="16"/>
  <c r="E53" i="16"/>
  <c r="Q52" i="16"/>
  <c r="P52" i="16"/>
  <c r="N52" i="16"/>
  <c r="M52" i="16"/>
  <c r="K52" i="16"/>
  <c r="J52" i="16"/>
  <c r="I52" i="16"/>
  <c r="E52" i="16"/>
  <c r="Q51" i="16"/>
  <c r="P51" i="16"/>
  <c r="N51" i="16"/>
  <c r="M51" i="16"/>
  <c r="K51" i="16"/>
  <c r="J51" i="16"/>
  <c r="I51" i="16"/>
  <c r="E51" i="16"/>
  <c r="Q50" i="16"/>
  <c r="P50" i="16"/>
  <c r="N50" i="16"/>
  <c r="M50" i="16"/>
  <c r="K50" i="16"/>
  <c r="J50" i="16"/>
  <c r="I50" i="16"/>
  <c r="E50" i="16"/>
  <c r="Q49" i="16"/>
  <c r="P49" i="16"/>
  <c r="N49" i="16"/>
  <c r="M49" i="16"/>
  <c r="K49" i="16"/>
  <c r="J49" i="16"/>
  <c r="I49" i="16"/>
  <c r="E49" i="16"/>
  <c r="Q48" i="16"/>
  <c r="P48" i="16"/>
  <c r="N48" i="16"/>
  <c r="M48" i="16"/>
  <c r="K48" i="16"/>
  <c r="J48" i="16"/>
  <c r="I48" i="16"/>
  <c r="E48" i="16"/>
  <c r="Q47" i="16"/>
  <c r="P47" i="16"/>
  <c r="N47" i="16"/>
  <c r="M47" i="16"/>
  <c r="K47" i="16"/>
  <c r="J47" i="16"/>
  <c r="I47" i="16"/>
  <c r="E47" i="16"/>
  <c r="Q46" i="16"/>
  <c r="P46" i="16"/>
  <c r="N46" i="16"/>
  <c r="M46" i="16"/>
  <c r="K46" i="16"/>
  <c r="J46" i="16"/>
  <c r="I46" i="16"/>
  <c r="E46" i="16"/>
  <c r="Q45" i="16"/>
  <c r="P45" i="16"/>
  <c r="N45" i="16"/>
  <c r="M45" i="16"/>
  <c r="K45" i="16"/>
  <c r="J45" i="16"/>
  <c r="I45" i="16"/>
  <c r="E45" i="16"/>
  <c r="Q44" i="16"/>
  <c r="P44" i="16"/>
  <c r="N44" i="16"/>
  <c r="M44" i="16"/>
  <c r="K44" i="16"/>
  <c r="J44" i="16"/>
  <c r="I44" i="16"/>
  <c r="E44" i="16"/>
  <c r="Q43" i="16"/>
  <c r="P43" i="16"/>
  <c r="N43" i="16"/>
  <c r="M43" i="16"/>
  <c r="K43" i="16"/>
  <c r="J43" i="16"/>
  <c r="I43" i="16"/>
  <c r="E43" i="16"/>
  <c r="Q42" i="16"/>
  <c r="P42" i="16"/>
  <c r="N42" i="16"/>
  <c r="M42" i="16"/>
  <c r="K42" i="16"/>
  <c r="J42" i="16"/>
  <c r="I42" i="16"/>
  <c r="E42" i="16"/>
  <c r="Q41" i="16"/>
  <c r="P41" i="16"/>
  <c r="N41" i="16"/>
  <c r="M41" i="16"/>
  <c r="K41" i="16"/>
  <c r="J41" i="16"/>
  <c r="I41" i="16"/>
  <c r="E41" i="16"/>
  <c r="Q40" i="16"/>
  <c r="P40" i="16"/>
  <c r="N40" i="16"/>
  <c r="M40" i="16"/>
  <c r="K40" i="16"/>
  <c r="J40" i="16"/>
  <c r="I40" i="16"/>
  <c r="E40" i="16"/>
  <c r="Q39" i="16"/>
  <c r="P39" i="16"/>
  <c r="N39" i="16"/>
  <c r="M39" i="16"/>
  <c r="K39" i="16"/>
  <c r="J39" i="16"/>
  <c r="I39" i="16"/>
  <c r="E39" i="16"/>
  <c r="Q38" i="16"/>
  <c r="P38" i="16"/>
  <c r="N38" i="16"/>
  <c r="M38" i="16"/>
  <c r="K38" i="16"/>
  <c r="J38" i="16"/>
  <c r="I38" i="16"/>
  <c r="E38" i="16"/>
  <c r="Q37" i="16"/>
  <c r="P37" i="16"/>
  <c r="N37" i="16"/>
  <c r="M37" i="16"/>
  <c r="K37" i="16"/>
  <c r="J37" i="16"/>
  <c r="I37" i="16"/>
  <c r="E37" i="16"/>
  <c r="Q36" i="16"/>
  <c r="P36" i="16"/>
  <c r="N36" i="16"/>
  <c r="M36" i="16"/>
  <c r="K36" i="16"/>
  <c r="J36" i="16"/>
  <c r="I36" i="16"/>
  <c r="E36" i="16"/>
  <c r="Q35" i="16"/>
  <c r="P35" i="16"/>
  <c r="N35" i="16"/>
  <c r="M35" i="16"/>
  <c r="K35" i="16"/>
  <c r="J35" i="16"/>
  <c r="I35" i="16"/>
  <c r="E35" i="16"/>
  <c r="Q34" i="16"/>
  <c r="P34" i="16"/>
  <c r="N34" i="16"/>
  <c r="M34" i="16"/>
  <c r="K34" i="16"/>
  <c r="J34" i="16"/>
  <c r="I34" i="16"/>
  <c r="E34" i="16"/>
  <c r="Q33" i="16"/>
  <c r="P33" i="16"/>
  <c r="N33" i="16"/>
  <c r="M33" i="16"/>
  <c r="K33" i="16"/>
  <c r="J33" i="16"/>
  <c r="I33" i="16"/>
  <c r="E33" i="16"/>
  <c r="Q32" i="16"/>
  <c r="P32" i="16"/>
  <c r="N32" i="16"/>
  <c r="M32" i="16"/>
  <c r="K32" i="16"/>
  <c r="J32" i="16"/>
  <c r="I32" i="16"/>
  <c r="E32" i="16"/>
  <c r="Q31" i="16"/>
  <c r="P31" i="16"/>
  <c r="N31" i="16"/>
  <c r="M31" i="16"/>
  <c r="K31" i="16"/>
  <c r="J31" i="16"/>
  <c r="I31" i="16"/>
  <c r="E31" i="16"/>
  <c r="Q30" i="16"/>
  <c r="P30" i="16"/>
  <c r="N30" i="16"/>
  <c r="M30" i="16"/>
  <c r="K30" i="16"/>
  <c r="J30" i="16"/>
  <c r="I30" i="16"/>
  <c r="E30" i="16"/>
  <c r="Q29" i="16"/>
  <c r="P29" i="16"/>
  <c r="N29" i="16"/>
  <c r="M29" i="16"/>
  <c r="K29" i="16"/>
  <c r="J29" i="16"/>
  <c r="I29" i="16"/>
  <c r="E29" i="16"/>
  <c r="Q28" i="16"/>
  <c r="P28" i="16"/>
  <c r="N28" i="16"/>
  <c r="M28" i="16"/>
  <c r="K28" i="16"/>
  <c r="J28" i="16"/>
  <c r="I28" i="16"/>
  <c r="E28" i="16"/>
  <c r="Q27" i="16"/>
  <c r="P27" i="16"/>
  <c r="N27" i="16"/>
  <c r="M27" i="16"/>
  <c r="K27" i="16"/>
  <c r="J27" i="16"/>
  <c r="I27" i="16"/>
  <c r="E27" i="16"/>
  <c r="Q26" i="16"/>
  <c r="P26" i="16"/>
  <c r="N26" i="16"/>
  <c r="M26" i="16"/>
  <c r="K26" i="16"/>
  <c r="J26" i="16"/>
  <c r="I26" i="16"/>
  <c r="E26" i="16"/>
  <c r="Q25" i="16"/>
  <c r="P25" i="16"/>
  <c r="N25" i="16"/>
  <c r="M25" i="16"/>
  <c r="K25" i="16"/>
  <c r="J25" i="16"/>
  <c r="I25" i="16"/>
  <c r="E25" i="16"/>
  <c r="Q24" i="16"/>
  <c r="P24" i="16"/>
  <c r="N24" i="16"/>
  <c r="M24" i="16"/>
  <c r="K24" i="16"/>
  <c r="J24" i="16"/>
  <c r="I24" i="16"/>
  <c r="E24" i="16"/>
  <c r="Q23" i="16"/>
  <c r="P23" i="16"/>
  <c r="N23" i="16"/>
  <c r="M23" i="16"/>
  <c r="K23" i="16"/>
  <c r="J23" i="16"/>
  <c r="I23" i="16"/>
  <c r="E23" i="16"/>
  <c r="Q22" i="16"/>
  <c r="P22" i="16"/>
  <c r="N22" i="16"/>
  <c r="M22" i="16"/>
  <c r="K22" i="16"/>
  <c r="J22" i="16"/>
  <c r="I22" i="16"/>
  <c r="E22" i="16"/>
  <c r="Q21" i="16"/>
  <c r="P21" i="16"/>
  <c r="N21" i="16"/>
  <c r="M21" i="16"/>
  <c r="K21" i="16"/>
  <c r="J21" i="16"/>
  <c r="I21" i="16"/>
  <c r="E21" i="16"/>
  <c r="Q20" i="16"/>
  <c r="P20" i="16"/>
  <c r="N20" i="16"/>
  <c r="M20" i="16"/>
  <c r="K20" i="16"/>
  <c r="J20" i="16"/>
  <c r="I20" i="16"/>
  <c r="E20" i="16"/>
  <c r="Q19" i="16"/>
  <c r="P19" i="16"/>
  <c r="N19" i="16"/>
  <c r="M19" i="16"/>
  <c r="K19" i="16"/>
  <c r="J19" i="16"/>
  <c r="I19" i="16"/>
  <c r="E19" i="16"/>
  <c r="Q18" i="16"/>
  <c r="P18" i="16"/>
  <c r="N18" i="16"/>
  <c r="M18" i="16"/>
  <c r="K18" i="16"/>
  <c r="J18" i="16"/>
  <c r="I18" i="16"/>
  <c r="E18" i="16"/>
  <c r="Q17" i="16"/>
  <c r="P17" i="16"/>
  <c r="N17" i="16"/>
  <c r="M17" i="16"/>
  <c r="K17" i="16"/>
  <c r="J17" i="16"/>
  <c r="I17" i="16"/>
  <c r="E17" i="16"/>
  <c r="Q16" i="16"/>
  <c r="P16" i="16"/>
  <c r="N16" i="16"/>
  <c r="M16" i="16"/>
  <c r="K16" i="16"/>
  <c r="J16" i="16"/>
  <c r="I16" i="16"/>
  <c r="E16" i="16"/>
  <c r="Q15" i="16"/>
  <c r="P15" i="16"/>
  <c r="N15" i="16"/>
  <c r="M15" i="16"/>
  <c r="K15" i="16"/>
  <c r="J15" i="16"/>
  <c r="I15" i="16"/>
  <c r="E15" i="16"/>
  <c r="Q14" i="16"/>
  <c r="P14" i="16"/>
  <c r="N14" i="16"/>
  <c r="M14" i="16"/>
  <c r="K14" i="16"/>
  <c r="J14" i="16"/>
  <c r="I14" i="16"/>
  <c r="E14" i="16"/>
  <c r="Q13" i="16"/>
  <c r="P13" i="16"/>
  <c r="N13" i="16"/>
  <c r="M13" i="16"/>
  <c r="K13" i="16"/>
  <c r="J13" i="16"/>
  <c r="I13" i="16"/>
  <c r="E13" i="16"/>
  <c r="Q12" i="16"/>
  <c r="P12" i="16"/>
  <c r="N12" i="16"/>
  <c r="M12" i="16"/>
  <c r="K12" i="16"/>
  <c r="J12" i="16"/>
  <c r="I12" i="16"/>
  <c r="E12" i="16"/>
  <c r="Q11" i="16"/>
  <c r="P11" i="16"/>
  <c r="N11" i="16"/>
  <c r="M11" i="16"/>
  <c r="K11" i="16"/>
  <c r="J11" i="16"/>
  <c r="I11" i="16"/>
  <c r="E11" i="16"/>
  <c r="Q10" i="16"/>
  <c r="P10" i="16"/>
  <c r="N10" i="16"/>
  <c r="M10" i="16"/>
  <c r="K10" i="16"/>
  <c r="J10" i="16"/>
  <c r="I10" i="16"/>
  <c r="E10" i="16"/>
  <c r="Q9" i="16"/>
  <c r="P9" i="16"/>
  <c r="N9" i="16"/>
  <c r="M9" i="16"/>
  <c r="K9" i="16"/>
  <c r="J9" i="16"/>
  <c r="I9" i="16"/>
  <c r="E9" i="16"/>
  <c r="Q8" i="16"/>
  <c r="P8" i="16"/>
  <c r="N8" i="16"/>
  <c r="M8" i="16"/>
  <c r="K8" i="16"/>
  <c r="J8" i="16"/>
  <c r="I8" i="16"/>
  <c r="E8" i="16"/>
  <c r="Q7" i="16"/>
  <c r="P7" i="16"/>
  <c r="N7" i="16"/>
  <c r="M7" i="16"/>
  <c r="K7" i="16"/>
  <c r="J7" i="16"/>
  <c r="I7" i="16"/>
  <c r="E7" i="16"/>
  <c r="Q6" i="16"/>
  <c r="P6" i="16"/>
  <c r="N6" i="16"/>
  <c r="M6" i="16"/>
  <c r="K6" i="16"/>
  <c r="J6" i="16"/>
  <c r="I6" i="16"/>
  <c r="E6" i="16"/>
  <c r="Q5" i="16"/>
  <c r="P5" i="16"/>
  <c r="N5" i="16"/>
  <c r="M5" i="16"/>
  <c r="K5" i="16"/>
  <c r="J5" i="16"/>
  <c r="I5" i="16"/>
  <c r="E5" i="16"/>
  <c r="Q4" i="16"/>
  <c r="P4" i="16"/>
  <c r="N4" i="16"/>
  <c r="M4" i="16"/>
  <c r="K4" i="16"/>
  <c r="J4" i="16"/>
  <c r="I4" i="16"/>
  <c r="E4" i="16"/>
  <c r="Q3" i="16"/>
  <c r="P3" i="16"/>
  <c r="N3" i="16"/>
  <c r="M3" i="16"/>
  <c r="K3" i="16"/>
  <c r="J3" i="16"/>
  <c r="I3" i="16"/>
  <c r="E3" i="16"/>
  <c r="G13" i="8"/>
  <c r="F13" i="8"/>
  <c r="E13" i="8"/>
  <c r="D13" i="8"/>
  <c r="C13" i="8"/>
  <c r="G12" i="8"/>
  <c r="F12" i="8"/>
  <c r="E12" i="8"/>
  <c r="D12" i="8"/>
  <c r="C12" i="8"/>
  <c r="G11" i="8"/>
  <c r="F11" i="8"/>
  <c r="E11" i="8"/>
  <c r="D11" i="8"/>
  <c r="C11" i="8"/>
  <c r="F10" i="8"/>
  <c r="G9" i="8"/>
  <c r="F9" i="8"/>
  <c r="E9" i="8"/>
  <c r="D9" i="8"/>
  <c r="C9" i="8"/>
  <c r="F8" i="8"/>
  <c r="G7" i="8"/>
  <c r="F7" i="8"/>
  <c r="E7" i="8"/>
  <c r="D7" i="8"/>
  <c r="C7" i="8"/>
  <c r="F6" i="8"/>
  <c r="F5" i="8"/>
  <c r="F4" i="8"/>
  <c r="BC357" i="15"/>
  <c r="BB357" i="15"/>
  <c r="BA357" i="15"/>
  <c r="AZ357" i="15"/>
  <c r="AY357" i="15"/>
  <c r="AX357" i="15"/>
  <c r="AW357" i="15"/>
  <c r="AV357" i="15"/>
  <c r="AU357" i="15"/>
  <c r="AT357" i="15"/>
  <c r="AR357" i="15"/>
  <c r="AQ357" i="15"/>
  <c r="AP357" i="15"/>
  <c r="AO357" i="15"/>
  <c r="AN357" i="15"/>
  <c r="AM357" i="15"/>
  <c r="AL357" i="15"/>
  <c r="AK357" i="15"/>
  <c r="AJ357" i="15"/>
  <c r="AI357" i="15"/>
  <c r="AH357" i="15"/>
  <c r="BC356" i="15"/>
  <c r="BB356" i="15"/>
  <c r="BA356" i="15"/>
  <c r="AZ356" i="15"/>
  <c r="AY356" i="15"/>
  <c r="AX356" i="15"/>
  <c r="AW356" i="15"/>
  <c r="AV356" i="15"/>
  <c r="AU356" i="15"/>
  <c r="AT356" i="15"/>
  <c r="AR356" i="15"/>
  <c r="AQ356" i="15"/>
  <c r="AP356" i="15"/>
  <c r="AO356" i="15"/>
  <c r="AN356" i="15"/>
  <c r="AM356" i="15"/>
  <c r="AL356" i="15"/>
  <c r="AK356" i="15"/>
  <c r="AJ356" i="15"/>
  <c r="AI356" i="15"/>
  <c r="AH356" i="15"/>
  <c r="BC355" i="15"/>
  <c r="BB355" i="15"/>
  <c r="BA355" i="15"/>
  <c r="AZ355" i="15"/>
  <c r="AY355" i="15"/>
  <c r="AX355" i="15"/>
  <c r="AW355" i="15"/>
  <c r="AV355" i="15"/>
  <c r="AU355" i="15"/>
  <c r="AT355" i="15"/>
  <c r="AR355" i="15"/>
  <c r="AQ355" i="15"/>
  <c r="AP355" i="15"/>
  <c r="AO355" i="15"/>
  <c r="AN355" i="15"/>
  <c r="AM355" i="15"/>
  <c r="AL355" i="15"/>
  <c r="AK355" i="15"/>
  <c r="AJ355" i="15"/>
  <c r="AI355" i="15"/>
  <c r="AH355" i="15"/>
  <c r="BC354" i="15"/>
  <c r="BB354" i="15"/>
  <c r="BA354" i="15"/>
  <c r="AZ354" i="15"/>
  <c r="AY354" i="15"/>
  <c r="AX354" i="15"/>
  <c r="AW354" i="15"/>
  <c r="AV354" i="15"/>
  <c r="AU354" i="15"/>
  <c r="AT354" i="15"/>
  <c r="AR354" i="15"/>
  <c r="AQ354" i="15"/>
  <c r="AP354" i="15"/>
  <c r="AO354" i="15"/>
  <c r="AN354" i="15"/>
  <c r="AM354" i="15"/>
  <c r="AL354" i="15"/>
  <c r="AK354" i="15"/>
  <c r="AJ354" i="15"/>
  <c r="AI354" i="15"/>
  <c r="AH354" i="15"/>
  <c r="BC353" i="15"/>
  <c r="BB353" i="15"/>
  <c r="BA353" i="15"/>
  <c r="AZ353" i="15"/>
  <c r="AY353" i="15"/>
  <c r="AX353" i="15"/>
  <c r="AW353" i="15"/>
  <c r="AV353" i="15"/>
  <c r="AU353" i="15"/>
  <c r="AT353" i="15"/>
  <c r="AR353" i="15"/>
  <c r="AQ353" i="15"/>
  <c r="AP353" i="15"/>
  <c r="AO353" i="15"/>
  <c r="AN353" i="15"/>
  <c r="AM353" i="15"/>
  <c r="AL353" i="15"/>
  <c r="AK353" i="15"/>
  <c r="AJ353" i="15"/>
  <c r="AI353" i="15"/>
  <c r="AH353" i="15"/>
  <c r="BC352" i="15"/>
  <c r="BB352" i="15"/>
  <c r="BA352" i="15"/>
  <c r="AZ352" i="15"/>
  <c r="AY352" i="15"/>
  <c r="AX352" i="15"/>
  <c r="AW352" i="15"/>
  <c r="AV352" i="15"/>
  <c r="AU352" i="15"/>
  <c r="AT352" i="15"/>
  <c r="AR352" i="15"/>
  <c r="AQ352" i="15"/>
  <c r="AP352" i="15"/>
  <c r="AO352" i="15"/>
  <c r="AN352" i="15"/>
  <c r="AM352" i="15"/>
  <c r="AL352" i="15"/>
  <c r="AK352" i="15"/>
  <c r="AJ352" i="15"/>
  <c r="AI352" i="15"/>
  <c r="AH352" i="15"/>
  <c r="BC351" i="15"/>
  <c r="BB351" i="15"/>
  <c r="BA351" i="15"/>
  <c r="AZ351" i="15"/>
  <c r="AY351" i="15"/>
  <c r="AX351" i="15"/>
  <c r="AW351" i="15"/>
  <c r="AV351" i="15"/>
  <c r="AU351" i="15"/>
  <c r="AT351" i="15"/>
  <c r="AR351" i="15"/>
  <c r="AQ351" i="15"/>
  <c r="AP351" i="15"/>
  <c r="AO351" i="15"/>
  <c r="AN351" i="15"/>
  <c r="AM351" i="15"/>
  <c r="AL351" i="15"/>
  <c r="AK351" i="15"/>
  <c r="AJ351" i="15"/>
  <c r="AI351" i="15"/>
  <c r="AH351" i="15"/>
  <c r="BC350" i="15"/>
  <c r="BB350" i="15"/>
  <c r="BA350" i="15"/>
  <c r="AZ350" i="15"/>
  <c r="AY350" i="15"/>
  <c r="AX350" i="15"/>
  <c r="AW350" i="15"/>
  <c r="AV350" i="15"/>
  <c r="AU350" i="15"/>
  <c r="AT350" i="15"/>
  <c r="AR350" i="15"/>
  <c r="AQ350" i="15"/>
  <c r="AP350" i="15"/>
  <c r="AO350" i="15"/>
  <c r="AN350" i="15"/>
  <c r="AM350" i="15"/>
  <c r="AL350" i="15"/>
  <c r="AK350" i="15"/>
  <c r="AJ350" i="15"/>
  <c r="AI350" i="15"/>
  <c r="AH350" i="15"/>
  <c r="BC349" i="15"/>
  <c r="BB349" i="15"/>
  <c r="BA349" i="15"/>
  <c r="AZ349" i="15"/>
  <c r="AY349" i="15"/>
  <c r="AX349" i="15"/>
  <c r="AW349" i="15"/>
  <c r="AV349" i="15"/>
  <c r="AU349" i="15"/>
  <c r="AT349" i="15"/>
  <c r="AR349" i="15"/>
  <c r="AQ349" i="15"/>
  <c r="AP349" i="15"/>
  <c r="AO349" i="15"/>
  <c r="AN349" i="15"/>
  <c r="AM349" i="15"/>
  <c r="AL349" i="15"/>
  <c r="AK349" i="15"/>
  <c r="AJ349" i="15"/>
  <c r="AI349" i="15"/>
  <c r="AH349" i="15"/>
  <c r="BC348" i="15"/>
  <c r="BB348" i="15"/>
  <c r="BA348" i="15"/>
  <c r="AZ348" i="15"/>
  <c r="AY348" i="15"/>
  <c r="AX348" i="15"/>
  <c r="AW348" i="15"/>
  <c r="AV348" i="15"/>
  <c r="AU348" i="15"/>
  <c r="AT348" i="15"/>
  <c r="AR348" i="15"/>
  <c r="AQ348" i="15"/>
  <c r="AP348" i="15"/>
  <c r="AO348" i="15"/>
  <c r="AN348" i="15"/>
  <c r="AM348" i="15"/>
  <c r="AL348" i="15"/>
  <c r="AK348" i="15"/>
  <c r="AJ348" i="15"/>
  <c r="AI348" i="15"/>
  <c r="AH348" i="15"/>
  <c r="BC347" i="15"/>
  <c r="BB347" i="15"/>
  <c r="BA347" i="15"/>
  <c r="AZ347" i="15"/>
  <c r="AY347" i="15"/>
  <c r="AX347" i="15"/>
  <c r="AW347" i="15"/>
  <c r="AV347" i="15"/>
  <c r="AU347" i="15"/>
  <c r="AT347" i="15"/>
  <c r="AR347" i="15"/>
  <c r="AQ347" i="15"/>
  <c r="AP347" i="15"/>
  <c r="AO347" i="15"/>
  <c r="AN347" i="15"/>
  <c r="AM347" i="15"/>
  <c r="AL347" i="15"/>
  <c r="AK347" i="15"/>
  <c r="AJ347" i="15"/>
  <c r="AI347" i="15"/>
  <c r="AH347" i="15"/>
  <c r="BC346" i="15"/>
  <c r="BB346" i="15"/>
  <c r="BA346" i="15"/>
  <c r="AZ346" i="15"/>
  <c r="AY346" i="15"/>
  <c r="AX346" i="15"/>
  <c r="AW346" i="15"/>
  <c r="AV346" i="15"/>
  <c r="AU346" i="15"/>
  <c r="AT346" i="15"/>
  <c r="AR346" i="15"/>
  <c r="AQ346" i="15"/>
  <c r="AP346" i="15"/>
  <c r="AO346" i="15"/>
  <c r="AN346" i="15"/>
  <c r="AM346" i="15"/>
  <c r="AL346" i="15"/>
  <c r="AK346" i="15"/>
  <c r="AJ346" i="15"/>
  <c r="AI346" i="15"/>
  <c r="AH346" i="15"/>
  <c r="BC345" i="15"/>
  <c r="BB345" i="15"/>
  <c r="BA345" i="15"/>
  <c r="AZ345" i="15"/>
  <c r="AY345" i="15"/>
  <c r="AX345" i="15"/>
  <c r="AW345" i="15"/>
  <c r="AV345" i="15"/>
  <c r="AU345" i="15"/>
  <c r="AT345" i="15"/>
  <c r="AR345" i="15"/>
  <c r="AQ345" i="15"/>
  <c r="AP345" i="15"/>
  <c r="AO345" i="15"/>
  <c r="AN345" i="15"/>
  <c r="AM345" i="15"/>
  <c r="AL345" i="15"/>
  <c r="AK345" i="15"/>
  <c r="AJ345" i="15"/>
  <c r="AI345" i="15"/>
  <c r="AH345" i="15"/>
  <c r="BC344" i="15"/>
  <c r="BB344" i="15"/>
  <c r="BA344" i="15"/>
  <c r="AZ344" i="15"/>
  <c r="AY344" i="15"/>
  <c r="AX344" i="15"/>
  <c r="AW344" i="15"/>
  <c r="AV344" i="15"/>
  <c r="AU344" i="15"/>
  <c r="AT344" i="15"/>
  <c r="AR344" i="15"/>
  <c r="AQ344" i="15"/>
  <c r="AP344" i="15"/>
  <c r="AO344" i="15"/>
  <c r="AN344" i="15"/>
  <c r="AM344" i="15"/>
  <c r="AL344" i="15"/>
  <c r="AK344" i="15"/>
  <c r="AJ344" i="15"/>
  <c r="AI344" i="15"/>
  <c r="AH344" i="15"/>
  <c r="BC343" i="15"/>
  <c r="BB343" i="15"/>
  <c r="BA343" i="15"/>
  <c r="AZ343" i="15"/>
  <c r="AY343" i="15"/>
  <c r="AX343" i="15"/>
  <c r="AW343" i="15"/>
  <c r="AV343" i="15"/>
  <c r="AU343" i="15"/>
  <c r="AT343" i="15"/>
  <c r="AR343" i="15"/>
  <c r="AQ343" i="15"/>
  <c r="AP343" i="15"/>
  <c r="AO343" i="15"/>
  <c r="AN343" i="15"/>
  <c r="AM343" i="15"/>
  <c r="AL343" i="15"/>
  <c r="AK343" i="15"/>
  <c r="AJ343" i="15"/>
  <c r="AI343" i="15"/>
  <c r="AH343" i="15"/>
  <c r="BC342" i="15"/>
  <c r="BB342" i="15"/>
  <c r="BA342" i="15"/>
  <c r="AZ342" i="15"/>
  <c r="AY342" i="15"/>
  <c r="AX342" i="15"/>
  <c r="AW342" i="15"/>
  <c r="AV342" i="15"/>
  <c r="AU342" i="15"/>
  <c r="AT342" i="15"/>
  <c r="AR342" i="15"/>
  <c r="AQ342" i="15"/>
  <c r="AP342" i="15"/>
  <c r="AO342" i="15"/>
  <c r="AN342" i="15"/>
  <c r="AM342" i="15"/>
  <c r="AL342" i="15"/>
  <c r="AK342" i="15"/>
  <c r="AJ342" i="15"/>
  <c r="AI342" i="15"/>
  <c r="AH342" i="15"/>
  <c r="BC341" i="15"/>
  <c r="BB341" i="15"/>
  <c r="BA341" i="15"/>
  <c r="AZ341" i="15"/>
  <c r="AY341" i="15"/>
  <c r="AX341" i="15"/>
  <c r="AW341" i="15"/>
  <c r="AV341" i="15"/>
  <c r="AU341" i="15"/>
  <c r="AT341" i="15"/>
  <c r="AR341" i="15"/>
  <c r="AQ341" i="15"/>
  <c r="AP341" i="15"/>
  <c r="AO341" i="15"/>
  <c r="AN341" i="15"/>
  <c r="AM341" i="15"/>
  <c r="AL341" i="15"/>
  <c r="AK341" i="15"/>
  <c r="AJ341" i="15"/>
  <c r="AI341" i="15"/>
  <c r="AH341" i="15"/>
  <c r="BC340" i="15"/>
  <c r="BB340" i="15"/>
  <c r="BA340" i="15"/>
  <c r="AZ340" i="15"/>
  <c r="AY340" i="15"/>
  <c r="AX340" i="15"/>
  <c r="AW340" i="15"/>
  <c r="AV340" i="15"/>
  <c r="AU340" i="15"/>
  <c r="AT340" i="15"/>
  <c r="AR340" i="15"/>
  <c r="AQ340" i="15"/>
  <c r="AP340" i="15"/>
  <c r="AO340" i="15"/>
  <c r="AN340" i="15"/>
  <c r="AM340" i="15"/>
  <c r="AL340" i="15"/>
  <c r="AK340" i="15"/>
  <c r="AJ340" i="15"/>
  <c r="AI340" i="15"/>
  <c r="AH340" i="15"/>
  <c r="BC339" i="15"/>
  <c r="BB339" i="15"/>
  <c r="BA339" i="15"/>
  <c r="AZ339" i="15"/>
  <c r="AY339" i="15"/>
  <c r="AX339" i="15"/>
  <c r="AW339" i="15"/>
  <c r="AV339" i="15"/>
  <c r="AU339" i="15"/>
  <c r="AT339" i="15"/>
  <c r="AR339" i="15"/>
  <c r="AQ339" i="15"/>
  <c r="AP339" i="15"/>
  <c r="AO339" i="15"/>
  <c r="AN339" i="15"/>
  <c r="AM339" i="15"/>
  <c r="AL339" i="15"/>
  <c r="AK339" i="15"/>
  <c r="AJ339" i="15"/>
  <c r="AI339" i="15"/>
  <c r="AH339" i="15"/>
  <c r="BC338" i="15"/>
  <c r="BB338" i="15"/>
  <c r="BA338" i="15"/>
  <c r="AZ338" i="15"/>
  <c r="AY338" i="15"/>
  <c r="AX338" i="15"/>
  <c r="AW338" i="15"/>
  <c r="AV338" i="15"/>
  <c r="AU338" i="15"/>
  <c r="AT338" i="15"/>
  <c r="AR338" i="15"/>
  <c r="AQ338" i="15"/>
  <c r="AP338" i="15"/>
  <c r="AO338" i="15"/>
  <c r="AN338" i="15"/>
  <c r="AM338" i="15"/>
  <c r="AL338" i="15"/>
  <c r="AK338" i="15"/>
  <c r="AJ338" i="15"/>
  <c r="AI338" i="15"/>
  <c r="AH338" i="15"/>
  <c r="X333" i="15"/>
  <c r="AA333" i="15" s="1"/>
  <c r="AC333" i="15" s="1"/>
  <c r="R333" i="15"/>
  <c r="BC333" i="15" s="1"/>
  <c r="Q333" i="15"/>
  <c r="AQ333" i="15" s="1"/>
  <c r="P333" i="15"/>
  <c r="BA333" i="15" s="1"/>
  <c r="O333" i="15"/>
  <c r="AZ333" i="15" s="1"/>
  <c r="N333" i="15"/>
  <c r="AY333" i="15" s="1"/>
  <c r="M333" i="15"/>
  <c r="AX333" i="15" s="1"/>
  <c r="L333" i="15"/>
  <c r="AW333" i="15" s="1"/>
  <c r="K333" i="15"/>
  <c r="AV333" i="15" s="1"/>
  <c r="J333" i="15"/>
  <c r="AJ333" i="15" s="1"/>
  <c r="I333" i="15"/>
  <c r="G333" i="15"/>
  <c r="H333" i="15" s="1"/>
  <c r="X332" i="15"/>
  <c r="AA332" i="15" s="1"/>
  <c r="AC332" i="15" s="1"/>
  <c r="R332" i="15"/>
  <c r="Q332" i="15"/>
  <c r="P332" i="15"/>
  <c r="O332" i="15"/>
  <c r="N332" i="15"/>
  <c r="M332" i="15"/>
  <c r="L332" i="15"/>
  <c r="K332" i="15"/>
  <c r="J332" i="15"/>
  <c r="I332" i="15"/>
  <c r="G332" i="15"/>
  <c r="H332" i="15" s="1"/>
  <c r="X331" i="15"/>
  <c r="AA331" i="15" s="1"/>
  <c r="AC331" i="15" s="1"/>
  <c r="R331" i="15"/>
  <c r="Q331" i="15"/>
  <c r="P331" i="15"/>
  <c r="O331" i="15"/>
  <c r="N331" i="15"/>
  <c r="M331" i="15"/>
  <c r="L331" i="15"/>
  <c r="K331" i="15"/>
  <c r="J331" i="15"/>
  <c r="I331" i="15"/>
  <c r="G331" i="15"/>
  <c r="H331" i="15" s="1"/>
  <c r="X330" i="15"/>
  <c r="AA330" i="15" s="1"/>
  <c r="AC330" i="15" s="1"/>
  <c r="R330" i="15"/>
  <c r="Q330" i="15"/>
  <c r="P330" i="15"/>
  <c r="O330" i="15"/>
  <c r="N330" i="15"/>
  <c r="M330" i="15"/>
  <c r="L330" i="15"/>
  <c r="K330" i="15"/>
  <c r="J330" i="15"/>
  <c r="I330" i="15"/>
  <c r="G330" i="15"/>
  <c r="H330" i="15" s="1"/>
  <c r="X329" i="15"/>
  <c r="AA329" i="15" s="1"/>
  <c r="AC329" i="15" s="1"/>
  <c r="R329" i="15"/>
  <c r="Q329" i="15"/>
  <c r="P329" i="15"/>
  <c r="O329" i="15"/>
  <c r="N329" i="15"/>
  <c r="M329" i="15"/>
  <c r="L329" i="15"/>
  <c r="K329" i="15"/>
  <c r="J329" i="15"/>
  <c r="I329" i="15"/>
  <c r="G329" i="15"/>
  <c r="H329" i="15" s="1"/>
  <c r="X328" i="15"/>
  <c r="AA328" i="15" s="1"/>
  <c r="AC328" i="15" s="1"/>
  <c r="R328" i="15"/>
  <c r="Q328" i="15"/>
  <c r="P328" i="15"/>
  <c r="O328" i="15"/>
  <c r="N328" i="15"/>
  <c r="M328" i="15"/>
  <c r="L328" i="15"/>
  <c r="K328" i="15"/>
  <c r="J328" i="15"/>
  <c r="I328" i="15"/>
  <c r="G328" i="15"/>
  <c r="H328" i="15" s="1"/>
  <c r="X327" i="15"/>
  <c r="AA327" i="15" s="1"/>
  <c r="AC327" i="15" s="1"/>
  <c r="R327" i="15"/>
  <c r="Q327" i="15"/>
  <c r="P327" i="15"/>
  <c r="O327" i="15"/>
  <c r="N327" i="15"/>
  <c r="M327" i="15"/>
  <c r="L327" i="15"/>
  <c r="K327" i="15"/>
  <c r="J327" i="15"/>
  <c r="I327" i="15"/>
  <c r="G327" i="15"/>
  <c r="H327" i="15" s="1"/>
  <c r="X326" i="15"/>
  <c r="AA326" i="15" s="1"/>
  <c r="AC326" i="15" s="1"/>
  <c r="R326" i="15"/>
  <c r="Q326" i="15"/>
  <c r="AQ326" i="15" s="1"/>
  <c r="P326" i="15"/>
  <c r="AP326" i="15" s="1"/>
  <c r="O326" i="15"/>
  <c r="AZ326" i="15" s="1"/>
  <c r="N326" i="15"/>
  <c r="AN326" i="15" s="1"/>
  <c r="M326" i="15"/>
  <c r="AX326" i="15" s="1"/>
  <c r="L326" i="15"/>
  <c r="AL326" i="15" s="1"/>
  <c r="K326" i="15"/>
  <c r="AV326" i="15" s="1"/>
  <c r="J326" i="15"/>
  <c r="AU326" i="15" s="1"/>
  <c r="I326" i="15"/>
  <c r="AI326" i="15" s="1"/>
  <c r="G326" i="15"/>
  <c r="H326" i="15" s="1"/>
  <c r="X325" i="15"/>
  <c r="AA325" i="15" s="1"/>
  <c r="AC325" i="15" s="1"/>
  <c r="R325" i="15"/>
  <c r="BC325" i="15" s="1"/>
  <c r="Q325" i="15"/>
  <c r="BB325" i="15" s="1"/>
  <c r="P325" i="15"/>
  <c r="BA325" i="15" s="1"/>
  <c r="O325" i="15"/>
  <c r="AZ325" i="15" s="1"/>
  <c r="N325" i="15"/>
  <c r="AN325" i="15" s="1"/>
  <c r="M325" i="15"/>
  <c r="L325" i="15"/>
  <c r="K325" i="15"/>
  <c r="J325" i="15"/>
  <c r="AU325" i="15" s="1"/>
  <c r="I325" i="15"/>
  <c r="AT325" i="15" s="1"/>
  <c r="G325" i="15"/>
  <c r="H325" i="15" s="1"/>
  <c r="X324" i="15"/>
  <c r="AA324" i="15" s="1"/>
  <c r="AC324" i="15" s="1"/>
  <c r="R324" i="15"/>
  <c r="Q324" i="15"/>
  <c r="P324" i="15"/>
  <c r="O324" i="15"/>
  <c r="AZ324" i="15" s="1"/>
  <c r="N324" i="15"/>
  <c r="AN324" i="15" s="1"/>
  <c r="M324" i="15"/>
  <c r="AX324" i="15" s="1"/>
  <c r="L324" i="15"/>
  <c r="AL324" i="15" s="1"/>
  <c r="K324" i="15"/>
  <c r="AV324" i="15" s="1"/>
  <c r="J324" i="15"/>
  <c r="AU324" i="15" s="1"/>
  <c r="I324" i="15"/>
  <c r="AT324" i="15" s="1"/>
  <c r="X323" i="15"/>
  <c r="AA323" i="15" s="1"/>
  <c r="AC323" i="15" s="1"/>
  <c r="R323" i="15"/>
  <c r="BC323" i="15" s="1"/>
  <c r="Q323" i="15"/>
  <c r="AQ323" i="15" s="1"/>
  <c r="P323" i="15"/>
  <c r="BA323" i="15" s="1"/>
  <c r="O323" i="15"/>
  <c r="AZ323" i="15" s="1"/>
  <c r="N323" i="15"/>
  <c r="AY323" i="15" s="1"/>
  <c r="M323" i="15"/>
  <c r="AX323" i="15" s="1"/>
  <c r="L323" i="15"/>
  <c r="AL323" i="15" s="1"/>
  <c r="K323" i="15"/>
  <c r="J323" i="15"/>
  <c r="I323" i="15"/>
  <c r="G323" i="15"/>
  <c r="H323" i="15" s="1"/>
  <c r="X322" i="15"/>
  <c r="AA322" i="15" s="1"/>
  <c r="AC322" i="15" s="1"/>
  <c r="R322" i="15"/>
  <c r="BC322" i="15" s="1"/>
  <c r="Q322" i="15"/>
  <c r="AQ322" i="15" s="1"/>
  <c r="P322" i="15"/>
  <c r="O322" i="15"/>
  <c r="N322" i="15"/>
  <c r="M322" i="15"/>
  <c r="AX322" i="15" s="1"/>
  <c r="L322" i="15"/>
  <c r="AL322" i="15" s="1"/>
  <c r="K322" i="15"/>
  <c r="AK322" i="15" s="1"/>
  <c r="J322" i="15"/>
  <c r="AU322" i="15" s="1"/>
  <c r="I322" i="15"/>
  <c r="AT322" i="15" s="1"/>
  <c r="G322" i="15"/>
  <c r="H322" i="15" s="1"/>
  <c r="X321" i="15"/>
  <c r="AA321" i="15" s="1"/>
  <c r="AC321" i="15" s="1"/>
  <c r="R321" i="15"/>
  <c r="BC321" i="15" s="1"/>
  <c r="Q321" i="15"/>
  <c r="AQ321" i="15" s="1"/>
  <c r="P321" i="15"/>
  <c r="AP321" i="15" s="1"/>
  <c r="O321" i="15"/>
  <c r="AZ321" i="15" s="1"/>
  <c r="N321" i="15"/>
  <c r="AY321" i="15" s="1"/>
  <c r="M321" i="15"/>
  <c r="AX321" i="15" s="1"/>
  <c r="L321" i="15"/>
  <c r="AW321" i="15" s="1"/>
  <c r="K321" i="15"/>
  <c r="AV321" i="15" s="1"/>
  <c r="J321" i="15"/>
  <c r="AJ321" i="15" s="1"/>
  <c r="I321" i="15"/>
  <c r="G321" i="15"/>
  <c r="H321" i="15" s="1"/>
  <c r="X320" i="15"/>
  <c r="AA320" i="15" s="1"/>
  <c r="AC320" i="15" s="1"/>
  <c r="R320" i="15"/>
  <c r="BC320" i="15" s="1"/>
  <c r="Q320" i="15"/>
  <c r="BB320" i="15" s="1"/>
  <c r="P320" i="15"/>
  <c r="BA320" i="15" s="1"/>
  <c r="O320" i="15"/>
  <c r="AO320" i="15" s="1"/>
  <c r="N320" i="15"/>
  <c r="M320" i="15"/>
  <c r="L320" i="15"/>
  <c r="K320" i="15"/>
  <c r="AK320" i="15" s="1"/>
  <c r="J320" i="15"/>
  <c r="AJ320" i="15" s="1"/>
  <c r="I320" i="15"/>
  <c r="AT320" i="15" s="1"/>
  <c r="G320" i="15"/>
  <c r="H320" i="15" s="1"/>
  <c r="X319" i="15"/>
  <c r="AA319" i="15" s="1"/>
  <c r="AC319" i="15" s="1"/>
  <c r="R319" i="15"/>
  <c r="Q319" i="15"/>
  <c r="P319" i="15"/>
  <c r="BA319" i="15" s="1"/>
  <c r="O319" i="15"/>
  <c r="AO319" i="15" s="1"/>
  <c r="N319" i="15"/>
  <c r="AY319" i="15" s="1"/>
  <c r="M319" i="15"/>
  <c r="AX319" i="15" s="1"/>
  <c r="L319" i="15"/>
  <c r="AW319" i="15" s="1"/>
  <c r="K319" i="15"/>
  <c r="AK319" i="15" s="1"/>
  <c r="J319" i="15"/>
  <c r="AJ319" i="15" s="1"/>
  <c r="I319" i="15"/>
  <c r="AT319" i="15" s="1"/>
  <c r="G319" i="15"/>
  <c r="H319" i="15" s="1"/>
  <c r="X318" i="15"/>
  <c r="AA318" i="15" s="1"/>
  <c r="AC318" i="15" s="1"/>
  <c r="R318" i="15"/>
  <c r="BC318" i="15" s="1"/>
  <c r="Q318" i="15"/>
  <c r="BB318" i="15" s="1"/>
  <c r="P318" i="15"/>
  <c r="AP318" i="15" s="1"/>
  <c r="O318" i="15"/>
  <c r="AZ318" i="15" s="1"/>
  <c r="N318" i="15"/>
  <c r="AY318" i="15" s="1"/>
  <c r="M318" i="15"/>
  <c r="AM318" i="15" s="1"/>
  <c r="L318" i="15"/>
  <c r="K318" i="15"/>
  <c r="J318" i="15"/>
  <c r="I318" i="15"/>
  <c r="AT318" i="15" s="1"/>
  <c r="G318" i="15"/>
  <c r="H318" i="15" s="1"/>
  <c r="X317" i="15"/>
  <c r="AA317" i="15" s="1"/>
  <c r="AC317" i="15" s="1"/>
  <c r="R317" i="15"/>
  <c r="AR317" i="15" s="1"/>
  <c r="Q317" i="15"/>
  <c r="P317" i="15"/>
  <c r="O317" i="15"/>
  <c r="N317" i="15"/>
  <c r="AN317" i="15" s="1"/>
  <c r="M317" i="15"/>
  <c r="AM317" i="15" s="1"/>
  <c r="L317" i="15"/>
  <c r="AL317" i="15" s="1"/>
  <c r="K317" i="15"/>
  <c r="AV317" i="15" s="1"/>
  <c r="J317" i="15"/>
  <c r="AU317" i="15" s="1"/>
  <c r="I317" i="15"/>
  <c r="AT317" i="15" s="1"/>
  <c r="G317" i="15"/>
  <c r="H317" i="15" s="1"/>
  <c r="X316" i="15"/>
  <c r="AA316" i="15" s="1"/>
  <c r="AC316" i="15" s="1"/>
  <c r="R316" i="15"/>
  <c r="AR316" i="15" s="1"/>
  <c r="Q316" i="15"/>
  <c r="AQ316" i="15" s="1"/>
  <c r="P316" i="15"/>
  <c r="AP316" i="15" s="1"/>
  <c r="O316" i="15"/>
  <c r="AZ316" i="15" s="1"/>
  <c r="N316" i="15"/>
  <c r="AY316" i="15" s="1"/>
  <c r="M316" i="15"/>
  <c r="AM316" i="15" s="1"/>
  <c r="L316" i="15"/>
  <c r="AW316" i="15" s="1"/>
  <c r="K316" i="15"/>
  <c r="J316" i="15"/>
  <c r="I316" i="15"/>
  <c r="G316" i="15"/>
  <c r="H316" i="15" s="1"/>
  <c r="X314" i="15"/>
  <c r="AA314" i="15" s="1"/>
  <c r="AC314" i="15" s="1"/>
  <c r="R314" i="15"/>
  <c r="BC314" i="15" s="1"/>
  <c r="Q314" i="15"/>
  <c r="BB314" i="15" s="1"/>
  <c r="P314" i="15"/>
  <c r="AP314" i="15" s="1"/>
  <c r="O314" i="15"/>
  <c r="AZ314" i="15" s="1"/>
  <c r="N314" i="15"/>
  <c r="M314" i="15"/>
  <c r="L314" i="15"/>
  <c r="AL314" i="15" s="1"/>
  <c r="K314" i="15"/>
  <c r="AK314" i="15" s="1"/>
  <c r="J314" i="15"/>
  <c r="I314" i="15"/>
  <c r="AT314" i="15" s="1"/>
  <c r="G314" i="15"/>
  <c r="H314" i="15" s="1"/>
  <c r="X313" i="15"/>
  <c r="AA313" i="15" s="1"/>
  <c r="AC313" i="15" s="1"/>
  <c r="R313" i="15"/>
  <c r="Q313" i="15"/>
  <c r="BB313" i="15" s="1"/>
  <c r="P313" i="15"/>
  <c r="BA313" i="15" s="1"/>
  <c r="O313" i="15"/>
  <c r="AZ313" i="15" s="1"/>
  <c r="N313" i="15"/>
  <c r="AN313" i="15" s="1"/>
  <c r="M313" i="15"/>
  <c r="AX313" i="15" s="1"/>
  <c r="L313" i="15"/>
  <c r="AW313" i="15" s="1"/>
  <c r="K313" i="15"/>
  <c r="AK313" i="15" s="1"/>
  <c r="J313" i="15"/>
  <c r="AU313" i="15" s="1"/>
  <c r="I313" i="15"/>
  <c r="AI313" i="15" s="1"/>
  <c r="G313" i="15"/>
  <c r="H313" i="15" s="1"/>
  <c r="X312" i="15"/>
  <c r="AA312" i="15" s="1"/>
  <c r="AC312" i="15" s="1"/>
  <c r="R312" i="15"/>
  <c r="BC312" i="15" s="1"/>
  <c r="Q312" i="15"/>
  <c r="BB312" i="15" s="1"/>
  <c r="P312" i="15"/>
  <c r="BA312" i="15" s="1"/>
  <c r="O312" i="15"/>
  <c r="AZ312" i="15" s="1"/>
  <c r="N312" i="15"/>
  <c r="M312" i="15"/>
  <c r="AX312" i="15" s="1"/>
  <c r="L312" i="15"/>
  <c r="K312" i="15"/>
  <c r="J312" i="15"/>
  <c r="AJ312" i="15" s="1"/>
  <c r="I312" i="15"/>
  <c r="AT312" i="15" s="1"/>
  <c r="G312" i="15"/>
  <c r="H312" i="15" s="1"/>
  <c r="X311" i="15"/>
  <c r="AA311" i="15" s="1"/>
  <c r="AC311" i="15" s="1"/>
  <c r="R311" i="15"/>
  <c r="BC311" i="15" s="1"/>
  <c r="Q311" i="15"/>
  <c r="P311" i="15"/>
  <c r="O311" i="15"/>
  <c r="AO311" i="15" s="1"/>
  <c r="N311" i="15"/>
  <c r="AY311" i="15" s="1"/>
  <c r="M311" i="15"/>
  <c r="AX311" i="15" s="1"/>
  <c r="L311" i="15"/>
  <c r="AW311" i="15" s="1"/>
  <c r="K311" i="15"/>
  <c r="AV311" i="15" s="1"/>
  <c r="J311" i="15"/>
  <c r="AJ311" i="15" s="1"/>
  <c r="I311" i="15"/>
  <c r="AT311" i="15" s="1"/>
  <c r="G311" i="15"/>
  <c r="H311" i="15" s="1"/>
  <c r="X310" i="15"/>
  <c r="AA310" i="15" s="1"/>
  <c r="AC310" i="15" s="1"/>
  <c r="R310" i="15"/>
  <c r="AR310" i="15" s="1"/>
  <c r="Q310" i="15"/>
  <c r="AQ310" i="15" s="1"/>
  <c r="P310" i="15"/>
  <c r="BA310" i="15" s="1"/>
  <c r="O310" i="15"/>
  <c r="AO310" i="15" s="1"/>
  <c r="N310" i="15"/>
  <c r="AN310" i="15" s="1"/>
  <c r="M310" i="15"/>
  <c r="AX310" i="15" s="1"/>
  <c r="L310" i="15"/>
  <c r="AL310" i="15" s="1"/>
  <c r="K310" i="15"/>
  <c r="AV310" i="15" s="1"/>
  <c r="J310" i="15"/>
  <c r="I310" i="15"/>
  <c r="G310" i="15"/>
  <c r="H310" i="15" s="1"/>
  <c r="X309" i="15"/>
  <c r="AA309" i="15" s="1"/>
  <c r="AC309" i="15" s="1"/>
  <c r="R309" i="15"/>
  <c r="BC309" i="15" s="1"/>
  <c r="Q309" i="15"/>
  <c r="AQ309" i="15" s="1"/>
  <c r="P309" i="15"/>
  <c r="BA309" i="15" s="1"/>
  <c r="O309" i="15"/>
  <c r="N309" i="15"/>
  <c r="AN309" i="15" s="1"/>
  <c r="M309" i="15"/>
  <c r="AM309" i="15" s="1"/>
  <c r="L309" i="15"/>
  <c r="AL309" i="15" s="1"/>
  <c r="K309" i="15"/>
  <c r="J309" i="15"/>
  <c r="AU309" i="15" s="1"/>
  <c r="I309" i="15"/>
  <c r="AI309" i="15" s="1"/>
  <c r="G309" i="15"/>
  <c r="H309" i="15" s="1"/>
  <c r="X308" i="15"/>
  <c r="AA308" i="15" s="1"/>
  <c r="AC308" i="15" s="1"/>
  <c r="R308" i="15"/>
  <c r="AR308" i="15" s="1"/>
  <c r="Q308" i="15"/>
  <c r="AQ308" i="15" s="1"/>
  <c r="P308" i="15"/>
  <c r="BA308" i="15" s="1"/>
  <c r="O308" i="15"/>
  <c r="AZ308" i="15" s="1"/>
  <c r="N308" i="15"/>
  <c r="AY308" i="15" s="1"/>
  <c r="M308" i="15"/>
  <c r="AX308" i="15" s="1"/>
  <c r="L308" i="15"/>
  <c r="AW308" i="15" s="1"/>
  <c r="K308" i="15"/>
  <c r="AV308" i="15" s="1"/>
  <c r="J308" i="15"/>
  <c r="AJ308" i="15" s="1"/>
  <c r="I308" i="15"/>
  <c r="AT308" i="15" s="1"/>
  <c r="G308" i="15"/>
  <c r="H308" i="15" s="1"/>
  <c r="X307" i="15"/>
  <c r="AA307" i="15" s="1"/>
  <c r="AC307" i="15" s="1"/>
  <c r="R307" i="15"/>
  <c r="AR307" i="15" s="1"/>
  <c r="Q307" i="15"/>
  <c r="BB307" i="15" s="1"/>
  <c r="P307" i="15"/>
  <c r="BA307" i="15" s="1"/>
  <c r="O307" i="15"/>
  <c r="AO307" i="15" s="1"/>
  <c r="N307" i="15"/>
  <c r="AY307" i="15" s="1"/>
  <c r="M307" i="15"/>
  <c r="L307" i="15"/>
  <c r="AL307" i="15" s="1"/>
  <c r="K307" i="15"/>
  <c r="AV307" i="15" s="1"/>
  <c r="J307" i="15"/>
  <c r="AU307" i="15" s="1"/>
  <c r="I307" i="15"/>
  <c r="AT307" i="15" s="1"/>
  <c r="G307" i="15"/>
  <c r="H307" i="15" s="1"/>
  <c r="X306" i="15"/>
  <c r="AA306" i="15" s="1"/>
  <c r="AC306" i="15" s="1"/>
  <c r="R306" i="15"/>
  <c r="Q306" i="15"/>
  <c r="AQ306" i="15" s="1"/>
  <c r="P306" i="15"/>
  <c r="O306" i="15"/>
  <c r="AO306" i="15" s="1"/>
  <c r="N306" i="15"/>
  <c r="AY306" i="15" s="1"/>
  <c r="M306" i="15"/>
  <c r="AX306" i="15" s="1"/>
  <c r="L306" i="15"/>
  <c r="AL306" i="15" s="1"/>
  <c r="K306" i="15"/>
  <c r="AV306" i="15" s="1"/>
  <c r="J306" i="15"/>
  <c r="AU306" i="15" s="1"/>
  <c r="I306" i="15"/>
  <c r="AT306" i="15" s="1"/>
  <c r="G306" i="15"/>
  <c r="H306" i="15" s="1"/>
  <c r="X305" i="15"/>
  <c r="AA305" i="15" s="1"/>
  <c r="AC305" i="15" s="1"/>
  <c r="R305" i="15"/>
  <c r="BC305" i="15" s="1"/>
  <c r="Q305" i="15"/>
  <c r="AQ305" i="15" s="1"/>
  <c r="P305" i="15"/>
  <c r="BA305" i="15" s="1"/>
  <c r="O305" i="15"/>
  <c r="AZ305" i="15" s="1"/>
  <c r="N305" i="15"/>
  <c r="AY305" i="15" s="1"/>
  <c r="M305" i="15"/>
  <c r="AM305" i="15" s="1"/>
  <c r="L305" i="15"/>
  <c r="AW305" i="15" s="1"/>
  <c r="K305" i="15"/>
  <c r="J305" i="15"/>
  <c r="AJ305" i="15" s="1"/>
  <c r="I305" i="15"/>
  <c r="AI305" i="15" s="1"/>
  <c r="G305" i="15"/>
  <c r="H305" i="15" s="1"/>
  <c r="X304" i="15"/>
  <c r="AA304" i="15" s="1"/>
  <c r="AC304" i="15" s="1"/>
  <c r="R304" i="15"/>
  <c r="AR304" i="15" s="1"/>
  <c r="Q304" i="15"/>
  <c r="BB304" i="15" s="1"/>
  <c r="P304" i="15"/>
  <c r="O304" i="15"/>
  <c r="AO304" i="15" s="1"/>
  <c r="N304" i="15"/>
  <c r="AN304" i="15" s="1"/>
  <c r="M304" i="15"/>
  <c r="AM304" i="15" s="1"/>
  <c r="L304" i="15"/>
  <c r="AL304" i="15" s="1"/>
  <c r="K304" i="15"/>
  <c r="AV304" i="15" s="1"/>
  <c r="J304" i="15"/>
  <c r="AU304" i="15" s="1"/>
  <c r="I304" i="15"/>
  <c r="AT304" i="15" s="1"/>
  <c r="G304" i="15"/>
  <c r="H304" i="15" s="1"/>
  <c r="X303" i="15"/>
  <c r="AA303" i="15" s="1"/>
  <c r="AC303" i="15" s="1"/>
  <c r="R303" i="15"/>
  <c r="BC303" i="15" s="1"/>
  <c r="Q303" i="15"/>
  <c r="BB303" i="15" s="1"/>
  <c r="P303" i="15"/>
  <c r="BA303" i="15" s="1"/>
  <c r="O303" i="15"/>
  <c r="AO303" i="15" s="1"/>
  <c r="N303" i="15"/>
  <c r="AN303" i="15" s="1"/>
  <c r="M303" i="15"/>
  <c r="AM303" i="15" s="1"/>
  <c r="L303" i="15"/>
  <c r="K303" i="15"/>
  <c r="AV303" i="15" s="1"/>
  <c r="J303" i="15"/>
  <c r="AU303" i="15" s="1"/>
  <c r="I303" i="15"/>
  <c r="G303" i="15"/>
  <c r="H303" i="15" s="1"/>
  <c r="X302" i="15"/>
  <c r="AA302" i="15" s="1"/>
  <c r="AC302" i="15" s="1"/>
  <c r="R302" i="15"/>
  <c r="AR302" i="15" s="1"/>
  <c r="Q302" i="15"/>
  <c r="BB302" i="15" s="1"/>
  <c r="P302" i="15"/>
  <c r="BA302" i="15" s="1"/>
  <c r="O302" i="15"/>
  <c r="N302" i="15"/>
  <c r="M302" i="15"/>
  <c r="AM302" i="15" s="1"/>
  <c r="L302" i="15"/>
  <c r="K302" i="15"/>
  <c r="AK302" i="15" s="1"/>
  <c r="J302" i="15"/>
  <c r="AU302" i="15" s="1"/>
  <c r="I302" i="15"/>
  <c r="AT302" i="15" s="1"/>
  <c r="G302" i="15"/>
  <c r="H302" i="15" s="1"/>
  <c r="X301" i="15"/>
  <c r="AA301" i="15" s="1"/>
  <c r="AC301" i="15" s="1"/>
  <c r="R301" i="15"/>
  <c r="AR301" i="15" s="1"/>
  <c r="Q301" i="15"/>
  <c r="P301" i="15"/>
  <c r="O301" i="15"/>
  <c r="AZ301" i="15" s="1"/>
  <c r="N301" i="15"/>
  <c r="AN301" i="15" s="1"/>
  <c r="M301" i="15"/>
  <c r="AM301" i="15" s="1"/>
  <c r="L301" i="15"/>
  <c r="AW301" i="15" s="1"/>
  <c r="K301" i="15"/>
  <c r="AV301" i="15" s="1"/>
  <c r="J301" i="15"/>
  <c r="AJ301" i="15" s="1"/>
  <c r="I301" i="15"/>
  <c r="AI301" i="15" s="1"/>
  <c r="G301" i="15"/>
  <c r="H301" i="15" s="1"/>
  <c r="X300" i="15"/>
  <c r="AA300" i="15" s="1"/>
  <c r="AC300" i="15" s="1"/>
  <c r="R300" i="15"/>
  <c r="AR300" i="15" s="1"/>
  <c r="Q300" i="15"/>
  <c r="AQ300" i="15" s="1"/>
  <c r="P300" i="15"/>
  <c r="BA300" i="15" s="1"/>
  <c r="O300" i="15"/>
  <c r="AZ300" i="15" s="1"/>
  <c r="N300" i="15"/>
  <c r="AN300" i="15" s="1"/>
  <c r="M300" i="15"/>
  <c r="AM300" i="15" s="1"/>
  <c r="L300" i="15"/>
  <c r="K300" i="15"/>
  <c r="AK300" i="15" s="1"/>
  <c r="J300" i="15"/>
  <c r="AJ300" i="15" s="1"/>
  <c r="I300" i="15"/>
  <c r="AI300" i="15" s="1"/>
  <c r="G300" i="15"/>
  <c r="H300" i="15" s="1"/>
  <c r="X299" i="15"/>
  <c r="AA299" i="15" s="1"/>
  <c r="AC299" i="15" s="1"/>
  <c r="R299" i="15"/>
  <c r="AR299" i="15" s="1"/>
  <c r="Q299" i="15"/>
  <c r="BB299" i="15" s="1"/>
  <c r="P299" i="15"/>
  <c r="AP299" i="15" s="1"/>
  <c r="O299" i="15"/>
  <c r="AO299" i="15" s="1"/>
  <c r="N299" i="15"/>
  <c r="M299" i="15"/>
  <c r="AM299" i="15" s="1"/>
  <c r="L299" i="15"/>
  <c r="AL299" i="15" s="1"/>
  <c r="K299" i="15"/>
  <c r="AK299" i="15" s="1"/>
  <c r="J299" i="15"/>
  <c r="I299" i="15"/>
  <c r="AI299" i="15" s="1"/>
  <c r="G299" i="15"/>
  <c r="H299" i="15" s="1"/>
  <c r="X298" i="15"/>
  <c r="AA298" i="15" s="1"/>
  <c r="AC298" i="15" s="1"/>
  <c r="R298" i="15"/>
  <c r="Q298" i="15"/>
  <c r="BB298" i="15" s="1"/>
  <c r="P298" i="15"/>
  <c r="BA298" i="15" s="1"/>
  <c r="O298" i="15"/>
  <c r="AO298" i="15" s="1"/>
  <c r="N298" i="15"/>
  <c r="AY298" i="15" s="1"/>
  <c r="M298" i="15"/>
  <c r="AX298" i="15" s="1"/>
  <c r="L298" i="15"/>
  <c r="AL298" i="15" s="1"/>
  <c r="K298" i="15"/>
  <c r="AK298" i="15" s="1"/>
  <c r="J298" i="15"/>
  <c r="AU298" i="15" s="1"/>
  <c r="I298" i="15"/>
  <c r="G298" i="15"/>
  <c r="H298" i="15" s="1"/>
  <c r="X297" i="15"/>
  <c r="AA297" i="15" s="1"/>
  <c r="AC297" i="15" s="1"/>
  <c r="R297" i="15"/>
  <c r="BC297" i="15" s="1"/>
  <c r="Q297" i="15"/>
  <c r="BB297" i="15" s="1"/>
  <c r="P297" i="15"/>
  <c r="BA297" i="15" s="1"/>
  <c r="O297" i="15"/>
  <c r="N297" i="15"/>
  <c r="AN297" i="15" s="1"/>
  <c r="M297" i="15"/>
  <c r="AM297" i="15" s="1"/>
  <c r="L297" i="15"/>
  <c r="AW297" i="15" s="1"/>
  <c r="K297" i="15"/>
  <c r="AV297" i="15" s="1"/>
  <c r="J297" i="15"/>
  <c r="AU297" i="15" s="1"/>
  <c r="I297" i="15"/>
  <c r="AT297" i="15" s="1"/>
  <c r="G297" i="15"/>
  <c r="H297" i="15" s="1"/>
  <c r="X296" i="15"/>
  <c r="AA296" i="15" s="1"/>
  <c r="AC296" i="15" s="1"/>
  <c r="R296" i="15"/>
  <c r="BC296" i="15" s="1"/>
  <c r="Q296" i="15"/>
  <c r="AQ296" i="15" s="1"/>
  <c r="P296" i="15"/>
  <c r="AP296" i="15" s="1"/>
  <c r="O296" i="15"/>
  <c r="AO296" i="15" s="1"/>
  <c r="N296" i="15"/>
  <c r="AY296" i="15" s="1"/>
  <c r="M296" i="15"/>
  <c r="AM296" i="15" s="1"/>
  <c r="L296" i="15"/>
  <c r="AL296" i="15" s="1"/>
  <c r="K296" i="15"/>
  <c r="J296" i="15"/>
  <c r="AJ296" i="15" s="1"/>
  <c r="I296" i="15"/>
  <c r="AI296" i="15" s="1"/>
  <c r="G296" i="15"/>
  <c r="H296" i="15" s="1"/>
  <c r="X295" i="15"/>
  <c r="AA295" i="15" s="1"/>
  <c r="AC295" i="15" s="1"/>
  <c r="R295" i="15"/>
  <c r="BC295" i="15" s="1"/>
  <c r="Q295" i="15"/>
  <c r="BB295" i="15" s="1"/>
  <c r="P295" i="15"/>
  <c r="AP295" i="15" s="1"/>
  <c r="O295" i="15"/>
  <c r="N295" i="15"/>
  <c r="AY295" i="15" s="1"/>
  <c r="M295" i="15"/>
  <c r="AX295" i="15" s="1"/>
  <c r="L295" i="15"/>
  <c r="AL295" i="15" s="1"/>
  <c r="K295" i="15"/>
  <c r="AK295" i="15" s="1"/>
  <c r="J295" i="15"/>
  <c r="AU295" i="15" s="1"/>
  <c r="I295" i="15"/>
  <c r="AT295" i="15" s="1"/>
  <c r="G295" i="15"/>
  <c r="H295" i="15" s="1"/>
  <c r="X294" i="15"/>
  <c r="AA294" i="15" s="1"/>
  <c r="AC294" i="15" s="1"/>
  <c r="R294" i="15"/>
  <c r="BC294" i="15" s="1"/>
  <c r="Q294" i="15"/>
  <c r="P294" i="15"/>
  <c r="BA294" i="15" s="1"/>
  <c r="O294" i="15"/>
  <c r="AZ294" i="15" s="1"/>
  <c r="N294" i="15"/>
  <c r="AN294" i="15" s="1"/>
  <c r="M294" i="15"/>
  <c r="AX294" i="15" s="1"/>
  <c r="L294" i="15"/>
  <c r="AL294" i="15" s="1"/>
  <c r="K294" i="15"/>
  <c r="AK294" i="15" s="1"/>
  <c r="J294" i="15"/>
  <c r="AU294" i="15" s="1"/>
  <c r="I294" i="15"/>
  <c r="AT294" i="15" s="1"/>
  <c r="G294" i="15"/>
  <c r="H294" i="15" s="1"/>
  <c r="X293" i="15"/>
  <c r="AA293" i="15" s="1"/>
  <c r="AC293" i="15" s="1"/>
  <c r="R293" i="15"/>
  <c r="BC293" i="15" s="1"/>
  <c r="Q293" i="15"/>
  <c r="AQ293" i="15" s="1"/>
  <c r="P293" i="15"/>
  <c r="BA293" i="15" s="1"/>
  <c r="O293" i="15"/>
  <c r="AZ293" i="15" s="1"/>
  <c r="N293" i="15"/>
  <c r="AN293" i="15" s="1"/>
  <c r="M293" i="15"/>
  <c r="AX293" i="15" s="1"/>
  <c r="L293" i="15"/>
  <c r="AW293" i="15" s="1"/>
  <c r="K293" i="15"/>
  <c r="AV293" i="15" s="1"/>
  <c r="J293" i="15"/>
  <c r="AJ293" i="15" s="1"/>
  <c r="I293" i="15"/>
  <c r="AI293" i="15" s="1"/>
  <c r="G293" i="15"/>
  <c r="H293" i="15" s="1"/>
  <c r="X292" i="15"/>
  <c r="AA292" i="15" s="1"/>
  <c r="AC292" i="15" s="1"/>
  <c r="R292" i="15"/>
  <c r="BC292" i="15" s="1"/>
  <c r="Q292" i="15"/>
  <c r="AQ292" i="15" s="1"/>
  <c r="P292" i="15"/>
  <c r="BA292" i="15" s="1"/>
  <c r="O292" i="15"/>
  <c r="AO292" i="15" s="1"/>
  <c r="N292" i="15"/>
  <c r="AN292" i="15" s="1"/>
  <c r="M292" i="15"/>
  <c r="AM292" i="15" s="1"/>
  <c r="L292" i="15"/>
  <c r="AW292" i="15" s="1"/>
  <c r="K292" i="15"/>
  <c r="AV292" i="15" s="1"/>
  <c r="J292" i="15"/>
  <c r="AU292" i="15" s="1"/>
  <c r="I292" i="15"/>
  <c r="AT292" i="15" s="1"/>
  <c r="G292" i="15"/>
  <c r="H292" i="15" s="1"/>
  <c r="X291" i="15"/>
  <c r="AA291" i="15" s="1"/>
  <c r="AC291" i="15" s="1"/>
  <c r="R291" i="15"/>
  <c r="BC291" i="15" s="1"/>
  <c r="Q291" i="15"/>
  <c r="AQ291" i="15" s="1"/>
  <c r="P291" i="15"/>
  <c r="AP291" i="15" s="1"/>
  <c r="O291" i="15"/>
  <c r="AO291" i="15" s="1"/>
  <c r="N291" i="15"/>
  <c r="AY291" i="15" s="1"/>
  <c r="M291" i="15"/>
  <c r="AX291" i="15" s="1"/>
  <c r="L291" i="15"/>
  <c r="AW291" i="15" s="1"/>
  <c r="K291" i="15"/>
  <c r="AK291" i="15" s="1"/>
  <c r="J291" i="15"/>
  <c r="AU291" i="15" s="1"/>
  <c r="I291" i="15"/>
  <c r="AT291" i="15" s="1"/>
  <c r="G291" i="15"/>
  <c r="H291" i="15" s="1"/>
  <c r="X290" i="15"/>
  <c r="AA290" i="15" s="1"/>
  <c r="AC290" i="15" s="1"/>
  <c r="R290" i="15"/>
  <c r="BC290" i="15" s="1"/>
  <c r="Q290" i="15"/>
  <c r="BB290" i="15" s="1"/>
  <c r="P290" i="15"/>
  <c r="AP290" i="15" s="1"/>
  <c r="O290" i="15"/>
  <c r="AO290" i="15" s="1"/>
  <c r="N290" i="15"/>
  <c r="AY290" i="15" s="1"/>
  <c r="M290" i="15"/>
  <c r="AM290" i="15" s="1"/>
  <c r="L290" i="15"/>
  <c r="AL290" i="15" s="1"/>
  <c r="K290" i="15"/>
  <c r="AV290" i="15" s="1"/>
  <c r="J290" i="15"/>
  <c r="AU290" i="15" s="1"/>
  <c r="I290" i="15"/>
  <c r="AI290" i="15" s="1"/>
  <c r="G290" i="15"/>
  <c r="H290" i="15" s="1"/>
  <c r="X289" i="15"/>
  <c r="AA289" i="15" s="1"/>
  <c r="AC289" i="15" s="1"/>
  <c r="R289" i="15"/>
  <c r="AR289" i="15" s="1"/>
  <c r="Q289" i="15"/>
  <c r="AQ289" i="15" s="1"/>
  <c r="P289" i="15"/>
  <c r="AP289" i="15" s="1"/>
  <c r="O289" i="15"/>
  <c r="AO289" i="15" s="1"/>
  <c r="N289" i="15"/>
  <c r="AN289" i="15" s="1"/>
  <c r="M289" i="15"/>
  <c r="AM289" i="15" s="1"/>
  <c r="L289" i="15"/>
  <c r="AW289" i="15" s="1"/>
  <c r="K289" i="15"/>
  <c r="AK289" i="15" s="1"/>
  <c r="J289" i="15"/>
  <c r="AU289" i="15" s="1"/>
  <c r="I289" i="15"/>
  <c r="AI289" i="15" s="1"/>
  <c r="G289" i="15"/>
  <c r="H289" i="15" s="1"/>
  <c r="X288" i="15"/>
  <c r="AA288" i="15" s="1"/>
  <c r="AC288" i="15" s="1"/>
  <c r="R288" i="15"/>
  <c r="AR288" i="15" s="1"/>
  <c r="Q288" i="15"/>
  <c r="AQ288" i="15" s="1"/>
  <c r="P288" i="15"/>
  <c r="AP288" i="15" s="1"/>
  <c r="O288" i="15"/>
  <c r="AZ288" i="15" s="1"/>
  <c r="N288" i="15"/>
  <c r="AN288" i="15" s="1"/>
  <c r="M288" i="15"/>
  <c r="AX288" i="15" s="1"/>
  <c r="L288" i="15"/>
  <c r="AW288" i="15" s="1"/>
  <c r="K288" i="15"/>
  <c r="AK288" i="15" s="1"/>
  <c r="J288" i="15"/>
  <c r="AJ288" i="15" s="1"/>
  <c r="I288" i="15"/>
  <c r="AI288" i="15" s="1"/>
  <c r="G288" i="15"/>
  <c r="H288" i="15" s="1"/>
  <c r="X287" i="15"/>
  <c r="AA287" i="15" s="1"/>
  <c r="AC287" i="15" s="1"/>
  <c r="R287" i="15"/>
  <c r="AR287" i="15" s="1"/>
  <c r="Q287" i="15"/>
  <c r="BB287" i="15" s="1"/>
  <c r="P287" i="15"/>
  <c r="AP287" i="15" s="1"/>
  <c r="O287" i="15"/>
  <c r="AO287" i="15" s="1"/>
  <c r="N287" i="15"/>
  <c r="AY287" i="15" s="1"/>
  <c r="M287" i="15"/>
  <c r="AX287" i="15" s="1"/>
  <c r="L287" i="15"/>
  <c r="AW287" i="15" s="1"/>
  <c r="K287" i="15"/>
  <c r="AK287" i="15" s="1"/>
  <c r="J287" i="15"/>
  <c r="AJ287" i="15" s="1"/>
  <c r="I287" i="15"/>
  <c r="AT287" i="15" s="1"/>
  <c r="G287" i="15"/>
  <c r="H287" i="15" s="1"/>
  <c r="X286" i="15"/>
  <c r="AA286" i="15" s="1"/>
  <c r="AC286" i="15" s="1"/>
  <c r="R286" i="15"/>
  <c r="BC286" i="15" s="1"/>
  <c r="Q286" i="15"/>
  <c r="BB286" i="15" s="1"/>
  <c r="P286" i="15"/>
  <c r="BA286" i="15" s="1"/>
  <c r="O286" i="15"/>
  <c r="AO286" i="15" s="1"/>
  <c r="N286" i="15"/>
  <c r="AN286" i="15" s="1"/>
  <c r="M286" i="15"/>
  <c r="AX286" i="15" s="1"/>
  <c r="L286" i="15"/>
  <c r="AL286" i="15" s="1"/>
  <c r="K286" i="15"/>
  <c r="AK286" i="15" s="1"/>
  <c r="J286" i="15"/>
  <c r="AU286" i="15" s="1"/>
  <c r="I286" i="15"/>
  <c r="AI286" i="15" s="1"/>
  <c r="G286" i="15"/>
  <c r="H286" i="15" s="1"/>
  <c r="X285" i="15"/>
  <c r="AA285" i="15" s="1"/>
  <c r="AC285" i="15" s="1"/>
  <c r="R285" i="15"/>
  <c r="BC285" i="15" s="1"/>
  <c r="Q285" i="15"/>
  <c r="AQ285" i="15" s="1"/>
  <c r="P285" i="15"/>
  <c r="BA285" i="15" s="1"/>
  <c r="O285" i="15"/>
  <c r="AZ285" i="15" s="1"/>
  <c r="N285" i="15"/>
  <c r="AN285" i="15" s="1"/>
  <c r="M285" i="15"/>
  <c r="AX285" i="15" s="1"/>
  <c r="L285" i="15"/>
  <c r="AL285" i="15" s="1"/>
  <c r="K285" i="15"/>
  <c r="AV285" i="15" s="1"/>
  <c r="J285" i="15"/>
  <c r="AJ285" i="15" s="1"/>
  <c r="I285" i="15"/>
  <c r="G285" i="15"/>
  <c r="H285" i="15" s="1"/>
  <c r="X284" i="15"/>
  <c r="AA284" i="15" s="1"/>
  <c r="AC284" i="15" s="1"/>
  <c r="R284" i="15"/>
  <c r="AR284" i="15" s="1"/>
  <c r="Q284" i="15"/>
  <c r="AQ284" i="15" s="1"/>
  <c r="P284" i="15"/>
  <c r="O284" i="15"/>
  <c r="AO284" i="15" s="1"/>
  <c r="N284" i="15"/>
  <c r="AN284" i="15" s="1"/>
  <c r="M284" i="15"/>
  <c r="AX284" i="15" s="1"/>
  <c r="L284" i="15"/>
  <c r="AL284" i="15" s="1"/>
  <c r="K284" i="15"/>
  <c r="AV284" i="15" s="1"/>
  <c r="J284" i="15"/>
  <c r="AJ284" i="15" s="1"/>
  <c r="I284" i="15"/>
  <c r="AI284" i="15" s="1"/>
  <c r="G284" i="15"/>
  <c r="H284" i="15" s="1"/>
  <c r="X283" i="15"/>
  <c r="AA283" i="15" s="1"/>
  <c r="AC283" i="15" s="1"/>
  <c r="R283" i="15"/>
  <c r="BC283" i="15" s="1"/>
  <c r="Q283" i="15"/>
  <c r="AQ283" i="15" s="1"/>
  <c r="P283" i="15"/>
  <c r="BA283" i="15" s="1"/>
  <c r="O283" i="15"/>
  <c r="AZ283" i="15" s="1"/>
  <c r="N283" i="15"/>
  <c r="AN283" i="15" s="1"/>
  <c r="M283" i="15"/>
  <c r="AX283" i="15" s="1"/>
  <c r="L283" i="15"/>
  <c r="AL283" i="15" s="1"/>
  <c r="K283" i="15"/>
  <c r="AK283" i="15" s="1"/>
  <c r="J283" i="15"/>
  <c r="I283" i="15"/>
  <c r="AI283" i="15" s="1"/>
  <c r="G283" i="15"/>
  <c r="H283" i="15" s="1"/>
  <c r="X282" i="15"/>
  <c r="AA282" i="15" s="1"/>
  <c r="AC282" i="15" s="1"/>
  <c r="R282" i="15"/>
  <c r="BC282" i="15" s="1"/>
  <c r="Q282" i="15"/>
  <c r="AQ282" i="15" s="1"/>
  <c r="P282" i="15"/>
  <c r="AP282" i="15" s="1"/>
  <c r="O282" i="15"/>
  <c r="AO282" i="15" s="1"/>
  <c r="N282" i="15"/>
  <c r="AN282" i="15" s="1"/>
  <c r="M282" i="15"/>
  <c r="AM282" i="15" s="1"/>
  <c r="L282" i="15"/>
  <c r="AL282" i="15" s="1"/>
  <c r="K282" i="15"/>
  <c r="AK282" i="15" s="1"/>
  <c r="J282" i="15"/>
  <c r="AU282" i="15" s="1"/>
  <c r="I282" i="15"/>
  <c r="AT282" i="15" s="1"/>
  <c r="G282" i="15"/>
  <c r="H282" i="15" s="1"/>
  <c r="X281" i="15"/>
  <c r="AA281" i="15" s="1"/>
  <c r="AC281" i="15" s="1"/>
  <c r="R281" i="15"/>
  <c r="AR281" i="15" s="1"/>
  <c r="Q281" i="15"/>
  <c r="AQ281" i="15" s="1"/>
  <c r="P281" i="15"/>
  <c r="AP281" i="15" s="1"/>
  <c r="O281" i="15"/>
  <c r="AO281" i="15" s="1"/>
  <c r="N281" i="15"/>
  <c r="AN281" i="15" s="1"/>
  <c r="M281" i="15"/>
  <c r="AM281" i="15" s="1"/>
  <c r="L281" i="15"/>
  <c r="AW281" i="15" s="1"/>
  <c r="K281" i="15"/>
  <c r="AV281" i="15" s="1"/>
  <c r="J281" i="15"/>
  <c r="AJ281" i="15" s="1"/>
  <c r="I281" i="15"/>
  <c r="AI281" i="15" s="1"/>
  <c r="G281" i="15"/>
  <c r="H281" i="15" s="1"/>
  <c r="X280" i="15"/>
  <c r="AA280" i="15" s="1"/>
  <c r="AC280" i="15" s="1"/>
  <c r="R280" i="15"/>
  <c r="AR280" i="15" s="1"/>
  <c r="Q280" i="15"/>
  <c r="AQ280" i="15" s="1"/>
  <c r="P280" i="15"/>
  <c r="BA280" i="15" s="1"/>
  <c r="O280" i="15"/>
  <c r="AO280" i="15" s="1"/>
  <c r="N280" i="15"/>
  <c r="AY280" i="15" s="1"/>
  <c r="M280" i="15"/>
  <c r="AX280" i="15" s="1"/>
  <c r="L280" i="15"/>
  <c r="AL280" i="15" s="1"/>
  <c r="K280" i="15"/>
  <c r="AK280" i="15" s="1"/>
  <c r="J280" i="15"/>
  <c r="AJ280" i="15" s="1"/>
  <c r="I280" i="15"/>
  <c r="AI280" i="15" s="1"/>
  <c r="G280" i="15"/>
  <c r="H280" i="15" s="1"/>
  <c r="X279" i="15"/>
  <c r="AA279" i="15" s="1"/>
  <c r="AC279" i="15" s="1"/>
  <c r="R279" i="15"/>
  <c r="AR279" i="15" s="1"/>
  <c r="Q279" i="15"/>
  <c r="BB279" i="15" s="1"/>
  <c r="P279" i="15"/>
  <c r="BA279" i="15" s="1"/>
  <c r="O279" i="15"/>
  <c r="AO279" i="15" s="1"/>
  <c r="N279" i="15"/>
  <c r="AN279" i="15" s="1"/>
  <c r="M279" i="15"/>
  <c r="AX279" i="15" s="1"/>
  <c r="L279" i="15"/>
  <c r="AL279" i="15" s="1"/>
  <c r="K279" i="15"/>
  <c r="AK279" i="15" s="1"/>
  <c r="J279" i="15"/>
  <c r="AJ279" i="15" s="1"/>
  <c r="I279" i="15"/>
  <c r="AT279" i="15" s="1"/>
  <c r="G279" i="15"/>
  <c r="H279" i="15" s="1"/>
  <c r="X278" i="15"/>
  <c r="AA278" i="15" s="1"/>
  <c r="AC278" i="15" s="1"/>
  <c r="R278" i="15"/>
  <c r="AR278" i="15" s="1"/>
  <c r="Q278" i="15"/>
  <c r="AQ278" i="15" s="1"/>
  <c r="P278" i="15"/>
  <c r="BA278" i="15" s="1"/>
  <c r="O278" i="15"/>
  <c r="AO278" i="15" s="1"/>
  <c r="N278" i="15"/>
  <c r="AY278" i="15" s="1"/>
  <c r="M278" i="15"/>
  <c r="AM278" i="15" s="1"/>
  <c r="L278" i="15"/>
  <c r="AL278" i="15" s="1"/>
  <c r="K278" i="15"/>
  <c r="AK278" i="15" s="1"/>
  <c r="J278" i="15"/>
  <c r="AJ278" i="15" s="1"/>
  <c r="I278" i="15"/>
  <c r="AT278" i="15" s="1"/>
  <c r="G278" i="15"/>
  <c r="H278" i="15" s="1"/>
  <c r="X277" i="15"/>
  <c r="AA277" i="15" s="1"/>
  <c r="AC277" i="15" s="1"/>
  <c r="R277" i="15"/>
  <c r="AR277" i="15" s="1"/>
  <c r="Q277" i="15"/>
  <c r="AQ277" i="15" s="1"/>
  <c r="P277" i="15"/>
  <c r="AP277" i="15" s="1"/>
  <c r="O277" i="15"/>
  <c r="AO277" i="15" s="1"/>
  <c r="N277" i="15"/>
  <c r="AN277" i="15" s="1"/>
  <c r="M277" i="15"/>
  <c r="AM277" i="15" s="1"/>
  <c r="L277" i="15"/>
  <c r="AL277" i="15" s="1"/>
  <c r="K277" i="15"/>
  <c r="AK277" i="15" s="1"/>
  <c r="J277" i="15"/>
  <c r="AU277" i="15" s="1"/>
  <c r="I277" i="15"/>
  <c r="AI277" i="15" s="1"/>
  <c r="G277" i="15"/>
  <c r="H277" i="15" s="1"/>
  <c r="X276" i="15"/>
  <c r="AA276" i="15" s="1"/>
  <c r="AC276" i="15" s="1"/>
  <c r="R276" i="15"/>
  <c r="AR276" i="15" s="1"/>
  <c r="Q276" i="15"/>
  <c r="AQ276" i="15" s="1"/>
  <c r="P276" i="15"/>
  <c r="AP276" i="15" s="1"/>
  <c r="O276" i="15"/>
  <c r="AO276" i="15" s="1"/>
  <c r="N276" i="15"/>
  <c r="AY276" i="15" s="1"/>
  <c r="M276" i="15"/>
  <c r="AM276" i="15" s="1"/>
  <c r="L276" i="15"/>
  <c r="AW276" i="15" s="1"/>
  <c r="K276" i="15"/>
  <c r="AK276" i="15" s="1"/>
  <c r="J276" i="15"/>
  <c r="AU276" i="15" s="1"/>
  <c r="I276" i="15"/>
  <c r="AT276" i="15" s="1"/>
  <c r="G276" i="15"/>
  <c r="H276" i="15" s="1"/>
  <c r="X275" i="15"/>
  <c r="AA275" i="15" s="1"/>
  <c r="AC275" i="15" s="1"/>
  <c r="R275" i="15"/>
  <c r="AR275" i="15" s="1"/>
  <c r="Q275" i="15"/>
  <c r="BB275" i="15" s="1"/>
  <c r="P275" i="15"/>
  <c r="AP275" i="15" s="1"/>
  <c r="O275" i="15"/>
  <c r="AZ275" i="15" s="1"/>
  <c r="N275" i="15"/>
  <c r="AY275" i="15" s="1"/>
  <c r="M275" i="15"/>
  <c r="AX275" i="15" s="1"/>
  <c r="L275" i="15"/>
  <c r="AL275" i="15" s="1"/>
  <c r="K275" i="15"/>
  <c r="AK275" i="15" s="1"/>
  <c r="J275" i="15"/>
  <c r="AJ275" i="15" s="1"/>
  <c r="I275" i="15"/>
  <c r="AI275" i="15" s="1"/>
  <c r="G275" i="15"/>
  <c r="H275" i="15" s="1"/>
  <c r="X274" i="15"/>
  <c r="AA274" i="15" s="1"/>
  <c r="AC274" i="15" s="1"/>
  <c r="R274" i="15"/>
  <c r="BC274" i="15" s="1"/>
  <c r="Q274" i="15"/>
  <c r="AQ274" i="15" s="1"/>
  <c r="P274" i="15"/>
  <c r="BA274" i="15" s="1"/>
  <c r="O274" i="15"/>
  <c r="AO274" i="15" s="1"/>
  <c r="N274" i="15"/>
  <c r="AN274" i="15" s="1"/>
  <c r="M274" i="15"/>
  <c r="AX274" i="15" s="1"/>
  <c r="L274" i="15"/>
  <c r="AL274" i="15" s="1"/>
  <c r="K274" i="15"/>
  <c r="AK274" i="15" s="1"/>
  <c r="J274" i="15"/>
  <c r="AU274" i="15" s="1"/>
  <c r="I274" i="15"/>
  <c r="AI274" i="15" s="1"/>
  <c r="G274" i="15"/>
  <c r="H274" i="15" s="1"/>
  <c r="X273" i="15"/>
  <c r="AA273" i="15" s="1"/>
  <c r="AC273" i="15" s="1"/>
  <c r="R273" i="15"/>
  <c r="AR273" i="15" s="1"/>
  <c r="Q273" i="15"/>
  <c r="AQ273" i="15" s="1"/>
  <c r="P273" i="15"/>
  <c r="AP273" i="15" s="1"/>
  <c r="O273" i="15"/>
  <c r="AO273" i="15" s="1"/>
  <c r="N273" i="15"/>
  <c r="AN273" i="15" s="1"/>
  <c r="M273" i="15"/>
  <c r="AM273" i="15" s="1"/>
  <c r="L273" i="15"/>
  <c r="AL273" i="15" s="1"/>
  <c r="K273" i="15"/>
  <c r="AK273" i="15" s="1"/>
  <c r="J273" i="15"/>
  <c r="AU273" i="15" s="1"/>
  <c r="I273" i="15"/>
  <c r="AT273" i="15" s="1"/>
  <c r="G273" i="15"/>
  <c r="H273" i="15" s="1"/>
  <c r="X272" i="15"/>
  <c r="AA272" i="15" s="1"/>
  <c r="AC272" i="15" s="1"/>
  <c r="R272" i="15"/>
  <c r="AR272" i="15" s="1"/>
  <c r="Q272" i="15"/>
  <c r="AQ272" i="15" s="1"/>
  <c r="P272" i="15"/>
  <c r="AP272" i="15" s="1"/>
  <c r="O272" i="15"/>
  <c r="AZ272" i="15" s="1"/>
  <c r="N272" i="15"/>
  <c r="AY272" i="15" s="1"/>
  <c r="M272" i="15"/>
  <c r="AX272" i="15" s="1"/>
  <c r="L272" i="15"/>
  <c r="AL272" i="15" s="1"/>
  <c r="K272" i="15"/>
  <c r="AK272" i="15" s="1"/>
  <c r="J272" i="15"/>
  <c r="AJ272" i="15" s="1"/>
  <c r="I272" i="15"/>
  <c r="G272" i="15"/>
  <c r="H272" i="15" s="1"/>
  <c r="X271" i="15"/>
  <c r="AA271" i="15" s="1"/>
  <c r="AC271" i="15" s="1"/>
  <c r="R271" i="15"/>
  <c r="BC271" i="15" s="1"/>
  <c r="Q271" i="15"/>
  <c r="AQ271" i="15" s="1"/>
  <c r="P271" i="15"/>
  <c r="AP271" i="15" s="1"/>
  <c r="O271" i="15"/>
  <c r="AO271" i="15" s="1"/>
  <c r="N271" i="15"/>
  <c r="AN271" i="15" s="1"/>
  <c r="M271" i="15"/>
  <c r="AM271" i="15" s="1"/>
  <c r="L271" i="15"/>
  <c r="AL271" i="15" s="1"/>
  <c r="K271" i="15"/>
  <c r="AK271" i="15" s="1"/>
  <c r="J271" i="15"/>
  <c r="AJ271" i="15" s="1"/>
  <c r="I271" i="15"/>
  <c r="AT271" i="15" s="1"/>
  <c r="G271" i="15"/>
  <c r="H271" i="15" s="1"/>
  <c r="X270" i="15"/>
  <c r="AA270" i="15" s="1"/>
  <c r="AC270" i="15" s="1"/>
  <c r="R270" i="15"/>
  <c r="AR270" i="15" s="1"/>
  <c r="Q270" i="15"/>
  <c r="AQ270" i="15" s="1"/>
  <c r="P270" i="15"/>
  <c r="O270" i="15"/>
  <c r="AZ270" i="15" s="1"/>
  <c r="N270" i="15"/>
  <c r="AY270" i="15" s="1"/>
  <c r="M270" i="15"/>
  <c r="AX270" i="15" s="1"/>
  <c r="L270" i="15"/>
  <c r="AW270" i="15" s="1"/>
  <c r="K270" i="15"/>
  <c r="AV270" i="15" s="1"/>
  <c r="J270" i="15"/>
  <c r="AJ270" i="15" s="1"/>
  <c r="I270" i="15"/>
  <c r="AI270" i="15" s="1"/>
  <c r="X269" i="15"/>
  <c r="AA269" i="15" s="1"/>
  <c r="AC269" i="15" s="1"/>
  <c r="R269" i="15"/>
  <c r="BC269" i="15" s="1"/>
  <c r="Q269" i="15"/>
  <c r="AQ269" i="15" s="1"/>
  <c r="P269" i="15"/>
  <c r="BA269" i="15" s="1"/>
  <c r="O269" i="15"/>
  <c r="AO269" i="15" s="1"/>
  <c r="N269" i="15"/>
  <c r="AN269" i="15" s="1"/>
  <c r="M269" i="15"/>
  <c r="L269" i="15"/>
  <c r="AL269" i="15" s="1"/>
  <c r="K269" i="15"/>
  <c r="AK269" i="15" s="1"/>
  <c r="J269" i="15"/>
  <c r="AJ269" i="15" s="1"/>
  <c r="I269" i="15"/>
  <c r="G269" i="15"/>
  <c r="H269" i="15" s="1"/>
  <c r="X268" i="15"/>
  <c r="AA268" i="15" s="1"/>
  <c r="AC268" i="15" s="1"/>
  <c r="R268" i="15"/>
  <c r="AR268" i="15" s="1"/>
  <c r="Q268" i="15"/>
  <c r="AQ268" i="15" s="1"/>
  <c r="P268" i="15"/>
  <c r="AP268" i="15" s="1"/>
  <c r="O268" i="15"/>
  <c r="AO268" i="15" s="1"/>
  <c r="N268" i="15"/>
  <c r="AN268" i="15" s="1"/>
  <c r="M268" i="15"/>
  <c r="AM268" i="15" s="1"/>
  <c r="L268" i="15"/>
  <c r="AW268" i="15" s="1"/>
  <c r="K268" i="15"/>
  <c r="AV268" i="15" s="1"/>
  <c r="J268" i="15"/>
  <c r="AJ268" i="15" s="1"/>
  <c r="I268" i="15"/>
  <c r="AT268" i="15" s="1"/>
  <c r="G268" i="15"/>
  <c r="H268" i="15" s="1"/>
  <c r="X267" i="15"/>
  <c r="AA267" i="15" s="1"/>
  <c r="AC267" i="15" s="1"/>
  <c r="R267" i="15"/>
  <c r="BC267" i="15" s="1"/>
  <c r="Q267" i="15"/>
  <c r="BB267" i="15" s="1"/>
  <c r="P267" i="15"/>
  <c r="BA267" i="15" s="1"/>
  <c r="O267" i="15"/>
  <c r="AZ267" i="15" s="1"/>
  <c r="N267" i="15"/>
  <c r="AY267" i="15" s="1"/>
  <c r="M267" i="15"/>
  <c r="AM267" i="15" s="1"/>
  <c r="L267" i="15"/>
  <c r="AL267" i="15" s="1"/>
  <c r="K267" i="15"/>
  <c r="AK267" i="15" s="1"/>
  <c r="J267" i="15"/>
  <c r="I267" i="15"/>
  <c r="AI267" i="15" s="1"/>
  <c r="G267" i="15"/>
  <c r="H267" i="15" s="1"/>
  <c r="X266" i="15"/>
  <c r="AA266" i="15" s="1"/>
  <c r="AC266" i="15" s="1"/>
  <c r="R266" i="15"/>
  <c r="AR266" i="15" s="1"/>
  <c r="Q266" i="15"/>
  <c r="AQ266" i="15" s="1"/>
  <c r="P266" i="15"/>
  <c r="O266" i="15"/>
  <c r="AO266" i="15" s="1"/>
  <c r="N266" i="15"/>
  <c r="AY266" i="15" s="1"/>
  <c r="M266" i="15"/>
  <c r="AM266" i="15" s="1"/>
  <c r="L266" i="15"/>
  <c r="AL266" i="15" s="1"/>
  <c r="K266" i="15"/>
  <c r="AV266" i="15" s="1"/>
  <c r="J266" i="15"/>
  <c r="AJ266" i="15" s="1"/>
  <c r="I266" i="15"/>
  <c r="AT266" i="15" s="1"/>
  <c r="G266" i="15"/>
  <c r="H266" i="15" s="1"/>
  <c r="X265" i="15"/>
  <c r="AA265" i="15" s="1"/>
  <c r="AC265" i="15" s="1"/>
  <c r="R265" i="15"/>
  <c r="AR265" i="15" s="1"/>
  <c r="Q265" i="15"/>
  <c r="AQ265" i="15" s="1"/>
  <c r="P265" i="15"/>
  <c r="BA265" i="15" s="1"/>
  <c r="O265" i="15"/>
  <c r="AO265" i="15" s="1"/>
  <c r="N265" i="15"/>
  <c r="AY265" i="15" s="1"/>
  <c r="M265" i="15"/>
  <c r="AX265" i="15" s="1"/>
  <c r="L265" i="15"/>
  <c r="AW265" i="15" s="1"/>
  <c r="K265" i="15"/>
  <c r="AK265" i="15" s="1"/>
  <c r="J265" i="15"/>
  <c r="AJ265" i="15" s="1"/>
  <c r="I265" i="15"/>
  <c r="G265" i="15"/>
  <c r="H265" i="15" s="1"/>
  <c r="X264" i="15"/>
  <c r="AA264" i="15" s="1"/>
  <c r="AC264" i="15" s="1"/>
  <c r="R264" i="15"/>
  <c r="AR264" i="15" s="1"/>
  <c r="Q264" i="15"/>
  <c r="BB264" i="15" s="1"/>
  <c r="P264" i="15"/>
  <c r="AP264" i="15" s="1"/>
  <c r="O264" i="15"/>
  <c r="AO264" i="15" s="1"/>
  <c r="N264" i="15"/>
  <c r="AY264" i="15" s="1"/>
  <c r="M264" i="15"/>
  <c r="AM264" i="15" s="1"/>
  <c r="L264" i="15"/>
  <c r="AW264" i="15" s="1"/>
  <c r="K264" i="15"/>
  <c r="J264" i="15"/>
  <c r="AJ264" i="15" s="1"/>
  <c r="I264" i="15"/>
  <c r="AT264" i="15" s="1"/>
  <c r="G264" i="15"/>
  <c r="H264" i="15" s="1"/>
  <c r="X263" i="15"/>
  <c r="AA263" i="15" s="1"/>
  <c r="AC263" i="15" s="1"/>
  <c r="R263" i="15"/>
  <c r="AR263" i="15" s="1"/>
  <c r="Q263" i="15"/>
  <c r="BB263" i="15" s="1"/>
  <c r="P263" i="15"/>
  <c r="BA263" i="15" s="1"/>
  <c r="O263" i="15"/>
  <c r="AO263" i="15" s="1"/>
  <c r="N263" i="15"/>
  <c r="AN263" i="15" s="1"/>
  <c r="M263" i="15"/>
  <c r="AM263" i="15" s="1"/>
  <c r="L263" i="15"/>
  <c r="AL263" i="15" s="1"/>
  <c r="K263" i="15"/>
  <c r="AK263" i="15" s="1"/>
  <c r="J263" i="15"/>
  <c r="AU263" i="15" s="1"/>
  <c r="I263" i="15"/>
  <c r="AT263" i="15" s="1"/>
  <c r="G263" i="15"/>
  <c r="H263" i="15" s="1"/>
  <c r="X262" i="15"/>
  <c r="AA262" i="15" s="1"/>
  <c r="AC262" i="15" s="1"/>
  <c r="R262" i="15"/>
  <c r="BC262" i="15" s="1"/>
  <c r="Q262" i="15"/>
  <c r="BB262" i="15" s="1"/>
  <c r="P262" i="15"/>
  <c r="AP262" i="15" s="1"/>
  <c r="O262" i="15"/>
  <c r="AO262" i="15" s="1"/>
  <c r="N262" i="15"/>
  <c r="AY262" i="15" s="1"/>
  <c r="M262" i="15"/>
  <c r="AX262" i="15" s="1"/>
  <c r="L262" i="15"/>
  <c r="AW262" i="15" s="1"/>
  <c r="K262" i="15"/>
  <c r="AK262" i="15" s="1"/>
  <c r="J262" i="15"/>
  <c r="AJ262" i="15" s="1"/>
  <c r="I262" i="15"/>
  <c r="AT262" i="15" s="1"/>
  <c r="G262" i="15"/>
  <c r="H262" i="15" s="1"/>
  <c r="X261" i="15"/>
  <c r="AA261" i="15" s="1"/>
  <c r="AC261" i="15" s="1"/>
  <c r="R261" i="15"/>
  <c r="BC261" i="15" s="1"/>
  <c r="Q261" i="15"/>
  <c r="BB261" i="15" s="1"/>
  <c r="P261" i="15"/>
  <c r="AP261" i="15" s="1"/>
  <c r="O261" i="15"/>
  <c r="AO261" i="15" s="1"/>
  <c r="N261" i="15"/>
  <c r="AN261" i="15" s="1"/>
  <c r="M261" i="15"/>
  <c r="AM261" i="15" s="1"/>
  <c r="L261" i="15"/>
  <c r="AL261" i="15" s="1"/>
  <c r="K261" i="15"/>
  <c r="AV261" i="15" s="1"/>
  <c r="J261" i="15"/>
  <c r="AJ261" i="15" s="1"/>
  <c r="I261" i="15"/>
  <c r="AT261" i="15" s="1"/>
  <c r="G261" i="15"/>
  <c r="H261" i="15" s="1"/>
  <c r="X260" i="15"/>
  <c r="AA260" i="15" s="1"/>
  <c r="AC260" i="15" s="1"/>
  <c r="R260" i="15"/>
  <c r="AR260" i="15" s="1"/>
  <c r="Q260" i="15"/>
  <c r="AQ260" i="15" s="1"/>
  <c r="P260" i="15"/>
  <c r="AP260" i="15" s="1"/>
  <c r="O260" i="15"/>
  <c r="AO260" i="15" s="1"/>
  <c r="N260" i="15"/>
  <c r="AY260" i="15" s="1"/>
  <c r="M260" i="15"/>
  <c r="AX260" i="15" s="1"/>
  <c r="L260" i="15"/>
  <c r="AL260" i="15" s="1"/>
  <c r="K260" i="15"/>
  <c r="AV260" i="15" s="1"/>
  <c r="J260" i="15"/>
  <c r="AU260" i="15" s="1"/>
  <c r="I260" i="15"/>
  <c r="AI260" i="15" s="1"/>
  <c r="G260" i="15"/>
  <c r="H260" i="15" s="1"/>
  <c r="X259" i="15"/>
  <c r="AA259" i="15" s="1"/>
  <c r="AC259" i="15" s="1"/>
  <c r="R259" i="15"/>
  <c r="AR259" i="15" s="1"/>
  <c r="Q259" i="15"/>
  <c r="AQ259" i="15" s="1"/>
  <c r="P259" i="15"/>
  <c r="BA259" i="15" s="1"/>
  <c r="O259" i="15"/>
  <c r="AZ259" i="15" s="1"/>
  <c r="N259" i="15"/>
  <c r="AN259" i="15" s="1"/>
  <c r="M259" i="15"/>
  <c r="AX259" i="15" s="1"/>
  <c r="L259" i="15"/>
  <c r="AW259" i="15" s="1"/>
  <c r="K259" i="15"/>
  <c r="AV259" i="15" s="1"/>
  <c r="J259" i="15"/>
  <c r="AJ259" i="15" s="1"/>
  <c r="I259" i="15"/>
  <c r="AT259" i="15" s="1"/>
  <c r="G259" i="15"/>
  <c r="H259" i="15" s="1"/>
  <c r="X258" i="15"/>
  <c r="AA258" i="15" s="1"/>
  <c r="AC258" i="15" s="1"/>
  <c r="R258" i="15"/>
  <c r="AR258" i="15" s="1"/>
  <c r="Q258" i="15"/>
  <c r="BB258" i="15" s="1"/>
  <c r="P258" i="15"/>
  <c r="BA258" i="15" s="1"/>
  <c r="O258" i="15"/>
  <c r="AZ258" i="15" s="1"/>
  <c r="N258" i="15"/>
  <c r="AN258" i="15" s="1"/>
  <c r="M258" i="15"/>
  <c r="AM258" i="15" s="1"/>
  <c r="L258" i="15"/>
  <c r="AW258" i="15" s="1"/>
  <c r="K258" i="15"/>
  <c r="AK258" i="15" s="1"/>
  <c r="J258" i="15"/>
  <c r="AJ258" i="15" s="1"/>
  <c r="I258" i="15"/>
  <c r="AI258" i="15" s="1"/>
  <c r="G258" i="15"/>
  <c r="H258" i="15" s="1"/>
  <c r="X257" i="15"/>
  <c r="AA257" i="15" s="1"/>
  <c r="AC257" i="15" s="1"/>
  <c r="R257" i="15"/>
  <c r="BC257" i="15" s="1"/>
  <c r="Q257" i="15"/>
  <c r="AQ257" i="15" s="1"/>
  <c r="P257" i="15"/>
  <c r="AP257" i="15" s="1"/>
  <c r="O257" i="15"/>
  <c r="AO257" i="15" s="1"/>
  <c r="N257" i="15"/>
  <c r="AN257" i="15" s="1"/>
  <c r="M257" i="15"/>
  <c r="AX257" i="15" s="1"/>
  <c r="L257" i="15"/>
  <c r="AL257" i="15" s="1"/>
  <c r="K257" i="15"/>
  <c r="AK257" i="15" s="1"/>
  <c r="J257" i="15"/>
  <c r="AJ257" i="15" s="1"/>
  <c r="I257" i="15"/>
  <c r="G257" i="15"/>
  <c r="H257" i="15" s="1"/>
  <c r="X256" i="15"/>
  <c r="AA256" i="15" s="1"/>
  <c r="AC256" i="15" s="1"/>
  <c r="R256" i="15"/>
  <c r="BC256" i="15" s="1"/>
  <c r="Q256" i="15"/>
  <c r="AQ256" i="15" s="1"/>
  <c r="P256" i="15"/>
  <c r="AP256" i="15" s="1"/>
  <c r="O256" i="15"/>
  <c r="AO256" i="15" s="1"/>
  <c r="N256" i="15"/>
  <c r="AN256" i="15" s="1"/>
  <c r="M256" i="15"/>
  <c r="AM256" i="15" s="1"/>
  <c r="L256" i="15"/>
  <c r="AL256" i="15" s="1"/>
  <c r="K256" i="15"/>
  <c r="AV256" i="15" s="1"/>
  <c r="J256" i="15"/>
  <c r="AU256" i="15" s="1"/>
  <c r="I256" i="15"/>
  <c r="AT256" i="15" s="1"/>
  <c r="G256" i="15"/>
  <c r="H256" i="15" s="1"/>
  <c r="X255" i="15"/>
  <c r="AA255" i="15" s="1"/>
  <c r="AC255" i="15" s="1"/>
  <c r="R255" i="15"/>
  <c r="AR255" i="15" s="1"/>
  <c r="Q255" i="15"/>
  <c r="BB255" i="15" s="1"/>
  <c r="P255" i="15"/>
  <c r="AP255" i="15" s="1"/>
  <c r="O255" i="15"/>
  <c r="AZ255" i="15" s="1"/>
  <c r="N255" i="15"/>
  <c r="AY255" i="15" s="1"/>
  <c r="M255" i="15"/>
  <c r="AM255" i="15" s="1"/>
  <c r="L255" i="15"/>
  <c r="AW255" i="15" s="1"/>
  <c r="K255" i="15"/>
  <c r="AK255" i="15" s="1"/>
  <c r="J255" i="15"/>
  <c r="AJ255" i="15" s="1"/>
  <c r="I255" i="15"/>
  <c r="AI255" i="15" s="1"/>
  <c r="G255" i="15"/>
  <c r="H255" i="15" s="1"/>
  <c r="X254" i="15"/>
  <c r="AA254" i="15" s="1"/>
  <c r="AC254" i="15" s="1"/>
  <c r="R254" i="15"/>
  <c r="AR254" i="15" s="1"/>
  <c r="Q254" i="15"/>
  <c r="AQ254" i="15" s="1"/>
  <c r="P254" i="15"/>
  <c r="AP254" i="15" s="1"/>
  <c r="O254" i="15"/>
  <c r="AO254" i="15" s="1"/>
  <c r="N254" i="15"/>
  <c r="AN254" i="15" s="1"/>
  <c r="M254" i="15"/>
  <c r="AM254" i="15" s="1"/>
  <c r="L254" i="15"/>
  <c r="AL254" i="15" s="1"/>
  <c r="K254" i="15"/>
  <c r="AK254" i="15" s="1"/>
  <c r="J254" i="15"/>
  <c r="AJ254" i="15" s="1"/>
  <c r="I254" i="15"/>
  <c r="AI254" i="15" s="1"/>
  <c r="G254" i="15"/>
  <c r="H254" i="15" s="1"/>
  <c r="X253" i="15"/>
  <c r="AA253" i="15" s="1"/>
  <c r="AC253" i="15" s="1"/>
  <c r="R253" i="15"/>
  <c r="AR253" i="15" s="1"/>
  <c r="Q253" i="15"/>
  <c r="AQ253" i="15" s="1"/>
  <c r="P253" i="15"/>
  <c r="AP253" i="15" s="1"/>
  <c r="O253" i="15"/>
  <c r="AZ253" i="15" s="1"/>
  <c r="N253" i="15"/>
  <c r="AY253" i="15" s="1"/>
  <c r="M253" i="15"/>
  <c r="AM253" i="15" s="1"/>
  <c r="L253" i="15"/>
  <c r="K253" i="15"/>
  <c r="AK253" i="15" s="1"/>
  <c r="J253" i="15"/>
  <c r="AU253" i="15" s="1"/>
  <c r="I253" i="15"/>
  <c r="AI253" i="15" s="1"/>
  <c r="G253" i="15"/>
  <c r="H253" i="15" s="1"/>
  <c r="X252" i="15"/>
  <c r="AA252" i="15" s="1"/>
  <c r="AC252" i="15" s="1"/>
  <c r="R252" i="15"/>
  <c r="AR252" i="15" s="1"/>
  <c r="Q252" i="15"/>
  <c r="AQ252" i="15" s="1"/>
  <c r="P252" i="15"/>
  <c r="AP252" i="15" s="1"/>
  <c r="O252" i="15"/>
  <c r="AO252" i="15" s="1"/>
  <c r="N252" i="15"/>
  <c r="AN252" i="15" s="1"/>
  <c r="M252" i="15"/>
  <c r="AM252" i="15" s="1"/>
  <c r="L252" i="15"/>
  <c r="AL252" i="15" s="1"/>
  <c r="K252" i="15"/>
  <c r="AK252" i="15" s="1"/>
  <c r="J252" i="15"/>
  <c r="AJ252" i="15" s="1"/>
  <c r="I252" i="15"/>
  <c r="G252" i="15"/>
  <c r="H252" i="15" s="1"/>
  <c r="X251" i="15"/>
  <c r="AA251" i="15" s="1"/>
  <c r="AC251" i="15" s="1"/>
  <c r="R251" i="15"/>
  <c r="AR251" i="15" s="1"/>
  <c r="Q251" i="15"/>
  <c r="AQ251" i="15" s="1"/>
  <c r="P251" i="15"/>
  <c r="AP251" i="15" s="1"/>
  <c r="O251" i="15"/>
  <c r="AO251" i="15" s="1"/>
  <c r="N251" i="15"/>
  <c r="AN251" i="15" s="1"/>
  <c r="M251" i="15"/>
  <c r="AM251" i="15" s="1"/>
  <c r="L251" i="15"/>
  <c r="AW251" i="15" s="1"/>
  <c r="K251" i="15"/>
  <c r="AV251" i="15" s="1"/>
  <c r="J251" i="15"/>
  <c r="AJ251" i="15" s="1"/>
  <c r="I251" i="15"/>
  <c r="G251" i="15"/>
  <c r="H251" i="15" s="1"/>
  <c r="X250" i="15"/>
  <c r="AA250" i="15" s="1"/>
  <c r="AC250" i="15" s="1"/>
  <c r="R250" i="15"/>
  <c r="BC250" i="15" s="1"/>
  <c r="Q250" i="15"/>
  <c r="BB250" i="15" s="1"/>
  <c r="P250" i="15"/>
  <c r="AP250" i="15" s="1"/>
  <c r="O250" i="15"/>
  <c r="AZ250" i="15" s="1"/>
  <c r="N250" i="15"/>
  <c r="AN250" i="15" s="1"/>
  <c r="M250" i="15"/>
  <c r="AX250" i="15" s="1"/>
  <c r="L250" i="15"/>
  <c r="AL250" i="15" s="1"/>
  <c r="K250" i="15"/>
  <c r="AK250" i="15" s="1"/>
  <c r="J250" i="15"/>
  <c r="AJ250" i="15" s="1"/>
  <c r="I250" i="15"/>
  <c r="AI250" i="15" s="1"/>
  <c r="G250" i="15"/>
  <c r="H250" i="15" s="1"/>
  <c r="X249" i="15"/>
  <c r="AA249" i="15" s="1"/>
  <c r="AC249" i="15" s="1"/>
  <c r="R249" i="15"/>
  <c r="BC249" i="15" s="1"/>
  <c r="Q249" i="15"/>
  <c r="AQ249" i="15" s="1"/>
  <c r="P249" i="15"/>
  <c r="AP249" i="15" s="1"/>
  <c r="O249" i="15"/>
  <c r="AO249" i="15" s="1"/>
  <c r="N249" i="15"/>
  <c r="AN249" i="15" s="1"/>
  <c r="M249" i="15"/>
  <c r="L249" i="15"/>
  <c r="AL249" i="15" s="1"/>
  <c r="K249" i="15"/>
  <c r="AV249" i="15" s="1"/>
  <c r="J249" i="15"/>
  <c r="AU249" i="15" s="1"/>
  <c r="I249" i="15"/>
  <c r="AI249" i="15" s="1"/>
  <c r="G249" i="15"/>
  <c r="H249" i="15" s="1"/>
  <c r="X248" i="15"/>
  <c r="AA248" i="15" s="1"/>
  <c r="AC248" i="15" s="1"/>
  <c r="R248" i="15"/>
  <c r="AR248" i="15" s="1"/>
  <c r="Q248" i="15"/>
  <c r="AQ248" i="15" s="1"/>
  <c r="P248" i="15"/>
  <c r="BA248" i="15" s="1"/>
  <c r="O248" i="15"/>
  <c r="AZ248" i="15" s="1"/>
  <c r="N248" i="15"/>
  <c r="AY248" i="15" s="1"/>
  <c r="M248" i="15"/>
  <c r="AX248" i="15" s="1"/>
  <c r="L248" i="15"/>
  <c r="AL248" i="15" s="1"/>
  <c r="K248" i="15"/>
  <c r="AK248" i="15" s="1"/>
  <c r="J248" i="15"/>
  <c r="AJ248" i="15" s="1"/>
  <c r="I248" i="15"/>
  <c r="AI248" i="15" s="1"/>
  <c r="G248" i="15"/>
  <c r="H248" i="15" s="1"/>
  <c r="X247" i="15"/>
  <c r="AA247" i="15" s="1"/>
  <c r="AC247" i="15" s="1"/>
  <c r="R247" i="15"/>
  <c r="BC247" i="15" s="1"/>
  <c r="Q247" i="15"/>
  <c r="AQ247" i="15" s="1"/>
  <c r="P247" i="15"/>
  <c r="BA247" i="15" s="1"/>
  <c r="O247" i="15"/>
  <c r="AO247" i="15" s="1"/>
  <c r="N247" i="15"/>
  <c r="AN247" i="15" s="1"/>
  <c r="M247" i="15"/>
  <c r="AM247" i="15" s="1"/>
  <c r="L247" i="15"/>
  <c r="AL247" i="15" s="1"/>
  <c r="K247" i="15"/>
  <c r="AK247" i="15" s="1"/>
  <c r="J247" i="15"/>
  <c r="AJ247" i="15" s="1"/>
  <c r="I247" i="15"/>
  <c r="G247" i="15"/>
  <c r="H247" i="15" s="1"/>
  <c r="X246" i="15"/>
  <c r="AA246" i="15" s="1"/>
  <c r="AC246" i="15" s="1"/>
  <c r="R246" i="15"/>
  <c r="AR246" i="15" s="1"/>
  <c r="Q246" i="15"/>
  <c r="AQ246" i="15" s="1"/>
  <c r="P246" i="15"/>
  <c r="AP246" i="15" s="1"/>
  <c r="O246" i="15"/>
  <c r="AO246" i="15" s="1"/>
  <c r="N246" i="15"/>
  <c r="AN246" i="15" s="1"/>
  <c r="M246" i="15"/>
  <c r="AM246" i="15" s="1"/>
  <c r="L246" i="15"/>
  <c r="AL246" i="15" s="1"/>
  <c r="K246" i="15"/>
  <c r="AK246" i="15" s="1"/>
  <c r="J246" i="15"/>
  <c r="I246" i="15"/>
  <c r="AT246" i="15" s="1"/>
  <c r="G246" i="15"/>
  <c r="H246" i="15" s="1"/>
  <c r="X245" i="15"/>
  <c r="AA245" i="15" s="1"/>
  <c r="AC245" i="15" s="1"/>
  <c r="R245" i="15"/>
  <c r="BC245" i="15" s="1"/>
  <c r="Q245" i="15"/>
  <c r="BB245" i="15" s="1"/>
  <c r="P245" i="15"/>
  <c r="BA245" i="15" s="1"/>
  <c r="O245" i="15"/>
  <c r="AO245" i="15" s="1"/>
  <c r="N245" i="15"/>
  <c r="AY245" i="15" s="1"/>
  <c r="M245" i="15"/>
  <c r="AM245" i="15" s="1"/>
  <c r="L245" i="15"/>
  <c r="AL245" i="15" s="1"/>
  <c r="K245" i="15"/>
  <c r="AK245" i="15" s="1"/>
  <c r="J245" i="15"/>
  <c r="AJ245" i="15" s="1"/>
  <c r="I245" i="15"/>
  <c r="AI245" i="15" s="1"/>
  <c r="G245" i="15"/>
  <c r="H245" i="15" s="1"/>
  <c r="X244" i="15"/>
  <c r="AA244" i="15" s="1"/>
  <c r="AC244" i="15" s="1"/>
  <c r="R244" i="15"/>
  <c r="AR244" i="15" s="1"/>
  <c r="Q244" i="15"/>
  <c r="AQ244" i="15" s="1"/>
  <c r="P244" i="15"/>
  <c r="AP244" i="15" s="1"/>
  <c r="O244" i="15"/>
  <c r="AO244" i="15" s="1"/>
  <c r="N244" i="15"/>
  <c r="AN244" i="15" s="1"/>
  <c r="M244" i="15"/>
  <c r="AM244" i="15" s="1"/>
  <c r="L244" i="15"/>
  <c r="AW244" i="15" s="1"/>
  <c r="K244" i="15"/>
  <c r="AK244" i="15" s="1"/>
  <c r="J244" i="15"/>
  <c r="AJ244" i="15" s="1"/>
  <c r="I244" i="15"/>
  <c r="G244" i="15"/>
  <c r="H244" i="15" s="1"/>
  <c r="X243" i="15"/>
  <c r="AA243" i="15" s="1"/>
  <c r="AC243" i="15" s="1"/>
  <c r="R243" i="15"/>
  <c r="AR243" i="15" s="1"/>
  <c r="Q243" i="15"/>
  <c r="AQ243" i="15" s="1"/>
  <c r="P243" i="15"/>
  <c r="BA243" i="15" s="1"/>
  <c r="O243" i="15"/>
  <c r="AZ243" i="15" s="1"/>
  <c r="N243" i="15"/>
  <c r="AY243" i="15" s="1"/>
  <c r="M243" i="15"/>
  <c r="AM243" i="15" s="1"/>
  <c r="L243" i="15"/>
  <c r="AW243" i="15" s="1"/>
  <c r="K243" i="15"/>
  <c r="AK243" i="15" s="1"/>
  <c r="J243" i="15"/>
  <c r="AJ243" i="15" s="1"/>
  <c r="I243" i="15"/>
  <c r="AI243" i="15" s="1"/>
  <c r="G243" i="15"/>
  <c r="H243" i="15" s="1"/>
  <c r="X242" i="15"/>
  <c r="AA242" i="15" s="1"/>
  <c r="AC242" i="15" s="1"/>
  <c r="R242" i="15"/>
  <c r="AR242" i="15" s="1"/>
  <c r="Q242" i="15"/>
  <c r="BB242" i="15" s="1"/>
  <c r="P242" i="15"/>
  <c r="AP242" i="15" s="1"/>
  <c r="O242" i="15"/>
  <c r="AO242" i="15" s="1"/>
  <c r="N242" i="15"/>
  <c r="AN242" i="15" s="1"/>
  <c r="M242" i="15"/>
  <c r="AM242" i="15" s="1"/>
  <c r="L242" i="15"/>
  <c r="AL242" i="15" s="1"/>
  <c r="K242" i="15"/>
  <c r="AK242" i="15" s="1"/>
  <c r="J242" i="15"/>
  <c r="AU242" i="15" s="1"/>
  <c r="I242" i="15"/>
  <c r="AI242" i="15" s="1"/>
  <c r="G242" i="15"/>
  <c r="H242" i="15" s="1"/>
  <c r="X241" i="15"/>
  <c r="AA241" i="15" s="1"/>
  <c r="AC241" i="15" s="1"/>
  <c r="R241" i="15"/>
  <c r="AR241" i="15" s="1"/>
  <c r="Q241" i="15"/>
  <c r="AQ241" i="15" s="1"/>
  <c r="P241" i="15"/>
  <c r="AP241" i="15" s="1"/>
  <c r="O241" i="15"/>
  <c r="AO241" i="15" s="1"/>
  <c r="N241" i="15"/>
  <c r="AN241" i="15" s="1"/>
  <c r="M241" i="15"/>
  <c r="AX241" i="15" s="1"/>
  <c r="L241" i="15"/>
  <c r="AW241" i="15" s="1"/>
  <c r="K241" i="15"/>
  <c r="J241" i="15"/>
  <c r="AJ241" i="15" s="1"/>
  <c r="I241" i="15"/>
  <c r="AI241" i="15" s="1"/>
  <c r="G241" i="15"/>
  <c r="H241" i="15" s="1"/>
  <c r="X240" i="15"/>
  <c r="AA240" i="15" s="1"/>
  <c r="AC240" i="15" s="1"/>
  <c r="R240" i="15"/>
  <c r="AR240" i="15" s="1"/>
  <c r="Q240" i="15"/>
  <c r="BB240" i="15" s="1"/>
  <c r="P240" i="15"/>
  <c r="AP240" i="15" s="1"/>
  <c r="O240" i="15"/>
  <c r="AZ240" i="15" s="1"/>
  <c r="N240" i="15"/>
  <c r="AN240" i="15" s="1"/>
  <c r="M240" i="15"/>
  <c r="AM240" i="15" s="1"/>
  <c r="L240" i="15"/>
  <c r="AL240" i="15" s="1"/>
  <c r="K240" i="15"/>
  <c r="AK240" i="15" s="1"/>
  <c r="J240" i="15"/>
  <c r="AJ240" i="15" s="1"/>
  <c r="I240" i="15"/>
  <c r="G240" i="15"/>
  <c r="H240" i="15" s="1"/>
  <c r="X239" i="15"/>
  <c r="AA239" i="15" s="1"/>
  <c r="AC239" i="15" s="1"/>
  <c r="R239" i="15"/>
  <c r="AR239" i="15" s="1"/>
  <c r="Q239" i="15"/>
  <c r="AQ239" i="15" s="1"/>
  <c r="P239" i="15"/>
  <c r="AP239" i="15" s="1"/>
  <c r="O239" i="15"/>
  <c r="AO239" i="15" s="1"/>
  <c r="N239" i="15"/>
  <c r="AN239" i="15" s="1"/>
  <c r="M239" i="15"/>
  <c r="AM239" i="15" s="1"/>
  <c r="L239" i="15"/>
  <c r="AL239" i="15" s="1"/>
  <c r="K239" i="15"/>
  <c r="AK239" i="15" s="1"/>
  <c r="J239" i="15"/>
  <c r="AJ239" i="15" s="1"/>
  <c r="I239" i="15"/>
  <c r="G239" i="15"/>
  <c r="H239" i="15" s="1"/>
  <c r="X238" i="15"/>
  <c r="AA238" i="15" s="1"/>
  <c r="AC238" i="15" s="1"/>
  <c r="R238" i="15"/>
  <c r="BC238" i="15" s="1"/>
  <c r="Q238" i="15"/>
  <c r="BB238" i="15" s="1"/>
  <c r="P238" i="15"/>
  <c r="BA238" i="15" s="1"/>
  <c r="O238" i="15"/>
  <c r="AO238" i="15" s="1"/>
  <c r="N238" i="15"/>
  <c r="AN238" i="15" s="1"/>
  <c r="M238" i="15"/>
  <c r="AM238" i="15" s="1"/>
  <c r="L238" i="15"/>
  <c r="AL238" i="15" s="1"/>
  <c r="K238" i="15"/>
  <c r="AK238" i="15" s="1"/>
  <c r="J238" i="15"/>
  <c r="AJ238" i="15" s="1"/>
  <c r="I238" i="15"/>
  <c r="AI238" i="15" s="1"/>
  <c r="G238" i="15"/>
  <c r="H238" i="15" s="1"/>
  <c r="X237" i="15"/>
  <c r="AA237" i="15" s="1"/>
  <c r="AC237" i="15" s="1"/>
  <c r="R237" i="15"/>
  <c r="AR237" i="15" s="1"/>
  <c r="Q237" i="15"/>
  <c r="AQ237" i="15" s="1"/>
  <c r="P237" i="15"/>
  <c r="AP237" i="15" s="1"/>
  <c r="O237" i="15"/>
  <c r="AO237" i="15" s="1"/>
  <c r="N237" i="15"/>
  <c r="M237" i="15"/>
  <c r="AM237" i="15" s="1"/>
  <c r="L237" i="15"/>
  <c r="AL237" i="15" s="1"/>
  <c r="K237" i="15"/>
  <c r="AV237" i="15" s="1"/>
  <c r="J237" i="15"/>
  <c r="AJ237" i="15" s="1"/>
  <c r="I237" i="15"/>
  <c r="AT237" i="15" s="1"/>
  <c r="G237" i="15"/>
  <c r="H237" i="15" s="1"/>
  <c r="X236" i="15"/>
  <c r="AA236" i="15" s="1"/>
  <c r="AC236" i="15" s="1"/>
  <c r="R236" i="15"/>
  <c r="AR236" i="15" s="1"/>
  <c r="Q236" i="15"/>
  <c r="AQ236" i="15" s="1"/>
  <c r="P236" i="15"/>
  <c r="BA236" i="15" s="1"/>
  <c r="O236" i="15"/>
  <c r="AO236" i="15" s="1"/>
  <c r="N236" i="15"/>
  <c r="AN236" i="15" s="1"/>
  <c r="M236" i="15"/>
  <c r="AM236" i="15" s="1"/>
  <c r="L236" i="15"/>
  <c r="AL236" i="15" s="1"/>
  <c r="K236" i="15"/>
  <c r="AK236" i="15" s="1"/>
  <c r="J236" i="15"/>
  <c r="AJ236" i="15" s="1"/>
  <c r="I236" i="15"/>
  <c r="AI236" i="15" s="1"/>
  <c r="G236" i="15"/>
  <c r="H236" i="15" s="1"/>
  <c r="X235" i="15"/>
  <c r="AA235" i="15" s="1"/>
  <c r="AC235" i="15" s="1"/>
  <c r="R235" i="15"/>
  <c r="AR235" i="15" s="1"/>
  <c r="Q235" i="15"/>
  <c r="AQ235" i="15" s="1"/>
  <c r="P235" i="15"/>
  <c r="AP235" i="15" s="1"/>
  <c r="O235" i="15"/>
  <c r="AO235" i="15" s="1"/>
  <c r="N235" i="15"/>
  <c r="AN235" i="15" s="1"/>
  <c r="M235" i="15"/>
  <c r="AM235" i="15" s="1"/>
  <c r="L235" i="15"/>
  <c r="K235" i="15"/>
  <c r="AK235" i="15" s="1"/>
  <c r="J235" i="15"/>
  <c r="AJ235" i="15" s="1"/>
  <c r="I235" i="15"/>
  <c r="AI235" i="15" s="1"/>
  <c r="G235" i="15"/>
  <c r="H235" i="15" s="1"/>
  <c r="X234" i="15"/>
  <c r="AA234" i="15" s="1"/>
  <c r="AC234" i="15" s="1"/>
  <c r="R234" i="15"/>
  <c r="AR234" i="15" s="1"/>
  <c r="Q234" i="15"/>
  <c r="P234" i="15"/>
  <c r="AP234" i="15" s="1"/>
  <c r="O234" i="15"/>
  <c r="AO234" i="15" s="1"/>
  <c r="N234" i="15"/>
  <c r="AY234" i="15" s="1"/>
  <c r="M234" i="15"/>
  <c r="AM234" i="15" s="1"/>
  <c r="L234" i="15"/>
  <c r="AL234" i="15" s="1"/>
  <c r="K234" i="15"/>
  <c r="AK234" i="15" s="1"/>
  <c r="J234" i="15"/>
  <c r="I234" i="15"/>
  <c r="AI234" i="15" s="1"/>
  <c r="G234" i="15"/>
  <c r="H234" i="15" s="1"/>
  <c r="X233" i="15"/>
  <c r="AA233" i="15" s="1"/>
  <c r="AC233" i="15" s="1"/>
  <c r="R233" i="15"/>
  <c r="BC233" i="15" s="1"/>
  <c r="Q233" i="15"/>
  <c r="BB233" i="15" s="1"/>
  <c r="P233" i="15"/>
  <c r="AP233" i="15" s="1"/>
  <c r="O233" i="15"/>
  <c r="N233" i="15"/>
  <c r="AN233" i="15" s="1"/>
  <c r="M233" i="15"/>
  <c r="AM233" i="15" s="1"/>
  <c r="L233" i="15"/>
  <c r="AL233" i="15" s="1"/>
  <c r="K233" i="15"/>
  <c r="AK233" i="15" s="1"/>
  <c r="J233" i="15"/>
  <c r="AU233" i="15" s="1"/>
  <c r="I233" i="15"/>
  <c r="AI233" i="15" s="1"/>
  <c r="G233" i="15"/>
  <c r="H233" i="15" s="1"/>
  <c r="X232" i="15"/>
  <c r="AA232" i="15" s="1"/>
  <c r="AC232" i="15" s="1"/>
  <c r="R232" i="15"/>
  <c r="AR232" i="15" s="1"/>
  <c r="Q232" i="15"/>
  <c r="AQ232" i="15" s="1"/>
  <c r="P232" i="15"/>
  <c r="AP232" i="15" s="1"/>
  <c r="O232" i="15"/>
  <c r="AZ232" i="15" s="1"/>
  <c r="N232" i="15"/>
  <c r="AN232" i="15" s="1"/>
  <c r="M232" i="15"/>
  <c r="AM232" i="15" s="1"/>
  <c r="L232" i="15"/>
  <c r="AW232" i="15" s="1"/>
  <c r="K232" i="15"/>
  <c r="AK232" i="15" s="1"/>
  <c r="J232" i="15"/>
  <c r="AJ232" i="15" s="1"/>
  <c r="I232" i="15"/>
  <c r="AI232" i="15" s="1"/>
  <c r="G232" i="15"/>
  <c r="H232" i="15" s="1"/>
  <c r="X231" i="15"/>
  <c r="AA231" i="15" s="1"/>
  <c r="AC231" i="15" s="1"/>
  <c r="R231" i="15"/>
  <c r="AR231" i="15" s="1"/>
  <c r="Q231" i="15"/>
  <c r="BB231" i="15" s="1"/>
  <c r="P231" i="15"/>
  <c r="BA231" i="15" s="1"/>
  <c r="O231" i="15"/>
  <c r="AZ231" i="15" s="1"/>
  <c r="N231" i="15"/>
  <c r="AY231" i="15" s="1"/>
  <c r="M231" i="15"/>
  <c r="L231" i="15"/>
  <c r="AL231" i="15" s="1"/>
  <c r="K231" i="15"/>
  <c r="AK231" i="15" s="1"/>
  <c r="J231" i="15"/>
  <c r="AJ231" i="15" s="1"/>
  <c r="I231" i="15"/>
  <c r="AI231" i="15" s="1"/>
  <c r="G231" i="15"/>
  <c r="H231" i="15" s="1"/>
  <c r="X230" i="15"/>
  <c r="AA230" i="15" s="1"/>
  <c r="AC230" i="15" s="1"/>
  <c r="R230" i="15"/>
  <c r="Q230" i="15"/>
  <c r="AQ230" i="15" s="1"/>
  <c r="P230" i="15"/>
  <c r="BA230" i="15" s="1"/>
  <c r="O230" i="15"/>
  <c r="AO230" i="15" s="1"/>
  <c r="N230" i="15"/>
  <c r="AN230" i="15" s="1"/>
  <c r="M230" i="15"/>
  <c r="AX230" i="15" s="1"/>
  <c r="L230" i="15"/>
  <c r="K230" i="15"/>
  <c r="AK230" i="15" s="1"/>
  <c r="J230" i="15"/>
  <c r="AU230" i="15" s="1"/>
  <c r="I230" i="15"/>
  <c r="G230" i="15"/>
  <c r="H230" i="15" s="1"/>
  <c r="X229" i="15"/>
  <c r="AA229" i="15" s="1"/>
  <c r="AC229" i="15" s="1"/>
  <c r="R229" i="15"/>
  <c r="BC229" i="15" s="1"/>
  <c r="Q229" i="15"/>
  <c r="AQ229" i="15" s="1"/>
  <c r="P229" i="15"/>
  <c r="BA229" i="15" s="1"/>
  <c r="O229" i="15"/>
  <c r="AO229" i="15" s="1"/>
  <c r="N229" i="15"/>
  <c r="AY229" i="15" s="1"/>
  <c r="M229" i="15"/>
  <c r="AX229" i="15" s="1"/>
  <c r="L229" i="15"/>
  <c r="AW229" i="15" s="1"/>
  <c r="K229" i="15"/>
  <c r="AV229" i="15" s="1"/>
  <c r="J229" i="15"/>
  <c r="AJ229" i="15" s="1"/>
  <c r="I229" i="15"/>
  <c r="AT229" i="15" s="1"/>
  <c r="G229" i="15"/>
  <c r="H229" i="15" s="1"/>
  <c r="X228" i="15"/>
  <c r="AA228" i="15" s="1"/>
  <c r="AC228" i="15" s="1"/>
  <c r="R228" i="15"/>
  <c r="BC228" i="15" s="1"/>
  <c r="Q228" i="15"/>
  <c r="BB228" i="15" s="1"/>
  <c r="P228" i="15"/>
  <c r="BA228" i="15" s="1"/>
  <c r="O228" i="15"/>
  <c r="AO228" i="15" s="1"/>
  <c r="N228" i="15"/>
  <c r="AY228" i="15" s="1"/>
  <c r="M228" i="15"/>
  <c r="AM228" i="15" s="1"/>
  <c r="L228" i="15"/>
  <c r="AL228" i="15" s="1"/>
  <c r="K228" i="15"/>
  <c r="AV228" i="15" s="1"/>
  <c r="J228" i="15"/>
  <c r="AJ228" i="15" s="1"/>
  <c r="I228" i="15"/>
  <c r="AT228" i="15" s="1"/>
  <c r="G228" i="15"/>
  <c r="H228" i="15" s="1"/>
  <c r="X227" i="15"/>
  <c r="AA227" i="15" s="1"/>
  <c r="AC227" i="15" s="1"/>
  <c r="R227" i="15"/>
  <c r="BC227" i="15" s="1"/>
  <c r="Q227" i="15"/>
  <c r="BB227" i="15" s="1"/>
  <c r="P227" i="15"/>
  <c r="BA227" i="15" s="1"/>
  <c r="O227" i="15"/>
  <c r="AO227" i="15" s="1"/>
  <c r="N227" i="15"/>
  <c r="AN227" i="15" s="1"/>
  <c r="M227" i="15"/>
  <c r="AX227" i="15" s="1"/>
  <c r="L227" i="15"/>
  <c r="AL227" i="15" s="1"/>
  <c r="K227" i="15"/>
  <c r="AK227" i="15" s="1"/>
  <c r="J227" i="15"/>
  <c r="AJ227" i="15" s="1"/>
  <c r="I227" i="15"/>
  <c r="AT227" i="15" s="1"/>
  <c r="G227" i="15"/>
  <c r="H227" i="15" s="1"/>
  <c r="X226" i="15"/>
  <c r="AA226" i="15" s="1"/>
  <c r="AC226" i="15" s="1"/>
  <c r="R226" i="15"/>
  <c r="AR226" i="15" s="1"/>
  <c r="Q226" i="15"/>
  <c r="AQ226" i="15" s="1"/>
  <c r="P226" i="15"/>
  <c r="AP226" i="15" s="1"/>
  <c r="O226" i="15"/>
  <c r="AZ226" i="15" s="1"/>
  <c r="N226" i="15"/>
  <c r="AN226" i="15" s="1"/>
  <c r="M226" i="15"/>
  <c r="AM226" i="15" s="1"/>
  <c r="L226" i="15"/>
  <c r="AW226" i="15" s="1"/>
  <c r="K226" i="15"/>
  <c r="AV226" i="15" s="1"/>
  <c r="J226" i="15"/>
  <c r="AU226" i="15" s="1"/>
  <c r="I226" i="15"/>
  <c r="G226" i="15"/>
  <c r="H226" i="15" s="1"/>
  <c r="X225" i="15"/>
  <c r="AA225" i="15" s="1"/>
  <c r="AC225" i="15" s="1"/>
  <c r="R225" i="15"/>
  <c r="AR225" i="15" s="1"/>
  <c r="Q225" i="15"/>
  <c r="BB225" i="15" s="1"/>
  <c r="P225" i="15"/>
  <c r="BA225" i="15" s="1"/>
  <c r="O225" i="15"/>
  <c r="AZ225" i="15" s="1"/>
  <c r="N225" i="15"/>
  <c r="AN225" i="15" s="1"/>
  <c r="M225" i="15"/>
  <c r="AM225" i="15" s="1"/>
  <c r="L225" i="15"/>
  <c r="AL225" i="15" s="1"/>
  <c r="K225" i="15"/>
  <c r="AK225" i="15" s="1"/>
  <c r="J225" i="15"/>
  <c r="AJ225" i="15" s="1"/>
  <c r="I225" i="15"/>
  <c r="AI225" i="15" s="1"/>
  <c r="G225" i="15"/>
  <c r="H225" i="15" s="1"/>
  <c r="X224" i="15"/>
  <c r="AA224" i="15" s="1"/>
  <c r="AC224" i="15" s="1"/>
  <c r="R224" i="15"/>
  <c r="AR224" i="15" s="1"/>
  <c r="Q224" i="15"/>
  <c r="AQ224" i="15" s="1"/>
  <c r="P224" i="15"/>
  <c r="AP224" i="15" s="1"/>
  <c r="O224" i="15"/>
  <c r="AO224" i="15" s="1"/>
  <c r="N224" i="15"/>
  <c r="AN224" i="15" s="1"/>
  <c r="M224" i="15"/>
  <c r="AX224" i="15" s="1"/>
  <c r="L224" i="15"/>
  <c r="AL224" i="15" s="1"/>
  <c r="K224" i="15"/>
  <c r="AV224" i="15" s="1"/>
  <c r="J224" i="15"/>
  <c r="AJ224" i="15" s="1"/>
  <c r="I224" i="15"/>
  <c r="AT224" i="15" s="1"/>
  <c r="G224" i="15"/>
  <c r="H224" i="15" s="1"/>
  <c r="X223" i="15"/>
  <c r="AA223" i="15" s="1"/>
  <c r="AC223" i="15" s="1"/>
  <c r="R223" i="15"/>
  <c r="BC223" i="15" s="1"/>
  <c r="Q223" i="15"/>
  <c r="AQ223" i="15" s="1"/>
  <c r="P223" i="15"/>
  <c r="AP223" i="15" s="1"/>
  <c r="O223" i="15"/>
  <c r="AO223" i="15" s="1"/>
  <c r="N223" i="15"/>
  <c r="AY223" i="15" s="1"/>
  <c r="M223" i="15"/>
  <c r="AX223" i="15" s="1"/>
  <c r="L223" i="15"/>
  <c r="AL223" i="15" s="1"/>
  <c r="K223" i="15"/>
  <c r="AK223" i="15" s="1"/>
  <c r="J223" i="15"/>
  <c r="AJ223" i="15" s="1"/>
  <c r="I223" i="15"/>
  <c r="AI223" i="15" s="1"/>
  <c r="G223" i="15"/>
  <c r="H223" i="15" s="1"/>
  <c r="X221" i="15"/>
  <c r="AA221" i="15" s="1"/>
  <c r="AC221" i="15" s="1"/>
  <c r="R221" i="15"/>
  <c r="BC221" i="15" s="1"/>
  <c r="Q221" i="15"/>
  <c r="AQ221" i="15" s="1"/>
  <c r="P221" i="15"/>
  <c r="AP221" i="15" s="1"/>
  <c r="O221" i="15"/>
  <c r="AO221" i="15" s="1"/>
  <c r="N221" i="15"/>
  <c r="AN221" i="15" s="1"/>
  <c r="M221" i="15"/>
  <c r="AM221" i="15" s="1"/>
  <c r="L221" i="15"/>
  <c r="AL221" i="15" s="1"/>
  <c r="K221" i="15"/>
  <c r="J221" i="15"/>
  <c r="AJ221" i="15" s="1"/>
  <c r="I221" i="15"/>
  <c r="AI221" i="15" s="1"/>
  <c r="X220" i="15"/>
  <c r="AA220" i="15" s="1"/>
  <c r="AC220" i="15" s="1"/>
  <c r="R220" i="15"/>
  <c r="AR220" i="15" s="1"/>
  <c r="Q220" i="15"/>
  <c r="AQ220" i="15" s="1"/>
  <c r="P220" i="15"/>
  <c r="AP220" i="15" s="1"/>
  <c r="O220" i="15"/>
  <c r="N220" i="15"/>
  <c r="AN220" i="15" s="1"/>
  <c r="M220" i="15"/>
  <c r="L220" i="15"/>
  <c r="K220" i="15"/>
  <c r="J220" i="15"/>
  <c r="I220" i="15"/>
  <c r="G220" i="15"/>
  <c r="H220" i="15" s="1"/>
  <c r="X219" i="15"/>
  <c r="AA219" i="15" s="1"/>
  <c r="AC219" i="15" s="1"/>
  <c r="R219" i="15"/>
  <c r="AR219" i="15" s="1"/>
  <c r="Q219" i="15"/>
  <c r="BB219" i="15" s="1"/>
  <c r="P219" i="15"/>
  <c r="BA219" i="15" s="1"/>
  <c r="O219" i="15"/>
  <c r="N219" i="15"/>
  <c r="AN219" i="15" s="1"/>
  <c r="M219" i="15"/>
  <c r="L219" i="15"/>
  <c r="AL219" i="15" s="1"/>
  <c r="K219" i="15"/>
  <c r="J219" i="15"/>
  <c r="AJ219" i="15" s="1"/>
  <c r="I219" i="15"/>
  <c r="X218" i="15"/>
  <c r="AA218" i="15" s="1"/>
  <c r="AC218" i="15" s="1"/>
  <c r="R218" i="15"/>
  <c r="AR218" i="15" s="1"/>
  <c r="Q218" i="15"/>
  <c r="AQ218" i="15" s="1"/>
  <c r="P218" i="15"/>
  <c r="AP218" i="15" s="1"/>
  <c r="O218" i="15"/>
  <c r="AO218" i="15" s="1"/>
  <c r="N218" i="15"/>
  <c r="AN218" i="15" s="1"/>
  <c r="M218" i="15"/>
  <c r="AM218" i="15" s="1"/>
  <c r="L218" i="15"/>
  <c r="AL218" i="15" s="1"/>
  <c r="K218" i="15"/>
  <c r="AV218" i="15" s="1"/>
  <c r="J218" i="15"/>
  <c r="AJ218" i="15" s="1"/>
  <c r="I218" i="15"/>
  <c r="AT218" i="15" s="1"/>
  <c r="G218" i="15"/>
  <c r="H218" i="15" s="1"/>
  <c r="X217" i="15"/>
  <c r="AA217" i="15" s="1"/>
  <c r="AC217" i="15" s="1"/>
  <c r="R217" i="15"/>
  <c r="AR217" i="15" s="1"/>
  <c r="Q217" i="15"/>
  <c r="AQ217" i="15" s="1"/>
  <c r="P217" i="15"/>
  <c r="BA217" i="15" s="1"/>
  <c r="O217" i="15"/>
  <c r="N217" i="15"/>
  <c r="AN217" i="15" s="1"/>
  <c r="M217" i="15"/>
  <c r="L217" i="15"/>
  <c r="K217" i="15"/>
  <c r="J217" i="15"/>
  <c r="I217" i="15"/>
  <c r="X216" i="15"/>
  <c r="AA216" i="15" s="1"/>
  <c r="AC216" i="15" s="1"/>
  <c r="R216" i="15"/>
  <c r="AR216" i="15" s="1"/>
  <c r="Q216" i="15"/>
  <c r="AQ216" i="15" s="1"/>
  <c r="P216" i="15"/>
  <c r="AP216" i="15" s="1"/>
  <c r="O216" i="15"/>
  <c r="N216" i="15"/>
  <c r="AN216" i="15" s="1"/>
  <c r="M216" i="15"/>
  <c r="L216" i="15"/>
  <c r="K216" i="15"/>
  <c r="J216" i="15"/>
  <c r="I216" i="15"/>
  <c r="G216" i="15"/>
  <c r="H216" i="15" s="1"/>
  <c r="X215" i="15"/>
  <c r="AA215" i="15" s="1"/>
  <c r="AC215" i="15" s="1"/>
  <c r="R215" i="15"/>
  <c r="BC215" i="15" s="1"/>
  <c r="Q215" i="15"/>
  <c r="AQ215" i="15" s="1"/>
  <c r="P215" i="15"/>
  <c r="AP215" i="15" s="1"/>
  <c r="O215" i="15"/>
  <c r="AZ215" i="15" s="1"/>
  <c r="N215" i="15"/>
  <c r="AY215" i="15" s="1"/>
  <c r="M215" i="15"/>
  <c r="AX215" i="15" s="1"/>
  <c r="L215" i="15"/>
  <c r="AL215" i="15" s="1"/>
  <c r="K215" i="15"/>
  <c r="J215" i="15"/>
  <c r="AJ215" i="15" s="1"/>
  <c r="I215" i="15"/>
  <c r="AI215" i="15" s="1"/>
  <c r="G215" i="15"/>
  <c r="H215" i="15" s="1"/>
  <c r="X214" i="15"/>
  <c r="AA214" i="15" s="1"/>
  <c r="AC214" i="15" s="1"/>
  <c r="R214" i="15"/>
  <c r="BC214" i="15" s="1"/>
  <c r="Q214" i="15"/>
  <c r="AQ214" i="15" s="1"/>
  <c r="P214" i="15"/>
  <c r="AP214" i="15" s="1"/>
  <c r="O214" i="15"/>
  <c r="AO214" i="15" s="1"/>
  <c r="N214" i="15"/>
  <c r="AN214" i="15" s="1"/>
  <c r="M214" i="15"/>
  <c r="AM214" i="15" s="1"/>
  <c r="L214" i="15"/>
  <c r="AL214" i="15" s="1"/>
  <c r="K214" i="15"/>
  <c r="J214" i="15"/>
  <c r="AU214" i="15" s="1"/>
  <c r="I214" i="15"/>
  <c r="AI214" i="15" s="1"/>
  <c r="G214" i="15"/>
  <c r="H214" i="15" s="1"/>
  <c r="X213" i="15"/>
  <c r="AA213" i="15" s="1"/>
  <c r="AC213" i="15" s="1"/>
  <c r="R213" i="15"/>
  <c r="AR213" i="15" s="1"/>
  <c r="Q213" i="15"/>
  <c r="AQ213" i="15" s="1"/>
  <c r="P213" i="15"/>
  <c r="BA213" i="15" s="1"/>
  <c r="O213" i="15"/>
  <c r="AO213" i="15" s="1"/>
  <c r="N213" i="15"/>
  <c r="AN213" i="15" s="1"/>
  <c r="M213" i="15"/>
  <c r="L213" i="15"/>
  <c r="K213" i="15"/>
  <c r="J213" i="15"/>
  <c r="I213" i="15"/>
  <c r="X211" i="15"/>
  <c r="AA211" i="15" s="1"/>
  <c r="AC211" i="15" s="1"/>
  <c r="R211" i="15"/>
  <c r="AR211" i="15" s="1"/>
  <c r="Q211" i="15"/>
  <c r="BB211" i="15" s="1"/>
  <c r="P211" i="15"/>
  <c r="BA211" i="15" s="1"/>
  <c r="O211" i="15"/>
  <c r="AO211" i="15" s="1"/>
  <c r="N211" i="15"/>
  <c r="AN211" i="15" s="1"/>
  <c r="M211" i="15"/>
  <c r="AM211" i="15" s="1"/>
  <c r="L211" i="15"/>
  <c r="AL211" i="15" s="1"/>
  <c r="K211" i="15"/>
  <c r="AK211" i="15" s="1"/>
  <c r="J211" i="15"/>
  <c r="AJ211" i="15" s="1"/>
  <c r="I211" i="15"/>
  <c r="AT211" i="15" s="1"/>
  <c r="G211" i="15"/>
  <c r="H211" i="15" s="1"/>
  <c r="X210" i="15"/>
  <c r="AA210" i="15" s="1"/>
  <c r="AC210" i="15" s="1"/>
  <c r="R210" i="15"/>
  <c r="AR210" i="15" s="1"/>
  <c r="Q210" i="15"/>
  <c r="AQ210" i="15" s="1"/>
  <c r="P210" i="15"/>
  <c r="AP210" i="15" s="1"/>
  <c r="O210" i="15"/>
  <c r="AO210" i="15" s="1"/>
  <c r="N210" i="15"/>
  <c r="AY210" i="15" s="1"/>
  <c r="M210" i="15"/>
  <c r="AM210" i="15" s="1"/>
  <c r="L210" i="15"/>
  <c r="AL210" i="15" s="1"/>
  <c r="K210" i="15"/>
  <c r="AK210" i="15" s="1"/>
  <c r="J210" i="15"/>
  <c r="AU210" i="15" s="1"/>
  <c r="I210" i="15"/>
  <c r="AT210" i="15" s="1"/>
  <c r="G210" i="15"/>
  <c r="H210" i="15" s="1"/>
  <c r="X209" i="15"/>
  <c r="AA209" i="15" s="1"/>
  <c r="AC209" i="15" s="1"/>
  <c r="R209" i="15"/>
  <c r="AR209" i="15" s="1"/>
  <c r="Q209" i="15"/>
  <c r="AQ209" i="15" s="1"/>
  <c r="P209" i="15"/>
  <c r="AP209" i="15" s="1"/>
  <c r="O209" i="15"/>
  <c r="AZ209" i="15" s="1"/>
  <c r="N209" i="15"/>
  <c r="AY209" i="15" s="1"/>
  <c r="M209" i="15"/>
  <c r="AM209" i="15" s="1"/>
  <c r="L209" i="15"/>
  <c r="AL209" i="15" s="1"/>
  <c r="K209" i="15"/>
  <c r="AK209" i="15" s="1"/>
  <c r="J209" i="15"/>
  <c r="AJ209" i="15" s="1"/>
  <c r="I209" i="15"/>
  <c r="AI209" i="15" s="1"/>
  <c r="G209" i="15"/>
  <c r="H209" i="15" s="1"/>
  <c r="X208" i="15"/>
  <c r="AA208" i="15" s="1"/>
  <c r="AC208" i="15" s="1"/>
  <c r="R208" i="15"/>
  <c r="AR208" i="15" s="1"/>
  <c r="Q208" i="15"/>
  <c r="AQ208" i="15" s="1"/>
  <c r="P208" i="15"/>
  <c r="AP208" i="15" s="1"/>
  <c r="O208" i="15"/>
  <c r="AO208" i="15" s="1"/>
  <c r="N208" i="15"/>
  <c r="AN208" i="15" s="1"/>
  <c r="M208" i="15"/>
  <c r="AM208" i="15" s="1"/>
  <c r="L208" i="15"/>
  <c r="AW208" i="15" s="1"/>
  <c r="K208" i="15"/>
  <c r="AK208" i="15" s="1"/>
  <c r="J208" i="15"/>
  <c r="I208" i="15"/>
  <c r="AT208" i="15" s="1"/>
  <c r="G208" i="15"/>
  <c r="H208" i="15" s="1"/>
  <c r="X207" i="15"/>
  <c r="AA207" i="15" s="1"/>
  <c r="AC207" i="15" s="1"/>
  <c r="R207" i="15"/>
  <c r="AR207" i="15" s="1"/>
  <c r="Q207" i="15"/>
  <c r="BB207" i="15" s="1"/>
  <c r="P207" i="15"/>
  <c r="AP207" i="15" s="1"/>
  <c r="O207" i="15"/>
  <c r="AO207" i="15" s="1"/>
  <c r="N207" i="15"/>
  <c r="AN207" i="15" s="1"/>
  <c r="M207" i="15"/>
  <c r="AX207" i="15" s="1"/>
  <c r="L207" i="15"/>
  <c r="AW207" i="15" s="1"/>
  <c r="K207" i="15"/>
  <c r="AK207" i="15" s="1"/>
  <c r="J207" i="15"/>
  <c r="AJ207" i="15" s="1"/>
  <c r="I207" i="15"/>
  <c r="AT207" i="15" s="1"/>
  <c r="G207" i="15"/>
  <c r="H207" i="15" s="1"/>
  <c r="X206" i="15"/>
  <c r="AA206" i="15" s="1"/>
  <c r="AC206" i="15" s="1"/>
  <c r="R206" i="15"/>
  <c r="BC206" i="15" s="1"/>
  <c r="Q206" i="15"/>
  <c r="BB206" i="15" s="1"/>
  <c r="P206" i="15"/>
  <c r="AP206" i="15" s="1"/>
  <c r="O206" i="15"/>
  <c r="AO206" i="15" s="1"/>
  <c r="N206" i="15"/>
  <c r="AY206" i="15" s="1"/>
  <c r="M206" i="15"/>
  <c r="AM206" i="15" s="1"/>
  <c r="L206" i="15"/>
  <c r="AL206" i="15" s="1"/>
  <c r="K206" i="15"/>
  <c r="AK206" i="15" s="1"/>
  <c r="J206" i="15"/>
  <c r="AU206" i="15" s="1"/>
  <c r="I206" i="15"/>
  <c r="AI206" i="15" s="1"/>
  <c r="G206" i="15"/>
  <c r="H206" i="15" s="1"/>
  <c r="X205" i="15"/>
  <c r="AA205" i="15" s="1"/>
  <c r="AC205" i="15" s="1"/>
  <c r="R205" i="15"/>
  <c r="AR205" i="15" s="1"/>
  <c r="Q205" i="15"/>
  <c r="AQ205" i="15" s="1"/>
  <c r="P205" i="15"/>
  <c r="AP205" i="15" s="1"/>
  <c r="O205" i="15"/>
  <c r="AZ205" i="15" s="1"/>
  <c r="N205" i="15"/>
  <c r="AN205" i="15" s="1"/>
  <c r="M205" i="15"/>
  <c r="AM205" i="15" s="1"/>
  <c r="L205" i="15"/>
  <c r="AW205" i="15" s="1"/>
  <c r="K205" i="15"/>
  <c r="AV205" i="15" s="1"/>
  <c r="J205" i="15"/>
  <c r="AU205" i="15" s="1"/>
  <c r="I205" i="15"/>
  <c r="G205" i="15"/>
  <c r="H205" i="15" s="1"/>
  <c r="AA204" i="15"/>
  <c r="AC204" i="15" s="1"/>
  <c r="X204" i="15"/>
  <c r="R204" i="15"/>
  <c r="AR204" i="15" s="1"/>
  <c r="Q204" i="15"/>
  <c r="BB204" i="15" s="1"/>
  <c r="P204" i="15"/>
  <c r="BA204" i="15" s="1"/>
  <c r="O204" i="15"/>
  <c r="AZ204" i="15" s="1"/>
  <c r="N204" i="15"/>
  <c r="AN204" i="15" s="1"/>
  <c r="M204" i="15"/>
  <c r="AM204" i="15" s="1"/>
  <c r="L204" i="15"/>
  <c r="AL204" i="15" s="1"/>
  <c r="K204" i="15"/>
  <c r="AK204" i="15" s="1"/>
  <c r="J204" i="15"/>
  <c r="AJ204" i="15" s="1"/>
  <c r="I204" i="15"/>
  <c r="G204" i="15"/>
  <c r="H204" i="15" s="1"/>
  <c r="X203" i="15"/>
  <c r="AA203" i="15" s="1"/>
  <c r="AC203" i="15" s="1"/>
  <c r="R203" i="15"/>
  <c r="AR203" i="15" s="1"/>
  <c r="Q203" i="15"/>
  <c r="AQ203" i="15" s="1"/>
  <c r="P203" i="15"/>
  <c r="AP203" i="15" s="1"/>
  <c r="O203" i="15"/>
  <c r="AO203" i="15" s="1"/>
  <c r="N203" i="15"/>
  <c r="AN203" i="15" s="1"/>
  <c r="M203" i="15"/>
  <c r="L203" i="15"/>
  <c r="AL203" i="15" s="1"/>
  <c r="K203" i="15"/>
  <c r="J203" i="15"/>
  <c r="AU203" i="15" s="1"/>
  <c r="I203" i="15"/>
  <c r="G203" i="15"/>
  <c r="H203" i="15" s="1"/>
  <c r="X202" i="15"/>
  <c r="AA202" i="15" s="1"/>
  <c r="AC202" i="15" s="1"/>
  <c r="R202" i="15"/>
  <c r="BC202" i="15" s="1"/>
  <c r="Q202" i="15"/>
  <c r="AQ202" i="15" s="1"/>
  <c r="P202" i="15"/>
  <c r="AP202" i="15" s="1"/>
  <c r="O202" i="15"/>
  <c r="AZ202" i="15" s="1"/>
  <c r="N202" i="15"/>
  <c r="AY202" i="15" s="1"/>
  <c r="M202" i="15"/>
  <c r="L202" i="15"/>
  <c r="AL202" i="15" s="1"/>
  <c r="K202" i="15"/>
  <c r="AK202" i="15" s="1"/>
  <c r="J202" i="15"/>
  <c r="I202" i="15"/>
  <c r="G202" i="15"/>
  <c r="H202" i="15" s="1"/>
  <c r="AA201" i="15"/>
  <c r="AC201" i="15" s="1"/>
  <c r="X201" i="15"/>
  <c r="R201" i="15"/>
  <c r="BC201" i="15" s="1"/>
  <c r="Q201" i="15"/>
  <c r="AQ201" i="15" s="1"/>
  <c r="P201" i="15"/>
  <c r="AP201" i="15" s="1"/>
  <c r="O201" i="15"/>
  <c r="AO201" i="15" s="1"/>
  <c r="N201" i="15"/>
  <c r="AN201" i="15" s="1"/>
  <c r="M201" i="15"/>
  <c r="L201" i="15"/>
  <c r="AL201" i="15" s="1"/>
  <c r="K201" i="15"/>
  <c r="AK201" i="15" s="1"/>
  <c r="J201" i="15"/>
  <c r="AJ201" i="15" s="1"/>
  <c r="I201" i="15"/>
  <c r="AI201" i="15" s="1"/>
  <c r="G201" i="15"/>
  <c r="H201" i="15" s="1"/>
  <c r="X200" i="15"/>
  <c r="AA200" i="15" s="1"/>
  <c r="AC200" i="15" s="1"/>
  <c r="R200" i="15"/>
  <c r="AR200" i="15" s="1"/>
  <c r="Q200" i="15"/>
  <c r="AQ200" i="15" s="1"/>
  <c r="P200" i="15"/>
  <c r="BA200" i="15" s="1"/>
  <c r="O200" i="15"/>
  <c r="AO200" i="15" s="1"/>
  <c r="N200" i="15"/>
  <c r="AN200" i="15" s="1"/>
  <c r="M200" i="15"/>
  <c r="L200" i="15"/>
  <c r="K200" i="15"/>
  <c r="J200" i="15"/>
  <c r="I200" i="15"/>
  <c r="G200" i="15"/>
  <c r="H200" i="15" s="1"/>
  <c r="X199" i="15"/>
  <c r="AA199" i="15" s="1"/>
  <c r="AC199" i="15" s="1"/>
  <c r="R199" i="15"/>
  <c r="BC199" i="15" s="1"/>
  <c r="Q199" i="15"/>
  <c r="BB199" i="15" s="1"/>
  <c r="P199" i="15"/>
  <c r="BA199" i="15" s="1"/>
  <c r="O199" i="15"/>
  <c r="AO199" i="15" s="1"/>
  <c r="N199" i="15"/>
  <c r="AN199" i="15" s="1"/>
  <c r="M199" i="15"/>
  <c r="AM199" i="15" s="1"/>
  <c r="L199" i="15"/>
  <c r="AL199" i="15" s="1"/>
  <c r="K199" i="15"/>
  <c r="AK199" i="15" s="1"/>
  <c r="J199" i="15"/>
  <c r="AJ199" i="15" s="1"/>
  <c r="I199" i="15"/>
  <c r="AT199" i="15" s="1"/>
  <c r="G199" i="15"/>
  <c r="H199" i="15" s="1"/>
  <c r="X198" i="15"/>
  <c r="AA198" i="15" s="1"/>
  <c r="AC198" i="15" s="1"/>
  <c r="R198" i="15"/>
  <c r="AR198" i="15" s="1"/>
  <c r="Q198" i="15"/>
  <c r="AQ198" i="15" s="1"/>
  <c r="P198" i="15"/>
  <c r="AP198" i="15" s="1"/>
  <c r="O198" i="15"/>
  <c r="AO198" i="15" s="1"/>
  <c r="N198" i="15"/>
  <c r="AY198" i="15" s="1"/>
  <c r="M198" i="15"/>
  <c r="AM198" i="15" s="1"/>
  <c r="L198" i="15"/>
  <c r="AL198" i="15" s="1"/>
  <c r="K198" i="15"/>
  <c r="AV198" i="15" s="1"/>
  <c r="J198" i="15"/>
  <c r="AU198" i="15" s="1"/>
  <c r="I198" i="15"/>
  <c r="AT198" i="15" s="1"/>
  <c r="G198" i="15"/>
  <c r="H198" i="15" s="1"/>
  <c r="X197" i="15"/>
  <c r="AA197" i="15" s="1"/>
  <c r="AC197" i="15" s="1"/>
  <c r="R197" i="15"/>
  <c r="AR197" i="15" s="1"/>
  <c r="Q197" i="15"/>
  <c r="AQ197" i="15" s="1"/>
  <c r="P197" i="15"/>
  <c r="AP197" i="15" s="1"/>
  <c r="O197" i="15"/>
  <c r="AZ197" i="15" s="1"/>
  <c r="N197" i="15"/>
  <c r="M197" i="15"/>
  <c r="AM197" i="15" s="1"/>
  <c r="L197" i="15"/>
  <c r="AL197" i="15" s="1"/>
  <c r="K197" i="15"/>
  <c r="AK197" i="15" s="1"/>
  <c r="J197" i="15"/>
  <c r="AJ197" i="15" s="1"/>
  <c r="I197" i="15"/>
  <c r="AI197" i="15" s="1"/>
  <c r="G197" i="15"/>
  <c r="H197" i="15" s="1"/>
  <c r="AA196" i="15"/>
  <c r="AC196" i="15" s="1"/>
  <c r="X196" i="15"/>
  <c r="R196" i="15"/>
  <c r="AR196" i="15" s="1"/>
  <c r="Q196" i="15"/>
  <c r="AQ196" i="15" s="1"/>
  <c r="P196" i="15"/>
  <c r="AP196" i="15" s="1"/>
  <c r="O196" i="15"/>
  <c r="N196" i="15"/>
  <c r="AN196" i="15" s="1"/>
  <c r="M196" i="15"/>
  <c r="L196" i="15"/>
  <c r="K196" i="15"/>
  <c r="J196" i="15"/>
  <c r="I196" i="15"/>
  <c r="G196" i="15"/>
  <c r="H196" i="15" s="1"/>
  <c r="X195" i="15"/>
  <c r="AA195" i="15" s="1"/>
  <c r="AC195" i="15" s="1"/>
  <c r="R195" i="15"/>
  <c r="AR195" i="15" s="1"/>
  <c r="Q195" i="15"/>
  <c r="P195" i="15"/>
  <c r="AP195" i="15" s="1"/>
  <c r="O195" i="15"/>
  <c r="AO195" i="15" s="1"/>
  <c r="N195" i="15"/>
  <c r="AY195" i="15" s="1"/>
  <c r="M195" i="15"/>
  <c r="AX195" i="15" s="1"/>
  <c r="L195" i="15"/>
  <c r="AW195" i="15" s="1"/>
  <c r="K195" i="15"/>
  <c r="AK195" i="15" s="1"/>
  <c r="J195" i="15"/>
  <c r="AJ195" i="15" s="1"/>
  <c r="I195" i="15"/>
  <c r="AT195" i="15" s="1"/>
  <c r="G195" i="15"/>
  <c r="H195" i="15" s="1"/>
  <c r="X194" i="15"/>
  <c r="AA194" i="15" s="1"/>
  <c r="AC194" i="15" s="1"/>
  <c r="R194" i="15"/>
  <c r="BC194" i="15" s="1"/>
  <c r="Q194" i="15"/>
  <c r="BB194" i="15" s="1"/>
  <c r="P194" i="15"/>
  <c r="AP194" i="15" s="1"/>
  <c r="O194" i="15"/>
  <c r="AO194" i="15" s="1"/>
  <c r="N194" i="15"/>
  <c r="AY194" i="15" s="1"/>
  <c r="M194" i="15"/>
  <c r="AM194" i="15" s="1"/>
  <c r="L194" i="15"/>
  <c r="K194" i="15"/>
  <c r="J194" i="15"/>
  <c r="AU194" i="15" s="1"/>
  <c r="I194" i="15"/>
  <c r="AI194" i="15" s="1"/>
  <c r="G194" i="15"/>
  <c r="H194" i="15" s="1"/>
  <c r="X193" i="15"/>
  <c r="AA193" i="15" s="1"/>
  <c r="AC193" i="15" s="1"/>
  <c r="R193" i="15"/>
  <c r="AR193" i="15" s="1"/>
  <c r="Q193" i="15"/>
  <c r="P193" i="15"/>
  <c r="AP193" i="15" s="1"/>
  <c r="O193" i="15"/>
  <c r="AZ193" i="15" s="1"/>
  <c r="N193" i="15"/>
  <c r="AN193" i="15" s="1"/>
  <c r="M193" i="15"/>
  <c r="AM193" i="15" s="1"/>
  <c r="L193" i="15"/>
  <c r="AW193" i="15" s="1"/>
  <c r="K193" i="15"/>
  <c r="AV193" i="15" s="1"/>
  <c r="J193" i="15"/>
  <c r="AU193" i="15" s="1"/>
  <c r="I193" i="15"/>
  <c r="G193" i="15"/>
  <c r="H193" i="15" s="1"/>
  <c r="X192" i="15"/>
  <c r="AA192" i="15" s="1"/>
  <c r="AC192" i="15" s="1"/>
  <c r="R192" i="15"/>
  <c r="AR192" i="15" s="1"/>
  <c r="Q192" i="15"/>
  <c r="P192" i="15"/>
  <c r="AP192" i="15" s="1"/>
  <c r="O192" i="15"/>
  <c r="AZ192" i="15" s="1"/>
  <c r="N192" i="15"/>
  <c r="M192" i="15"/>
  <c r="L192" i="15"/>
  <c r="AL192" i="15" s="1"/>
  <c r="K192" i="15"/>
  <c r="AK192" i="15" s="1"/>
  <c r="J192" i="15"/>
  <c r="AJ192" i="15" s="1"/>
  <c r="I192" i="15"/>
  <c r="G192" i="15"/>
  <c r="H192" i="15" s="1"/>
  <c r="X191" i="15"/>
  <c r="AA191" i="15" s="1"/>
  <c r="AC191" i="15" s="1"/>
  <c r="R191" i="15"/>
  <c r="Q191" i="15"/>
  <c r="AQ191" i="15" s="1"/>
  <c r="P191" i="15"/>
  <c r="BA191" i="15" s="1"/>
  <c r="O191" i="15"/>
  <c r="AZ191" i="15" s="1"/>
  <c r="N191" i="15"/>
  <c r="AY191" i="15" s="1"/>
  <c r="M191" i="15"/>
  <c r="AX191" i="15" s="1"/>
  <c r="L191" i="15"/>
  <c r="AL191" i="15" s="1"/>
  <c r="K191" i="15"/>
  <c r="AK191" i="15" s="1"/>
  <c r="J191" i="15"/>
  <c r="AJ191" i="15" s="1"/>
  <c r="I191" i="15"/>
  <c r="AI191" i="15" s="1"/>
  <c r="G191" i="15"/>
  <c r="H191" i="15" s="1"/>
  <c r="AF190" i="15"/>
  <c r="X190" i="15"/>
  <c r="AA190" i="15" s="1"/>
  <c r="AC190" i="15" s="1"/>
  <c r="R190" i="15"/>
  <c r="BC190" i="15" s="1"/>
  <c r="Q190" i="15"/>
  <c r="AQ190" i="15" s="1"/>
  <c r="P190" i="15"/>
  <c r="BA190" i="15" s="1"/>
  <c r="O190" i="15"/>
  <c r="AZ190" i="15" s="1"/>
  <c r="N190" i="15"/>
  <c r="AY190" i="15" s="1"/>
  <c r="M190" i="15"/>
  <c r="AX190" i="15" s="1"/>
  <c r="L190" i="15"/>
  <c r="AL190" i="15" s="1"/>
  <c r="K190" i="15"/>
  <c r="AV190" i="15" s="1"/>
  <c r="J190" i="15"/>
  <c r="AJ190" i="15" s="1"/>
  <c r="I190" i="15"/>
  <c r="AI190" i="15" s="1"/>
  <c r="G190" i="15"/>
  <c r="H190" i="15" s="1"/>
  <c r="X189" i="15"/>
  <c r="AA189" i="15" s="1"/>
  <c r="AC189" i="15" s="1"/>
  <c r="R189" i="15"/>
  <c r="AR189" i="15" s="1"/>
  <c r="Q189" i="15"/>
  <c r="BB189" i="15" s="1"/>
  <c r="P189" i="15"/>
  <c r="AP189" i="15" s="1"/>
  <c r="O189" i="15"/>
  <c r="AO189" i="15" s="1"/>
  <c r="N189" i="15"/>
  <c r="AN189" i="15" s="1"/>
  <c r="M189" i="15"/>
  <c r="L189" i="15"/>
  <c r="AL189" i="15" s="1"/>
  <c r="K189" i="15"/>
  <c r="AK189" i="15" s="1"/>
  <c r="J189" i="15"/>
  <c r="AJ189" i="15" s="1"/>
  <c r="I189" i="15"/>
  <c r="G189" i="15"/>
  <c r="H189" i="15" s="1"/>
  <c r="AF188" i="15"/>
  <c r="X188" i="15"/>
  <c r="AA188" i="15" s="1"/>
  <c r="AC188" i="15" s="1"/>
  <c r="R188" i="15"/>
  <c r="BC188" i="15" s="1"/>
  <c r="Q188" i="15"/>
  <c r="AQ188" i="15" s="1"/>
  <c r="P188" i="15"/>
  <c r="AP188" i="15" s="1"/>
  <c r="O188" i="15"/>
  <c r="AO188" i="15" s="1"/>
  <c r="N188" i="15"/>
  <c r="AY188" i="15" s="1"/>
  <c r="M188" i="15"/>
  <c r="AM188" i="15" s="1"/>
  <c r="L188" i="15"/>
  <c r="AL188" i="15" s="1"/>
  <c r="K188" i="15"/>
  <c r="AV188" i="15" s="1"/>
  <c r="J188" i="15"/>
  <c r="AU188" i="15" s="1"/>
  <c r="I188" i="15"/>
  <c r="AI188" i="15" s="1"/>
  <c r="G188" i="15"/>
  <c r="H188" i="15" s="1"/>
  <c r="X186" i="15"/>
  <c r="AA186" i="15" s="1"/>
  <c r="AC186" i="15" s="1"/>
  <c r="R186" i="15"/>
  <c r="Q186" i="15"/>
  <c r="AQ186" i="15" s="1"/>
  <c r="P186" i="15"/>
  <c r="BA186" i="15" s="1"/>
  <c r="O186" i="15"/>
  <c r="AO186" i="15" s="1"/>
  <c r="N186" i="15"/>
  <c r="AN186" i="15" s="1"/>
  <c r="M186" i="15"/>
  <c r="AM186" i="15" s="1"/>
  <c r="L186" i="15"/>
  <c r="AW186" i="15" s="1"/>
  <c r="K186" i="15"/>
  <c r="J186" i="15"/>
  <c r="AJ186" i="15" s="1"/>
  <c r="I186" i="15"/>
  <c r="G186" i="15"/>
  <c r="H186" i="15" s="1"/>
  <c r="AA185" i="15"/>
  <c r="X185" i="15"/>
  <c r="R185" i="15"/>
  <c r="Q185" i="15"/>
  <c r="P185" i="15"/>
  <c r="O185" i="15"/>
  <c r="N185" i="15"/>
  <c r="M185" i="15"/>
  <c r="L185" i="15"/>
  <c r="K185" i="15"/>
  <c r="J185" i="15"/>
  <c r="I185" i="15"/>
  <c r="G185" i="15"/>
  <c r="H185" i="15" s="1"/>
  <c r="X184" i="15"/>
  <c r="AA184" i="15" s="1"/>
  <c r="R184" i="15"/>
  <c r="Q184" i="15"/>
  <c r="P184" i="15"/>
  <c r="O184" i="15"/>
  <c r="N184" i="15"/>
  <c r="M184" i="15"/>
  <c r="L184" i="15"/>
  <c r="K184" i="15"/>
  <c r="J184" i="15"/>
  <c r="I184" i="15"/>
  <c r="G184" i="15"/>
  <c r="H184" i="15" s="1"/>
  <c r="X183" i="15"/>
  <c r="AA183" i="15" s="1"/>
  <c r="R183" i="15"/>
  <c r="Q183" i="15"/>
  <c r="P183" i="15"/>
  <c r="O183" i="15"/>
  <c r="N183" i="15"/>
  <c r="M183" i="15"/>
  <c r="L183" i="15"/>
  <c r="K183" i="15"/>
  <c r="J183" i="15"/>
  <c r="I183" i="15"/>
  <c r="G183" i="15"/>
  <c r="H183" i="15" s="1"/>
  <c r="X182" i="15"/>
  <c r="AA182" i="15" s="1"/>
  <c r="R182" i="15"/>
  <c r="Q182" i="15"/>
  <c r="P182" i="15"/>
  <c r="O182" i="15"/>
  <c r="N182" i="15"/>
  <c r="M182" i="15"/>
  <c r="L182" i="15"/>
  <c r="K182" i="15"/>
  <c r="J182" i="15"/>
  <c r="I182" i="15"/>
  <c r="G182" i="15"/>
  <c r="H182" i="15" s="1"/>
  <c r="AA181" i="15"/>
  <c r="X181" i="15"/>
  <c r="R181" i="15"/>
  <c r="Q181" i="15"/>
  <c r="P181" i="15"/>
  <c r="O181" i="15"/>
  <c r="N181" i="15"/>
  <c r="M181" i="15"/>
  <c r="L181" i="15"/>
  <c r="K181" i="15"/>
  <c r="J181" i="15"/>
  <c r="I181" i="15"/>
  <c r="G181" i="15"/>
  <c r="H181" i="15" s="1"/>
  <c r="X180" i="15"/>
  <c r="AA180" i="15" s="1"/>
  <c r="R180" i="15"/>
  <c r="Q180" i="15"/>
  <c r="P180" i="15"/>
  <c r="O180" i="15"/>
  <c r="N180" i="15"/>
  <c r="M180" i="15"/>
  <c r="L180" i="15"/>
  <c r="K180" i="15"/>
  <c r="J180" i="15"/>
  <c r="I180" i="15"/>
  <c r="G180" i="15"/>
  <c r="H180" i="15" s="1"/>
  <c r="X179" i="15"/>
  <c r="AA179" i="15" s="1"/>
  <c r="R179" i="15"/>
  <c r="Q179" i="15"/>
  <c r="P179" i="15"/>
  <c r="O179" i="15"/>
  <c r="N179" i="15"/>
  <c r="M179" i="15"/>
  <c r="L179" i="15"/>
  <c r="K179" i="15"/>
  <c r="J179" i="15"/>
  <c r="I179" i="15"/>
  <c r="G179" i="15"/>
  <c r="H179" i="15" s="1"/>
  <c r="X178" i="15"/>
  <c r="AA178" i="15" s="1"/>
  <c r="R178" i="15"/>
  <c r="Q178" i="15"/>
  <c r="P178" i="15"/>
  <c r="O178" i="15"/>
  <c r="N178" i="15"/>
  <c r="M178" i="15"/>
  <c r="L178" i="15"/>
  <c r="K178" i="15"/>
  <c r="J178" i="15"/>
  <c r="I178" i="15"/>
  <c r="G178" i="15"/>
  <c r="H178" i="15" s="1"/>
  <c r="X177" i="15"/>
  <c r="AA177" i="15" s="1"/>
  <c r="R177" i="15"/>
  <c r="Q177" i="15"/>
  <c r="P177" i="15"/>
  <c r="O177" i="15"/>
  <c r="N177" i="15"/>
  <c r="M177" i="15"/>
  <c r="L177" i="15"/>
  <c r="K177" i="15"/>
  <c r="J177" i="15"/>
  <c r="I177" i="15"/>
  <c r="G177" i="15"/>
  <c r="H177" i="15" s="1"/>
  <c r="X176" i="15"/>
  <c r="AA176" i="15" s="1"/>
  <c r="R176" i="15"/>
  <c r="Q176" i="15"/>
  <c r="P176" i="15"/>
  <c r="O176" i="15"/>
  <c r="N176" i="15"/>
  <c r="M176" i="15"/>
  <c r="L176" i="15"/>
  <c r="K176" i="15"/>
  <c r="J176" i="15"/>
  <c r="I176" i="15"/>
  <c r="G176" i="15"/>
  <c r="H176" i="15" s="1"/>
  <c r="X175" i="15"/>
  <c r="AA175" i="15" s="1"/>
  <c r="R175" i="15"/>
  <c r="Q175" i="15"/>
  <c r="P175" i="15"/>
  <c r="O175" i="15"/>
  <c r="N175" i="15"/>
  <c r="M175" i="15"/>
  <c r="L175" i="15"/>
  <c r="K175" i="15"/>
  <c r="J175" i="15"/>
  <c r="I175" i="15"/>
  <c r="G175" i="15"/>
  <c r="H175" i="15" s="1"/>
  <c r="X174" i="15"/>
  <c r="AA174" i="15" s="1"/>
  <c r="R174" i="15"/>
  <c r="Q174" i="15"/>
  <c r="P174" i="15"/>
  <c r="O174" i="15"/>
  <c r="N174" i="15"/>
  <c r="M174" i="15"/>
  <c r="L174" i="15"/>
  <c r="K174" i="15"/>
  <c r="J174" i="15"/>
  <c r="I174" i="15"/>
  <c r="G174" i="15"/>
  <c r="H174" i="15" s="1"/>
  <c r="X173" i="15"/>
  <c r="AA173" i="15" s="1"/>
  <c r="R173" i="15"/>
  <c r="Q173" i="15"/>
  <c r="P173" i="15"/>
  <c r="O173" i="15"/>
  <c r="N173" i="15"/>
  <c r="M173" i="15"/>
  <c r="L173" i="15"/>
  <c r="K173" i="15"/>
  <c r="J173" i="15"/>
  <c r="I173" i="15"/>
  <c r="G173" i="15"/>
  <c r="H173" i="15" s="1"/>
  <c r="X172" i="15"/>
  <c r="AA172" i="15" s="1"/>
  <c r="R172" i="15"/>
  <c r="Q172" i="15"/>
  <c r="P172" i="15"/>
  <c r="O172" i="15"/>
  <c r="N172" i="15"/>
  <c r="M172" i="15"/>
  <c r="L172" i="15"/>
  <c r="K172" i="15"/>
  <c r="J172" i="15"/>
  <c r="I172" i="15"/>
  <c r="G172" i="15"/>
  <c r="H172" i="15" s="1"/>
  <c r="X171" i="15"/>
  <c r="AA171" i="15" s="1"/>
  <c r="R171" i="15"/>
  <c r="Q171" i="15"/>
  <c r="P171" i="15"/>
  <c r="O171" i="15"/>
  <c r="N171" i="15"/>
  <c r="M171" i="15"/>
  <c r="L171" i="15"/>
  <c r="K171" i="15"/>
  <c r="J171" i="15"/>
  <c r="I171" i="15"/>
  <c r="G171" i="15"/>
  <c r="H171" i="15" s="1"/>
  <c r="X170" i="15"/>
  <c r="AA170" i="15" s="1"/>
  <c r="R170" i="15"/>
  <c r="Q170" i="15"/>
  <c r="P170" i="15"/>
  <c r="O170" i="15"/>
  <c r="N170" i="15"/>
  <c r="M170" i="15"/>
  <c r="L170" i="15"/>
  <c r="K170" i="15"/>
  <c r="J170" i="15"/>
  <c r="I170" i="15"/>
  <c r="G170" i="15"/>
  <c r="H170" i="15" s="1"/>
  <c r="AA169" i="15"/>
  <c r="X169" i="15"/>
  <c r="R169" i="15"/>
  <c r="Q169" i="15"/>
  <c r="P169" i="15"/>
  <c r="O169" i="15"/>
  <c r="N169" i="15"/>
  <c r="M169" i="15"/>
  <c r="L169" i="15"/>
  <c r="K169" i="15"/>
  <c r="J169" i="15"/>
  <c r="I169" i="15"/>
  <c r="G169" i="15"/>
  <c r="H169" i="15" s="1"/>
  <c r="X168" i="15"/>
  <c r="AA168" i="15" s="1"/>
  <c r="R168" i="15"/>
  <c r="Q168" i="15"/>
  <c r="P168" i="15"/>
  <c r="O168" i="15"/>
  <c r="N168" i="15"/>
  <c r="M168" i="15"/>
  <c r="L168" i="15"/>
  <c r="K168" i="15"/>
  <c r="J168" i="15"/>
  <c r="I168" i="15"/>
  <c r="AA167" i="15"/>
  <c r="X167" i="15"/>
  <c r="R167" i="15"/>
  <c r="Q167" i="15"/>
  <c r="P167" i="15"/>
  <c r="O167" i="15"/>
  <c r="N167" i="15"/>
  <c r="M167" i="15"/>
  <c r="L167" i="15"/>
  <c r="K167" i="15"/>
  <c r="J167" i="15"/>
  <c r="I167" i="15"/>
  <c r="G167" i="15"/>
  <c r="H167" i="15" s="1"/>
  <c r="X166" i="15"/>
  <c r="AA166" i="15" s="1"/>
  <c r="AC166" i="15" s="1"/>
  <c r="R166" i="15"/>
  <c r="AR166" i="15" s="1"/>
  <c r="Q166" i="15"/>
  <c r="AQ166" i="15" s="1"/>
  <c r="P166" i="15"/>
  <c r="AP166" i="15" s="1"/>
  <c r="O166" i="15"/>
  <c r="AO166" i="15" s="1"/>
  <c r="N166" i="15"/>
  <c r="AN166" i="15" s="1"/>
  <c r="M166" i="15"/>
  <c r="AM166" i="15" s="1"/>
  <c r="L166" i="15"/>
  <c r="AL166" i="15" s="1"/>
  <c r="K166" i="15"/>
  <c r="J166" i="15"/>
  <c r="AJ166" i="15" s="1"/>
  <c r="I166" i="15"/>
  <c r="G166" i="15"/>
  <c r="H166" i="15" s="1"/>
  <c r="AA165" i="15"/>
  <c r="AC165" i="15" s="1"/>
  <c r="X165" i="15"/>
  <c r="R165" i="15"/>
  <c r="AR165" i="15" s="1"/>
  <c r="Q165" i="15"/>
  <c r="AQ165" i="15" s="1"/>
  <c r="P165" i="15"/>
  <c r="AP165" i="15" s="1"/>
  <c r="O165" i="15"/>
  <c r="AO165" i="15" s="1"/>
  <c r="N165" i="15"/>
  <c r="AN165" i="15" s="1"/>
  <c r="M165" i="15"/>
  <c r="AX165" i="15" s="1"/>
  <c r="L165" i="15"/>
  <c r="AL165" i="15" s="1"/>
  <c r="K165" i="15"/>
  <c r="J165" i="15"/>
  <c r="AJ165" i="15" s="1"/>
  <c r="I165" i="15"/>
  <c r="AT165" i="15" s="1"/>
  <c r="G165" i="15"/>
  <c r="H165" i="15" s="1"/>
  <c r="X164" i="15"/>
  <c r="AA164" i="15" s="1"/>
  <c r="AC164" i="15" s="1"/>
  <c r="R164" i="15"/>
  <c r="BC164" i="15" s="1"/>
  <c r="Q164" i="15"/>
  <c r="AQ164" i="15" s="1"/>
  <c r="P164" i="15"/>
  <c r="AP164" i="15" s="1"/>
  <c r="O164" i="15"/>
  <c r="AO164" i="15" s="1"/>
  <c r="N164" i="15"/>
  <c r="AN164" i="15" s="1"/>
  <c r="M164" i="15"/>
  <c r="L164" i="15"/>
  <c r="K164" i="15"/>
  <c r="J164" i="15"/>
  <c r="AJ164" i="15" s="1"/>
  <c r="I164" i="15"/>
  <c r="G164" i="15"/>
  <c r="H164" i="15" s="1"/>
  <c r="X163" i="15"/>
  <c r="AA163" i="15" s="1"/>
  <c r="AC163" i="15" s="1"/>
  <c r="R163" i="15"/>
  <c r="AR163" i="15" s="1"/>
  <c r="Q163" i="15"/>
  <c r="AQ163" i="15" s="1"/>
  <c r="P163" i="15"/>
  <c r="AP163" i="15" s="1"/>
  <c r="O163" i="15"/>
  <c r="AO163" i="15" s="1"/>
  <c r="N163" i="15"/>
  <c r="AN163" i="15" s="1"/>
  <c r="M163" i="15"/>
  <c r="AM163" i="15" s="1"/>
  <c r="L163" i="15"/>
  <c r="AL163" i="15" s="1"/>
  <c r="K163" i="15"/>
  <c r="AV163" i="15" s="1"/>
  <c r="J163" i="15"/>
  <c r="AJ163" i="15" s="1"/>
  <c r="I163" i="15"/>
  <c r="AI163" i="15" s="1"/>
  <c r="G163" i="15"/>
  <c r="H163" i="15" s="1"/>
  <c r="X162" i="15"/>
  <c r="AA162" i="15" s="1"/>
  <c r="AC162" i="15" s="1"/>
  <c r="R162" i="15"/>
  <c r="AR162" i="15" s="1"/>
  <c r="Q162" i="15"/>
  <c r="AQ162" i="15" s="1"/>
  <c r="P162" i="15"/>
  <c r="BA162" i="15" s="1"/>
  <c r="O162" i="15"/>
  <c r="AO162" i="15" s="1"/>
  <c r="N162" i="15"/>
  <c r="AN162" i="15" s="1"/>
  <c r="M162" i="15"/>
  <c r="AM162" i="15" s="1"/>
  <c r="L162" i="15"/>
  <c r="AW162" i="15" s="1"/>
  <c r="K162" i="15"/>
  <c r="AK162" i="15" s="1"/>
  <c r="J162" i="15"/>
  <c r="AJ162" i="15" s="1"/>
  <c r="I162" i="15"/>
  <c r="G162" i="15"/>
  <c r="H162" i="15" s="1"/>
  <c r="X161" i="15"/>
  <c r="AA161" i="15" s="1"/>
  <c r="AC161" i="15" s="1"/>
  <c r="R161" i="15"/>
  <c r="AR161" i="15" s="1"/>
  <c r="Q161" i="15"/>
  <c r="BB161" i="15" s="1"/>
  <c r="P161" i="15"/>
  <c r="AP161" i="15" s="1"/>
  <c r="O161" i="15"/>
  <c r="AO161" i="15" s="1"/>
  <c r="N161" i="15"/>
  <c r="AN161" i="15" s="1"/>
  <c r="M161" i="15"/>
  <c r="AM161" i="15" s="1"/>
  <c r="L161" i="15"/>
  <c r="AL161" i="15" s="1"/>
  <c r="K161" i="15"/>
  <c r="AK161" i="15" s="1"/>
  <c r="J161" i="15"/>
  <c r="AJ161" i="15" s="1"/>
  <c r="I161" i="15"/>
  <c r="AT161" i="15" s="1"/>
  <c r="G161" i="15"/>
  <c r="H161" i="15" s="1"/>
  <c r="X160" i="15"/>
  <c r="AA160" i="15" s="1"/>
  <c r="AC160" i="15" s="1"/>
  <c r="R160" i="15"/>
  <c r="AR160" i="15" s="1"/>
  <c r="Q160" i="15"/>
  <c r="AQ160" i="15" s="1"/>
  <c r="P160" i="15"/>
  <c r="AP160" i="15" s="1"/>
  <c r="O160" i="15"/>
  <c r="AO160" i="15" s="1"/>
  <c r="N160" i="15"/>
  <c r="AY160" i="15" s="1"/>
  <c r="M160" i="15"/>
  <c r="AM160" i="15" s="1"/>
  <c r="L160" i="15"/>
  <c r="AL160" i="15" s="1"/>
  <c r="K160" i="15"/>
  <c r="AK160" i="15" s="1"/>
  <c r="J160" i="15"/>
  <c r="AU160" i="15" s="1"/>
  <c r="I160" i="15"/>
  <c r="AI160" i="15" s="1"/>
  <c r="G160" i="15"/>
  <c r="H160" i="15" s="1"/>
  <c r="X159" i="15"/>
  <c r="AA159" i="15" s="1"/>
  <c r="AC159" i="15" s="1"/>
  <c r="R159" i="15"/>
  <c r="AR159" i="15" s="1"/>
  <c r="Q159" i="15"/>
  <c r="AQ159" i="15" s="1"/>
  <c r="P159" i="15"/>
  <c r="AP159" i="15" s="1"/>
  <c r="O159" i="15"/>
  <c r="N159" i="15"/>
  <c r="AN159" i="15" s="1"/>
  <c r="M159" i="15"/>
  <c r="L159" i="15"/>
  <c r="AL159" i="15" s="1"/>
  <c r="K159" i="15"/>
  <c r="AK159" i="15" s="1"/>
  <c r="J159" i="15"/>
  <c r="AJ159" i="15" s="1"/>
  <c r="I159" i="15"/>
  <c r="G159" i="15"/>
  <c r="H159" i="15" s="1"/>
  <c r="X158" i="15"/>
  <c r="AA158" i="15" s="1"/>
  <c r="AC158" i="15" s="1"/>
  <c r="R158" i="15"/>
  <c r="AR158" i="15" s="1"/>
  <c r="Q158" i="15"/>
  <c r="AQ158" i="15" s="1"/>
  <c r="P158" i="15"/>
  <c r="AP158" i="15" s="1"/>
  <c r="O158" i="15"/>
  <c r="AO158" i="15" s="1"/>
  <c r="N158" i="15"/>
  <c r="AN158" i="15" s="1"/>
  <c r="M158" i="15"/>
  <c r="AM158" i="15" s="1"/>
  <c r="L158" i="15"/>
  <c r="AW158" i="15" s="1"/>
  <c r="K158" i="15"/>
  <c r="AK158" i="15" s="1"/>
  <c r="J158" i="15"/>
  <c r="AJ158" i="15" s="1"/>
  <c r="I158" i="15"/>
  <c r="AI158" i="15" s="1"/>
  <c r="G158" i="15"/>
  <c r="H158" i="15" s="1"/>
  <c r="X157" i="15"/>
  <c r="AA157" i="15" s="1"/>
  <c r="AC157" i="15" s="1"/>
  <c r="R157" i="15"/>
  <c r="AR157" i="15" s="1"/>
  <c r="Q157" i="15"/>
  <c r="BB157" i="15" s="1"/>
  <c r="P157" i="15"/>
  <c r="AP157" i="15" s="1"/>
  <c r="O157" i="15"/>
  <c r="AO157" i="15" s="1"/>
  <c r="N157" i="15"/>
  <c r="AN157" i="15" s="1"/>
  <c r="M157" i="15"/>
  <c r="L157" i="15"/>
  <c r="AL157" i="15" s="1"/>
  <c r="K157" i="15"/>
  <c r="J157" i="15"/>
  <c r="I157" i="15"/>
  <c r="G157" i="15"/>
  <c r="H157" i="15" s="1"/>
  <c r="X156" i="15"/>
  <c r="AA156" i="15" s="1"/>
  <c r="AC156" i="15" s="1"/>
  <c r="R156" i="15"/>
  <c r="BC156" i="15" s="1"/>
  <c r="Q156" i="15"/>
  <c r="AQ156" i="15" s="1"/>
  <c r="P156" i="15"/>
  <c r="AP156" i="15" s="1"/>
  <c r="O156" i="15"/>
  <c r="N156" i="15"/>
  <c r="AN156" i="15" s="1"/>
  <c r="M156" i="15"/>
  <c r="L156" i="15"/>
  <c r="AL156" i="15" s="1"/>
  <c r="K156" i="15"/>
  <c r="AK156" i="15" s="1"/>
  <c r="J156" i="15"/>
  <c r="AU156" i="15" s="1"/>
  <c r="I156" i="15"/>
  <c r="G156" i="15"/>
  <c r="H156" i="15" s="1"/>
  <c r="AA155" i="15"/>
  <c r="AC155" i="15" s="1"/>
  <c r="X155" i="15"/>
  <c r="R155" i="15"/>
  <c r="AR155" i="15" s="1"/>
  <c r="Q155" i="15"/>
  <c r="AQ155" i="15" s="1"/>
  <c r="P155" i="15"/>
  <c r="AP155" i="15" s="1"/>
  <c r="O155" i="15"/>
  <c r="N155" i="15"/>
  <c r="AN155" i="15" s="1"/>
  <c r="M155" i="15"/>
  <c r="L155" i="15"/>
  <c r="AL155" i="15" s="1"/>
  <c r="K155" i="15"/>
  <c r="AV155" i="15" s="1"/>
  <c r="J155" i="15"/>
  <c r="AJ155" i="15" s="1"/>
  <c r="I155" i="15"/>
  <c r="X154" i="15"/>
  <c r="AA154" i="15" s="1"/>
  <c r="AC154" i="15" s="1"/>
  <c r="R154" i="15"/>
  <c r="AR154" i="15" s="1"/>
  <c r="Q154" i="15"/>
  <c r="AQ154" i="15" s="1"/>
  <c r="P154" i="15"/>
  <c r="BA154" i="15" s="1"/>
  <c r="O154" i="15"/>
  <c r="AO154" i="15" s="1"/>
  <c r="N154" i="15"/>
  <c r="AN154" i="15" s="1"/>
  <c r="M154" i="15"/>
  <c r="AM154" i="15" s="1"/>
  <c r="L154" i="15"/>
  <c r="AL154" i="15" s="1"/>
  <c r="K154" i="15"/>
  <c r="AK154" i="15" s="1"/>
  <c r="J154" i="15"/>
  <c r="I154" i="15"/>
  <c r="G154" i="15"/>
  <c r="H154" i="15" s="1"/>
  <c r="X153" i="15"/>
  <c r="AA153" i="15" s="1"/>
  <c r="AC153" i="15" s="1"/>
  <c r="R153" i="15"/>
  <c r="AR153" i="15" s="1"/>
  <c r="Q153" i="15"/>
  <c r="BB153" i="15" s="1"/>
  <c r="P153" i="15"/>
  <c r="AP153" i="15" s="1"/>
  <c r="O153" i="15"/>
  <c r="AO153" i="15" s="1"/>
  <c r="N153" i="15"/>
  <c r="AY153" i="15" s="1"/>
  <c r="M153" i="15"/>
  <c r="AX153" i="15" s="1"/>
  <c r="L153" i="15"/>
  <c r="AL153" i="15" s="1"/>
  <c r="K153" i="15"/>
  <c r="AK153" i="15" s="1"/>
  <c r="J153" i="15"/>
  <c r="AU153" i="15" s="1"/>
  <c r="I153" i="15"/>
  <c r="AT153" i="15" s="1"/>
  <c r="G153" i="15"/>
  <c r="H153" i="15" s="1"/>
  <c r="X152" i="15"/>
  <c r="AA152" i="15" s="1"/>
  <c r="AC152" i="15" s="1"/>
  <c r="R152" i="15"/>
  <c r="AR152" i="15" s="1"/>
  <c r="Q152" i="15"/>
  <c r="AQ152" i="15" s="1"/>
  <c r="P152" i="15"/>
  <c r="AP152" i="15" s="1"/>
  <c r="O152" i="15"/>
  <c r="AZ152" i="15" s="1"/>
  <c r="N152" i="15"/>
  <c r="AN152" i="15" s="1"/>
  <c r="M152" i="15"/>
  <c r="AM152" i="15" s="1"/>
  <c r="L152" i="15"/>
  <c r="AW152" i="15" s="1"/>
  <c r="K152" i="15"/>
  <c r="J152" i="15"/>
  <c r="AJ152" i="15" s="1"/>
  <c r="I152" i="15"/>
  <c r="G152" i="15"/>
  <c r="H152" i="15" s="1"/>
  <c r="X151" i="15"/>
  <c r="AA151" i="15" s="1"/>
  <c r="AC151" i="15" s="1"/>
  <c r="R151" i="15"/>
  <c r="AR151" i="15" s="1"/>
  <c r="Q151" i="15"/>
  <c r="BB151" i="15" s="1"/>
  <c r="P151" i="15"/>
  <c r="AP151" i="15" s="1"/>
  <c r="O151" i="15"/>
  <c r="N151" i="15"/>
  <c r="AN151" i="15" s="1"/>
  <c r="M151" i="15"/>
  <c r="AM151" i="15" s="1"/>
  <c r="L151" i="15"/>
  <c r="AW151" i="15" s="1"/>
  <c r="K151" i="15"/>
  <c r="J151" i="15"/>
  <c r="AJ151" i="15" s="1"/>
  <c r="I151" i="15"/>
  <c r="AI151" i="15" s="1"/>
  <c r="G151" i="15"/>
  <c r="H151" i="15" s="1"/>
  <c r="AA150" i="15"/>
  <c r="AC150" i="15" s="1"/>
  <c r="X150" i="15"/>
  <c r="R150" i="15"/>
  <c r="AR150" i="15" s="1"/>
  <c r="Q150" i="15"/>
  <c r="AQ150" i="15" s="1"/>
  <c r="P150" i="15"/>
  <c r="AP150" i="15" s="1"/>
  <c r="O150" i="15"/>
  <c r="AO150" i="15" s="1"/>
  <c r="N150" i="15"/>
  <c r="AN150" i="15" s="1"/>
  <c r="M150" i="15"/>
  <c r="L150" i="15"/>
  <c r="AL150" i="15" s="1"/>
  <c r="K150" i="15"/>
  <c r="AK150" i="15" s="1"/>
  <c r="J150" i="15"/>
  <c r="AU150" i="15" s="1"/>
  <c r="I150" i="15"/>
  <c r="G150" i="15"/>
  <c r="H150" i="15" s="1"/>
  <c r="X149" i="15"/>
  <c r="AA149" i="15" s="1"/>
  <c r="AC149" i="15" s="1"/>
  <c r="R149" i="15"/>
  <c r="AR149" i="15" s="1"/>
  <c r="Q149" i="15"/>
  <c r="AQ149" i="15" s="1"/>
  <c r="P149" i="15"/>
  <c r="AP149" i="15" s="1"/>
  <c r="O149" i="15"/>
  <c r="AZ149" i="15" s="1"/>
  <c r="N149" i="15"/>
  <c r="AN149" i="15" s="1"/>
  <c r="M149" i="15"/>
  <c r="L149" i="15"/>
  <c r="AL149" i="15" s="1"/>
  <c r="K149" i="15"/>
  <c r="AK149" i="15" s="1"/>
  <c r="J149" i="15"/>
  <c r="AJ149" i="15" s="1"/>
  <c r="I149" i="15"/>
  <c r="AI149" i="15" s="1"/>
  <c r="G149" i="15"/>
  <c r="H149" i="15" s="1"/>
  <c r="X148" i="15"/>
  <c r="AA148" i="15" s="1"/>
  <c r="AC148" i="15" s="1"/>
  <c r="R148" i="15"/>
  <c r="AR148" i="15" s="1"/>
  <c r="Q148" i="15"/>
  <c r="AQ148" i="15" s="1"/>
  <c r="P148" i="15"/>
  <c r="AP148" i="15" s="1"/>
  <c r="O148" i="15"/>
  <c r="AO148" i="15" s="1"/>
  <c r="N148" i="15"/>
  <c r="AN148" i="15" s="1"/>
  <c r="M148" i="15"/>
  <c r="AM148" i="15" s="1"/>
  <c r="L148" i="15"/>
  <c r="AL148" i="15" s="1"/>
  <c r="K148" i="15"/>
  <c r="AV148" i="15" s="1"/>
  <c r="J148" i="15"/>
  <c r="AJ148" i="15" s="1"/>
  <c r="I148" i="15"/>
  <c r="G148" i="15"/>
  <c r="H148" i="15" s="1"/>
  <c r="X147" i="15"/>
  <c r="AA147" i="15" s="1"/>
  <c r="AC147" i="15" s="1"/>
  <c r="R147" i="15"/>
  <c r="AR147" i="15" s="1"/>
  <c r="Q147" i="15"/>
  <c r="AQ147" i="15" s="1"/>
  <c r="P147" i="15"/>
  <c r="BA147" i="15" s="1"/>
  <c r="O147" i="15"/>
  <c r="AO147" i="15" s="1"/>
  <c r="N147" i="15"/>
  <c r="AN147" i="15" s="1"/>
  <c r="M147" i="15"/>
  <c r="AX147" i="15" s="1"/>
  <c r="L147" i="15"/>
  <c r="AL147" i="15" s="1"/>
  <c r="K147" i="15"/>
  <c r="AK147" i="15" s="1"/>
  <c r="J147" i="15"/>
  <c r="AJ147" i="15" s="1"/>
  <c r="I147" i="15"/>
  <c r="G147" i="15"/>
  <c r="H147" i="15" s="1"/>
  <c r="X146" i="15"/>
  <c r="AA146" i="15" s="1"/>
  <c r="AC146" i="15" s="1"/>
  <c r="R146" i="15"/>
  <c r="BC146" i="15" s="1"/>
  <c r="Q146" i="15"/>
  <c r="AQ146" i="15" s="1"/>
  <c r="P146" i="15"/>
  <c r="AP146" i="15" s="1"/>
  <c r="O146" i="15"/>
  <c r="AO146" i="15" s="1"/>
  <c r="N146" i="15"/>
  <c r="AN146" i="15" s="1"/>
  <c r="M146" i="15"/>
  <c r="AM146" i="15" s="1"/>
  <c r="L146" i="15"/>
  <c r="AL146" i="15" s="1"/>
  <c r="K146" i="15"/>
  <c r="AK146" i="15" s="1"/>
  <c r="J146" i="15"/>
  <c r="AJ146" i="15" s="1"/>
  <c r="I146" i="15"/>
  <c r="AT146" i="15" s="1"/>
  <c r="G146" i="15"/>
  <c r="H146" i="15" s="1"/>
  <c r="X145" i="15"/>
  <c r="AA145" i="15" s="1"/>
  <c r="AC145" i="15" s="1"/>
  <c r="R145" i="15"/>
  <c r="AR145" i="15" s="1"/>
  <c r="Q145" i="15"/>
  <c r="AQ145" i="15" s="1"/>
  <c r="P145" i="15"/>
  <c r="AP145" i="15" s="1"/>
  <c r="O145" i="15"/>
  <c r="AO145" i="15" s="1"/>
  <c r="N145" i="15"/>
  <c r="AY145" i="15" s="1"/>
  <c r="M145" i="15"/>
  <c r="AM145" i="15" s="1"/>
  <c r="L145" i="15"/>
  <c r="K145" i="15"/>
  <c r="AV145" i="15" s="1"/>
  <c r="J145" i="15"/>
  <c r="AJ145" i="15" s="1"/>
  <c r="I145" i="15"/>
  <c r="AI145" i="15" s="1"/>
  <c r="G145" i="15"/>
  <c r="H145" i="15" s="1"/>
  <c r="X144" i="15"/>
  <c r="AA144" i="15" s="1"/>
  <c r="AC144" i="15" s="1"/>
  <c r="R144" i="15"/>
  <c r="AR144" i="15" s="1"/>
  <c r="Q144" i="15"/>
  <c r="AQ144" i="15" s="1"/>
  <c r="P144" i="15"/>
  <c r="BA144" i="15" s="1"/>
  <c r="O144" i="15"/>
  <c r="AO144" i="15" s="1"/>
  <c r="N144" i="15"/>
  <c r="AN144" i="15" s="1"/>
  <c r="M144" i="15"/>
  <c r="AM144" i="15" s="1"/>
  <c r="L144" i="15"/>
  <c r="AL144" i="15" s="1"/>
  <c r="K144" i="15"/>
  <c r="AK144" i="15" s="1"/>
  <c r="J144" i="15"/>
  <c r="AJ144" i="15" s="1"/>
  <c r="I144" i="15"/>
  <c r="AI144" i="15" s="1"/>
  <c r="G144" i="15"/>
  <c r="H144" i="15" s="1"/>
  <c r="X143" i="15"/>
  <c r="AA143" i="15" s="1"/>
  <c r="AC143" i="15" s="1"/>
  <c r="R143" i="15"/>
  <c r="AR143" i="15" s="1"/>
  <c r="Q143" i="15"/>
  <c r="AQ143" i="15" s="1"/>
  <c r="P143" i="15"/>
  <c r="AP143" i="15" s="1"/>
  <c r="O143" i="15"/>
  <c r="AO143" i="15" s="1"/>
  <c r="N143" i="15"/>
  <c r="AN143" i="15" s="1"/>
  <c r="M143" i="15"/>
  <c r="AM143" i="15" s="1"/>
  <c r="L143" i="15"/>
  <c r="AW143" i="15" s="1"/>
  <c r="K143" i="15"/>
  <c r="AK143" i="15" s="1"/>
  <c r="J143" i="15"/>
  <c r="AJ143" i="15" s="1"/>
  <c r="I143" i="15"/>
  <c r="AI143" i="15" s="1"/>
  <c r="G143" i="15"/>
  <c r="H143" i="15" s="1"/>
  <c r="X142" i="15"/>
  <c r="AA142" i="15" s="1"/>
  <c r="AC142" i="15" s="1"/>
  <c r="R142" i="15"/>
  <c r="AR142" i="15" s="1"/>
  <c r="Q142" i="15"/>
  <c r="BB142" i="15" s="1"/>
  <c r="P142" i="15"/>
  <c r="AP142" i="15" s="1"/>
  <c r="O142" i="15"/>
  <c r="AO142" i="15" s="1"/>
  <c r="N142" i="15"/>
  <c r="AY142" i="15" s="1"/>
  <c r="M142" i="15"/>
  <c r="AM142" i="15" s="1"/>
  <c r="L142" i="15"/>
  <c r="AL142" i="15" s="1"/>
  <c r="K142" i="15"/>
  <c r="AK142" i="15" s="1"/>
  <c r="J142" i="15"/>
  <c r="I142" i="15"/>
  <c r="AT142" i="15" s="1"/>
  <c r="G142" i="15"/>
  <c r="H142" i="15" s="1"/>
  <c r="X141" i="15"/>
  <c r="AA141" i="15" s="1"/>
  <c r="AC141" i="15" s="1"/>
  <c r="R141" i="15"/>
  <c r="AR141" i="15" s="1"/>
  <c r="Q141" i="15"/>
  <c r="AQ141" i="15" s="1"/>
  <c r="P141" i="15"/>
  <c r="AP141" i="15" s="1"/>
  <c r="O141" i="15"/>
  <c r="AZ141" i="15" s="1"/>
  <c r="N141" i="15"/>
  <c r="AY141" i="15" s="1"/>
  <c r="M141" i="15"/>
  <c r="AM141" i="15" s="1"/>
  <c r="L141" i="15"/>
  <c r="AL141" i="15" s="1"/>
  <c r="K141" i="15"/>
  <c r="AK141" i="15" s="1"/>
  <c r="J141" i="15"/>
  <c r="AJ141" i="15" s="1"/>
  <c r="I141" i="15"/>
  <c r="AI141" i="15" s="1"/>
  <c r="G141" i="15"/>
  <c r="H141" i="15" s="1"/>
  <c r="X140" i="15"/>
  <c r="AA140" i="15" s="1"/>
  <c r="AC140" i="15" s="1"/>
  <c r="R140" i="15"/>
  <c r="AR140" i="15" s="1"/>
  <c r="Q140" i="15"/>
  <c r="AQ140" i="15" s="1"/>
  <c r="P140" i="15"/>
  <c r="AP140" i="15" s="1"/>
  <c r="O140" i="15"/>
  <c r="AO140" i="15" s="1"/>
  <c r="N140" i="15"/>
  <c r="AN140" i="15" s="1"/>
  <c r="M140" i="15"/>
  <c r="L140" i="15"/>
  <c r="AW140" i="15" s="1"/>
  <c r="K140" i="15"/>
  <c r="AK140" i="15" s="1"/>
  <c r="J140" i="15"/>
  <c r="AJ140" i="15" s="1"/>
  <c r="I140" i="15"/>
  <c r="AT140" i="15" s="1"/>
  <c r="G140" i="15"/>
  <c r="H140" i="15" s="1"/>
  <c r="X139" i="15"/>
  <c r="AA139" i="15" s="1"/>
  <c r="AC139" i="15" s="1"/>
  <c r="R139" i="15"/>
  <c r="AR139" i="15" s="1"/>
  <c r="Q139" i="15"/>
  <c r="AQ139" i="15" s="1"/>
  <c r="P139" i="15"/>
  <c r="BA139" i="15" s="1"/>
  <c r="O139" i="15"/>
  <c r="AO139" i="15" s="1"/>
  <c r="N139" i="15"/>
  <c r="AN139" i="15" s="1"/>
  <c r="M139" i="15"/>
  <c r="AX139" i="15" s="1"/>
  <c r="L139" i="15"/>
  <c r="AL139" i="15" s="1"/>
  <c r="K139" i="15"/>
  <c r="AV139" i="15" s="1"/>
  <c r="J139" i="15"/>
  <c r="AJ139" i="15" s="1"/>
  <c r="I139" i="15"/>
  <c r="AI139" i="15" s="1"/>
  <c r="G139" i="15"/>
  <c r="H139" i="15" s="1"/>
  <c r="X138" i="15"/>
  <c r="AA138" i="15" s="1"/>
  <c r="AC138" i="15" s="1"/>
  <c r="R138" i="15"/>
  <c r="AR138" i="15" s="1"/>
  <c r="Q138" i="15"/>
  <c r="AQ138" i="15" s="1"/>
  <c r="P138" i="15"/>
  <c r="AP138" i="15" s="1"/>
  <c r="O138" i="15"/>
  <c r="AZ138" i="15" s="1"/>
  <c r="N138" i="15"/>
  <c r="AY138" i="15" s="1"/>
  <c r="M138" i="15"/>
  <c r="AX138" i="15" s="1"/>
  <c r="L138" i="15"/>
  <c r="AL138" i="15" s="1"/>
  <c r="K138" i="15"/>
  <c r="AK138" i="15" s="1"/>
  <c r="J138" i="15"/>
  <c r="AU138" i="15" s="1"/>
  <c r="I138" i="15"/>
  <c r="AT138" i="15" s="1"/>
  <c r="G138" i="15"/>
  <c r="H138" i="15" s="1"/>
  <c r="X137" i="15"/>
  <c r="AA137" i="15" s="1"/>
  <c r="AC137" i="15" s="1"/>
  <c r="R137" i="15"/>
  <c r="AR137" i="15" s="1"/>
  <c r="Q137" i="15"/>
  <c r="BB137" i="15" s="1"/>
  <c r="P137" i="15"/>
  <c r="BA137" i="15" s="1"/>
  <c r="O137" i="15"/>
  <c r="AO137" i="15" s="1"/>
  <c r="N137" i="15"/>
  <c r="AY137" i="15" s="1"/>
  <c r="M137" i="15"/>
  <c r="AX137" i="15" s="1"/>
  <c r="L137" i="15"/>
  <c r="AW137" i="15" s="1"/>
  <c r="K137" i="15"/>
  <c r="AV137" i="15" s="1"/>
  <c r="J137" i="15"/>
  <c r="AJ137" i="15" s="1"/>
  <c r="I137" i="15"/>
  <c r="G137" i="15"/>
  <c r="H137" i="15" s="1"/>
  <c r="X136" i="15"/>
  <c r="AA136" i="15" s="1"/>
  <c r="AC136" i="15" s="1"/>
  <c r="R136" i="15"/>
  <c r="BC136" i="15" s="1"/>
  <c r="Q136" i="15"/>
  <c r="AQ136" i="15" s="1"/>
  <c r="P136" i="15"/>
  <c r="BA136" i="15" s="1"/>
  <c r="O136" i="15"/>
  <c r="AO136" i="15" s="1"/>
  <c r="N136" i="15"/>
  <c r="AN136" i="15" s="1"/>
  <c r="M136" i="15"/>
  <c r="AX136" i="15" s="1"/>
  <c r="L136" i="15"/>
  <c r="AL136" i="15" s="1"/>
  <c r="K136" i="15"/>
  <c r="AK136" i="15" s="1"/>
  <c r="J136" i="15"/>
  <c r="AJ136" i="15" s="1"/>
  <c r="I136" i="15"/>
  <c r="AT136" i="15" s="1"/>
  <c r="G136" i="15"/>
  <c r="H136" i="15" s="1"/>
  <c r="X135" i="15"/>
  <c r="AA135" i="15" s="1"/>
  <c r="AC135" i="15" s="1"/>
  <c r="R135" i="15"/>
  <c r="BC135" i="15" s="1"/>
  <c r="Q135" i="15"/>
  <c r="AQ135" i="15" s="1"/>
  <c r="P135" i="15"/>
  <c r="AP135" i="15" s="1"/>
  <c r="O135" i="15"/>
  <c r="AO135" i="15" s="1"/>
  <c r="N135" i="15"/>
  <c r="AY135" i="15" s="1"/>
  <c r="M135" i="15"/>
  <c r="AM135" i="15" s="1"/>
  <c r="L135" i="15"/>
  <c r="AL135" i="15" s="1"/>
  <c r="K135" i="15"/>
  <c r="AV135" i="15" s="1"/>
  <c r="J135" i="15"/>
  <c r="AJ135" i="15" s="1"/>
  <c r="I135" i="15"/>
  <c r="AT135" i="15" s="1"/>
  <c r="G135" i="15"/>
  <c r="H135" i="15" s="1"/>
  <c r="X134" i="15"/>
  <c r="AA134" i="15" s="1"/>
  <c r="AC134" i="15" s="1"/>
  <c r="R134" i="15"/>
  <c r="AR134" i="15" s="1"/>
  <c r="Q134" i="15"/>
  <c r="AQ134" i="15" s="1"/>
  <c r="P134" i="15"/>
  <c r="BA134" i="15" s="1"/>
  <c r="O134" i="15"/>
  <c r="AZ134" i="15" s="1"/>
  <c r="N134" i="15"/>
  <c r="AY134" i="15" s="1"/>
  <c r="M134" i="15"/>
  <c r="AM134" i="15" s="1"/>
  <c r="L134" i="15"/>
  <c r="AL134" i="15" s="1"/>
  <c r="K134" i="15"/>
  <c r="AV134" i="15" s="1"/>
  <c r="J134" i="15"/>
  <c r="AJ134" i="15" s="1"/>
  <c r="I134" i="15"/>
  <c r="G134" i="15"/>
  <c r="H134" i="15" s="1"/>
  <c r="X133" i="15"/>
  <c r="AA133" i="15" s="1"/>
  <c r="AC133" i="15" s="1"/>
  <c r="R133" i="15"/>
  <c r="AR133" i="15" s="1"/>
  <c r="Q133" i="15"/>
  <c r="AQ133" i="15" s="1"/>
  <c r="P133" i="15"/>
  <c r="BA133" i="15" s="1"/>
  <c r="O133" i="15"/>
  <c r="AO133" i="15" s="1"/>
  <c r="N133" i="15"/>
  <c r="AN133" i="15" s="1"/>
  <c r="M133" i="15"/>
  <c r="AM133" i="15" s="1"/>
  <c r="L133" i="15"/>
  <c r="AW133" i="15" s="1"/>
  <c r="K133" i="15"/>
  <c r="AK133" i="15" s="1"/>
  <c r="J133" i="15"/>
  <c r="AJ133" i="15" s="1"/>
  <c r="I133" i="15"/>
  <c r="AT133" i="15" s="1"/>
  <c r="G133" i="15"/>
  <c r="H133" i="15" s="1"/>
  <c r="AA132" i="15"/>
  <c r="AC132" i="15" s="1"/>
  <c r="X132" i="15"/>
  <c r="R132" i="15"/>
  <c r="AR132" i="15" s="1"/>
  <c r="Q132" i="15"/>
  <c r="BB132" i="15" s="1"/>
  <c r="P132" i="15"/>
  <c r="AP132" i="15" s="1"/>
  <c r="O132" i="15"/>
  <c r="AO132" i="15" s="1"/>
  <c r="N132" i="15"/>
  <c r="AY132" i="15" s="1"/>
  <c r="M132" i="15"/>
  <c r="AX132" i="15" s="1"/>
  <c r="L132" i="15"/>
  <c r="AW132" i="15" s="1"/>
  <c r="K132" i="15"/>
  <c r="AK132" i="15" s="1"/>
  <c r="J132" i="15"/>
  <c r="AJ132" i="15" s="1"/>
  <c r="I132" i="15"/>
  <c r="AT132" i="15" s="1"/>
  <c r="G132" i="15"/>
  <c r="H132" i="15" s="1"/>
  <c r="X131" i="15"/>
  <c r="AA131" i="15" s="1"/>
  <c r="AC131" i="15" s="1"/>
  <c r="R131" i="15"/>
  <c r="BC131" i="15" s="1"/>
  <c r="Q131" i="15"/>
  <c r="AQ131" i="15" s="1"/>
  <c r="P131" i="15"/>
  <c r="AP131" i="15" s="1"/>
  <c r="O131" i="15"/>
  <c r="N131" i="15"/>
  <c r="AY131" i="15" s="1"/>
  <c r="M131" i="15"/>
  <c r="L131" i="15"/>
  <c r="AL131" i="15" s="1"/>
  <c r="K131" i="15"/>
  <c r="J131" i="15"/>
  <c r="AU131" i="15" s="1"/>
  <c r="I131" i="15"/>
  <c r="G131" i="15"/>
  <c r="H131" i="15" s="1"/>
  <c r="X130" i="15"/>
  <c r="AA130" i="15" s="1"/>
  <c r="AC130" i="15" s="1"/>
  <c r="R130" i="15"/>
  <c r="AR130" i="15" s="1"/>
  <c r="Q130" i="15"/>
  <c r="AQ130" i="15" s="1"/>
  <c r="P130" i="15"/>
  <c r="AP130" i="15" s="1"/>
  <c r="O130" i="15"/>
  <c r="AZ130" i="15" s="1"/>
  <c r="N130" i="15"/>
  <c r="AN130" i="15" s="1"/>
  <c r="M130" i="15"/>
  <c r="AM130" i="15" s="1"/>
  <c r="L130" i="15"/>
  <c r="AW130" i="15" s="1"/>
  <c r="K130" i="15"/>
  <c r="AV130" i="15" s="1"/>
  <c r="J130" i="15"/>
  <c r="I130" i="15"/>
  <c r="AI130" i="15" s="1"/>
  <c r="G130" i="15"/>
  <c r="H130" i="15" s="1"/>
  <c r="AA129" i="15"/>
  <c r="AC129" i="15" s="1"/>
  <c r="X129" i="15"/>
  <c r="R129" i="15"/>
  <c r="AR129" i="15" s="1"/>
  <c r="Q129" i="15"/>
  <c r="BB129" i="15" s="1"/>
  <c r="P129" i="15"/>
  <c r="BA129" i="15" s="1"/>
  <c r="O129" i="15"/>
  <c r="AO129" i="15" s="1"/>
  <c r="N129" i="15"/>
  <c r="AN129" i="15" s="1"/>
  <c r="M129" i="15"/>
  <c r="L129" i="15"/>
  <c r="AW129" i="15" s="1"/>
  <c r="K129" i="15"/>
  <c r="J129" i="15"/>
  <c r="I129" i="15"/>
  <c r="G129" i="15"/>
  <c r="H129" i="15" s="1"/>
  <c r="X128" i="15"/>
  <c r="AA128" i="15" s="1"/>
  <c r="AC128" i="15" s="1"/>
  <c r="R128" i="15"/>
  <c r="AR128" i="15" s="1"/>
  <c r="Q128" i="15"/>
  <c r="BB128" i="15" s="1"/>
  <c r="P128" i="15"/>
  <c r="AP128" i="15" s="1"/>
  <c r="O128" i="15"/>
  <c r="AO128" i="15" s="1"/>
  <c r="N128" i="15"/>
  <c r="AN128" i="15" s="1"/>
  <c r="M128" i="15"/>
  <c r="AX128" i="15" s="1"/>
  <c r="L128" i="15"/>
  <c r="AL128" i="15" s="1"/>
  <c r="K128" i="15"/>
  <c r="J128" i="15"/>
  <c r="AU128" i="15" s="1"/>
  <c r="I128" i="15"/>
  <c r="G128" i="15"/>
  <c r="H128" i="15" s="1"/>
  <c r="X127" i="15"/>
  <c r="AA127" i="15" s="1"/>
  <c r="AC127" i="15" s="1"/>
  <c r="R127" i="15"/>
  <c r="BC127" i="15" s="1"/>
  <c r="Q127" i="15"/>
  <c r="AQ127" i="15" s="1"/>
  <c r="P127" i="15"/>
  <c r="AP127" i="15" s="1"/>
  <c r="O127" i="15"/>
  <c r="AZ127" i="15" s="1"/>
  <c r="N127" i="15"/>
  <c r="AY127" i="15" s="1"/>
  <c r="M127" i="15"/>
  <c r="AM127" i="15" s="1"/>
  <c r="L127" i="15"/>
  <c r="AL127" i="15" s="1"/>
  <c r="K127" i="15"/>
  <c r="AK127" i="15" s="1"/>
  <c r="J127" i="15"/>
  <c r="I127" i="15"/>
  <c r="AI127" i="15" s="1"/>
  <c r="G127" i="15"/>
  <c r="H127" i="15" s="1"/>
  <c r="X126" i="15"/>
  <c r="AA126" i="15" s="1"/>
  <c r="AC126" i="15" s="1"/>
  <c r="R126" i="15"/>
  <c r="BC126" i="15" s="1"/>
  <c r="Q126" i="15"/>
  <c r="AQ126" i="15" s="1"/>
  <c r="P126" i="15"/>
  <c r="AP126" i="15" s="1"/>
  <c r="O126" i="15"/>
  <c r="AZ126" i="15" s="1"/>
  <c r="N126" i="15"/>
  <c r="AN126" i="15" s="1"/>
  <c r="M126" i="15"/>
  <c r="AM126" i="15" s="1"/>
  <c r="L126" i="15"/>
  <c r="AL126" i="15" s="1"/>
  <c r="K126" i="15"/>
  <c r="AV126" i="15" s="1"/>
  <c r="J126" i="15"/>
  <c r="AJ126" i="15" s="1"/>
  <c r="I126" i="15"/>
  <c r="AI126" i="15" s="1"/>
  <c r="G126" i="15"/>
  <c r="H126" i="15" s="1"/>
  <c r="X125" i="15"/>
  <c r="AA125" i="15" s="1"/>
  <c r="AC125" i="15" s="1"/>
  <c r="R125" i="15"/>
  <c r="AR125" i="15" s="1"/>
  <c r="Q125" i="15"/>
  <c r="AQ125" i="15" s="1"/>
  <c r="P125" i="15"/>
  <c r="BA125" i="15" s="1"/>
  <c r="O125" i="15"/>
  <c r="AO125" i="15" s="1"/>
  <c r="N125" i="15"/>
  <c r="AN125" i="15" s="1"/>
  <c r="M125" i="15"/>
  <c r="AX125" i="15" s="1"/>
  <c r="L125" i="15"/>
  <c r="AW125" i="15" s="1"/>
  <c r="K125" i="15"/>
  <c r="AV125" i="15" s="1"/>
  <c r="J125" i="15"/>
  <c r="AJ125" i="15" s="1"/>
  <c r="I125" i="15"/>
  <c r="G125" i="15"/>
  <c r="H125" i="15" s="1"/>
  <c r="X124" i="15"/>
  <c r="AA124" i="15" s="1"/>
  <c r="AC124" i="15" s="1"/>
  <c r="R124" i="15"/>
  <c r="BC124" i="15" s="1"/>
  <c r="Q124" i="15"/>
  <c r="BB124" i="15" s="1"/>
  <c r="P124" i="15"/>
  <c r="BA124" i="15" s="1"/>
  <c r="O124" i="15"/>
  <c r="AO124" i="15" s="1"/>
  <c r="N124" i="15"/>
  <c r="AN124" i="15" s="1"/>
  <c r="M124" i="15"/>
  <c r="AX124" i="15" s="1"/>
  <c r="L124" i="15"/>
  <c r="AL124" i="15" s="1"/>
  <c r="K124" i="15"/>
  <c r="AK124" i="15" s="1"/>
  <c r="J124" i="15"/>
  <c r="AJ124" i="15" s="1"/>
  <c r="I124" i="15"/>
  <c r="AT124" i="15" s="1"/>
  <c r="G124" i="15"/>
  <c r="H124" i="15" s="1"/>
  <c r="X123" i="15"/>
  <c r="AA123" i="15" s="1"/>
  <c r="AC123" i="15" s="1"/>
  <c r="R123" i="15"/>
  <c r="BC123" i="15" s="1"/>
  <c r="Q123" i="15"/>
  <c r="AQ123" i="15" s="1"/>
  <c r="P123" i="15"/>
  <c r="AP123" i="15" s="1"/>
  <c r="O123" i="15"/>
  <c r="AO123" i="15" s="1"/>
  <c r="N123" i="15"/>
  <c r="M123" i="15"/>
  <c r="AM123" i="15" s="1"/>
  <c r="L123" i="15"/>
  <c r="AL123" i="15" s="1"/>
  <c r="K123" i="15"/>
  <c r="AV123" i="15" s="1"/>
  <c r="J123" i="15"/>
  <c r="AU123" i="15" s="1"/>
  <c r="I123" i="15"/>
  <c r="AT123" i="15" s="1"/>
  <c r="G123" i="15"/>
  <c r="H123" i="15" s="1"/>
  <c r="X122" i="15"/>
  <c r="AA122" i="15" s="1"/>
  <c r="AC122" i="15" s="1"/>
  <c r="R122" i="15"/>
  <c r="AR122" i="15" s="1"/>
  <c r="Q122" i="15"/>
  <c r="AQ122" i="15" s="1"/>
  <c r="P122" i="15"/>
  <c r="BA122" i="15" s="1"/>
  <c r="O122" i="15"/>
  <c r="AZ122" i="15" s="1"/>
  <c r="N122" i="15"/>
  <c r="AY122" i="15" s="1"/>
  <c r="M122" i="15"/>
  <c r="AM122" i="15" s="1"/>
  <c r="L122" i="15"/>
  <c r="AL122" i="15" s="1"/>
  <c r="K122" i="15"/>
  <c r="AV122" i="15" s="1"/>
  <c r="J122" i="15"/>
  <c r="AJ122" i="15" s="1"/>
  <c r="I122" i="15"/>
  <c r="AI122" i="15" s="1"/>
  <c r="G122" i="15"/>
  <c r="H122" i="15" s="1"/>
  <c r="X121" i="15"/>
  <c r="AA121" i="15" s="1"/>
  <c r="AC121" i="15" s="1"/>
  <c r="R121" i="15"/>
  <c r="AR121" i="15" s="1"/>
  <c r="Q121" i="15"/>
  <c r="AQ121" i="15" s="1"/>
  <c r="P121" i="15"/>
  <c r="BA121" i="15" s="1"/>
  <c r="O121" i="15"/>
  <c r="AO121" i="15" s="1"/>
  <c r="N121" i="15"/>
  <c r="AN121" i="15" s="1"/>
  <c r="M121" i="15"/>
  <c r="AM121" i="15" s="1"/>
  <c r="L121" i="15"/>
  <c r="K121" i="15"/>
  <c r="AK121" i="15" s="1"/>
  <c r="J121" i="15"/>
  <c r="AJ121" i="15" s="1"/>
  <c r="I121" i="15"/>
  <c r="AT121" i="15" s="1"/>
  <c r="G121" i="15"/>
  <c r="H121" i="15" s="1"/>
  <c r="AA120" i="15"/>
  <c r="AC120" i="15" s="1"/>
  <c r="X120" i="15"/>
  <c r="R120" i="15"/>
  <c r="AR120" i="15" s="1"/>
  <c r="Q120" i="15"/>
  <c r="P120" i="15"/>
  <c r="AP120" i="15" s="1"/>
  <c r="O120" i="15"/>
  <c r="N120" i="15"/>
  <c r="AY120" i="15" s="1"/>
  <c r="M120" i="15"/>
  <c r="L120" i="15"/>
  <c r="K120" i="15"/>
  <c r="J120" i="15"/>
  <c r="I120" i="15"/>
  <c r="G120" i="15"/>
  <c r="H120" i="15" s="1"/>
  <c r="X119" i="15"/>
  <c r="AA119" i="15" s="1"/>
  <c r="AC119" i="15" s="1"/>
  <c r="R119" i="15"/>
  <c r="BC119" i="15" s="1"/>
  <c r="Q119" i="15"/>
  <c r="BB119" i="15" s="1"/>
  <c r="P119" i="15"/>
  <c r="AP119" i="15" s="1"/>
  <c r="O119" i="15"/>
  <c r="AO119" i="15" s="1"/>
  <c r="N119" i="15"/>
  <c r="AY119" i="15" s="1"/>
  <c r="M119" i="15"/>
  <c r="L119" i="15"/>
  <c r="AL119" i="15" s="1"/>
  <c r="K119" i="15"/>
  <c r="J119" i="15"/>
  <c r="I119" i="15"/>
  <c r="AI119" i="15" s="1"/>
  <c r="G119" i="15"/>
  <c r="H119" i="15" s="1"/>
  <c r="X118" i="15"/>
  <c r="AA118" i="15" s="1"/>
  <c r="AC118" i="15" s="1"/>
  <c r="R118" i="15"/>
  <c r="AR118" i="15" s="1"/>
  <c r="Q118" i="15"/>
  <c r="AQ118" i="15" s="1"/>
  <c r="P118" i="15"/>
  <c r="AP118" i="15" s="1"/>
  <c r="O118" i="15"/>
  <c r="N118" i="15"/>
  <c r="AN118" i="15" s="1"/>
  <c r="M118" i="15"/>
  <c r="AM118" i="15" s="1"/>
  <c r="L118" i="15"/>
  <c r="AW118" i="15" s="1"/>
  <c r="K118" i="15"/>
  <c r="AV118" i="15" s="1"/>
  <c r="J118" i="15"/>
  <c r="AJ118" i="15" s="1"/>
  <c r="I118" i="15"/>
  <c r="AI118" i="15" s="1"/>
  <c r="G118" i="15"/>
  <c r="H118" i="15" s="1"/>
  <c r="X117" i="15"/>
  <c r="AA117" i="15" s="1"/>
  <c r="AC117" i="15" s="1"/>
  <c r="R117" i="15"/>
  <c r="AR117" i="15" s="1"/>
  <c r="Q117" i="15"/>
  <c r="BB117" i="15" s="1"/>
  <c r="P117" i="15"/>
  <c r="AP117" i="15" s="1"/>
  <c r="O117" i="15"/>
  <c r="N117" i="15"/>
  <c r="AN117" i="15" s="1"/>
  <c r="M117" i="15"/>
  <c r="L117" i="15"/>
  <c r="K117" i="15"/>
  <c r="J117" i="15"/>
  <c r="I117" i="15"/>
  <c r="G117" i="15"/>
  <c r="H117" i="15" s="1"/>
  <c r="X116" i="15"/>
  <c r="AA116" i="15" s="1"/>
  <c r="AC116" i="15" s="1"/>
  <c r="R116" i="15"/>
  <c r="AR116" i="15" s="1"/>
  <c r="Q116" i="15"/>
  <c r="AQ116" i="15" s="1"/>
  <c r="P116" i="15"/>
  <c r="AP116" i="15" s="1"/>
  <c r="O116" i="15"/>
  <c r="AO116" i="15" s="1"/>
  <c r="N116" i="15"/>
  <c r="AN116" i="15" s="1"/>
  <c r="M116" i="15"/>
  <c r="L116" i="15"/>
  <c r="AL116" i="15" s="1"/>
  <c r="K116" i="15"/>
  <c r="J116" i="15"/>
  <c r="AU116" i="15" s="1"/>
  <c r="I116" i="15"/>
  <c r="AT116" i="15" s="1"/>
  <c r="G116" i="15"/>
  <c r="H116" i="15" s="1"/>
  <c r="X115" i="15"/>
  <c r="AA115" i="15" s="1"/>
  <c r="AC115" i="15" s="1"/>
  <c r="R115" i="15"/>
  <c r="Q115" i="15"/>
  <c r="AQ115" i="15" s="1"/>
  <c r="P115" i="15"/>
  <c r="AP115" i="15" s="1"/>
  <c r="O115" i="15"/>
  <c r="AZ115" i="15" s="1"/>
  <c r="N115" i="15"/>
  <c r="AY115" i="15" s="1"/>
  <c r="M115" i="15"/>
  <c r="AX115" i="15" s="1"/>
  <c r="L115" i="15"/>
  <c r="AL115" i="15" s="1"/>
  <c r="K115" i="15"/>
  <c r="AK115" i="15" s="1"/>
  <c r="J115" i="15"/>
  <c r="AJ115" i="15" s="1"/>
  <c r="I115" i="15"/>
  <c r="AI115" i="15" s="1"/>
  <c r="G115" i="15"/>
  <c r="H115" i="15" s="1"/>
  <c r="X114" i="15"/>
  <c r="AA114" i="15" s="1"/>
  <c r="AC114" i="15" s="1"/>
  <c r="R114" i="15"/>
  <c r="BC114" i="15" s="1"/>
  <c r="Q114" i="15"/>
  <c r="AQ114" i="15" s="1"/>
  <c r="P114" i="15"/>
  <c r="AP114" i="15" s="1"/>
  <c r="O114" i="15"/>
  <c r="AZ114" i="15" s="1"/>
  <c r="N114" i="15"/>
  <c r="AN114" i="15" s="1"/>
  <c r="M114" i="15"/>
  <c r="AM114" i="15" s="1"/>
  <c r="L114" i="15"/>
  <c r="AL114" i="15" s="1"/>
  <c r="K114" i="15"/>
  <c r="J114" i="15"/>
  <c r="AU114" i="15" s="1"/>
  <c r="I114" i="15"/>
  <c r="AI114" i="15" s="1"/>
  <c r="G114" i="15"/>
  <c r="H114" i="15" s="1"/>
  <c r="X113" i="15"/>
  <c r="AA113" i="15" s="1"/>
  <c r="AC113" i="15" s="1"/>
  <c r="R113" i="15"/>
  <c r="AR113" i="15" s="1"/>
  <c r="Q113" i="15"/>
  <c r="AQ113" i="15" s="1"/>
  <c r="P113" i="15"/>
  <c r="O113" i="15"/>
  <c r="AZ113" i="15" s="1"/>
  <c r="N113" i="15"/>
  <c r="AN113" i="15" s="1"/>
  <c r="M113" i="15"/>
  <c r="AX113" i="15" s="1"/>
  <c r="L113" i="15"/>
  <c r="AW113" i="15" s="1"/>
  <c r="K113" i="15"/>
  <c r="AV113" i="15" s="1"/>
  <c r="J113" i="15"/>
  <c r="AJ113" i="15" s="1"/>
  <c r="I113" i="15"/>
  <c r="G113" i="15"/>
  <c r="H113" i="15" s="1"/>
  <c r="X112" i="15"/>
  <c r="AA112" i="15" s="1"/>
  <c r="AC112" i="15" s="1"/>
  <c r="R112" i="15"/>
  <c r="BC112" i="15" s="1"/>
  <c r="Q112" i="15"/>
  <c r="BB112" i="15" s="1"/>
  <c r="P112" i="15"/>
  <c r="BA112" i="15" s="1"/>
  <c r="O112" i="15"/>
  <c r="AO112" i="15" s="1"/>
  <c r="N112" i="15"/>
  <c r="AN112" i="15" s="1"/>
  <c r="M112" i="15"/>
  <c r="AX112" i="15" s="1"/>
  <c r="L112" i="15"/>
  <c r="AL112" i="15" s="1"/>
  <c r="K112" i="15"/>
  <c r="AK112" i="15" s="1"/>
  <c r="J112" i="15"/>
  <c r="AJ112" i="15" s="1"/>
  <c r="I112" i="15"/>
  <c r="G112" i="15"/>
  <c r="H112" i="15" s="1"/>
  <c r="X111" i="15"/>
  <c r="AA111" i="15" s="1"/>
  <c r="AC111" i="15" s="1"/>
  <c r="R111" i="15"/>
  <c r="AR111" i="15" s="1"/>
  <c r="Q111" i="15"/>
  <c r="AQ111" i="15" s="1"/>
  <c r="P111" i="15"/>
  <c r="AP111" i="15" s="1"/>
  <c r="O111" i="15"/>
  <c r="AO111" i="15" s="1"/>
  <c r="N111" i="15"/>
  <c r="M111" i="15"/>
  <c r="AX111" i="15" s="1"/>
  <c r="L111" i="15"/>
  <c r="AL111" i="15" s="1"/>
  <c r="K111" i="15"/>
  <c r="AV111" i="15" s="1"/>
  <c r="J111" i="15"/>
  <c r="AU111" i="15" s="1"/>
  <c r="I111" i="15"/>
  <c r="AT111" i="15" s="1"/>
  <c r="G111" i="15"/>
  <c r="H111" i="15" s="1"/>
  <c r="X110" i="15"/>
  <c r="AA110" i="15" s="1"/>
  <c r="AC110" i="15" s="1"/>
  <c r="R110" i="15"/>
  <c r="BC110" i="15" s="1"/>
  <c r="Q110" i="15"/>
  <c r="AQ110" i="15" s="1"/>
  <c r="P110" i="15"/>
  <c r="BA110" i="15" s="1"/>
  <c r="O110" i="15"/>
  <c r="AO110" i="15" s="1"/>
  <c r="N110" i="15"/>
  <c r="AY110" i="15" s="1"/>
  <c r="M110" i="15"/>
  <c r="AM110" i="15" s="1"/>
  <c r="L110" i="15"/>
  <c r="AL110" i="15" s="1"/>
  <c r="K110" i="15"/>
  <c r="AK110" i="15" s="1"/>
  <c r="J110" i="15"/>
  <c r="AJ110" i="15" s="1"/>
  <c r="I110" i="15"/>
  <c r="AI110" i="15" s="1"/>
  <c r="G110" i="15"/>
  <c r="H110" i="15" s="1"/>
  <c r="X109" i="15"/>
  <c r="AA109" i="15" s="1"/>
  <c r="AC109" i="15" s="1"/>
  <c r="R109" i="15"/>
  <c r="AR109" i="15" s="1"/>
  <c r="Q109" i="15"/>
  <c r="AQ109" i="15" s="1"/>
  <c r="P109" i="15"/>
  <c r="AP109" i="15" s="1"/>
  <c r="O109" i="15"/>
  <c r="AZ109" i="15" s="1"/>
  <c r="N109" i="15"/>
  <c r="AN109" i="15" s="1"/>
  <c r="M109" i="15"/>
  <c r="AM109" i="15" s="1"/>
  <c r="L109" i="15"/>
  <c r="K109" i="15"/>
  <c r="J109" i="15"/>
  <c r="AJ109" i="15" s="1"/>
  <c r="I109" i="15"/>
  <c r="G109" i="15"/>
  <c r="H109" i="15" s="1"/>
  <c r="X108" i="15"/>
  <c r="AA108" i="15" s="1"/>
  <c r="AC108" i="15" s="1"/>
  <c r="R108" i="15"/>
  <c r="AR108" i="15" s="1"/>
  <c r="Q108" i="15"/>
  <c r="P108" i="15"/>
  <c r="BA108" i="15" s="1"/>
  <c r="O108" i="15"/>
  <c r="AO108" i="15" s="1"/>
  <c r="N108" i="15"/>
  <c r="AY108" i="15" s="1"/>
  <c r="M108" i="15"/>
  <c r="AX108" i="15" s="1"/>
  <c r="L108" i="15"/>
  <c r="AW108" i="15" s="1"/>
  <c r="K108" i="15"/>
  <c r="AV108" i="15" s="1"/>
  <c r="J108" i="15"/>
  <c r="AJ108" i="15" s="1"/>
  <c r="I108" i="15"/>
  <c r="G108" i="15"/>
  <c r="H108" i="15" s="1"/>
  <c r="X107" i="15"/>
  <c r="AA107" i="15" s="1"/>
  <c r="AC107" i="15" s="1"/>
  <c r="R107" i="15"/>
  <c r="BC107" i="15" s="1"/>
  <c r="Q107" i="15"/>
  <c r="BB107" i="15" s="1"/>
  <c r="P107" i="15"/>
  <c r="BA107" i="15" s="1"/>
  <c r="O107" i="15"/>
  <c r="AO107" i="15" s="1"/>
  <c r="N107" i="15"/>
  <c r="AN107" i="15" s="1"/>
  <c r="M107" i="15"/>
  <c r="AX107" i="15" s="1"/>
  <c r="L107" i="15"/>
  <c r="AL107" i="15" s="1"/>
  <c r="K107" i="15"/>
  <c r="AK107" i="15" s="1"/>
  <c r="J107" i="15"/>
  <c r="I107" i="15"/>
  <c r="AT107" i="15" s="1"/>
  <c r="G107" i="15"/>
  <c r="H107" i="15" s="1"/>
  <c r="X106" i="15"/>
  <c r="AA106" i="15" s="1"/>
  <c r="AC106" i="15" s="1"/>
  <c r="R106" i="15"/>
  <c r="BC106" i="15" s="1"/>
  <c r="Q106" i="15"/>
  <c r="AQ106" i="15" s="1"/>
  <c r="P106" i="15"/>
  <c r="AP106" i="15" s="1"/>
  <c r="O106" i="15"/>
  <c r="N106" i="15"/>
  <c r="AN106" i="15" s="1"/>
  <c r="M106" i="15"/>
  <c r="AM106" i="15" s="1"/>
  <c r="L106" i="15"/>
  <c r="K106" i="15"/>
  <c r="AV106" i="15" s="1"/>
  <c r="J106" i="15"/>
  <c r="AU106" i="15" s="1"/>
  <c r="I106" i="15"/>
  <c r="AT106" i="15" s="1"/>
  <c r="G106" i="15"/>
  <c r="H106" i="15" s="1"/>
  <c r="X105" i="15"/>
  <c r="AA105" i="15" s="1"/>
  <c r="AC105" i="15" s="1"/>
  <c r="R105" i="15"/>
  <c r="AR105" i="15" s="1"/>
  <c r="Q105" i="15"/>
  <c r="AQ105" i="15" s="1"/>
  <c r="P105" i="15"/>
  <c r="BA105" i="15" s="1"/>
  <c r="O105" i="15"/>
  <c r="AZ105" i="15" s="1"/>
  <c r="N105" i="15"/>
  <c r="AY105" i="15" s="1"/>
  <c r="M105" i="15"/>
  <c r="AM105" i="15" s="1"/>
  <c r="L105" i="15"/>
  <c r="AL105" i="15" s="1"/>
  <c r="K105" i="15"/>
  <c r="AV105" i="15" s="1"/>
  <c r="J105" i="15"/>
  <c r="AJ105" i="15" s="1"/>
  <c r="I105" i="15"/>
  <c r="G105" i="15"/>
  <c r="H105" i="15" s="1"/>
  <c r="X104" i="15"/>
  <c r="AA104" i="15" s="1"/>
  <c r="AC104" i="15" s="1"/>
  <c r="R104" i="15"/>
  <c r="AR104" i="15" s="1"/>
  <c r="Q104" i="15"/>
  <c r="BB104" i="15" s="1"/>
  <c r="P104" i="15"/>
  <c r="BA104" i="15" s="1"/>
  <c r="O104" i="15"/>
  <c r="N104" i="15"/>
  <c r="M104" i="15"/>
  <c r="L104" i="15"/>
  <c r="K104" i="15"/>
  <c r="AK104" i="15" s="1"/>
  <c r="J104" i="15"/>
  <c r="AU104" i="15" s="1"/>
  <c r="I104" i="15"/>
  <c r="AT104" i="15" s="1"/>
  <c r="G104" i="15"/>
  <c r="H104" i="15" s="1"/>
  <c r="X103" i="15"/>
  <c r="AA103" i="15" s="1"/>
  <c r="AC103" i="15" s="1"/>
  <c r="R103" i="15"/>
  <c r="AR103" i="15" s="1"/>
  <c r="Q103" i="15"/>
  <c r="BB103" i="15" s="1"/>
  <c r="P103" i="15"/>
  <c r="AP103" i="15" s="1"/>
  <c r="O103" i="15"/>
  <c r="AO103" i="15" s="1"/>
  <c r="N103" i="15"/>
  <c r="AY103" i="15" s="1"/>
  <c r="M103" i="15"/>
  <c r="AX103" i="15" s="1"/>
  <c r="L103" i="15"/>
  <c r="AW103" i="15" s="1"/>
  <c r="K103" i="15"/>
  <c r="AK103" i="15" s="1"/>
  <c r="J103" i="15"/>
  <c r="AJ103" i="15" s="1"/>
  <c r="I103" i="15"/>
  <c r="AT103" i="15" s="1"/>
  <c r="G103" i="15"/>
  <c r="H103" i="15" s="1"/>
  <c r="X102" i="15"/>
  <c r="AA102" i="15" s="1"/>
  <c r="AC102" i="15" s="1"/>
  <c r="R102" i="15"/>
  <c r="BC102" i="15" s="1"/>
  <c r="Q102" i="15"/>
  <c r="BB102" i="15" s="1"/>
  <c r="P102" i="15"/>
  <c r="AP102" i="15" s="1"/>
  <c r="O102" i="15"/>
  <c r="AO102" i="15" s="1"/>
  <c r="N102" i="15"/>
  <c r="AY102" i="15" s="1"/>
  <c r="M102" i="15"/>
  <c r="AX102" i="15" s="1"/>
  <c r="L102" i="15"/>
  <c r="AW102" i="15" s="1"/>
  <c r="K102" i="15"/>
  <c r="AK102" i="15" s="1"/>
  <c r="J102" i="15"/>
  <c r="AU102" i="15" s="1"/>
  <c r="I102" i="15"/>
  <c r="AI102" i="15" s="1"/>
  <c r="G102" i="15"/>
  <c r="H102" i="15" s="1"/>
  <c r="X101" i="15"/>
  <c r="AA101" i="15" s="1"/>
  <c r="AC101" i="15" s="1"/>
  <c r="R101" i="15"/>
  <c r="AR101" i="15" s="1"/>
  <c r="Q101" i="15"/>
  <c r="AQ101" i="15" s="1"/>
  <c r="P101" i="15"/>
  <c r="AP101" i="15" s="1"/>
  <c r="O101" i="15"/>
  <c r="AZ101" i="15" s="1"/>
  <c r="N101" i="15"/>
  <c r="AN101" i="15" s="1"/>
  <c r="M101" i="15"/>
  <c r="AX101" i="15" s="1"/>
  <c r="L101" i="15"/>
  <c r="AW101" i="15" s="1"/>
  <c r="K101" i="15"/>
  <c r="AK101" i="15" s="1"/>
  <c r="J101" i="15"/>
  <c r="AU101" i="15" s="1"/>
  <c r="I101" i="15"/>
  <c r="AI101" i="15" s="1"/>
  <c r="G101" i="15"/>
  <c r="H101" i="15" s="1"/>
  <c r="X100" i="15"/>
  <c r="AA100" i="15" s="1"/>
  <c r="AC100" i="15" s="1"/>
  <c r="R100" i="15"/>
  <c r="BC100" i="15" s="1"/>
  <c r="Q100" i="15"/>
  <c r="BB100" i="15" s="1"/>
  <c r="P100" i="15"/>
  <c r="AP100" i="15" s="1"/>
  <c r="O100" i="15"/>
  <c r="AO100" i="15" s="1"/>
  <c r="N100" i="15"/>
  <c r="AN100" i="15" s="1"/>
  <c r="M100" i="15"/>
  <c r="AM100" i="15" s="1"/>
  <c r="L100" i="15"/>
  <c r="AL100" i="15" s="1"/>
  <c r="K100" i="15"/>
  <c r="AV100" i="15" s="1"/>
  <c r="J100" i="15"/>
  <c r="AJ100" i="15" s="1"/>
  <c r="I100" i="15"/>
  <c r="G100" i="15"/>
  <c r="H100" i="15" s="1"/>
  <c r="X99" i="15"/>
  <c r="AA99" i="15" s="1"/>
  <c r="AC99" i="15" s="1"/>
  <c r="R99" i="15"/>
  <c r="AR99" i="15" s="1"/>
  <c r="Q99" i="15"/>
  <c r="AQ99" i="15" s="1"/>
  <c r="P99" i="15"/>
  <c r="BA99" i="15" s="1"/>
  <c r="O99" i="15"/>
  <c r="AO99" i="15" s="1"/>
  <c r="N99" i="15"/>
  <c r="AN99" i="15" s="1"/>
  <c r="M99" i="15"/>
  <c r="AM99" i="15" s="1"/>
  <c r="L99" i="15"/>
  <c r="AL99" i="15" s="1"/>
  <c r="K99" i="15"/>
  <c r="AV99" i="15" s="1"/>
  <c r="J99" i="15"/>
  <c r="AU99" i="15" s="1"/>
  <c r="I99" i="15"/>
  <c r="AI99" i="15" s="1"/>
  <c r="G99" i="15"/>
  <c r="H99" i="15" s="1"/>
  <c r="X98" i="15"/>
  <c r="AA98" i="15" s="1"/>
  <c r="AC98" i="15" s="1"/>
  <c r="R98" i="15"/>
  <c r="AR98" i="15" s="1"/>
  <c r="Q98" i="15"/>
  <c r="BB98" i="15" s="1"/>
  <c r="P98" i="15"/>
  <c r="BA98" i="15" s="1"/>
  <c r="O98" i="15"/>
  <c r="AZ98" i="15" s="1"/>
  <c r="N98" i="15"/>
  <c r="AN98" i="15" s="1"/>
  <c r="M98" i="15"/>
  <c r="AX98" i="15" s="1"/>
  <c r="L98" i="15"/>
  <c r="AL98" i="15" s="1"/>
  <c r="K98" i="15"/>
  <c r="AK98" i="15" s="1"/>
  <c r="J98" i="15"/>
  <c r="AJ98" i="15" s="1"/>
  <c r="I98" i="15"/>
  <c r="AI98" i="15" s="1"/>
  <c r="G98" i="15"/>
  <c r="H98" i="15" s="1"/>
  <c r="X97" i="15"/>
  <c r="AA97" i="15" s="1"/>
  <c r="AC97" i="15" s="1"/>
  <c r="R97" i="15"/>
  <c r="BC97" i="15" s="1"/>
  <c r="Q97" i="15"/>
  <c r="AQ97" i="15" s="1"/>
  <c r="P97" i="15"/>
  <c r="AP97" i="15" s="1"/>
  <c r="O97" i="15"/>
  <c r="AO97" i="15" s="1"/>
  <c r="N97" i="15"/>
  <c r="AY97" i="15" s="1"/>
  <c r="M97" i="15"/>
  <c r="AM97" i="15" s="1"/>
  <c r="L97" i="15"/>
  <c r="AL97" i="15" s="1"/>
  <c r="K97" i="15"/>
  <c r="AK97" i="15" s="1"/>
  <c r="J97" i="15"/>
  <c r="AJ97" i="15" s="1"/>
  <c r="I97" i="15"/>
  <c r="AT97" i="15" s="1"/>
  <c r="G97" i="15"/>
  <c r="H97" i="15" s="1"/>
  <c r="X96" i="15"/>
  <c r="AA96" i="15" s="1"/>
  <c r="AC96" i="15" s="1"/>
  <c r="R96" i="15"/>
  <c r="AR96" i="15" s="1"/>
  <c r="Q96" i="15"/>
  <c r="AQ96" i="15" s="1"/>
  <c r="P96" i="15"/>
  <c r="AP96" i="15" s="1"/>
  <c r="O96" i="15"/>
  <c r="AZ96" i="15" s="1"/>
  <c r="N96" i="15"/>
  <c r="AY96" i="15" s="1"/>
  <c r="M96" i="15"/>
  <c r="AX96" i="15" s="1"/>
  <c r="L96" i="15"/>
  <c r="AL96" i="15" s="1"/>
  <c r="K96" i="15"/>
  <c r="AK96" i="15" s="1"/>
  <c r="J96" i="15"/>
  <c r="AJ96" i="15" s="1"/>
  <c r="I96" i="15"/>
  <c r="AI96" i="15" s="1"/>
  <c r="G96" i="15"/>
  <c r="H96" i="15" s="1"/>
  <c r="X95" i="15"/>
  <c r="AA95" i="15" s="1"/>
  <c r="AC95" i="15" s="1"/>
  <c r="R95" i="15"/>
  <c r="BC95" i="15" s="1"/>
  <c r="Q95" i="15"/>
  <c r="AQ95" i="15" s="1"/>
  <c r="P95" i="15"/>
  <c r="BA95" i="15" s="1"/>
  <c r="O95" i="15"/>
  <c r="AO95" i="15" s="1"/>
  <c r="N95" i="15"/>
  <c r="AN95" i="15" s="1"/>
  <c r="M95" i="15"/>
  <c r="AX95" i="15" s="1"/>
  <c r="L95" i="15"/>
  <c r="AW95" i="15" s="1"/>
  <c r="K95" i="15"/>
  <c r="AK95" i="15" s="1"/>
  <c r="J95" i="15"/>
  <c r="AJ95" i="15" s="1"/>
  <c r="I95" i="15"/>
  <c r="G95" i="15"/>
  <c r="H95" i="15" s="1"/>
  <c r="X94" i="15"/>
  <c r="AA94" i="15" s="1"/>
  <c r="AC94" i="15" s="1"/>
  <c r="R94" i="15"/>
  <c r="BC94" i="15" s="1"/>
  <c r="Q94" i="15"/>
  <c r="BB94" i="15" s="1"/>
  <c r="P94" i="15"/>
  <c r="AP94" i="15" s="1"/>
  <c r="O94" i="15"/>
  <c r="AO94" i="15" s="1"/>
  <c r="N94" i="15"/>
  <c r="AN94" i="15" s="1"/>
  <c r="M94" i="15"/>
  <c r="AX94" i="15" s="1"/>
  <c r="L94" i="15"/>
  <c r="AW94" i="15" s="1"/>
  <c r="K94" i="15"/>
  <c r="AV94" i="15" s="1"/>
  <c r="J94" i="15"/>
  <c r="AJ94" i="15" s="1"/>
  <c r="I94" i="15"/>
  <c r="AT94" i="15" s="1"/>
  <c r="G94" i="15"/>
  <c r="H94" i="15" s="1"/>
  <c r="X93" i="15"/>
  <c r="AA93" i="15" s="1"/>
  <c r="AC93" i="15" s="1"/>
  <c r="R93" i="15"/>
  <c r="BC93" i="15" s="1"/>
  <c r="Q93" i="15"/>
  <c r="BB93" i="15" s="1"/>
  <c r="P93" i="15"/>
  <c r="BA93" i="15" s="1"/>
  <c r="O93" i="15"/>
  <c r="AO93" i="15" s="1"/>
  <c r="N93" i="15"/>
  <c r="AY93" i="15" s="1"/>
  <c r="M93" i="15"/>
  <c r="AM93" i="15" s="1"/>
  <c r="L93" i="15"/>
  <c r="AW93" i="15" s="1"/>
  <c r="K93" i="15"/>
  <c r="AK93" i="15" s="1"/>
  <c r="J93" i="15"/>
  <c r="I93" i="15"/>
  <c r="AI93" i="15" s="1"/>
  <c r="G93" i="15"/>
  <c r="H93" i="15" s="1"/>
  <c r="X92" i="15"/>
  <c r="AA92" i="15" s="1"/>
  <c r="AC92" i="15" s="1"/>
  <c r="R92" i="15"/>
  <c r="AR92" i="15" s="1"/>
  <c r="Q92" i="15"/>
  <c r="BB92" i="15" s="1"/>
  <c r="P92" i="15"/>
  <c r="BA92" i="15" s="1"/>
  <c r="O92" i="15"/>
  <c r="AZ92" i="15" s="1"/>
  <c r="N92" i="15"/>
  <c r="AN92" i="15" s="1"/>
  <c r="M92" i="15"/>
  <c r="AM92" i="15" s="1"/>
  <c r="L92" i="15"/>
  <c r="AL92" i="15" s="1"/>
  <c r="K92" i="15"/>
  <c r="AV92" i="15" s="1"/>
  <c r="J92" i="15"/>
  <c r="AU92" i="15" s="1"/>
  <c r="I92" i="15"/>
  <c r="AT92" i="15" s="1"/>
  <c r="G92" i="15"/>
  <c r="H92" i="15" s="1"/>
  <c r="X91" i="15"/>
  <c r="AA91" i="15" s="1"/>
  <c r="AC91" i="15" s="1"/>
  <c r="R91" i="15"/>
  <c r="AR91" i="15" s="1"/>
  <c r="Q91" i="15"/>
  <c r="AQ91" i="15" s="1"/>
  <c r="P91" i="15"/>
  <c r="BA91" i="15" s="1"/>
  <c r="O91" i="15"/>
  <c r="AZ91" i="15" s="1"/>
  <c r="N91" i="15"/>
  <c r="AY91" i="15" s="1"/>
  <c r="M91" i="15"/>
  <c r="AM91" i="15" s="1"/>
  <c r="L91" i="15"/>
  <c r="AW91" i="15" s="1"/>
  <c r="K91" i="15"/>
  <c r="AK91" i="15" s="1"/>
  <c r="J91" i="15"/>
  <c r="AU91" i="15" s="1"/>
  <c r="I91" i="15"/>
  <c r="AT91" i="15" s="1"/>
  <c r="G91" i="15"/>
  <c r="H91" i="15" s="1"/>
  <c r="X90" i="15"/>
  <c r="AA90" i="15" s="1"/>
  <c r="AC90" i="15" s="1"/>
  <c r="R90" i="15"/>
  <c r="AR90" i="15" s="1"/>
  <c r="Q90" i="15"/>
  <c r="BB90" i="15" s="1"/>
  <c r="P90" i="15"/>
  <c r="AP90" i="15" s="1"/>
  <c r="O90" i="15"/>
  <c r="AO90" i="15" s="1"/>
  <c r="N90" i="15"/>
  <c r="AY90" i="15" s="1"/>
  <c r="M90" i="15"/>
  <c r="AX90" i="15" s="1"/>
  <c r="L90" i="15"/>
  <c r="AL90" i="15" s="1"/>
  <c r="K90" i="15"/>
  <c r="AK90" i="15" s="1"/>
  <c r="J90" i="15"/>
  <c r="AJ90" i="15" s="1"/>
  <c r="I90" i="15"/>
  <c r="AI90" i="15" s="1"/>
  <c r="G90" i="15"/>
  <c r="H90" i="15" s="1"/>
  <c r="X89" i="15"/>
  <c r="AA89" i="15" s="1"/>
  <c r="AC89" i="15" s="1"/>
  <c r="R89" i="15"/>
  <c r="BC89" i="15" s="1"/>
  <c r="Q89" i="15"/>
  <c r="AQ89" i="15" s="1"/>
  <c r="P89" i="15"/>
  <c r="AP89" i="15" s="1"/>
  <c r="O89" i="15"/>
  <c r="AO89" i="15" s="1"/>
  <c r="N89" i="15"/>
  <c r="AY89" i="15" s="1"/>
  <c r="M89" i="15"/>
  <c r="AX89" i="15" s="1"/>
  <c r="L89" i="15"/>
  <c r="AW89" i="15" s="1"/>
  <c r="K89" i="15"/>
  <c r="AK89" i="15" s="1"/>
  <c r="J89" i="15"/>
  <c r="AU89" i="15" s="1"/>
  <c r="I89" i="15"/>
  <c r="AI89" i="15" s="1"/>
  <c r="G89" i="15"/>
  <c r="H89" i="15" s="1"/>
  <c r="X88" i="15"/>
  <c r="AA88" i="15" s="1"/>
  <c r="AC88" i="15" s="1"/>
  <c r="R88" i="15"/>
  <c r="BC88" i="15" s="1"/>
  <c r="Q88" i="15"/>
  <c r="BB88" i="15" s="1"/>
  <c r="P88" i="15"/>
  <c r="AP88" i="15" s="1"/>
  <c r="O88" i="15"/>
  <c r="AO88" i="15" s="1"/>
  <c r="N88" i="15"/>
  <c r="AN88" i="15" s="1"/>
  <c r="M88" i="15"/>
  <c r="AX88" i="15" s="1"/>
  <c r="L88" i="15"/>
  <c r="AW88" i="15" s="1"/>
  <c r="K88" i="15"/>
  <c r="AV88" i="15" s="1"/>
  <c r="J88" i="15"/>
  <c r="AJ88" i="15" s="1"/>
  <c r="I88" i="15"/>
  <c r="G88" i="15"/>
  <c r="H88" i="15" s="1"/>
  <c r="X87" i="15"/>
  <c r="AA87" i="15" s="1"/>
  <c r="AC87" i="15" s="1"/>
  <c r="R87" i="15"/>
  <c r="AR87" i="15" s="1"/>
  <c r="Q87" i="15"/>
  <c r="AQ87" i="15" s="1"/>
  <c r="P87" i="15"/>
  <c r="BA87" i="15" s="1"/>
  <c r="O87" i="15"/>
  <c r="AO87" i="15" s="1"/>
  <c r="N87" i="15"/>
  <c r="AN87" i="15" s="1"/>
  <c r="M87" i="15"/>
  <c r="AM87" i="15" s="1"/>
  <c r="L87" i="15"/>
  <c r="AW87" i="15" s="1"/>
  <c r="K87" i="15"/>
  <c r="AV87" i="15" s="1"/>
  <c r="J87" i="15"/>
  <c r="AU87" i="15" s="1"/>
  <c r="I87" i="15"/>
  <c r="AI87" i="15" s="1"/>
  <c r="G87" i="15"/>
  <c r="H87" i="15" s="1"/>
  <c r="X86" i="15"/>
  <c r="AA86" i="15" s="1"/>
  <c r="AC86" i="15" s="1"/>
  <c r="R86" i="15"/>
  <c r="AR86" i="15" s="1"/>
  <c r="Q86" i="15"/>
  <c r="BB86" i="15" s="1"/>
  <c r="P86" i="15"/>
  <c r="BA86" i="15" s="1"/>
  <c r="O86" i="15"/>
  <c r="AZ86" i="15" s="1"/>
  <c r="N86" i="15"/>
  <c r="AN86" i="15" s="1"/>
  <c r="M86" i="15"/>
  <c r="AX86" i="15" s="1"/>
  <c r="L86" i="15"/>
  <c r="AL86" i="15" s="1"/>
  <c r="K86" i="15"/>
  <c r="AK86" i="15" s="1"/>
  <c r="J86" i="15"/>
  <c r="AJ86" i="15" s="1"/>
  <c r="I86" i="15"/>
  <c r="G86" i="15"/>
  <c r="H86" i="15" s="1"/>
  <c r="X85" i="15"/>
  <c r="AA85" i="15" s="1"/>
  <c r="AC85" i="15" s="1"/>
  <c r="R85" i="15"/>
  <c r="BC85" i="15" s="1"/>
  <c r="Q85" i="15"/>
  <c r="AQ85" i="15" s="1"/>
  <c r="P85" i="15"/>
  <c r="AP85" i="15" s="1"/>
  <c r="O85" i="15"/>
  <c r="AO85" i="15" s="1"/>
  <c r="N85" i="15"/>
  <c r="AY85" i="15" s="1"/>
  <c r="M85" i="15"/>
  <c r="AM85" i="15" s="1"/>
  <c r="L85" i="15"/>
  <c r="AL85" i="15" s="1"/>
  <c r="K85" i="15"/>
  <c r="AK85" i="15" s="1"/>
  <c r="J85" i="15"/>
  <c r="AJ85" i="15" s="1"/>
  <c r="I85" i="15"/>
  <c r="AT85" i="15" s="1"/>
  <c r="G85" i="15"/>
  <c r="H85" i="15" s="1"/>
  <c r="X84" i="15"/>
  <c r="AA84" i="15" s="1"/>
  <c r="AC84" i="15" s="1"/>
  <c r="R84" i="15"/>
  <c r="AR84" i="15" s="1"/>
  <c r="Q84" i="15"/>
  <c r="AQ84" i="15" s="1"/>
  <c r="P84" i="15"/>
  <c r="AP84" i="15" s="1"/>
  <c r="O84" i="15"/>
  <c r="AZ84" i="15" s="1"/>
  <c r="N84" i="15"/>
  <c r="AY84" i="15" s="1"/>
  <c r="M84" i="15"/>
  <c r="AX84" i="15" s="1"/>
  <c r="L84" i="15"/>
  <c r="AL84" i="15" s="1"/>
  <c r="K84" i="15"/>
  <c r="AV84" i="15" s="1"/>
  <c r="J84" i="15"/>
  <c r="AJ84" i="15" s="1"/>
  <c r="I84" i="15"/>
  <c r="AI84" i="15" s="1"/>
  <c r="G84" i="15"/>
  <c r="H84" i="15" s="1"/>
  <c r="X83" i="15"/>
  <c r="AA83" i="15" s="1"/>
  <c r="AC83" i="15" s="1"/>
  <c r="R83" i="15"/>
  <c r="BC83" i="15" s="1"/>
  <c r="Q83" i="15"/>
  <c r="AQ83" i="15" s="1"/>
  <c r="P83" i="15"/>
  <c r="BA83" i="15" s="1"/>
  <c r="O83" i="15"/>
  <c r="AO83" i="15" s="1"/>
  <c r="N83" i="15"/>
  <c r="AY83" i="15" s="1"/>
  <c r="M83" i="15"/>
  <c r="AM83" i="15" s="1"/>
  <c r="L83" i="15"/>
  <c r="AW83" i="15" s="1"/>
  <c r="K83" i="15"/>
  <c r="AK83" i="15" s="1"/>
  <c r="J83" i="15"/>
  <c r="AJ83" i="15" s="1"/>
  <c r="I83" i="15"/>
  <c r="G83" i="15"/>
  <c r="H83" i="15" s="1"/>
  <c r="X82" i="15"/>
  <c r="AA82" i="15" s="1"/>
  <c r="AC82" i="15" s="1"/>
  <c r="R82" i="15"/>
  <c r="AR82" i="15" s="1"/>
  <c r="Q82" i="15"/>
  <c r="BB82" i="15" s="1"/>
  <c r="P82" i="15"/>
  <c r="AP82" i="15" s="1"/>
  <c r="O82" i="15"/>
  <c r="AO82" i="15" s="1"/>
  <c r="N82" i="15"/>
  <c r="AN82" i="15" s="1"/>
  <c r="M82" i="15"/>
  <c r="AX82" i="15" s="1"/>
  <c r="L82" i="15"/>
  <c r="AW82" i="15" s="1"/>
  <c r="K82" i="15"/>
  <c r="AV82" i="15" s="1"/>
  <c r="J82" i="15"/>
  <c r="AJ82" i="15" s="1"/>
  <c r="I82" i="15"/>
  <c r="AT82" i="15" s="1"/>
  <c r="G82" i="15"/>
  <c r="H82" i="15" s="1"/>
  <c r="X81" i="15"/>
  <c r="AA81" i="15" s="1"/>
  <c r="AC81" i="15" s="1"/>
  <c r="R81" i="15"/>
  <c r="AR81" i="15" s="1"/>
  <c r="Q81" i="15"/>
  <c r="BB81" i="15" s="1"/>
  <c r="P81" i="15"/>
  <c r="BA81" i="15" s="1"/>
  <c r="O81" i="15"/>
  <c r="AO81" i="15" s="1"/>
  <c r="N81" i="15"/>
  <c r="AY81" i="15" s="1"/>
  <c r="M81" i="15"/>
  <c r="AM81" i="15" s="1"/>
  <c r="L81" i="15"/>
  <c r="AW81" i="15" s="1"/>
  <c r="K81" i="15"/>
  <c r="AK81" i="15" s="1"/>
  <c r="J81" i="15"/>
  <c r="I81" i="15"/>
  <c r="AI81" i="15" s="1"/>
  <c r="G81" i="15"/>
  <c r="H81" i="15" s="1"/>
  <c r="X80" i="15"/>
  <c r="AA80" i="15" s="1"/>
  <c r="AC80" i="15" s="1"/>
  <c r="R80" i="15"/>
  <c r="AR80" i="15" s="1"/>
  <c r="Q80" i="15"/>
  <c r="BB80" i="15" s="1"/>
  <c r="P80" i="15"/>
  <c r="AP80" i="15" s="1"/>
  <c r="O80" i="15"/>
  <c r="AZ80" i="15" s="1"/>
  <c r="N80" i="15"/>
  <c r="AN80" i="15" s="1"/>
  <c r="M80" i="15"/>
  <c r="AM80" i="15" s="1"/>
  <c r="L80" i="15"/>
  <c r="AL80" i="15" s="1"/>
  <c r="K80" i="15"/>
  <c r="AV80" i="15" s="1"/>
  <c r="J80" i="15"/>
  <c r="AU80" i="15" s="1"/>
  <c r="I80" i="15"/>
  <c r="AT80" i="15" s="1"/>
  <c r="G80" i="15"/>
  <c r="H80" i="15" s="1"/>
  <c r="X79" i="15"/>
  <c r="AA79" i="15" s="1"/>
  <c r="AC79" i="15" s="1"/>
  <c r="R79" i="15"/>
  <c r="AR79" i="15" s="1"/>
  <c r="Q79" i="15"/>
  <c r="AQ79" i="15" s="1"/>
  <c r="P79" i="15"/>
  <c r="AP79" i="15" s="1"/>
  <c r="O79" i="15"/>
  <c r="AZ79" i="15" s="1"/>
  <c r="N79" i="15"/>
  <c r="AY79" i="15" s="1"/>
  <c r="M79" i="15"/>
  <c r="AM79" i="15" s="1"/>
  <c r="L79" i="15"/>
  <c r="AW79" i="15" s="1"/>
  <c r="K79" i="15"/>
  <c r="AK79" i="15" s="1"/>
  <c r="J79" i="15"/>
  <c r="AU79" i="15" s="1"/>
  <c r="I79" i="15"/>
  <c r="AI79" i="15" s="1"/>
  <c r="G79" i="15"/>
  <c r="H79" i="15" s="1"/>
  <c r="X78" i="15"/>
  <c r="AA78" i="15" s="1"/>
  <c r="AC78" i="15" s="1"/>
  <c r="R78" i="15"/>
  <c r="AR78" i="15" s="1"/>
  <c r="Q78" i="15"/>
  <c r="BB78" i="15" s="1"/>
  <c r="P78" i="15"/>
  <c r="AP78" i="15" s="1"/>
  <c r="O78" i="15"/>
  <c r="AO78" i="15" s="1"/>
  <c r="N78" i="15"/>
  <c r="AN78" i="15" s="1"/>
  <c r="M78" i="15"/>
  <c r="AX78" i="15" s="1"/>
  <c r="L78" i="15"/>
  <c r="AL78" i="15" s="1"/>
  <c r="K78" i="15"/>
  <c r="AK78" i="15" s="1"/>
  <c r="J78" i="15"/>
  <c r="AJ78" i="15" s="1"/>
  <c r="I78" i="15"/>
  <c r="AI78" i="15" s="1"/>
  <c r="G78" i="15"/>
  <c r="H78" i="15" s="1"/>
  <c r="X77" i="15"/>
  <c r="AA77" i="15" s="1"/>
  <c r="AC77" i="15" s="1"/>
  <c r="R77" i="15"/>
  <c r="BC77" i="15" s="1"/>
  <c r="Q77" i="15"/>
  <c r="AQ77" i="15" s="1"/>
  <c r="P77" i="15"/>
  <c r="AP77" i="15" s="1"/>
  <c r="O77" i="15"/>
  <c r="AO77" i="15" s="1"/>
  <c r="N77" i="15"/>
  <c r="AY77" i="15" s="1"/>
  <c r="M77" i="15"/>
  <c r="AX77" i="15" s="1"/>
  <c r="L77" i="15"/>
  <c r="AW77" i="15" s="1"/>
  <c r="K77" i="15"/>
  <c r="AK77" i="15" s="1"/>
  <c r="J77" i="15"/>
  <c r="AU77" i="15" s="1"/>
  <c r="I77" i="15"/>
  <c r="AI77" i="15" s="1"/>
  <c r="G77" i="15"/>
  <c r="H77" i="15" s="1"/>
  <c r="X76" i="15"/>
  <c r="AA76" i="15" s="1"/>
  <c r="AC76" i="15" s="1"/>
  <c r="R76" i="15"/>
  <c r="BC76" i="15" s="1"/>
  <c r="Q76" i="15"/>
  <c r="BB76" i="15" s="1"/>
  <c r="P76" i="15"/>
  <c r="AP76" i="15" s="1"/>
  <c r="O76" i="15"/>
  <c r="AZ76" i="15" s="1"/>
  <c r="N76" i="15"/>
  <c r="AN76" i="15" s="1"/>
  <c r="M76" i="15"/>
  <c r="L76" i="15"/>
  <c r="AL76" i="15" s="1"/>
  <c r="K76" i="15"/>
  <c r="AV76" i="15" s="1"/>
  <c r="J76" i="15"/>
  <c r="AJ76" i="15" s="1"/>
  <c r="I76" i="15"/>
  <c r="G76" i="15"/>
  <c r="H76" i="15" s="1"/>
  <c r="AA75" i="15"/>
  <c r="AC75" i="15" s="1"/>
  <c r="X75" i="15"/>
  <c r="R75" i="15"/>
  <c r="AR75" i="15" s="1"/>
  <c r="Q75" i="15"/>
  <c r="AQ75" i="15" s="1"/>
  <c r="P75" i="15"/>
  <c r="BA75" i="15" s="1"/>
  <c r="O75" i="15"/>
  <c r="AO75" i="15" s="1"/>
  <c r="N75" i="15"/>
  <c r="AN75" i="15" s="1"/>
  <c r="M75" i="15"/>
  <c r="L75" i="15"/>
  <c r="AW75" i="15" s="1"/>
  <c r="K75" i="15"/>
  <c r="AV75" i="15" s="1"/>
  <c r="J75" i="15"/>
  <c r="AU75" i="15" s="1"/>
  <c r="I75" i="15"/>
  <c r="G75" i="15"/>
  <c r="H75" i="15" s="1"/>
  <c r="X74" i="15"/>
  <c r="AA74" i="15" s="1"/>
  <c r="AC74" i="15" s="1"/>
  <c r="R74" i="15"/>
  <c r="AR74" i="15" s="1"/>
  <c r="Q74" i="15"/>
  <c r="AQ74" i="15" s="1"/>
  <c r="P74" i="15"/>
  <c r="BA74" i="15" s="1"/>
  <c r="O74" i="15"/>
  <c r="AZ74" i="15" s="1"/>
  <c r="N74" i="15"/>
  <c r="AN74" i="15" s="1"/>
  <c r="M74" i="15"/>
  <c r="AX74" i="15" s="1"/>
  <c r="L74" i="15"/>
  <c r="AL74" i="15" s="1"/>
  <c r="K74" i="15"/>
  <c r="AK74" i="15" s="1"/>
  <c r="J74" i="15"/>
  <c r="AJ74" i="15" s="1"/>
  <c r="I74" i="15"/>
  <c r="G74" i="15"/>
  <c r="H74" i="15" s="1"/>
  <c r="X73" i="15"/>
  <c r="AA73" i="15" s="1"/>
  <c r="AC73" i="15" s="1"/>
  <c r="R73" i="15"/>
  <c r="BC73" i="15" s="1"/>
  <c r="Q73" i="15"/>
  <c r="AQ73" i="15" s="1"/>
  <c r="P73" i="15"/>
  <c r="AP73" i="15" s="1"/>
  <c r="O73" i="15"/>
  <c r="AO73" i="15" s="1"/>
  <c r="N73" i="15"/>
  <c r="AY73" i="15" s="1"/>
  <c r="M73" i="15"/>
  <c r="AM73" i="15" s="1"/>
  <c r="L73" i="15"/>
  <c r="AL73" i="15" s="1"/>
  <c r="K73" i="15"/>
  <c r="AK73" i="15" s="1"/>
  <c r="J73" i="15"/>
  <c r="AJ73" i="15" s="1"/>
  <c r="I73" i="15"/>
  <c r="AT73" i="15" s="1"/>
  <c r="G73" i="15"/>
  <c r="H73" i="15" s="1"/>
  <c r="X72" i="15"/>
  <c r="AA72" i="15" s="1"/>
  <c r="AC72" i="15" s="1"/>
  <c r="R72" i="15"/>
  <c r="AR72" i="15" s="1"/>
  <c r="Q72" i="15"/>
  <c r="AQ72" i="15" s="1"/>
  <c r="P72" i="15"/>
  <c r="AP72" i="15" s="1"/>
  <c r="O72" i="15"/>
  <c r="AO72" i="15" s="1"/>
  <c r="N72" i="15"/>
  <c r="AY72" i="15" s="1"/>
  <c r="M72" i="15"/>
  <c r="AX72" i="15" s="1"/>
  <c r="L72" i="15"/>
  <c r="K72" i="15"/>
  <c r="AV72" i="15" s="1"/>
  <c r="J72" i="15"/>
  <c r="AJ72" i="15" s="1"/>
  <c r="I72" i="15"/>
  <c r="AI72" i="15" s="1"/>
  <c r="G72" i="15"/>
  <c r="H72" i="15" s="1"/>
  <c r="X71" i="15"/>
  <c r="AA71" i="15" s="1"/>
  <c r="AC71" i="15" s="1"/>
  <c r="R71" i="15"/>
  <c r="Q71" i="15"/>
  <c r="P71" i="15"/>
  <c r="BA71" i="15" s="1"/>
  <c r="O71" i="15"/>
  <c r="AO71" i="15" s="1"/>
  <c r="N71" i="15"/>
  <c r="AY71" i="15" s="1"/>
  <c r="M71" i="15"/>
  <c r="AX71" i="15" s="1"/>
  <c r="L71" i="15"/>
  <c r="AW71" i="15" s="1"/>
  <c r="K71" i="15"/>
  <c r="AK71" i="15" s="1"/>
  <c r="J71" i="15"/>
  <c r="AJ71" i="15" s="1"/>
  <c r="I71" i="15"/>
  <c r="G71" i="15"/>
  <c r="H71" i="15" s="1"/>
  <c r="X70" i="15"/>
  <c r="AA70" i="15" s="1"/>
  <c r="AC70" i="15" s="1"/>
  <c r="R70" i="15"/>
  <c r="BC70" i="15" s="1"/>
  <c r="Q70" i="15"/>
  <c r="BB70" i="15" s="1"/>
  <c r="P70" i="15"/>
  <c r="AP70" i="15" s="1"/>
  <c r="O70" i="15"/>
  <c r="AO70" i="15" s="1"/>
  <c r="N70" i="15"/>
  <c r="AN70" i="15" s="1"/>
  <c r="M70" i="15"/>
  <c r="AX70" i="15" s="1"/>
  <c r="L70" i="15"/>
  <c r="AW70" i="15" s="1"/>
  <c r="K70" i="15"/>
  <c r="J70" i="15"/>
  <c r="AJ70" i="15" s="1"/>
  <c r="I70" i="15"/>
  <c r="AT70" i="15" s="1"/>
  <c r="G70" i="15"/>
  <c r="H70" i="15" s="1"/>
  <c r="X69" i="15"/>
  <c r="AA69" i="15" s="1"/>
  <c r="AC69" i="15" s="1"/>
  <c r="R69" i="15"/>
  <c r="AR69" i="15" s="1"/>
  <c r="Q69" i="15"/>
  <c r="AQ69" i="15" s="1"/>
  <c r="P69" i="15"/>
  <c r="BA69" i="15" s="1"/>
  <c r="O69" i="15"/>
  <c r="AO69" i="15" s="1"/>
  <c r="N69" i="15"/>
  <c r="AY69" i="15" s="1"/>
  <c r="M69" i="15"/>
  <c r="AM69" i="15" s="1"/>
  <c r="L69" i="15"/>
  <c r="AW69" i="15" s="1"/>
  <c r="K69" i="15"/>
  <c r="AV69" i="15" s="1"/>
  <c r="J69" i="15"/>
  <c r="AU69" i="15" s="1"/>
  <c r="I69" i="15"/>
  <c r="G69" i="15"/>
  <c r="H69" i="15" s="1"/>
  <c r="X68" i="15"/>
  <c r="AA68" i="15" s="1"/>
  <c r="AC68" i="15" s="1"/>
  <c r="R68" i="15"/>
  <c r="AR68" i="15" s="1"/>
  <c r="Q68" i="15"/>
  <c r="AQ68" i="15" s="1"/>
  <c r="P68" i="15"/>
  <c r="AP68" i="15" s="1"/>
  <c r="O68" i="15"/>
  <c r="AO68" i="15" s="1"/>
  <c r="N68" i="15"/>
  <c r="AY68" i="15" s="1"/>
  <c r="M68" i="15"/>
  <c r="AM68" i="15" s="1"/>
  <c r="L68" i="15"/>
  <c r="AL68" i="15" s="1"/>
  <c r="K68" i="15"/>
  <c r="AK68" i="15" s="1"/>
  <c r="J68" i="15"/>
  <c r="AJ68" i="15" s="1"/>
  <c r="I68" i="15"/>
  <c r="AT68" i="15" s="1"/>
  <c r="G68" i="15"/>
  <c r="H68" i="15" s="1"/>
  <c r="X67" i="15"/>
  <c r="AA67" i="15" s="1"/>
  <c r="AC67" i="15" s="1"/>
  <c r="R67" i="15"/>
  <c r="BC67" i="15" s="1"/>
  <c r="Q67" i="15"/>
  <c r="AQ67" i="15" s="1"/>
  <c r="P67" i="15"/>
  <c r="AP67" i="15" s="1"/>
  <c r="O67" i="15"/>
  <c r="AO67" i="15" s="1"/>
  <c r="N67" i="15"/>
  <c r="AN67" i="15" s="1"/>
  <c r="M67" i="15"/>
  <c r="AM67" i="15" s="1"/>
  <c r="L67" i="15"/>
  <c r="AW67" i="15" s="1"/>
  <c r="K67" i="15"/>
  <c r="AK67" i="15" s="1"/>
  <c r="J67" i="15"/>
  <c r="AJ67" i="15" s="1"/>
  <c r="I67" i="15"/>
  <c r="AI67" i="15" s="1"/>
  <c r="G67" i="15"/>
  <c r="H67" i="15" s="1"/>
  <c r="X66" i="15"/>
  <c r="AA66" i="15" s="1"/>
  <c r="AC66" i="15" s="1"/>
  <c r="R66" i="15"/>
  <c r="AR66" i="15" s="1"/>
  <c r="Q66" i="15"/>
  <c r="BB66" i="15" s="1"/>
  <c r="P66" i="15"/>
  <c r="AP66" i="15" s="1"/>
  <c r="O66" i="15"/>
  <c r="AO66" i="15" s="1"/>
  <c r="N66" i="15"/>
  <c r="AN66" i="15" s="1"/>
  <c r="M66" i="15"/>
  <c r="AX66" i="15" s="1"/>
  <c r="L66" i="15"/>
  <c r="AL66" i="15" s="1"/>
  <c r="K66" i="15"/>
  <c r="AV66" i="15" s="1"/>
  <c r="J66" i="15"/>
  <c r="AJ66" i="15" s="1"/>
  <c r="I66" i="15"/>
  <c r="G66" i="15"/>
  <c r="H66" i="15" s="1"/>
  <c r="X65" i="15"/>
  <c r="AA65" i="15" s="1"/>
  <c r="AC65" i="15" s="1"/>
  <c r="R65" i="15"/>
  <c r="BC65" i="15" s="1"/>
  <c r="Q65" i="15"/>
  <c r="AQ65" i="15" s="1"/>
  <c r="P65" i="15"/>
  <c r="BA65" i="15" s="1"/>
  <c r="O65" i="15"/>
  <c r="AO65" i="15" s="1"/>
  <c r="N65" i="15"/>
  <c r="AN65" i="15" s="1"/>
  <c r="M65" i="15"/>
  <c r="L65" i="15"/>
  <c r="AL65" i="15" s="1"/>
  <c r="K65" i="15"/>
  <c r="AK65" i="15" s="1"/>
  <c r="J65" i="15"/>
  <c r="AU65" i="15" s="1"/>
  <c r="I65" i="15"/>
  <c r="G65" i="15"/>
  <c r="H65" i="15" s="1"/>
  <c r="X64" i="15"/>
  <c r="AA64" i="15" s="1"/>
  <c r="AC64" i="15" s="1"/>
  <c r="R64" i="15"/>
  <c r="AR64" i="15" s="1"/>
  <c r="Q64" i="15"/>
  <c r="AQ64" i="15" s="1"/>
  <c r="P64" i="15"/>
  <c r="AP64" i="15" s="1"/>
  <c r="O64" i="15"/>
  <c r="AZ64" i="15" s="1"/>
  <c r="N64" i="15"/>
  <c r="AN64" i="15" s="1"/>
  <c r="M64" i="15"/>
  <c r="AM64" i="15" s="1"/>
  <c r="L64" i="15"/>
  <c r="AL64" i="15" s="1"/>
  <c r="K64" i="15"/>
  <c r="AV64" i="15" s="1"/>
  <c r="J64" i="15"/>
  <c r="AJ64" i="15" s="1"/>
  <c r="I64" i="15"/>
  <c r="AI64" i="15" s="1"/>
  <c r="G64" i="15"/>
  <c r="H64" i="15" s="1"/>
  <c r="X63" i="15"/>
  <c r="AA63" i="15" s="1"/>
  <c r="AC63" i="15" s="1"/>
  <c r="R63" i="15"/>
  <c r="AR63" i="15" s="1"/>
  <c r="Q63" i="15"/>
  <c r="AQ63" i="15" s="1"/>
  <c r="P63" i="15"/>
  <c r="BA63" i="15" s="1"/>
  <c r="O63" i="15"/>
  <c r="AO63" i="15" s="1"/>
  <c r="N63" i="15"/>
  <c r="AY63" i="15" s="1"/>
  <c r="M63" i="15"/>
  <c r="L63" i="15"/>
  <c r="AL63" i="15" s="1"/>
  <c r="K63" i="15"/>
  <c r="AK63" i="15" s="1"/>
  <c r="J63" i="15"/>
  <c r="AJ63" i="15" s="1"/>
  <c r="I63" i="15"/>
  <c r="AI63" i="15" s="1"/>
  <c r="G63" i="15"/>
  <c r="H63" i="15" s="1"/>
  <c r="X62" i="15"/>
  <c r="AA62" i="15" s="1"/>
  <c r="AC62" i="15" s="1"/>
  <c r="R62" i="15"/>
  <c r="AR62" i="15" s="1"/>
  <c r="Q62" i="15"/>
  <c r="AQ62" i="15" s="1"/>
  <c r="P62" i="15"/>
  <c r="AP62" i="15" s="1"/>
  <c r="O62" i="15"/>
  <c r="AO62" i="15" s="1"/>
  <c r="N62" i="15"/>
  <c r="AN62" i="15" s="1"/>
  <c r="M62" i="15"/>
  <c r="AX62" i="15" s="1"/>
  <c r="L62" i="15"/>
  <c r="AL62" i="15" s="1"/>
  <c r="K62" i="15"/>
  <c r="AK62" i="15" s="1"/>
  <c r="J62" i="15"/>
  <c r="AJ62" i="15" s="1"/>
  <c r="I62" i="15"/>
  <c r="AT62" i="15" s="1"/>
  <c r="G62" i="15"/>
  <c r="H62" i="15" s="1"/>
  <c r="X61" i="15"/>
  <c r="AA61" i="15" s="1"/>
  <c r="AC61" i="15" s="1"/>
  <c r="R61" i="15"/>
  <c r="BC61" i="15" s="1"/>
  <c r="Q61" i="15"/>
  <c r="AQ61" i="15" s="1"/>
  <c r="P61" i="15"/>
  <c r="AP61" i="15" s="1"/>
  <c r="O61" i="15"/>
  <c r="AO61" i="15" s="1"/>
  <c r="N61" i="15"/>
  <c r="AY61" i="15" s="1"/>
  <c r="M61" i="15"/>
  <c r="AM61" i="15" s="1"/>
  <c r="L61" i="15"/>
  <c r="AW61" i="15" s="1"/>
  <c r="K61" i="15"/>
  <c r="J61" i="15"/>
  <c r="AJ61" i="15" s="1"/>
  <c r="I61" i="15"/>
  <c r="AI61" i="15" s="1"/>
  <c r="G61" i="15"/>
  <c r="H61" i="15" s="1"/>
  <c r="X60" i="15"/>
  <c r="AA60" i="15" s="1"/>
  <c r="AC60" i="15" s="1"/>
  <c r="R60" i="15"/>
  <c r="AR60" i="15" s="1"/>
  <c r="Q60" i="15"/>
  <c r="BB60" i="15" s="1"/>
  <c r="P60" i="15"/>
  <c r="AP60" i="15" s="1"/>
  <c r="O60" i="15"/>
  <c r="AO60" i="15" s="1"/>
  <c r="N60" i="15"/>
  <c r="AN60" i="15" s="1"/>
  <c r="M60" i="15"/>
  <c r="AM60" i="15" s="1"/>
  <c r="L60" i="15"/>
  <c r="AL60" i="15" s="1"/>
  <c r="K60" i="15"/>
  <c r="AV60" i="15" s="1"/>
  <c r="J60" i="15"/>
  <c r="AJ60" i="15" s="1"/>
  <c r="I60" i="15"/>
  <c r="AI60" i="15" s="1"/>
  <c r="G60" i="15"/>
  <c r="H60" i="15" s="1"/>
  <c r="X59" i="15"/>
  <c r="AA59" i="15" s="1"/>
  <c r="AC59" i="15" s="1"/>
  <c r="R59" i="15"/>
  <c r="AR59" i="15" s="1"/>
  <c r="Q59" i="15"/>
  <c r="AQ59" i="15" s="1"/>
  <c r="P59" i="15"/>
  <c r="BA59" i="15" s="1"/>
  <c r="O59" i="15"/>
  <c r="AO59" i="15" s="1"/>
  <c r="N59" i="15"/>
  <c r="AN59" i="15" s="1"/>
  <c r="M59" i="15"/>
  <c r="L59" i="15"/>
  <c r="AW59" i="15" s="1"/>
  <c r="K59" i="15"/>
  <c r="AK59" i="15" s="1"/>
  <c r="J59" i="15"/>
  <c r="AU59" i="15" s="1"/>
  <c r="I59" i="15"/>
  <c r="G59" i="15"/>
  <c r="H59" i="15" s="1"/>
  <c r="X58" i="15"/>
  <c r="AA58" i="15" s="1"/>
  <c r="AC58" i="15" s="1"/>
  <c r="R58" i="15"/>
  <c r="AR58" i="15" s="1"/>
  <c r="Q58" i="15"/>
  <c r="BB58" i="15" s="1"/>
  <c r="P58" i="15"/>
  <c r="AP58" i="15" s="1"/>
  <c r="O58" i="15"/>
  <c r="AZ58" i="15" s="1"/>
  <c r="N58" i="15"/>
  <c r="AN58" i="15" s="1"/>
  <c r="M58" i="15"/>
  <c r="AM58" i="15" s="1"/>
  <c r="L58" i="15"/>
  <c r="AL58" i="15" s="1"/>
  <c r="K58" i="15"/>
  <c r="AK58" i="15" s="1"/>
  <c r="J58" i="15"/>
  <c r="AJ58" i="15" s="1"/>
  <c r="I58" i="15"/>
  <c r="G58" i="15"/>
  <c r="H58" i="15" s="1"/>
  <c r="X57" i="15"/>
  <c r="AA57" i="15" s="1"/>
  <c r="AC57" i="15" s="1"/>
  <c r="R57" i="15"/>
  <c r="AR57" i="15" s="1"/>
  <c r="Q57" i="15"/>
  <c r="AQ57" i="15" s="1"/>
  <c r="P57" i="15"/>
  <c r="AP57" i="15" s="1"/>
  <c r="O57" i="15"/>
  <c r="AO57" i="15" s="1"/>
  <c r="N57" i="15"/>
  <c r="AY57" i="15" s="1"/>
  <c r="M57" i="15"/>
  <c r="AM57" i="15" s="1"/>
  <c r="L57" i="15"/>
  <c r="AL57" i="15" s="1"/>
  <c r="K57" i="15"/>
  <c r="AK57" i="15" s="1"/>
  <c r="J57" i="15"/>
  <c r="AU57" i="15" s="1"/>
  <c r="I57" i="15"/>
  <c r="AI57" i="15" s="1"/>
  <c r="G57" i="15"/>
  <c r="H57" i="15" s="1"/>
  <c r="X56" i="15"/>
  <c r="AA56" i="15" s="1"/>
  <c r="AC56" i="15" s="1"/>
  <c r="R56" i="15"/>
  <c r="AR56" i="15" s="1"/>
  <c r="Q56" i="15"/>
  <c r="AQ56" i="15" s="1"/>
  <c r="P56" i="15"/>
  <c r="AP56" i="15" s="1"/>
  <c r="O56" i="15"/>
  <c r="AZ56" i="15" s="1"/>
  <c r="N56" i="15"/>
  <c r="AN56" i="15" s="1"/>
  <c r="M56" i="15"/>
  <c r="L56" i="15"/>
  <c r="AL56" i="15" s="1"/>
  <c r="K56" i="15"/>
  <c r="AK56" i="15" s="1"/>
  <c r="J56" i="15"/>
  <c r="AJ56" i="15" s="1"/>
  <c r="I56" i="15"/>
  <c r="G56" i="15"/>
  <c r="H56" i="15" s="1"/>
  <c r="X55" i="15"/>
  <c r="AA55" i="15" s="1"/>
  <c r="AC55" i="15" s="1"/>
  <c r="R55" i="15"/>
  <c r="BC55" i="15" s="1"/>
  <c r="Q55" i="15"/>
  <c r="AQ55" i="15" s="1"/>
  <c r="P55" i="15"/>
  <c r="AP55" i="15" s="1"/>
  <c r="O55" i="15"/>
  <c r="AO55" i="15" s="1"/>
  <c r="N55" i="15"/>
  <c r="AN55" i="15" s="1"/>
  <c r="M55" i="15"/>
  <c r="AM55" i="15" s="1"/>
  <c r="L55" i="15"/>
  <c r="AW55" i="15" s="1"/>
  <c r="K55" i="15"/>
  <c r="AK55" i="15" s="1"/>
  <c r="J55" i="15"/>
  <c r="AJ55" i="15" s="1"/>
  <c r="I55" i="15"/>
  <c r="G55" i="15"/>
  <c r="H55" i="15" s="1"/>
  <c r="X54" i="15"/>
  <c r="AA54" i="15" s="1"/>
  <c r="AC54" i="15" s="1"/>
  <c r="R54" i="15"/>
  <c r="AR54" i="15" s="1"/>
  <c r="Q54" i="15"/>
  <c r="BB54" i="15" s="1"/>
  <c r="P54" i="15"/>
  <c r="AP54" i="15" s="1"/>
  <c r="O54" i="15"/>
  <c r="AO54" i="15" s="1"/>
  <c r="N54" i="15"/>
  <c r="AN54" i="15" s="1"/>
  <c r="M54" i="15"/>
  <c r="AX54" i="15" s="1"/>
  <c r="L54" i="15"/>
  <c r="AL54" i="15" s="1"/>
  <c r="K54" i="15"/>
  <c r="AV54" i="15" s="1"/>
  <c r="J54" i="15"/>
  <c r="AJ54" i="15" s="1"/>
  <c r="I54" i="15"/>
  <c r="G54" i="15"/>
  <c r="H54" i="15" s="1"/>
  <c r="X53" i="15"/>
  <c r="AA53" i="15" s="1"/>
  <c r="AC53" i="15" s="1"/>
  <c r="R53" i="15"/>
  <c r="BC53" i="15" s="1"/>
  <c r="Q53" i="15"/>
  <c r="AQ53" i="15" s="1"/>
  <c r="P53" i="15"/>
  <c r="BA53" i="15" s="1"/>
  <c r="O53" i="15"/>
  <c r="AO53" i="15" s="1"/>
  <c r="N53" i="15"/>
  <c r="AN53" i="15" s="1"/>
  <c r="M53" i="15"/>
  <c r="AM53" i="15" s="1"/>
  <c r="L53" i="15"/>
  <c r="AL53" i="15" s="1"/>
  <c r="K53" i="15"/>
  <c r="AK53" i="15" s="1"/>
  <c r="J53" i="15"/>
  <c r="AU53" i="15" s="1"/>
  <c r="I53" i="15"/>
  <c r="AI53" i="15" s="1"/>
  <c r="G53" i="15"/>
  <c r="H53" i="15" s="1"/>
  <c r="X52" i="15"/>
  <c r="AA52" i="15" s="1"/>
  <c r="AC52" i="15" s="1"/>
  <c r="R52" i="15"/>
  <c r="AR52" i="15" s="1"/>
  <c r="Q52" i="15"/>
  <c r="AQ52" i="15" s="1"/>
  <c r="P52" i="15"/>
  <c r="AP52" i="15" s="1"/>
  <c r="O52" i="15"/>
  <c r="AZ52" i="15" s="1"/>
  <c r="N52" i="15"/>
  <c r="AN52" i="15" s="1"/>
  <c r="M52" i="15"/>
  <c r="AM52" i="15" s="1"/>
  <c r="L52" i="15"/>
  <c r="AL52" i="15" s="1"/>
  <c r="K52" i="15"/>
  <c r="AV52" i="15" s="1"/>
  <c r="J52" i="15"/>
  <c r="AJ52" i="15" s="1"/>
  <c r="I52" i="15"/>
  <c r="AI52" i="15" s="1"/>
  <c r="G52" i="15"/>
  <c r="H52" i="15" s="1"/>
  <c r="AA51" i="15"/>
  <c r="AC51" i="15" s="1"/>
  <c r="X51" i="15"/>
  <c r="R51" i="15"/>
  <c r="AR51" i="15" s="1"/>
  <c r="Q51" i="15"/>
  <c r="AQ51" i="15" s="1"/>
  <c r="P51" i="15"/>
  <c r="BA51" i="15" s="1"/>
  <c r="O51" i="15"/>
  <c r="AO51" i="15" s="1"/>
  <c r="N51" i="15"/>
  <c r="AY51" i="15" s="1"/>
  <c r="M51" i="15"/>
  <c r="L51" i="15"/>
  <c r="AL51" i="15" s="1"/>
  <c r="K51" i="15"/>
  <c r="AK51" i="15" s="1"/>
  <c r="J51" i="15"/>
  <c r="AJ51" i="15" s="1"/>
  <c r="I51" i="15"/>
  <c r="AI51" i="15" s="1"/>
  <c r="G51" i="15"/>
  <c r="H51" i="15" s="1"/>
  <c r="X50" i="15"/>
  <c r="AA50" i="15" s="1"/>
  <c r="AC50" i="15" s="1"/>
  <c r="R50" i="15"/>
  <c r="AR50" i="15" s="1"/>
  <c r="Q50" i="15"/>
  <c r="AQ50" i="15" s="1"/>
  <c r="P50" i="15"/>
  <c r="AP50" i="15" s="1"/>
  <c r="O50" i="15"/>
  <c r="AO50" i="15" s="1"/>
  <c r="N50" i="15"/>
  <c r="AN50" i="15" s="1"/>
  <c r="M50" i="15"/>
  <c r="AX50" i="15" s="1"/>
  <c r="L50" i="15"/>
  <c r="AL50" i="15" s="1"/>
  <c r="K50" i="15"/>
  <c r="AK50" i="15" s="1"/>
  <c r="J50" i="15"/>
  <c r="AJ50" i="15" s="1"/>
  <c r="I50" i="15"/>
  <c r="AT50" i="15" s="1"/>
  <c r="G50" i="15"/>
  <c r="H50" i="15" s="1"/>
  <c r="X49" i="15"/>
  <c r="AA49" i="15" s="1"/>
  <c r="AC49" i="15" s="1"/>
  <c r="R49" i="15"/>
  <c r="BC49" i="15" s="1"/>
  <c r="Q49" i="15"/>
  <c r="AQ49" i="15" s="1"/>
  <c r="P49" i="15"/>
  <c r="AP49" i="15" s="1"/>
  <c r="O49" i="15"/>
  <c r="AO49" i="15" s="1"/>
  <c r="N49" i="15"/>
  <c r="AY49" i="15" s="1"/>
  <c r="M49" i="15"/>
  <c r="AM49" i="15" s="1"/>
  <c r="L49" i="15"/>
  <c r="AW49" i="15" s="1"/>
  <c r="K49" i="15"/>
  <c r="J49" i="15"/>
  <c r="AJ49" i="15" s="1"/>
  <c r="I49" i="15"/>
  <c r="AI49" i="15" s="1"/>
  <c r="G49" i="15"/>
  <c r="H49" i="15" s="1"/>
  <c r="X48" i="15"/>
  <c r="AA48" i="15" s="1"/>
  <c r="AC48" i="15" s="1"/>
  <c r="R48" i="15"/>
  <c r="AR48" i="15" s="1"/>
  <c r="Q48" i="15"/>
  <c r="BB48" i="15" s="1"/>
  <c r="P48" i="15"/>
  <c r="AP48" i="15" s="1"/>
  <c r="O48" i="15"/>
  <c r="AO48" i="15" s="1"/>
  <c r="N48" i="15"/>
  <c r="AN48" i="15" s="1"/>
  <c r="M48" i="15"/>
  <c r="AM48" i="15" s="1"/>
  <c r="L48" i="15"/>
  <c r="AL48" i="15" s="1"/>
  <c r="K48" i="15"/>
  <c r="AV48" i="15" s="1"/>
  <c r="J48" i="15"/>
  <c r="AJ48" i="15" s="1"/>
  <c r="I48" i="15"/>
  <c r="AI48" i="15" s="1"/>
  <c r="G48" i="15"/>
  <c r="H48" i="15" s="1"/>
  <c r="X47" i="15"/>
  <c r="AA47" i="15" s="1"/>
  <c r="AC47" i="15" s="1"/>
  <c r="R47" i="15"/>
  <c r="AR47" i="15" s="1"/>
  <c r="Q47" i="15"/>
  <c r="AQ47" i="15" s="1"/>
  <c r="P47" i="15"/>
  <c r="BA47" i="15" s="1"/>
  <c r="O47" i="15"/>
  <c r="AO47" i="15" s="1"/>
  <c r="N47" i="15"/>
  <c r="AN47" i="15" s="1"/>
  <c r="M47" i="15"/>
  <c r="AM47" i="15" s="1"/>
  <c r="L47" i="15"/>
  <c r="AW47" i="15" s="1"/>
  <c r="K47" i="15"/>
  <c r="AK47" i="15" s="1"/>
  <c r="J47" i="15"/>
  <c r="AU47" i="15" s="1"/>
  <c r="I47" i="15"/>
  <c r="G47" i="15"/>
  <c r="H47" i="15" s="1"/>
  <c r="X46" i="15"/>
  <c r="AA46" i="15" s="1"/>
  <c r="AC46" i="15" s="1"/>
  <c r="R46" i="15"/>
  <c r="AR46" i="15" s="1"/>
  <c r="Q46" i="15"/>
  <c r="BB46" i="15" s="1"/>
  <c r="P46" i="15"/>
  <c r="AP46" i="15" s="1"/>
  <c r="O46" i="15"/>
  <c r="AZ46" i="15" s="1"/>
  <c r="N46" i="15"/>
  <c r="AN46" i="15" s="1"/>
  <c r="M46" i="15"/>
  <c r="AM46" i="15" s="1"/>
  <c r="L46" i="15"/>
  <c r="AL46" i="15" s="1"/>
  <c r="K46" i="15"/>
  <c r="AK46" i="15" s="1"/>
  <c r="J46" i="15"/>
  <c r="AJ46" i="15" s="1"/>
  <c r="I46" i="15"/>
  <c r="AT46" i="15" s="1"/>
  <c r="G46" i="15"/>
  <c r="H46" i="15" s="1"/>
  <c r="X45" i="15"/>
  <c r="AA45" i="15" s="1"/>
  <c r="AC45" i="15" s="1"/>
  <c r="R45" i="15"/>
  <c r="AR45" i="15" s="1"/>
  <c r="Q45" i="15"/>
  <c r="AQ45" i="15" s="1"/>
  <c r="P45" i="15"/>
  <c r="AP45" i="15" s="1"/>
  <c r="O45" i="15"/>
  <c r="AO45" i="15" s="1"/>
  <c r="N45" i="15"/>
  <c r="AY45" i="15" s="1"/>
  <c r="M45" i="15"/>
  <c r="AM45" i="15" s="1"/>
  <c r="L45" i="15"/>
  <c r="AL45" i="15" s="1"/>
  <c r="K45" i="15"/>
  <c r="AK45" i="15" s="1"/>
  <c r="J45" i="15"/>
  <c r="AU45" i="15" s="1"/>
  <c r="I45" i="15"/>
  <c r="AI45" i="15" s="1"/>
  <c r="G45" i="15"/>
  <c r="H45" i="15" s="1"/>
  <c r="X44" i="15"/>
  <c r="AA44" i="15" s="1"/>
  <c r="AC44" i="15" s="1"/>
  <c r="R44" i="15"/>
  <c r="AR44" i="15" s="1"/>
  <c r="Q44" i="15"/>
  <c r="AQ44" i="15" s="1"/>
  <c r="P44" i="15"/>
  <c r="AP44" i="15" s="1"/>
  <c r="O44" i="15"/>
  <c r="AZ44" i="15" s="1"/>
  <c r="N44" i="15"/>
  <c r="AN44" i="15" s="1"/>
  <c r="M44" i="15"/>
  <c r="AX44" i="15" s="1"/>
  <c r="L44" i="15"/>
  <c r="AL44" i="15" s="1"/>
  <c r="K44" i="15"/>
  <c r="AK44" i="15" s="1"/>
  <c r="J44" i="15"/>
  <c r="AJ44" i="15" s="1"/>
  <c r="I44" i="15"/>
  <c r="G44" i="15"/>
  <c r="H44" i="15" s="1"/>
  <c r="X43" i="15"/>
  <c r="AA43" i="15" s="1"/>
  <c r="AC43" i="15" s="1"/>
  <c r="R43" i="15"/>
  <c r="BC43" i="15" s="1"/>
  <c r="Q43" i="15"/>
  <c r="AQ43" i="15" s="1"/>
  <c r="P43" i="15"/>
  <c r="AP43" i="15" s="1"/>
  <c r="O43" i="15"/>
  <c r="AO43" i="15" s="1"/>
  <c r="N43" i="15"/>
  <c r="AN43" i="15" s="1"/>
  <c r="M43" i="15"/>
  <c r="AM43" i="15" s="1"/>
  <c r="L43" i="15"/>
  <c r="AW43" i="15" s="1"/>
  <c r="K43" i="15"/>
  <c r="AK43" i="15" s="1"/>
  <c r="J43" i="15"/>
  <c r="AJ43" i="15" s="1"/>
  <c r="I43" i="15"/>
  <c r="AI43" i="15" s="1"/>
  <c r="G43" i="15"/>
  <c r="H43" i="15" s="1"/>
  <c r="X42" i="15"/>
  <c r="AA42" i="15" s="1"/>
  <c r="AC42" i="15" s="1"/>
  <c r="R42" i="15"/>
  <c r="AR42" i="15" s="1"/>
  <c r="Q42" i="15"/>
  <c r="BB42" i="15" s="1"/>
  <c r="P42" i="15"/>
  <c r="AP42" i="15" s="1"/>
  <c r="O42" i="15"/>
  <c r="AO42" i="15" s="1"/>
  <c r="N42" i="15"/>
  <c r="AN42" i="15" s="1"/>
  <c r="M42" i="15"/>
  <c r="AX42" i="15" s="1"/>
  <c r="L42" i="15"/>
  <c r="AL42" i="15" s="1"/>
  <c r="K42" i="15"/>
  <c r="AV42" i="15" s="1"/>
  <c r="J42" i="15"/>
  <c r="AJ42" i="15" s="1"/>
  <c r="I42" i="15"/>
  <c r="G42" i="15"/>
  <c r="H42" i="15" s="1"/>
  <c r="X41" i="15"/>
  <c r="AA41" i="15" s="1"/>
  <c r="AC41" i="15" s="1"/>
  <c r="R41" i="15"/>
  <c r="BC41" i="15" s="1"/>
  <c r="Q41" i="15"/>
  <c r="AQ41" i="15" s="1"/>
  <c r="P41" i="15"/>
  <c r="BA41" i="15" s="1"/>
  <c r="O41" i="15"/>
  <c r="AO41" i="15" s="1"/>
  <c r="N41" i="15"/>
  <c r="AN41" i="15" s="1"/>
  <c r="M41" i="15"/>
  <c r="AM41" i="15" s="1"/>
  <c r="L41" i="15"/>
  <c r="AL41" i="15" s="1"/>
  <c r="K41" i="15"/>
  <c r="AK41" i="15" s="1"/>
  <c r="J41" i="15"/>
  <c r="AU41" i="15" s="1"/>
  <c r="I41" i="15"/>
  <c r="AI41" i="15" s="1"/>
  <c r="G41" i="15"/>
  <c r="H41" i="15" s="1"/>
  <c r="X40" i="15"/>
  <c r="AA40" i="15" s="1"/>
  <c r="AC40" i="15" s="1"/>
  <c r="R40" i="15"/>
  <c r="AR40" i="15" s="1"/>
  <c r="Q40" i="15"/>
  <c r="AQ40" i="15" s="1"/>
  <c r="P40" i="15"/>
  <c r="AP40" i="15" s="1"/>
  <c r="O40" i="15"/>
  <c r="AZ40" i="15" s="1"/>
  <c r="N40" i="15"/>
  <c r="AN40" i="15" s="1"/>
  <c r="M40" i="15"/>
  <c r="AM40" i="15" s="1"/>
  <c r="L40" i="15"/>
  <c r="AL40" i="15" s="1"/>
  <c r="K40" i="15"/>
  <c r="AV40" i="15" s="1"/>
  <c r="J40" i="15"/>
  <c r="AJ40" i="15" s="1"/>
  <c r="I40" i="15"/>
  <c r="AI40" i="15" s="1"/>
  <c r="G40" i="15"/>
  <c r="H40" i="15" s="1"/>
  <c r="X39" i="15"/>
  <c r="AA39" i="15" s="1"/>
  <c r="AC39" i="15" s="1"/>
  <c r="R39" i="15"/>
  <c r="AR39" i="15" s="1"/>
  <c r="Q39" i="15"/>
  <c r="AQ39" i="15" s="1"/>
  <c r="P39" i="15"/>
  <c r="BA39" i="15" s="1"/>
  <c r="O39" i="15"/>
  <c r="AO39" i="15" s="1"/>
  <c r="N39" i="15"/>
  <c r="AY39" i="15" s="1"/>
  <c r="M39" i="15"/>
  <c r="L39" i="15"/>
  <c r="AL39" i="15" s="1"/>
  <c r="K39" i="15"/>
  <c r="AK39" i="15" s="1"/>
  <c r="J39" i="15"/>
  <c r="AJ39" i="15" s="1"/>
  <c r="I39" i="15"/>
  <c r="AI39" i="15" s="1"/>
  <c r="G39" i="15"/>
  <c r="H39" i="15" s="1"/>
  <c r="X38" i="15"/>
  <c r="AA38" i="15" s="1"/>
  <c r="AC38" i="15" s="1"/>
  <c r="R38" i="15"/>
  <c r="AR38" i="15" s="1"/>
  <c r="Q38" i="15"/>
  <c r="AQ38" i="15" s="1"/>
  <c r="P38" i="15"/>
  <c r="AP38" i="15" s="1"/>
  <c r="O38" i="15"/>
  <c r="AO38" i="15" s="1"/>
  <c r="N38" i="15"/>
  <c r="AN38" i="15" s="1"/>
  <c r="M38" i="15"/>
  <c r="AX38" i="15" s="1"/>
  <c r="L38" i="15"/>
  <c r="AL38" i="15" s="1"/>
  <c r="K38" i="15"/>
  <c r="AK38" i="15" s="1"/>
  <c r="J38" i="15"/>
  <c r="AJ38" i="15" s="1"/>
  <c r="I38" i="15"/>
  <c r="AT38" i="15" s="1"/>
  <c r="G38" i="15"/>
  <c r="H38" i="15" s="1"/>
  <c r="X37" i="15"/>
  <c r="AA37" i="15" s="1"/>
  <c r="AC37" i="15" s="1"/>
  <c r="R37" i="15"/>
  <c r="BC37" i="15" s="1"/>
  <c r="Q37" i="15"/>
  <c r="AQ37" i="15" s="1"/>
  <c r="P37" i="15"/>
  <c r="AP37" i="15" s="1"/>
  <c r="O37" i="15"/>
  <c r="AO37" i="15" s="1"/>
  <c r="N37" i="15"/>
  <c r="AY37" i="15" s="1"/>
  <c r="M37" i="15"/>
  <c r="AM37" i="15" s="1"/>
  <c r="L37" i="15"/>
  <c r="AW37" i="15" s="1"/>
  <c r="K37" i="15"/>
  <c r="J37" i="15"/>
  <c r="AJ37" i="15" s="1"/>
  <c r="I37" i="15"/>
  <c r="AI37" i="15" s="1"/>
  <c r="G37" i="15"/>
  <c r="H37" i="15" s="1"/>
  <c r="X36" i="15"/>
  <c r="AA36" i="15" s="1"/>
  <c r="AC36" i="15" s="1"/>
  <c r="R36" i="15"/>
  <c r="AR36" i="15" s="1"/>
  <c r="Q36" i="15"/>
  <c r="BB36" i="15" s="1"/>
  <c r="P36" i="15"/>
  <c r="AP36" i="15" s="1"/>
  <c r="O36" i="15"/>
  <c r="AO36" i="15" s="1"/>
  <c r="N36" i="15"/>
  <c r="AN36" i="15" s="1"/>
  <c r="M36" i="15"/>
  <c r="AM36" i="15" s="1"/>
  <c r="L36" i="15"/>
  <c r="AL36" i="15" s="1"/>
  <c r="K36" i="15"/>
  <c r="AV36" i="15" s="1"/>
  <c r="J36" i="15"/>
  <c r="AJ36" i="15" s="1"/>
  <c r="I36" i="15"/>
  <c r="AI36" i="15" s="1"/>
  <c r="G36" i="15"/>
  <c r="H36" i="15" s="1"/>
  <c r="X35" i="15"/>
  <c r="AA35" i="15" s="1"/>
  <c r="AC35" i="15" s="1"/>
  <c r="R35" i="15"/>
  <c r="AR35" i="15" s="1"/>
  <c r="Q35" i="15"/>
  <c r="AQ35" i="15" s="1"/>
  <c r="P35" i="15"/>
  <c r="BA35" i="15" s="1"/>
  <c r="O35" i="15"/>
  <c r="AO35" i="15" s="1"/>
  <c r="N35" i="15"/>
  <c r="AN35" i="15" s="1"/>
  <c r="M35" i="15"/>
  <c r="AM35" i="15" s="1"/>
  <c r="L35" i="15"/>
  <c r="AW35" i="15" s="1"/>
  <c r="K35" i="15"/>
  <c r="AK35" i="15" s="1"/>
  <c r="J35" i="15"/>
  <c r="AU35" i="15" s="1"/>
  <c r="I35" i="15"/>
  <c r="G35" i="15"/>
  <c r="H35" i="15" s="1"/>
  <c r="X34" i="15"/>
  <c r="AA34" i="15" s="1"/>
  <c r="AC34" i="15" s="1"/>
  <c r="R34" i="15"/>
  <c r="AR34" i="15" s="1"/>
  <c r="Q34" i="15"/>
  <c r="BB34" i="15" s="1"/>
  <c r="P34" i="15"/>
  <c r="AP34" i="15" s="1"/>
  <c r="O34" i="15"/>
  <c r="AZ34" i="15" s="1"/>
  <c r="N34" i="15"/>
  <c r="M34" i="15"/>
  <c r="AM34" i="15" s="1"/>
  <c r="L34" i="15"/>
  <c r="AL34" i="15" s="1"/>
  <c r="K34" i="15"/>
  <c r="AK34" i="15" s="1"/>
  <c r="J34" i="15"/>
  <c r="AJ34" i="15" s="1"/>
  <c r="I34" i="15"/>
  <c r="AT34" i="15" s="1"/>
  <c r="G34" i="15"/>
  <c r="H34" i="15" s="1"/>
  <c r="X33" i="15"/>
  <c r="AA33" i="15" s="1"/>
  <c r="AC33" i="15" s="1"/>
  <c r="R33" i="15"/>
  <c r="AR33" i="15" s="1"/>
  <c r="Q33" i="15"/>
  <c r="AQ33" i="15" s="1"/>
  <c r="P33" i="15"/>
  <c r="AP33" i="15" s="1"/>
  <c r="O33" i="15"/>
  <c r="AO33" i="15" s="1"/>
  <c r="N33" i="15"/>
  <c r="AY33" i="15" s="1"/>
  <c r="M33" i="15"/>
  <c r="L33" i="15"/>
  <c r="AL33" i="15" s="1"/>
  <c r="K33" i="15"/>
  <c r="AK33" i="15" s="1"/>
  <c r="J33" i="15"/>
  <c r="AU33" i="15" s="1"/>
  <c r="I33" i="15"/>
  <c r="AI33" i="15" s="1"/>
  <c r="G33" i="15"/>
  <c r="H33" i="15" s="1"/>
  <c r="X32" i="15"/>
  <c r="AA32" i="15" s="1"/>
  <c r="AC32" i="15" s="1"/>
  <c r="R32" i="15"/>
  <c r="BC32" i="15" s="1"/>
  <c r="Q32" i="15"/>
  <c r="AQ32" i="15" s="1"/>
  <c r="P32" i="15"/>
  <c r="AP32" i="15" s="1"/>
  <c r="O32" i="15"/>
  <c r="AO32" i="15" s="1"/>
  <c r="N32" i="15"/>
  <c r="AN32" i="15" s="1"/>
  <c r="M32" i="15"/>
  <c r="L32" i="15"/>
  <c r="AL32" i="15" s="1"/>
  <c r="K32" i="15"/>
  <c r="AK32" i="15" s="1"/>
  <c r="J32" i="15"/>
  <c r="AU32" i="15" s="1"/>
  <c r="I32" i="15"/>
  <c r="X31" i="15"/>
  <c r="AA31" i="15" s="1"/>
  <c r="AC31" i="15" s="1"/>
  <c r="R31" i="15"/>
  <c r="BC31" i="15" s="1"/>
  <c r="Q31" i="15"/>
  <c r="BB31" i="15" s="1"/>
  <c r="P31" i="15"/>
  <c r="AP31" i="15" s="1"/>
  <c r="O31" i="15"/>
  <c r="N31" i="15"/>
  <c r="AY31" i="15" s="1"/>
  <c r="M31" i="15"/>
  <c r="L31" i="15"/>
  <c r="AL31" i="15" s="1"/>
  <c r="K31" i="15"/>
  <c r="J31" i="15"/>
  <c r="I31" i="15"/>
  <c r="AT31" i="15" s="1"/>
  <c r="G31" i="15"/>
  <c r="H31" i="15" s="1"/>
  <c r="X30" i="15"/>
  <c r="AA30" i="15" s="1"/>
  <c r="AC30" i="15" s="1"/>
  <c r="R30" i="15"/>
  <c r="AR30" i="15" s="1"/>
  <c r="Q30" i="15"/>
  <c r="BB30" i="15" s="1"/>
  <c r="P30" i="15"/>
  <c r="AP30" i="15" s="1"/>
  <c r="O30" i="15"/>
  <c r="AO30" i="15" s="1"/>
  <c r="N30" i="15"/>
  <c r="AY30" i="15" s="1"/>
  <c r="M30" i="15"/>
  <c r="AM30" i="15" s="1"/>
  <c r="L30" i="15"/>
  <c r="AL30" i="15" s="1"/>
  <c r="K30" i="15"/>
  <c r="AV30" i="15" s="1"/>
  <c r="J30" i="15"/>
  <c r="AU30" i="15" s="1"/>
  <c r="I30" i="15"/>
  <c r="AI30" i="15" s="1"/>
  <c r="G30" i="15"/>
  <c r="H30" i="15" s="1"/>
  <c r="X29" i="15"/>
  <c r="AA29" i="15" s="1"/>
  <c r="AC29" i="15" s="1"/>
  <c r="R29" i="15"/>
  <c r="AR29" i="15" s="1"/>
  <c r="Q29" i="15"/>
  <c r="AQ29" i="15" s="1"/>
  <c r="P29" i="15"/>
  <c r="BA29" i="15" s="1"/>
  <c r="O29" i="15"/>
  <c r="AZ29" i="15" s="1"/>
  <c r="N29" i="15"/>
  <c r="AN29" i="15" s="1"/>
  <c r="M29" i="15"/>
  <c r="AX29" i="15" s="1"/>
  <c r="L29" i="15"/>
  <c r="AW29" i="15" s="1"/>
  <c r="K29" i="15"/>
  <c r="AV29" i="15" s="1"/>
  <c r="J29" i="15"/>
  <c r="AU29" i="15" s="1"/>
  <c r="I29" i="15"/>
  <c r="G29" i="15"/>
  <c r="H29" i="15" s="1"/>
  <c r="AA28" i="15"/>
  <c r="AC28" i="15" s="1"/>
  <c r="X28" i="15"/>
  <c r="R28" i="15"/>
  <c r="BC28" i="15" s="1"/>
  <c r="Q28" i="15"/>
  <c r="BB28" i="15" s="1"/>
  <c r="P28" i="15"/>
  <c r="BA28" i="15" s="1"/>
  <c r="O28" i="15"/>
  <c r="AZ28" i="15" s="1"/>
  <c r="N28" i="15"/>
  <c r="AN28" i="15" s="1"/>
  <c r="M28" i="15"/>
  <c r="AM28" i="15" s="1"/>
  <c r="L28" i="15"/>
  <c r="AW28" i="15" s="1"/>
  <c r="K28" i="15"/>
  <c r="AK28" i="15" s="1"/>
  <c r="J28" i="15"/>
  <c r="AJ28" i="15" s="1"/>
  <c r="I28" i="15"/>
  <c r="AT28" i="15" s="1"/>
  <c r="G28" i="15"/>
  <c r="H28" i="15" s="1"/>
  <c r="X27" i="15"/>
  <c r="AA27" i="15" s="1"/>
  <c r="AC27" i="15" s="1"/>
  <c r="R27" i="15"/>
  <c r="AR27" i="15" s="1"/>
  <c r="Q27" i="15"/>
  <c r="BB27" i="15" s="1"/>
  <c r="P27" i="15"/>
  <c r="AP27" i="15" s="1"/>
  <c r="O27" i="15"/>
  <c r="AO27" i="15" s="1"/>
  <c r="N27" i="15"/>
  <c r="AY27" i="15" s="1"/>
  <c r="M27" i="15"/>
  <c r="AX27" i="15" s="1"/>
  <c r="L27" i="15"/>
  <c r="AL27" i="15" s="1"/>
  <c r="K27" i="15"/>
  <c r="AV27" i="15" s="1"/>
  <c r="J27" i="15"/>
  <c r="AU27" i="15" s="1"/>
  <c r="I27" i="15"/>
  <c r="AT27" i="15" s="1"/>
  <c r="G27" i="15"/>
  <c r="H27" i="15" s="1"/>
  <c r="X26" i="15"/>
  <c r="AA26" i="15" s="1"/>
  <c r="AC26" i="15" s="1"/>
  <c r="R26" i="15"/>
  <c r="BC26" i="15" s="1"/>
  <c r="Q26" i="15"/>
  <c r="AQ26" i="15" s="1"/>
  <c r="P26" i="15"/>
  <c r="BA26" i="15" s="1"/>
  <c r="O26" i="15"/>
  <c r="AZ26" i="15" s="1"/>
  <c r="N26" i="15"/>
  <c r="AY26" i="15" s="1"/>
  <c r="M26" i="15"/>
  <c r="AX26" i="15" s="1"/>
  <c r="L26" i="15"/>
  <c r="AL26" i="15" s="1"/>
  <c r="K26" i="15"/>
  <c r="AK26" i="15" s="1"/>
  <c r="J26" i="15"/>
  <c r="AU26" i="15" s="1"/>
  <c r="I26" i="15"/>
  <c r="AI26" i="15" s="1"/>
  <c r="G26" i="15"/>
  <c r="H26" i="15" s="1"/>
  <c r="X25" i="15"/>
  <c r="AA25" i="15" s="1"/>
  <c r="AC25" i="15" s="1"/>
  <c r="R25" i="15"/>
  <c r="BC25" i="15" s="1"/>
  <c r="Q25" i="15"/>
  <c r="AQ25" i="15" s="1"/>
  <c r="P25" i="15"/>
  <c r="AP25" i="15" s="1"/>
  <c r="O25" i="15"/>
  <c r="AZ25" i="15" s="1"/>
  <c r="N25" i="15"/>
  <c r="AN25" i="15" s="1"/>
  <c r="M25" i="15"/>
  <c r="AM25" i="15" s="1"/>
  <c r="L25" i="15"/>
  <c r="AL25" i="15" s="1"/>
  <c r="K25" i="15"/>
  <c r="AV25" i="15" s="1"/>
  <c r="J25" i="15"/>
  <c r="AJ25" i="15" s="1"/>
  <c r="I25" i="15"/>
  <c r="G25" i="15"/>
  <c r="H25" i="15" s="1"/>
  <c r="X24" i="15"/>
  <c r="AA24" i="15" s="1"/>
  <c r="AC24" i="15" s="1"/>
  <c r="R24" i="15"/>
  <c r="AR24" i="15" s="1"/>
  <c r="Q24" i="15"/>
  <c r="BB24" i="15" s="1"/>
  <c r="P24" i="15"/>
  <c r="BA24" i="15" s="1"/>
  <c r="O24" i="15"/>
  <c r="AO24" i="15" s="1"/>
  <c r="N24" i="15"/>
  <c r="AY24" i="15" s="1"/>
  <c r="M24" i="15"/>
  <c r="AX24" i="15" s="1"/>
  <c r="L24" i="15"/>
  <c r="AW24" i="15" s="1"/>
  <c r="K24" i="15"/>
  <c r="AV24" i="15" s="1"/>
  <c r="J24" i="15"/>
  <c r="AJ24" i="15" s="1"/>
  <c r="I24" i="15"/>
  <c r="G24" i="15"/>
  <c r="H24" i="15" s="1"/>
  <c r="X23" i="15"/>
  <c r="AA23" i="15" s="1"/>
  <c r="AC23" i="15" s="1"/>
  <c r="R23" i="15"/>
  <c r="BC23" i="15" s="1"/>
  <c r="Q23" i="15"/>
  <c r="BB23" i="15" s="1"/>
  <c r="P23" i="15"/>
  <c r="BA23" i="15" s="1"/>
  <c r="O23" i="15"/>
  <c r="AO23" i="15" s="1"/>
  <c r="N23" i="15"/>
  <c r="AN23" i="15" s="1"/>
  <c r="M23" i="15"/>
  <c r="AX23" i="15" s="1"/>
  <c r="L23" i="15"/>
  <c r="AL23" i="15" s="1"/>
  <c r="K23" i="15"/>
  <c r="AK23" i="15" s="1"/>
  <c r="J23" i="15"/>
  <c r="AU23" i="15" s="1"/>
  <c r="I23" i="15"/>
  <c r="AT23" i="15" s="1"/>
  <c r="G23" i="15"/>
  <c r="H23" i="15" s="1"/>
  <c r="X22" i="15"/>
  <c r="AA22" i="15" s="1"/>
  <c r="AC22" i="15" s="1"/>
  <c r="R22" i="15"/>
  <c r="BC22" i="15" s="1"/>
  <c r="Q22" i="15"/>
  <c r="AQ22" i="15" s="1"/>
  <c r="P22" i="15"/>
  <c r="AP22" i="15" s="1"/>
  <c r="O22" i="15"/>
  <c r="AZ22" i="15" s="1"/>
  <c r="N22" i="15"/>
  <c r="AY22" i="15" s="1"/>
  <c r="M22" i="15"/>
  <c r="AM22" i="15" s="1"/>
  <c r="L22" i="15"/>
  <c r="AW22" i="15" s="1"/>
  <c r="K22" i="15"/>
  <c r="AV22" i="15" s="1"/>
  <c r="J22" i="15"/>
  <c r="AU22" i="15" s="1"/>
  <c r="I22" i="15"/>
  <c r="AT22" i="15" s="1"/>
  <c r="G22" i="15"/>
  <c r="H22" i="15" s="1"/>
  <c r="X21" i="15"/>
  <c r="AA21" i="15" s="1"/>
  <c r="AC21" i="15" s="1"/>
  <c r="R21" i="15"/>
  <c r="AR21" i="15" s="1"/>
  <c r="Q21" i="15"/>
  <c r="BB21" i="15" s="1"/>
  <c r="P21" i="15"/>
  <c r="BA21" i="15" s="1"/>
  <c r="O21" i="15"/>
  <c r="AO21" i="15" s="1"/>
  <c r="N21" i="15"/>
  <c r="AY21" i="15" s="1"/>
  <c r="M21" i="15"/>
  <c r="AM21" i="15" s="1"/>
  <c r="L21" i="15"/>
  <c r="AL21" i="15" s="1"/>
  <c r="K21" i="15"/>
  <c r="AV21" i="15" s="1"/>
  <c r="J21" i="15"/>
  <c r="AJ21" i="15" s="1"/>
  <c r="I21" i="15"/>
  <c r="AI21" i="15" s="1"/>
  <c r="G21" i="15"/>
  <c r="H21" i="15" s="1"/>
  <c r="X20" i="15"/>
  <c r="AA20" i="15" s="1"/>
  <c r="AC20" i="15" s="1"/>
  <c r="R20" i="15"/>
  <c r="AR20" i="15" s="1"/>
  <c r="Q20" i="15"/>
  <c r="AQ20" i="15" s="1"/>
  <c r="P20" i="15"/>
  <c r="BA20" i="15" s="1"/>
  <c r="O20" i="15"/>
  <c r="N20" i="15"/>
  <c r="AN20" i="15" s="1"/>
  <c r="M20" i="15"/>
  <c r="L20" i="15"/>
  <c r="K20" i="15"/>
  <c r="J20" i="15"/>
  <c r="I20" i="15"/>
  <c r="G20" i="15"/>
  <c r="H20" i="15" s="1"/>
  <c r="AF18" i="15"/>
  <c r="X18" i="15"/>
  <c r="AA18" i="15" s="1"/>
  <c r="AC18" i="15" s="1"/>
  <c r="R18" i="15"/>
  <c r="AR18" i="15" s="1"/>
  <c r="Q18" i="15"/>
  <c r="BB18" i="15" s="1"/>
  <c r="P18" i="15"/>
  <c r="AP18" i="15" s="1"/>
  <c r="O18" i="15"/>
  <c r="AZ18" i="15" s="1"/>
  <c r="N18" i="15"/>
  <c r="AN18" i="15" s="1"/>
  <c r="M18" i="15"/>
  <c r="AM18" i="15" s="1"/>
  <c r="L18" i="15"/>
  <c r="AL18" i="15" s="1"/>
  <c r="K18" i="15"/>
  <c r="J18" i="15"/>
  <c r="AJ18" i="15" s="1"/>
  <c r="I18" i="15"/>
  <c r="AT18" i="15" s="1"/>
  <c r="G18" i="15"/>
  <c r="H18" i="15" s="1"/>
  <c r="AF17" i="15"/>
  <c r="AA17" i="15"/>
  <c r="AC17" i="15" s="1"/>
  <c r="X17" i="15"/>
  <c r="R17" i="15"/>
  <c r="AR17" i="15" s="1"/>
  <c r="Q17" i="15"/>
  <c r="AQ17" i="15" s="1"/>
  <c r="P17" i="15"/>
  <c r="BA17" i="15" s="1"/>
  <c r="O17" i="15"/>
  <c r="AO17" i="15" s="1"/>
  <c r="N17" i="15"/>
  <c r="AN17" i="15" s="1"/>
  <c r="M17" i="15"/>
  <c r="AM17" i="15" s="1"/>
  <c r="L17" i="15"/>
  <c r="AW17" i="15" s="1"/>
  <c r="K17" i="15"/>
  <c r="AK17" i="15" s="1"/>
  <c r="J17" i="15"/>
  <c r="AU17" i="15" s="1"/>
  <c r="I17" i="15"/>
  <c r="AT17" i="15" s="1"/>
  <c r="G17" i="15"/>
  <c r="H17" i="15" s="1"/>
  <c r="AF16" i="15"/>
  <c r="X16" i="15"/>
  <c r="AA16" i="15" s="1"/>
  <c r="AC16" i="15" s="1"/>
  <c r="R16" i="15"/>
  <c r="AR16" i="15" s="1"/>
  <c r="Q16" i="15"/>
  <c r="AQ16" i="15" s="1"/>
  <c r="P16" i="15"/>
  <c r="BA16" i="15" s="1"/>
  <c r="O16" i="15"/>
  <c r="AO16" i="15" s="1"/>
  <c r="N16" i="15"/>
  <c r="AN16" i="15" s="1"/>
  <c r="M16" i="15"/>
  <c r="AM16" i="15" s="1"/>
  <c r="L16" i="15"/>
  <c r="AL16" i="15" s="1"/>
  <c r="K16" i="15"/>
  <c r="AV16" i="15" s="1"/>
  <c r="J16" i="15"/>
  <c r="AJ16" i="15" s="1"/>
  <c r="I16" i="15"/>
  <c r="AI16" i="15" s="1"/>
  <c r="G16" i="15"/>
  <c r="H16" i="15" s="1"/>
  <c r="AF15" i="15"/>
  <c r="X15" i="15"/>
  <c r="AA15" i="15" s="1"/>
  <c r="AC15" i="15" s="1"/>
  <c r="R15" i="15"/>
  <c r="BC15" i="15" s="1"/>
  <c r="Q15" i="15"/>
  <c r="AQ15" i="15" s="1"/>
  <c r="P15" i="15"/>
  <c r="AP15" i="15" s="1"/>
  <c r="O15" i="15"/>
  <c r="AZ15" i="15" s="1"/>
  <c r="N15" i="15"/>
  <c r="AY15" i="15" s="1"/>
  <c r="M15" i="15"/>
  <c r="AM15" i="15" s="1"/>
  <c r="L15" i="15"/>
  <c r="AW15" i="15" s="1"/>
  <c r="K15" i="15"/>
  <c r="AV15" i="15" s="1"/>
  <c r="J15" i="15"/>
  <c r="AJ15" i="15" s="1"/>
  <c r="I15" i="15"/>
  <c r="G15" i="15"/>
  <c r="H15" i="15" s="1"/>
  <c r="AF14" i="15"/>
  <c r="X14" i="15"/>
  <c r="AA14" i="15" s="1"/>
  <c r="AC14" i="15" s="1"/>
  <c r="R14" i="15"/>
  <c r="AR14" i="15" s="1"/>
  <c r="Q14" i="15"/>
  <c r="AQ14" i="15" s="1"/>
  <c r="P14" i="15"/>
  <c r="AP14" i="15" s="1"/>
  <c r="O14" i="15"/>
  <c r="AO14" i="15" s="1"/>
  <c r="N14" i="15"/>
  <c r="AY14" i="15" s="1"/>
  <c r="M14" i="15"/>
  <c r="L14" i="15"/>
  <c r="AL14" i="15" s="1"/>
  <c r="K14" i="15"/>
  <c r="AV14" i="15" s="1"/>
  <c r="J14" i="15"/>
  <c r="AU14" i="15" s="1"/>
  <c r="I14" i="15"/>
  <c r="G14" i="15"/>
  <c r="H14" i="15" s="1"/>
  <c r="AF13" i="15"/>
  <c r="X13" i="15"/>
  <c r="AA13" i="15" s="1"/>
  <c r="AC13" i="15" s="1"/>
  <c r="R13" i="15"/>
  <c r="AR13" i="15" s="1"/>
  <c r="Q13" i="15"/>
  <c r="BB13" i="15" s="1"/>
  <c r="P13" i="15"/>
  <c r="AP13" i="15" s="1"/>
  <c r="O13" i="15"/>
  <c r="AO13" i="15" s="1"/>
  <c r="N13" i="15"/>
  <c r="AN13" i="15" s="1"/>
  <c r="M13" i="15"/>
  <c r="AM13" i="15" s="1"/>
  <c r="L13" i="15"/>
  <c r="AL13" i="15" s="1"/>
  <c r="K13" i="15"/>
  <c r="J13" i="15"/>
  <c r="AJ13" i="15" s="1"/>
  <c r="I13" i="15"/>
  <c r="G13" i="15"/>
  <c r="H13" i="15" s="1"/>
  <c r="AF12" i="15"/>
  <c r="X12" i="15"/>
  <c r="AA12" i="15" s="1"/>
  <c r="AC12" i="15" s="1"/>
  <c r="R12" i="15"/>
  <c r="AR12" i="15" s="1"/>
  <c r="Q12" i="15"/>
  <c r="AQ12" i="15" s="1"/>
  <c r="P12" i="15"/>
  <c r="BA12" i="15" s="1"/>
  <c r="O12" i="15"/>
  <c r="AO12" i="15" s="1"/>
  <c r="N12" i="15"/>
  <c r="AN12" i="15" s="1"/>
  <c r="M12" i="15"/>
  <c r="L12" i="15"/>
  <c r="AW12" i="15" s="1"/>
  <c r="K12" i="15"/>
  <c r="J12" i="15"/>
  <c r="AJ12" i="15" s="1"/>
  <c r="I12" i="15"/>
  <c r="AT12" i="15" s="1"/>
  <c r="G12" i="15"/>
  <c r="H12" i="15" s="1"/>
  <c r="AF11" i="15"/>
  <c r="X11" i="15"/>
  <c r="AA11" i="15" s="1"/>
  <c r="AC11" i="15" s="1"/>
  <c r="R11" i="15"/>
  <c r="AR11" i="15" s="1"/>
  <c r="Q11" i="15"/>
  <c r="BB11" i="15" s="1"/>
  <c r="P11" i="15"/>
  <c r="BA11" i="15" s="1"/>
  <c r="O11" i="15"/>
  <c r="AO11" i="15" s="1"/>
  <c r="N11" i="15"/>
  <c r="AN11" i="15" s="1"/>
  <c r="M11" i="15"/>
  <c r="AM11" i="15" s="1"/>
  <c r="L11" i="15"/>
  <c r="AL11" i="15" s="1"/>
  <c r="K11" i="15"/>
  <c r="AV11" i="15" s="1"/>
  <c r="J11" i="15"/>
  <c r="AJ11" i="15" s="1"/>
  <c r="I11" i="15"/>
  <c r="AI11" i="15" s="1"/>
  <c r="G11" i="15"/>
  <c r="H11" i="15" s="1"/>
  <c r="AF10" i="15"/>
  <c r="X10" i="15"/>
  <c r="AA10" i="15" s="1"/>
  <c r="AC10" i="15" s="1"/>
  <c r="R10" i="15"/>
  <c r="BC10" i="15" s="1"/>
  <c r="Q10" i="15"/>
  <c r="AQ10" i="15" s="1"/>
  <c r="P10" i="15"/>
  <c r="AP10" i="15" s="1"/>
  <c r="O10" i="15"/>
  <c r="AZ10" i="15" s="1"/>
  <c r="N10" i="15"/>
  <c r="AY10" i="15" s="1"/>
  <c r="M10" i="15"/>
  <c r="AM10" i="15" s="1"/>
  <c r="L10" i="15"/>
  <c r="AW10" i="15" s="1"/>
  <c r="K10" i="15"/>
  <c r="AV10" i="15" s="1"/>
  <c r="J10" i="15"/>
  <c r="I10" i="15"/>
  <c r="G10" i="15"/>
  <c r="H10" i="15" s="1"/>
  <c r="AF9" i="15"/>
  <c r="X9" i="15"/>
  <c r="AA9" i="15" s="1"/>
  <c r="AC9" i="15" s="1"/>
  <c r="R9" i="15"/>
  <c r="BC9" i="15" s="1"/>
  <c r="Q9" i="15"/>
  <c r="AQ9" i="15" s="1"/>
  <c r="P9" i="15"/>
  <c r="AP9" i="15" s="1"/>
  <c r="O9" i="15"/>
  <c r="AO9" i="15" s="1"/>
  <c r="N9" i="15"/>
  <c r="AN9" i="15" s="1"/>
  <c r="M9" i="15"/>
  <c r="AX9" i="15" s="1"/>
  <c r="L9" i="15"/>
  <c r="AL9" i="15" s="1"/>
  <c r="K9" i="15"/>
  <c r="J9" i="15"/>
  <c r="I9" i="15"/>
  <c r="AT9" i="15" s="1"/>
  <c r="G9" i="15"/>
  <c r="H9" i="15" s="1"/>
  <c r="AF8" i="15"/>
  <c r="X8" i="15"/>
  <c r="AA8" i="15" s="1"/>
  <c r="AC8" i="15" s="1"/>
  <c r="R8" i="15"/>
  <c r="AR8" i="15" s="1"/>
  <c r="Q8" i="15"/>
  <c r="BB8" i="15" s="1"/>
  <c r="P8" i="15"/>
  <c r="BA8" i="15" s="1"/>
  <c r="O8" i="15"/>
  <c r="AO8" i="15" s="1"/>
  <c r="N8" i="15"/>
  <c r="AY8" i="15" s="1"/>
  <c r="M8" i="15"/>
  <c r="AX8" i="15" s="1"/>
  <c r="L8" i="15"/>
  <c r="AL8" i="15" s="1"/>
  <c r="K8" i="15"/>
  <c r="AK8" i="15" s="1"/>
  <c r="J8" i="15"/>
  <c r="AJ8" i="15" s="1"/>
  <c r="I8" i="15"/>
  <c r="G8" i="15"/>
  <c r="H8" i="15" s="1"/>
  <c r="AF7" i="15"/>
  <c r="X7" i="15"/>
  <c r="AA7" i="15" s="1"/>
  <c r="AC7" i="15" s="1"/>
  <c r="R7" i="15"/>
  <c r="AR7" i="15" s="1"/>
  <c r="Q7" i="15"/>
  <c r="AQ7" i="15" s="1"/>
  <c r="P7" i="15"/>
  <c r="BA7" i="15" s="1"/>
  <c r="O7" i="15"/>
  <c r="AO7" i="15" s="1"/>
  <c r="N7" i="15"/>
  <c r="AN7" i="15" s="1"/>
  <c r="M7" i="15"/>
  <c r="AX7" i="15" s="1"/>
  <c r="L7" i="15"/>
  <c r="AL7" i="15" s="1"/>
  <c r="K7" i="15"/>
  <c r="J7" i="15"/>
  <c r="AJ7" i="15" s="1"/>
  <c r="I7" i="15"/>
  <c r="AT7" i="15" s="1"/>
  <c r="G7" i="15"/>
  <c r="H7" i="15" s="1"/>
  <c r="AF6" i="15"/>
  <c r="X6" i="15"/>
  <c r="AA6" i="15" s="1"/>
  <c r="AC6" i="15" s="1"/>
  <c r="R6" i="15"/>
  <c r="AR6" i="15" s="1"/>
  <c r="Q6" i="15"/>
  <c r="AQ6" i="15" s="1"/>
  <c r="P6" i="15"/>
  <c r="BA6" i="15" s="1"/>
  <c r="O6" i="15"/>
  <c r="AO6" i="15" s="1"/>
  <c r="N6" i="15"/>
  <c r="AN6" i="15" s="1"/>
  <c r="M6" i="15"/>
  <c r="L6" i="15"/>
  <c r="AL6" i="15" s="1"/>
  <c r="K6" i="15"/>
  <c r="AV6" i="15" s="1"/>
  <c r="J6" i="15"/>
  <c r="I6" i="15"/>
  <c r="AI6" i="15" s="1"/>
  <c r="G6" i="15"/>
  <c r="H6" i="15" s="1"/>
  <c r="AF5" i="15"/>
  <c r="X5" i="15"/>
  <c r="AA5" i="15" s="1"/>
  <c r="AC5" i="15" s="1"/>
  <c r="R5" i="15"/>
  <c r="AR5" i="15" s="1"/>
  <c r="Q5" i="15"/>
  <c r="AQ5" i="15" s="1"/>
  <c r="P5" i="15"/>
  <c r="AP5" i="15" s="1"/>
  <c r="O5" i="15"/>
  <c r="N5" i="15"/>
  <c r="AN5" i="15" s="1"/>
  <c r="M5" i="15"/>
  <c r="L5" i="15"/>
  <c r="AW5" i="15" s="1"/>
  <c r="K5" i="15"/>
  <c r="J5" i="15"/>
  <c r="AJ5" i="15" s="1"/>
  <c r="I5" i="15"/>
  <c r="G5" i="15"/>
  <c r="H5" i="15" s="1"/>
  <c r="AF4" i="15"/>
  <c r="X4" i="15"/>
  <c r="AA4" i="15" s="1"/>
  <c r="AC4" i="15" s="1"/>
  <c r="R4" i="15"/>
  <c r="AR4" i="15" s="1"/>
  <c r="Q4" i="15"/>
  <c r="AQ4" i="15" s="1"/>
  <c r="P4" i="15"/>
  <c r="AP4" i="15" s="1"/>
  <c r="O4" i="15"/>
  <c r="N4" i="15"/>
  <c r="AY4" i="15" s="1"/>
  <c r="M4" i="15"/>
  <c r="L4" i="15"/>
  <c r="K4" i="15"/>
  <c r="J4" i="15"/>
  <c r="AJ4" i="15" s="1"/>
  <c r="I4" i="15"/>
  <c r="G4" i="15"/>
  <c r="H4" i="15" s="1"/>
  <c r="AF3" i="15"/>
  <c r="X3" i="15"/>
  <c r="AA3" i="15" s="1"/>
  <c r="AC3" i="15" s="1"/>
  <c r="R3" i="15"/>
  <c r="BC3" i="15" s="1"/>
  <c r="Q3" i="15"/>
  <c r="BB3" i="15" s="1"/>
  <c r="P3" i="15"/>
  <c r="AP3" i="15" s="1"/>
  <c r="O3" i="15"/>
  <c r="AZ3" i="15" s="1"/>
  <c r="N3" i="15"/>
  <c r="AY3" i="15" s="1"/>
  <c r="M3" i="15"/>
  <c r="L3" i="15"/>
  <c r="AL3" i="15" s="1"/>
  <c r="K3" i="15"/>
  <c r="J3" i="15"/>
  <c r="I3" i="15"/>
  <c r="G3" i="15"/>
  <c r="H3" i="15" s="1"/>
  <c r="G2" i="15"/>
  <c r="G32" i="10"/>
  <c r="H32" i="10" s="1"/>
  <c r="D32" i="10"/>
  <c r="C32" i="10"/>
  <c r="G31" i="10"/>
  <c r="H31" i="10" s="1"/>
  <c r="D31" i="10"/>
  <c r="C31" i="10"/>
  <c r="G30" i="10"/>
  <c r="H30" i="10" s="1"/>
  <c r="D30" i="10"/>
  <c r="C30" i="10"/>
  <c r="G29" i="10"/>
  <c r="H29" i="10" s="1"/>
  <c r="D29" i="10"/>
  <c r="C29" i="10"/>
  <c r="G28" i="10"/>
  <c r="H28" i="10" s="1"/>
  <c r="D28" i="10"/>
  <c r="C28" i="10"/>
  <c r="G27" i="10"/>
  <c r="H27" i="10" s="1"/>
  <c r="D27" i="10"/>
  <c r="C27" i="10"/>
  <c r="G26" i="10"/>
  <c r="H26" i="10" s="1"/>
  <c r="D26" i="10"/>
  <c r="C26" i="10"/>
  <c r="G25" i="10"/>
  <c r="H25" i="10" s="1"/>
  <c r="D25" i="10"/>
  <c r="C25" i="10"/>
  <c r="G24" i="10"/>
  <c r="H24" i="10" s="1"/>
  <c r="D24" i="10"/>
  <c r="C24" i="10"/>
  <c r="G23" i="10"/>
  <c r="H23" i="10" s="1"/>
  <c r="D23" i="10"/>
  <c r="C23" i="10"/>
  <c r="G22" i="10"/>
  <c r="H22" i="10" s="1"/>
  <c r="D22" i="10"/>
  <c r="C22" i="10"/>
  <c r="G21" i="10"/>
  <c r="H21" i="10" s="1"/>
  <c r="D21" i="10"/>
  <c r="C21" i="10"/>
  <c r="G20" i="10"/>
  <c r="H20" i="10" s="1"/>
  <c r="D20" i="10"/>
  <c r="C20" i="10"/>
  <c r="G19" i="10"/>
  <c r="H19" i="10" s="1"/>
  <c r="D19" i="10"/>
  <c r="C19" i="10"/>
  <c r="G18" i="10"/>
  <c r="H18" i="10" s="1"/>
  <c r="D18" i="10"/>
  <c r="C18" i="10"/>
  <c r="G17" i="10"/>
  <c r="H17" i="10" s="1"/>
  <c r="D17" i="10"/>
  <c r="C17" i="10"/>
  <c r="G16" i="10"/>
  <c r="H16" i="10" s="1"/>
  <c r="D16" i="10"/>
  <c r="C16" i="10"/>
  <c r="G15" i="10"/>
  <c r="H15" i="10" s="1"/>
  <c r="D15" i="10"/>
  <c r="C15" i="10"/>
  <c r="G14" i="10"/>
  <c r="H14" i="10" s="1"/>
  <c r="D14" i="10"/>
  <c r="C14" i="10"/>
  <c r="H13" i="10"/>
  <c r="H12" i="10"/>
  <c r="G324" i="15" s="1"/>
  <c r="H324" i="15" s="1"/>
  <c r="H11" i="10"/>
  <c r="H10" i="10"/>
  <c r="G221" i="15" s="1"/>
  <c r="H221" i="15" s="1"/>
  <c r="H9" i="10"/>
  <c r="G219" i="15" s="1"/>
  <c r="H219" i="15" s="1"/>
  <c r="H8" i="10"/>
  <c r="G217" i="15" s="1"/>
  <c r="H217" i="15" s="1"/>
  <c r="G7" i="10"/>
  <c r="H7" i="10" s="1"/>
  <c r="G32" i="15" s="1"/>
  <c r="H32" i="15" s="1"/>
  <c r="G6" i="10"/>
  <c r="H6" i="10" s="1"/>
  <c r="G168" i="15" s="1"/>
  <c r="H168" i="15" s="1"/>
  <c r="G5" i="10"/>
  <c r="H5" i="10" s="1"/>
  <c r="G155" i="15" s="1"/>
  <c r="H155" i="15" s="1"/>
  <c r="H4" i="10"/>
  <c r="G270" i="15" s="1"/>
  <c r="H270" i="15" s="1"/>
  <c r="G3" i="10"/>
  <c r="H3" i="10" s="1"/>
  <c r="G213" i="15" s="1"/>
  <c r="H213" i="15" s="1"/>
  <c r="H18" i="1"/>
  <c r="H17" i="1"/>
  <c r="AB16" i="1"/>
  <c r="H16" i="1"/>
  <c r="H15" i="1"/>
  <c r="H14" i="1"/>
  <c r="H13" i="1"/>
  <c r="H12" i="1"/>
  <c r="H11" i="1"/>
  <c r="H10" i="1"/>
  <c r="W2" i="1" s="1"/>
  <c r="H9" i="1"/>
  <c r="H8" i="1"/>
  <c r="AB7" i="1"/>
  <c r="H7" i="1"/>
  <c r="AB6" i="1"/>
  <c r="H6" i="1"/>
  <c r="AB5" i="1"/>
  <c r="H5" i="1"/>
  <c r="H4" i="1"/>
  <c r="AB3" i="1"/>
  <c r="W3" i="1"/>
  <c r="H3" i="1"/>
  <c r="AB2" i="1"/>
  <c r="H6" i="16" s="1"/>
  <c r="H2" i="1"/>
  <c r="C21" i="8"/>
  <c r="BD339" i="15" l="1"/>
  <c r="AS341" i="15"/>
  <c r="AS349" i="15"/>
  <c r="AS351" i="15"/>
  <c r="BD355" i="15"/>
  <c r="AS357" i="15"/>
  <c r="BD338" i="15"/>
  <c r="AS348" i="15"/>
  <c r="AS350" i="15"/>
  <c r="AS339" i="15"/>
  <c r="AS345" i="15"/>
  <c r="AS347" i="15"/>
  <c r="AS353" i="15"/>
  <c r="BD353" i="15"/>
  <c r="BD340" i="15"/>
  <c r="BD342" i="15"/>
  <c r="BD348" i="15"/>
  <c r="BD356" i="15"/>
  <c r="AS344" i="15"/>
  <c r="AS352" i="15"/>
  <c r="C22" i="8"/>
  <c r="BD349" i="15"/>
  <c r="BD352" i="15"/>
  <c r="BD351" i="15"/>
  <c r="H3" i="16"/>
  <c r="E4" i="8"/>
  <c r="BD347" i="15"/>
  <c r="AS355" i="15"/>
  <c r="H57" i="16"/>
  <c r="H47" i="16"/>
  <c r="H39" i="16"/>
  <c r="H28" i="16"/>
  <c r="H19" i="16"/>
  <c r="H9" i="16"/>
  <c r="H56" i="16"/>
  <c r="H46" i="16"/>
  <c r="H38" i="16"/>
  <c r="H26" i="16"/>
  <c r="H18" i="16"/>
  <c r="H8" i="16"/>
  <c r="H70" i="16"/>
  <c r="H55" i="16"/>
  <c r="H45" i="16"/>
  <c r="H37" i="16"/>
  <c r="H25" i="16"/>
  <c r="H17" i="16"/>
  <c r="H7" i="16"/>
  <c r="H69" i="16"/>
  <c r="H52" i="16"/>
  <c r="H44" i="16"/>
  <c r="H36" i="16"/>
  <c r="H24" i="16"/>
  <c r="H16" i="16"/>
  <c r="H67" i="16"/>
  <c r="H51" i="16"/>
  <c r="H43" i="16"/>
  <c r="H33" i="16"/>
  <c r="H23" i="16"/>
  <c r="H14" i="16"/>
  <c r="H5" i="16"/>
  <c r="H62" i="16"/>
  <c r="H50" i="16"/>
  <c r="H42" i="16"/>
  <c r="H32" i="16"/>
  <c r="H22" i="16"/>
  <c r="H13" i="16"/>
  <c r="H4" i="16"/>
  <c r="H60" i="16"/>
  <c r="H49" i="16"/>
  <c r="H41" i="16"/>
  <c r="H31" i="16"/>
  <c r="H58" i="16"/>
  <c r="H48" i="16"/>
  <c r="H40" i="16"/>
  <c r="H29" i="16"/>
  <c r="H21" i="16"/>
  <c r="H20" i="16"/>
  <c r="H12" i="16"/>
  <c r="H10" i="16"/>
  <c r="BD344" i="15"/>
  <c r="BD345" i="15"/>
  <c r="AS340" i="15"/>
  <c r="BD341" i="15"/>
  <c r="AS343" i="15"/>
  <c r="AS354" i="15"/>
  <c r="AS346" i="15"/>
  <c r="BD354" i="15"/>
  <c r="AS342" i="15"/>
  <c r="BD343" i="15"/>
  <c r="BD350" i="15"/>
  <c r="AS338" i="15"/>
  <c r="BD346" i="15"/>
  <c r="AS356" i="15"/>
  <c r="BD357" i="15"/>
  <c r="R52" i="16"/>
  <c r="O61" i="16"/>
  <c r="E10" i="8"/>
  <c r="E5" i="8"/>
  <c r="E6" i="8"/>
  <c r="E8" i="8"/>
  <c r="R58" i="16"/>
  <c r="R65" i="16"/>
  <c r="R53" i="16"/>
  <c r="R63" i="16"/>
  <c r="O48" i="16"/>
  <c r="O52" i="16"/>
  <c r="L62" i="16"/>
  <c r="L70" i="16"/>
  <c r="O51" i="16"/>
  <c r="O45" i="16"/>
  <c r="O29" i="16"/>
  <c r="O27" i="16"/>
  <c r="O49" i="16"/>
  <c r="O60" i="16"/>
  <c r="O70" i="16"/>
  <c r="O21" i="16"/>
  <c r="L14" i="16"/>
  <c r="L36" i="16"/>
  <c r="L40" i="16"/>
  <c r="L44" i="16"/>
  <c r="L32" i="16"/>
  <c r="L20" i="16"/>
  <c r="L39" i="16"/>
  <c r="O44" i="16"/>
  <c r="O25" i="16"/>
  <c r="O32" i="16"/>
  <c r="L38" i="16"/>
  <c r="L61" i="16"/>
  <c r="L71" i="16"/>
  <c r="O72" i="16"/>
  <c r="L3" i="16"/>
  <c r="L7" i="16"/>
  <c r="O12" i="16"/>
  <c r="O24" i="16"/>
  <c r="O31" i="16"/>
  <c r="L18" i="16"/>
  <c r="L41" i="16"/>
  <c r="O11" i="16"/>
  <c r="O34" i="16"/>
  <c r="O64" i="16"/>
  <c r="L66" i="16"/>
  <c r="L8" i="16"/>
  <c r="O13" i="16"/>
  <c r="O26" i="16"/>
  <c r="O41" i="16"/>
  <c r="O57" i="16"/>
  <c r="L63" i="16"/>
  <c r="L11" i="16"/>
  <c r="O33" i="16"/>
  <c r="O53" i="16"/>
  <c r="L59" i="16"/>
  <c r="O4" i="16"/>
  <c r="O8" i="16"/>
  <c r="L31" i="16"/>
  <c r="O36" i="16"/>
  <c r="O40" i="16"/>
  <c r="O56" i="16"/>
  <c r="O63" i="16"/>
  <c r="O66" i="16"/>
  <c r="O15" i="16"/>
  <c r="L23" i="16"/>
  <c r="L27" i="16"/>
  <c r="L65" i="16"/>
  <c r="L68" i="16"/>
  <c r="L54" i="16"/>
  <c r="O55" i="16"/>
  <c r="O3" i="16"/>
  <c r="O7" i="16"/>
  <c r="O19" i="16"/>
  <c r="L10" i="16"/>
  <c r="L17" i="16"/>
  <c r="L22" i="16"/>
  <c r="L46" i="16"/>
  <c r="L50" i="16"/>
  <c r="O62" i="16"/>
  <c r="L57" i="16"/>
  <c r="L67" i="16"/>
  <c r="O68" i="16"/>
  <c r="O6" i="16"/>
  <c r="O10" i="16"/>
  <c r="O14" i="16"/>
  <c r="O18" i="16"/>
  <c r="L21" i="16"/>
  <c r="O42" i="16"/>
  <c r="L45" i="16"/>
  <c r="O54" i="16"/>
  <c r="O58" i="16"/>
  <c r="L12" i="16"/>
  <c r="L16" i="16"/>
  <c r="L29" i="16"/>
  <c r="O30" i="16"/>
  <c r="L49" i="16"/>
  <c r="O50" i="16"/>
  <c r="O71" i="16"/>
  <c r="O9" i="16"/>
  <c r="O28" i="16"/>
  <c r="L58" i="16"/>
  <c r="O67" i="16"/>
  <c r="O37" i="16"/>
  <c r="O47" i="16"/>
  <c r="O59" i="16"/>
  <c r="O17" i="16"/>
  <c r="O23" i="16"/>
  <c r="L69" i="16"/>
  <c r="L6" i="16"/>
  <c r="L26" i="16"/>
  <c r="L35" i="16"/>
  <c r="L72" i="16"/>
  <c r="L15" i="16"/>
  <c r="O46" i="16"/>
  <c r="L53" i="16"/>
  <c r="O16" i="16"/>
  <c r="O22" i="16"/>
  <c r="L25" i="16"/>
  <c r="L30" i="16"/>
  <c r="L5" i="16"/>
  <c r="L19" i="16"/>
  <c r="L34" i="16"/>
  <c r="O35" i="16"/>
  <c r="L48" i="16"/>
  <c r="L56" i="16"/>
  <c r="L64" i="16"/>
  <c r="O65" i="16"/>
  <c r="O69" i="16"/>
  <c r="L24" i="16"/>
  <c r="L43" i="16"/>
  <c r="L52" i="16"/>
  <c r="L60" i="16"/>
  <c r="L21" i="8"/>
  <c r="L27" i="8"/>
  <c r="L4" i="16"/>
  <c r="O20" i="16"/>
  <c r="L28" i="16"/>
  <c r="O39" i="16"/>
  <c r="O5" i="16"/>
  <c r="L9" i="16"/>
  <c r="L13" i="16"/>
  <c r="L33" i="16"/>
  <c r="L37" i="16"/>
  <c r="L47" i="16"/>
  <c r="O38" i="16"/>
  <c r="L51" i="16"/>
  <c r="L55" i="16"/>
  <c r="L42" i="16"/>
  <c r="O43" i="16"/>
  <c r="L25" i="8"/>
  <c r="R70" i="16"/>
  <c r="AR102" i="15"/>
  <c r="R72" i="16"/>
  <c r="R34" i="16"/>
  <c r="R9" i="16"/>
  <c r="R60" i="16"/>
  <c r="AO324" i="15"/>
  <c r="R3" i="16"/>
  <c r="R14" i="16"/>
  <c r="AQ42" i="15"/>
  <c r="AZ265" i="15"/>
  <c r="AQ54" i="15"/>
  <c r="AO308" i="15"/>
  <c r="AN68" i="15"/>
  <c r="BC235" i="15"/>
  <c r="AP65" i="15"/>
  <c r="AW260" i="15"/>
  <c r="AW74" i="15"/>
  <c r="AO28" i="15"/>
  <c r="AM125" i="15"/>
  <c r="AQ297" i="15"/>
  <c r="AP8" i="15"/>
  <c r="AZ207" i="15"/>
  <c r="AT232" i="15"/>
  <c r="AI211" i="15"/>
  <c r="AV232" i="15"/>
  <c r="AZ72" i="15"/>
  <c r="BB166" i="15"/>
  <c r="AQ151" i="15"/>
  <c r="AI23" i="15"/>
  <c r="AR249" i="15"/>
  <c r="BB35" i="15"/>
  <c r="AQ81" i="15"/>
  <c r="AY207" i="15"/>
  <c r="AI210" i="15"/>
  <c r="AX263" i="15"/>
  <c r="AM89" i="15"/>
  <c r="BB74" i="15"/>
  <c r="BA197" i="15"/>
  <c r="AP302" i="15"/>
  <c r="AM291" i="15"/>
  <c r="AR61" i="15"/>
  <c r="AU232" i="15"/>
  <c r="AT284" i="15"/>
  <c r="AW284" i="15"/>
  <c r="BB122" i="15"/>
  <c r="AT206" i="15"/>
  <c r="BC209" i="15"/>
  <c r="AZ236" i="15"/>
  <c r="AI153" i="15"/>
  <c r="AP230" i="15"/>
  <c r="BC259" i="15"/>
  <c r="AR25" i="15"/>
  <c r="AL103" i="15"/>
  <c r="AQ3" i="15"/>
  <c r="AW25" i="15"/>
  <c r="AI256" i="15"/>
  <c r="AO10" i="15"/>
  <c r="AQ48" i="15"/>
  <c r="AI73" i="15"/>
  <c r="BC143" i="15"/>
  <c r="BC211" i="15"/>
  <c r="AR267" i="15"/>
  <c r="BC278" i="15"/>
  <c r="AT300" i="15"/>
  <c r="AQ307" i="15"/>
  <c r="R33" i="16"/>
  <c r="AZ88" i="15"/>
  <c r="AP147" i="15"/>
  <c r="BA209" i="15"/>
  <c r="AO3" i="15"/>
  <c r="AU121" i="15"/>
  <c r="AU147" i="15"/>
  <c r="BB209" i="15"/>
  <c r="AZ238" i="15"/>
  <c r="AN245" i="15"/>
  <c r="AW314" i="15"/>
  <c r="R11" i="16"/>
  <c r="R32" i="16"/>
  <c r="AL24" i="15"/>
  <c r="AM38" i="15"/>
  <c r="AO259" i="15"/>
  <c r="AP265" i="15"/>
  <c r="R10" i="16"/>
  <c r="AK106" i="15"/>
  <c r="R67" i="16"/>
  <c r="AI28" i="15"/>
  <c r="AT96" i="15"/>
  <c r="AI246" i="15"/>
  <c r="R8" i="16"/>
  <c r="R29" i="16"/>
  <c r="AI324" i="15"/>
  <c r="AU266" i="15"/>
  <c r="R6" i="16"/>
  <c r="AU7" i="15"/>
  <c r="AU12" i="15"/>
  <c r="AT90" i="15"/>
  <c r="AR156" i="15"/>
  <c r="AT201" i="15"/>
  <c r="AN223" i="15"/>
  <c r="AR250" i="15"/>
  <c r="AZ284" i="15"/>
  <c r="AQ313" i="15"/>
  <c r="AR321" i="15"/>
  <c r="AM62" i="15"/>
  <c r="AZ90" i="15"/>
  <c r="AZ223" i="15"/>
  <c r="AL244" i="15"/>
  <c r="AR247" i="15"/>
  <c r="AM274" i="15"/>
  <c r="AY313" i="15"/>
  <c r="BB59" i="15"/>
  <c r="AM94" i="15"/>
  <c r="BA127" i="15"/>
  <c r="AL258" i="15"/>
  <c r="AX303" i="15"/>
  <c r="AY310" i="15"/>
  <c r="R25" i="16"/>
  <c r="AQ11" i="15"/>
  <c r="AO15" i="15"/>
  <c r="AM24" i="15"/>
  <c r="AQ30" i="15"/>
  <c r="AR37" i="15"/>
  <c r="AO40" i="15"/>
  <c r="AP92" i="15"/>
  <c r="AQ98" i="15"/>
  <c r="BC117" i="15"/>
  <c r="BB123" i="15"/>
  <c r="BB133" i="15"/>
  <c r="BC162" i="15"/>
  <c r="AR188" i="15"/>
  <c r="AK218" i="15"/>
  <c r="AT221" i="15"/>
  <c r="AP225" i="15"/>
  <c r="AZ228" i="15"/>
  <c r="BB243" i="15"/>
  <c r="BA255" i="15"/>
  <c r="BC279" i="15"/>
  <c r="AX289" i="15"/>
  <c r="AW298" i="15"/>
  <c r="AU301" i="15"/>
  <c r="BB309" i="15"/>
  <c r="AX316" i="15"/>
  <c r="R54" i="16"/>
  <c r="AQ13" i="15"/>
  <c r="BA15" i="15"/>
  <c r="AP47" i="15"/>
  <c r="AL67" i="15"/>
  <c r="AV98" i="15"/>
  <c r="AW111" i="15"/>
  <c r="AT114" i="15"/>
  <c r="AP121" i="15"/>
  <c r="BA143" i="15"/>
  <c r="AU166" i="15"/>
  <c r="AQ225" i="15"/>
  <c r="AZ241" i="15"/>
  <c r="AJ273" i="15"/>
  <c r="AQ18" i="15"/>
  <c r="AX67" i="15"/>
  <c r="AO76" i="15"/>
  <c r="BA114" i="15"/>
  <c r="R31" i="16"/>
  <c r="R62" i="16"/>
  <c r="R69" i="16"/>
  <c r="AL22" i="15"/>
  <c r="AK105" i="15"/>
  <c r="AV209" i="15"/>
  <c r="AX211" i="15"/>
  <c r="AM262" i="15"/>
  <c r="AU293" i="15"/>
  <c r="AV313" i="15"/>
  <c r="R30" i="16"/>
  <c r="R61" i="16"/>
  <c r="R68" i="16"/>
  <c r="AU134" i="15"/>
  <c r="AJ302" i="15"/>
  <c r="S20" i="15"/>
  <c r="AH20" i="15" s="1"/>
  <c r="AU84" i="15"/>
  <c r="AU271" i="15"/>
  <c r="R51" i="16"/>
  <c r="AI12" i="15"/>
  <c r="AK268" i="15"/>
  <c r="AI297" i="15"/>
  <c r="AR305" i="15"/>
  <c r="R7" i="16"/>
  <c r="R28" i="16"/>
  <c r="R50" i="16"/>
  <c r="R59" i="16"/>
  <c r="R66" i="16"/>
  <c r="AU254" i="15"/>
  <c r="AU288" i="15"/>
  <c r="AJ294" i="15"/>
  <c r="AT305" i="15"/>
  <c r="AW324" i="15"/>
  <c r="R49" i="16"/>
  <c r="BC42" i="15"/>
  <c r="AR94" i="15"/>
  <c r="AM113" i="15"/>
  <c r="AU135" i="15"/>
  <c r="AQ142" i="15"/>
  <c r="AP154" i="15"/>
  <c r="AN190" i="15"/>
  <c r="BB254" i="15"/>
  <c r="BA288" i="15"/>
  <c r="BA291" i="15"/>
  <c r="BC300" i="15"/>
  <c r="R5" i="16"/>
  <c r="R48" i="16"/>
  <c r="BB6" i="15"/>
  <c r="AP21" i="15"/>
  <c r="AM26" i="15"/>
  <c r="AQ46" i="15"/>
  <c r="AN49" i="15"/>
  <c r="AM66" i="15"/>
  <c r="AT72" i="15"/>
  <c r="AZ100" i="15"/>
  <c r="AW110" i="15"/>
  <c r="AY113" i="15"/>
  <c r="BB135" i="15"/>
  <c r="BC142" i="15"/>
  <c r="AN145" i="15"/>
  <c r="AR190" i="15"/>
  <c r="AP243" i="15"/>
  <c r="AP245" i="15"/>
  <c r="AN266" i="15"/>
  <c r="AM272" i="15"/>
  <c r="AM322" i="15"/>
  <c r="R4" i="16"/>
  <c r="R26" i="16"/>
  <c r="R47" i="16"/>
  <c r="R57" i="16"/>
  <c r="AZ21" i="15"/>
  <c r="AN33" i="15"/>
  <c r="AR49" i="15"/>
  <c r="AN63" i="15"/>
  <c r="BC69" i="15"/>
  <c r="AQ82" i="15"/>
  <c r="AJ123" i="15"/>
  <c r="AP133" i="15"/>
  <c r="AY139" i="15"/>
  <c r="AO152" i="15"/>
  <c r="AU237" i="15"/>
  <c r="AQ245" i="15"/>
  <c r="AP248" i="15"/>
  <c r="AR269" i="15"/>
  <c r="AQ303" i="15"/>
  <c r="AX309" i="15"/>
  <c r="AV319" i="15"/>
  <c r="AR322" i="15"/>
  <c r="R46" i="16"/>
  <c r="R56" i="16"/>
  <c r="R64" i="16"/>
  <c r="AP11" i="15"/>
  <c r="AN15" i="15"/>
  <c r="AO92" i="15"/>
  <c r="AR123" i="15"/>
  <c r="AO126" i="15"/>
  <c r="AZ133" i="15"/>
  <c r="BA152" i="15"/>
  <c r="AX198" i="15"/>
  <c r="AO205" i="15"/>
  <c r="BC237" i="15"/>
  <c r="AZ279" i="15"/>
  <c r="BA295" i="15"/>
  <c r="AP298" i="15"/>
  <c r="AY309" i="15"/>
  <c r="R55" i="16"/>
  <c r="R71" i="16"/>
  <c r="BB16" i="15"/>
  <c r="AY44" i="15"/>
  <c r="AM54" i="15"/>
  <c r="AX69" i="15"/>
  <c r="AT84" i="15"/>
  <c r="AV86" i="15"/>
  <c r="AM88" i="15"/>
  <c r="AU96" i="15"/>
  <c r="AT102" i="15"/>
  <c r="AP104" i="15"/>
  <c r="AR106" i="15"/>
  <c r="AN108" i="15"/>
  <c r="BB110" i="15"/>
  <c r="AM115" i="15"/>
  <c r="AI123" i="15"/>
  <c r="AV127" i="15"/>
  <c r="AR135" i="15"/>
  <c r="AN142" i="15"/>
  <c r="BA166" i="15"/>
  <c r="AZ195" i="15"/>
  <c r="AQ204" i="15"/>
  <c r="AM207" i="15"/>
  <c r="AR214" i="15"/>
  <c r="BC219" i="15"/>
  <c r="AO225" i="15"/>
  <c r="AT235" i="15"/>
  <c r="AL241" i="15"/>
  <c r="AL243" i="15"/>
  <c r="BC252" i="15"/>
  <c r="AQ258" i="15"/>
  <c r="BA262" i="15"/>
  <c r="S265" i="15"/>
  <c r="AH265" i="15" s="1"/>
  <c r="BB283" i="15"/>
  <c r="AU285" i="15"/>
  <c r="AT289" i="15"/>
  <c r="AI291" i="15"/>
  <c r="AT293" i="15"/>
  <c r="AX296" i="15"/>
  <c r="AV314" i="15"/>
  <c r="AW317" i="15"/>
  <c r="AU319" i="15"/>
  <c r="AW326" i="15"/>
  <c r="AV59" i="15"/>
  <c r="AW86" i="15"/>
  <c r="AN90" i="15"/>
  <c r="AV96" i="15"/>
  <c r="AU98" i="15"/>
  <c r="AR100" i="15"/>
  <c r="S147" i="15"/>
  <c r="T147" i="15" s="1"/>
  <c r="Y147" i="15" s="1"/>
  <c r="AU149" i="15"/>
  <c r="AN188" i="15"/>
  <c r="AX193" i="15"/>
  <c r="AT214" i="15"/>
  <c r="AM223" i="15"/>
  <c r="AL232" i="15"/>
  <c r="BA235" i="15"/>
  <c r="AK237" i="15"/>
  <c r="AU239" i="15"/>
  <c r="AM241" i="15"/>
  <c r="AN243" i="15"/>
  <c r="BA250" i="15"/>
  <c r="AT254" i="15"/>
  <c r="AN265" i="15"/>
  <c r="AV289" i="15"/>
  <c r="AX317" i="15"/>
  <c r="BB326" i="15"/>
  <c r="AK22" i="15"/>
  <c r="AV35" i="15"/>
  <c r="AW42" i="15"/>
  <c r="AU74" i="15"/>
  <c r="AV79" i="15"/>
  <c r="AW100" i="15"/>
  <c r="AW135" i="15"/>
  <c r="AW149" i="15"/>
  <c r="AL152" i="15"/>
  <c r="AV239" i="15"/>
  <c r="AO243" i="15"/>
  <c r="AW256" i="15"/>
  <c r="AO275" i="15"/>
  <c r="AY293" i="15"/>
  <c r="AJ295" i="15"/>
  <c r="AU300" i="15"/>
  <c r="AU305" i="15"/>
  <c r="AI311" i="15"/>
  <c r="AL313" i="15"/>
  <c r="AY317" i="15"/>
  <c r="AJ322" i="15"/>
  <c r="AI38" i="15"/>
  <c r="AJ57" i="15"/>
  <c r="AI138" i="15"/>
  <c r="BC149" i="15"/>
  <c r="AU191" i="15"/>
  <c r="AI198" i="15"/>
  <c r="S200" i="15"/>
  <c r="AJ200" i="15" s="1"/>
  <c r="AT234" i="15"/>
  <c r="AW239" i="15"/>
  <c r="AY241" i="15"/>
  <c r="AP247" i="15"/>
  <c r="AJ249" i="15"/>
  <c r="AX256" i="15"/>
  <c r="AI261" i="15"/>
  <c r="AQ267" i="15"/>
  <c r="AP269" i="15"/>
  <c r="AI273" i="15"/>
  <c r="AT275" i="15"/>
  <c r="AJ277" i="15"/>
  <c r="AS277" i="15" s="1"/>
  <c r="AU279" i="15"/>
  <c r="AY289" i="15"/>
  <c r="AR295" i="15"/>
  <c r="AX300" i="15"/>
  <c r="AI302" i="15"/>
  <c r="AL311" i="15"/>
  <c r="AO313" i="15"/>
  <c r="AQ24" i="15"/>
  <c r="AN26" i="15"/>
  <c r="AT33" i="15"/>
  <c r="AU40" i="15"/>
  <c r="AJ45" i="15"/>
  <c r="AV47" i="15"/>
  <c r="AN57" i="15"/>
  <c r="S73" i="15"/>
  <c r="T73" i="15" s="1"/>
  <c r="Y73" i="15" s="1"/>
  <c r="AI103" i="15"/>
  <c r="AO109" i="15"/>
  <c r="AI111" i="15"/>
  <c r="AI116" i="15"/>
  <c r="AJ138" i="15"/>
  <c r="BB147" i="15"/>
  <c r="BB154" i="15"/>
  <c r="AV191" i="15"/>
  <c r="AJ198" i="15"/>
  <c r="AV234" i="15"/>
  <c r="AX239" i="15"/>
  <c r="AJ253" i="15"/>
  <c r="BA275" i="15"/>
  <c r="AY286" i="15"/>
  <c r="AM288" i="15"/>
  <c r="AW295" i="15"/>
  <c r="AY300" i="15"/>
  <c r="AP6" i="15"/>
  <c r="S10" i="15"/>
  <c r="AJ10" i="15" s="1"/>
  <c r="AI17" i="15"/>
  <c r="AR26" i="15"/>
  <c r="AN45" i="15"/>
  <c r="BB47" i="15"/>
  <c r="AL55" i="15"/>
  <c r="AT57" i="15"/>
  <c r="BB65" i="15"/>
  <c r="AM70" i="15"/>
  <c r="AN77" i="15"/>
  <c r="AU85" i="15"/>
  <c r="AK87" i="15"/>
  <c r="AU97" i="15"/>
  <c r="AO105" i="15"/>
  <c r="AM107" i="15"/>
  <c r="AU109" i="15"/>
  <c r="BA116" i="15"/>
  <c r="AN119" i="15"/>
  <c r="AJ128" i="15"/>
  <c r="AR131" i="15"/>
  <c r="AO138" i="15"/>
  <c r="AZ145" i="15"/>
  <c r="AQ161" i="15"/>
  <c r="AQ194" i="15"/>
  <c r="AK198" i="15"/>
  <c r="AR215" i="15"/>
  <c r="AY220" i="15"/>
  <c r="AW234" i="15"/>
  <c r="AR245" i="15"/>
  <c r="AT249" i="15"/>
  <c r="AU251" i="15"/>
  <c r="AP259" i="15"/>
  <c r="AU261" i="15"/>
  <c r="AW267" i="15"/>
  <c r="BB269" i="15"/>
  <c r="BA271" i="15"/>
  <c r="AR282" i="15"/>
  <c r="AJ297" i="15"/>
  <c r="AP308" i="15"/>
  <c r="AZ311" i="15"/>
  <c r="S4" i="15"/>
  <c r="AO4" i="15" s="1"/>
  <c r="BC24" i="15"/>
  <c r="AQ31" i="15"/>
  <c r="AT45" i="15"/>
  <c r="AM50" i="15"/>
  <c r="AX55" i="15"/>
  <c r="AQ60" i="15"/>
  <c r="AR77" i="15"/>
  <c r="AO80" i="15"/>
  <c r="AZ85" i="15"/>
  <c r="AL87" i="15"/>
  <c r="AZ97" i="15"/>
  <c r="AP105" i="15"/>
  <c r="AP107" i="15"/>
  <c r="AZ119" i="15"/>
  <c r="AN122" i="15"/>
  <c r="AP134" i="15"/>
  <c r="AU141" i="15"/>
  <c r="BC145" i="15"/>
  <c r="AR194" i="15"/>
  <c r="AW203" i="15"/>
  <c r="AU215" i="15"/>
  <c r="AU218" i="15"/>
  <c r="AL229" i="15"/>
  <c r="AQ231" i="15"/>
  <c r="AX234" i="15"/>
  <c r="AV236" i="15"/>
  <c r="S253" i="15"/>
  <c r="AH253" i="15" s="1"/>
  <c r="AW253" i="15"/>
  <c r="AY284" i="15"/>
  <c r="AV288" i="15"/>
  <c r="AR292" i="15"/>
  <c r="AI294" i="15"/>
  <c r="AK297" i="15"/>
  <c r="AT299" i="15"/>
  <c r="AQ302" i="15"/>
  <c r="AI304" i="15"/>
  <c r="AN306" i="15"/>
  <c r="BA316" i="15"/>
  <c r="BA318" i="15"/>
  <c r="AV320" i="15"/>
  <c r="AN8" i="15"/>
  <c r="AN10" i="15"/>
  <c r="AR31" i="15"/>
  <c r="AR43" i="15"/>
  <c r="AZ45" i="15"/>
  <c r="AP53" i="15"/>
  <c r="AN83" i="15"/>
  <c r="BA85" i="15"/>
  <c r="AN93" i="15"/>
  <c r="BA97" i="15"/>
  <c r="AP99" i="15"/>
  <c r="AM101" i="15"/>
  <c r="BA103" i="15"/>
  <c r="AR107" i="15"/>
  <c r="AO122" i="15"/>
  <c r="AP124" i="15"/>
  <c r="AM136" i="15"/>
  <c r="AV141" i="15"/>
  <c r="AL143" i="15"/>
  <c r="AS143" i="15" s="1"/>
  <c r="AL186" i="15"/>
  <c r="AW198" i="15"/>
  <c r="S208" i="15"/>
  <c r="T208" i="15" s="1"/>
  <c r="Y208" i="15" s="1"/>
  <c r="AL208" i="15"/>
  <c r="AK224" i="15"/>
  <c r="AM229" i="15"/>
  <c r="AW231" i="15"/>
  <c r="BC234" i="15"/>
  <c r="AX236" i="15"/>
  <c r="AX253" i="15"/>
  <c r="AL255" i="15"/>
  <c r="AP278" i="15"/>
  <c r="AJ290" i="15"/>
  <c r="AV299" i="15"/>
  <c r="AV302" i="15"/>
  <c r="AK304" i="15"/>
  <c r="AZ306" i="15"/>
  <c r="AM310" i="15"/>
  <c r="S328" i="15"/>
  <c r="AH328" i="15" s="1"/>
  <c r="AQ21" i="15"/>
  <c r="AP29" i="15"/>
  <c r="AW31" i="15"/>
  <c r="AI34" i="15"/>
  <c r="AN39" i="15"/>
  <c r="AP41" i="15"/>
  <c r="BB53" i="15"/>
  <c r="AZ63" i="15"/>
  <c r="AL75" i="15"/>
  <c r="AP83" i="15"/>
  <c r="AN89" i="15"/>
  <c r="AI91" i="15"/>
  <c r="AR93" i="15"/>
  <c r="AW99" i="15"/>
  <c r="AQ124" i="15"/>
  <c r="BA126" i="15"/>
  <c r="S129" i="15"/>
  <c r="AM129" i="15" s="1"/>
  <c r="AW134" i="15"/>
  <c r="BB141" i="15"/>
  <c r="AK148" i="15"/>
  <c r="AW192" i="15"/>
  <c r="AV197" i="15"/>
  <c r="AR201" i="15"/>
  <c r="BC218" i="15"/>
  <c r="BB224" i="15"/>
  <c r="AN229" i="15"/>
  <c r="AQ233" i="15"/>
  <c r="AY236" i="15"/>
  <c r="AX238" i="15"/>
  <c r="BC240" i="15"/>
  <c r="AI276" i="15"/>
  <c r="AI287" i="15"/>
  <c r="BB288" i="15"/>
  <c r="AW290" i="15"/>
  <c r="AR294" i="15"/>
  <c r="AR297" i="15"/>
  <c r="AW299" i="15"/>
  <c r="AO323" i="15"/>
  <c r="AR325" i="15"/>
  <c r="AP16" i="15"/>
  <c r="AO34" i="15"/>
  <c r="AP39" i="15"/>
  <c r="AR41" i="15"/>
  <c r="AQ58" i="15"/>
  <c r="AP71" i="15"/>
  <c r="BA73" i="15"/>
  <c r="AO91" i="15"/>
  <c r="AV93" i="15"/>
  <c r="BB99" i="15"/>
  <c r="AP112" i="15"/>
  <c r="BA117" i="15"/>
  <c r="AR124" i="15"/>
  <c r="AP129" i="15"/>
  <c r="BB148" i="15"/>
  <c r="BC192" i="15"/>
  <c r="BC198" i="15"/>
  <c r="AV210" i="15"/>
  <c r="AV233" i="15"/>
  <c r="S244" i="15"/>
  <c r="AH244" i="15" s="1"/>
  <c r="AO248" i="15"/>
  <c r="AZ264" i="15"/>
  <c r="AL270" i="15"/>
  <c r="AP274" i="15"/>
  <c r="AJ276" i="15"/>
  <c r="AU280" i="15"/>
  <c r="AP283" i="15"/>
  <c r="AL287" i="15"/>
  <c r="AT296" i="15"/>
  <c r="AX299" i="15"/>
  <c r="AO312" i="15"/>
  <c r="AQ8" i="15"/>
  <c r="S5" i="15"/>
  <c r="AO5" i="15" s="1"/>
  <c r="AV23" i="15"/>
  <c r="AN27" i="15"/>
  <c r="BB29" i="15"/>
  <c r="AQ34" i="15"/>
  <c r="AN37" i="15"/>
  <c r="AZ39" i="15"/>
  <c r="AN51" i="15"/>
  <c r="AO56" i="15"/>
  <c r="AN61" i="15"/>
  <c r="AQ66" i="15"/>
  <c r="BB73" i="15"/>
  <c r="AT78" i="15"/>
  <c r="S81" i="15"/>
  <c r="AH81" i="15" s="1"/>
  <c r="AV91" i="15"/>
  <c r="AQ112" i="15"/>
  <c r="AW124" i="15"/>
  <c r="AQ129" i="15"/>
  <c r="S137" i="15"/>
  <c r="AH137" i="15" s="1"/>
  <c r="AZ139" i="15"/>
  <c r="AU146" i="15"/>
  <c r="AQ153" i="15"/>
  <c r="BA159" i="15"/>
  <c r="AN195" i="15"/>
  <c r="BB197" i="15"/>
  <c r="AU201" i="15"/>
  <c r="AO204" i="15"/>
  <c r="AW210" i="15"/>
  <c r="AU227" i="15"/>
  <c r="AZ229" i="15"/>
  <c r="BA233" i="15"/>
  <c r="AZ252" i="15"/>
  <c r="AO270" i="15"/>
  <c r="AN272" i="15"/>
  <c r="AR274" i="15"/>
  <c r="BA276" i="15"/>
  <c r="AW280" i="15"/>
  <c r="AV294" i="15"/>
  <c r="AU296" i="15"/>
  <c r="AK301" i="15"/>
  <c r="BB310" i="15"/>
  <c r="AU312" i="15"/>
  <c r="AK317" i="15"/>
  <c r="AT16" i="15"/>
  <c r="AO44" i="15"/>
  <c r="AZ51" i="15"/>
  <c r="AY56" i="15"/>
  <c r="AN69" i="15"/>
  <c r="AV81" i="15"/>
  <c r="AU86" i="15"/>
  <c r="AL88" i="15"/>
  <c r="AJ104" i="15"/>
  <c r="AZ110" i="15"/>
  <c r="AM137" i="15"/>
  <c r="BB139" i="15"/>
  <c r="BC197" i="15"/>
  <c r="AZ201" i="15"/>
  <c r="AP204" i="15"/>
  <c r="AO209" i="15"/>
  <c r="AV248" i="15"/>
  <c r="AQ250" i="15"/>
  <c r="BB252" i="15"/>
  <c r="AP258" i="15"/>
  <c r="BB266" i="15"/>
  <c r="AU268" i="15"/>
  <c r="AO272" i="15"/>
  <c r="AR283" i="15"/>
  <c r="AM285" i="15"/>
  <c r="AZ287" i="15"/>
  <c r="AR293" i="15"/>
  <c r="AW296" i="15"/>
  <c r="AI307" i="15"/>
  <c r="AJ309" i="15"/>
  <c r="AL319" i="15"/>
  <c r="S12" i="15"/>
  <c r="T12" i="15" s="1"/>
  <c r="AO18" i="15"/>
  <c r="AJ22" i="15"/>
  <c r="BC30" i="15"/>
  <c r="S32" i="15"/>
  <c r="AH32" i="15" s="1"/>
  <c r="AL37" i="15"/>
  <c r="AM44" i="15"/>
  <c r="S56" i="15"/>
  <c r="T56" i="15" s="1"/>
  <c r="Y56" i="15" s="1"/>
  <c r="AP59" i="15"/>
  <c r="AM71" i="15"/>
  <c r="AR73" i="15"/>
  <c r="AQ78" i="15"/>
  <c r="BC80" i="15"/>
  <c r="BC81" i="15"/>
  <c r="S83" i="15"/>
  <c r="AH83" i="15" s="1"/>
  <c r="AN84" i="15"/>
  <c r="AQ86" i="15"/>
  <c r="AL95" i="15"/>
  <c r="AO96" i="15"/>
  <c r="AM98" i="15"/>
  <c r="BB101" i="15"/>
  <c r="AZ103" i="15"/>
  <c r="BC104" i="15"/>
  <c r="BC105" i="15"/>
  <c r="AU110" i="15"/>
  <c r="AO114" i="15"/>
  <c r="BA115" i="15"/>
  <c r="BC118" i="15"/>
  <c r="AY125" i="15"/>
  <c r="AN127" i="15"/>
  <c r="BA128" i="15"/>
  <c r="AN134" i="15"/>
  <c r="AK135" i="15"/>
  <c r="AW136" i="15"/>
  <c r="AZ140" i="15"/>
  <c r="AZ146" i="15"/>
  <c r="AV154" i="15"/>
  <c r="BB160" i="15"/>
  <c r="AL162" i="15"/>
  <c r="AY164" i="15"/>
  <c r="S166" i="15"/>
  <c r="AK166" i="15" s="1"/>
  <c r="AW191" i="15"/>
  <c r="BB192" i="15"/>
  <c r="AQ192" i="15"/>
  <c r="BA195" i="15"/>
  <c r="AY13" i="15"/>
  <c r="S24" i="15"/>
  <c r="AH24" i="15" s="1"/>
  <c r="S29" i="15"/>
  <c r="AH29" i="15" s="1"/>
  <c r="AJ32" i="15"/>
  <c r="S37" i="15"/>
  <c r="T37" i="15" s="1"/>
  <c r="Y37" i="15" s="1"/>
  <c r="AL49" i="15"/>
  <c r="AL61" i="15"/>
  <c r="AN71" i="15"/>
  <c r="AU73" i="15"/>
  <c r="BB75" i="15"/>
  <c r="AJ77" i="15"/>
  <c r="BA79" i="15"/>
  <c r="AL83" i="15"/>
  <c r="AO84" i="15"/>
  <c r="AR85" i="15"/>
  <c r="BB87" i="15"/>
  <c r="AJ92" i="15"/>
  <c r="S93" i="15"/>
  <c r="T93" i="15" s="1"/>
  <c r="Y93" i="15" s="1"/>
  <c r="AJ93" i="15"/>
  <c r="AM95" i="15"/>
  <c r="AR97" i="15"/>
  <c r="AP98" i="15"/>
  <c r="AK108" i="15"/>
  <c r="BB111" i="15"/>
  <c r="AR114" i="15"/>
  <c r="AQ117" i="15"/>
  <c r="AN120" i="15"/>
  <c r="AO127" i="15"/>
  <c r="BC128" i="15"/>
  <c r="S130" i="15"/>
  <c r="T130" i="15" s="1"/>
  <c r="Y130" i="15" s="1"/>
  <c r="AK130" i="15"/>
  <c r="S132" i="15"/>
  <c r="T132" i="15" s="1"/>
  <c r="Y132" i="15" s="1"/>
  <c r="AO134" i="15"/>
  <c r="BB136" i="15"/>
  <c r="AW139" i="15"/>
  <c r="BA140" i="15"/>
  <c r="S142" i="15"/>
  <c r="AH142" i="15" s="1"/>
  <c r="AX143" i="15"/>
  <c r="AK145" i="15"/>
  <c r="BA146" i="15"/>
  <c r="S148" i="15"/>
  <c r="AH148" i="15" s="1"/>
  <c r="S164" i="15"/>
  <c r="AK164" i="15" s="1"/>
  <c r="AZ164" i="15"/>
  <c r="S170" i="15"/>
  <c r="T170" i="15" s="1"/>
  <c r="Y170" i="15" s="1"/>
  <c r="S182" i="15"/>
  <c r="T182" i="15" s="1"/>
  <c r="Y182" i="15" s="1"/>
  <c r="AX189" i="15"/>
  <c r="AM189" i="15"/>
  <c r="BB191" i="15"/>
  <c r="AM7" i="15"/>
  <c r="AL12" i="15"/>
  <c r="AZ13" i="15"/>
  <c r="AJ17" i="15"/>
  <c r="AY18" i="15"/>
  <c r="AJ23" i="15"/>
  <c r="AK24" i="15"/>
  <c r="AI27" i="15"/>
  <c r="AJ29" i="15"/>
  <c r="AJ41" i="15"/>
  <c r="AI46" i="15"/>
  <c r="S49" i="15"/>
  <c r="T49" i="15" s="1"/>
  <c r="Y49" i="15" s="1"/>
  <c r="AP51" i="15"/>
  <c r="AW54" i="15"/>
  <c r="S61" i="15"/>
  <c r="T61" i="15" s="1"/>
  <c r="Y61" i="15" s="1"/>
  <c r="AP63" i="15"/>
  <c r="AW66" i="15"/>
  <c r="AU68" i="15"/>
  <c r="AU72" i="15"/>
  <c r="AZ73" i="15"/>
  <c r="AV74" i="15"/>
  <c r="BC75" i="15"/>
  <c r="AM77" i="15"/>
  <c r="AZ78" i="15"/>
  <c r="BC87" i="15"/>
  <c r="AM90" i="15"/>
  <c r="AJ91" i="15"/>
  <c r="AK92" i="15"/>
  <c r="AI94" i="15"/>
  <c r="AP95" i="15"/>
  <c r="AX100" i="15"/>
  <c r="AI107" i="15"/>
  <c r="AL108" i="15"/>
  <c r="AK113" i="15"/>
  <c r="AK122" i="15"/>
  <c r="AL130" i="15"/>
  <c r="S159" i="15"/>
  <c r="T159" i="15" s="1"/>
  <c r="Y159" i="15" s="1"/>
  <c r="AX162" i="15"/>
  <c r="AK190" i="15"/>
  <c r="S15" i="15"/>
  <c r="AH15" i="15" s="1"/>
  <c r="AL17" i="15"/>
  <c r="AN22" i="15"/>
  <c r="AP23" i="15"/>
  <c r="S25" i="15"/>
  <c r="AH25" i="15" s="1"/>
  <c r="AJ27" i="15"/>
  <c r="AP28" i="15"/>
  <c r="AK29" i="15"/>
  <c r="AX37" i="15"/>
  <c r="S39" i="15"/>
  <c r="AH39" i="15" s="1"/>
  <c r="S45" i="15"/>
  <c r="AH45" i="15" s="1"/>
  <c r="AO46" i="15"/>
  <c r="AJ53" i="15"/>
  <c r="BC54" i="15"/>
  <c r="S57" i="15"/>
  <c r="AH57" i="15" s="1"/>
  <c r="AO58" i="15"/>
  <c r="AJ65" i="15"/>
  <c r="BC66" i="15"/>
  <c r="BA78" i="15"/>
  <c r="AL91" i="15"/>
  <c r="AL93" i="15"/>
  <c r="AL94" i="15"/>
  <c r="S105" i="15"/>
  <c r="AH105" i="15" s="1"/>
  <c r="AM108" i="15"/>
  <c r="BB109" i="15"/>
  <c r="AL113" i="15"/>
  <c r="AK123" i="15"/>
  <c r="AI133" i="15"/>
  <c r="AM138" i="15"/>
  <c r="AV142" i="15"/>
  <c r="S145" i="15"/>
  <c r="T145" i="15" s="1"/>
  <c r="Y145" i="15" s="1"/>
  <c r="AW156" i="15"/>
  <c r="AU159" i="15"/>
  <c r="S171" i="15"/>
  <c r="T171" i="15" s="1"/>
  <c r="Y171" i="15" s="1"/>
  <c r="S183" i="15"/>
  <c r="T183" i="15" s="1"/>
  <c r="Y183" i="15" s="1"/>
  <c r="AJ194" i="15"/>
  <c r="AU4" i="15"/>
  <c r="AO22" i="15"/>
  <c r="AQ23" i="15"/>
  <c r="AI25" i="15"/>
  <c r="AO26" i="15"/>
  <c r="AK27" i="15"/>
  <c r="AQ28" i="15"/>
  <c r="AL29" i="15"/>
  <c r="AU34" i="15"/>
  <c r="AX49" i="15"/>
  <c r="S51" i="15"/>
  <c r="AH51" i="15" s="1"/>
  <c r="AX61" i="15"/>
  <c r="S63" i="15"/>
  <c r="AH63" i="15" s="1"/>
  <c r="AJ81" i="15"/>
  <c r="AI82" i="15"/>
  <c r="AX83" i="15"/>
  <c r="AY95" i="15"/>
  <c r="AM102" i="15"/>
  <c r="AI106" i="15"/>
  <c r="S110" i="15"/>
  <c r="T110" i="15" s="1"/>
  <c r="Y110" i="15" s="1"/>
  <c r="AX130" i="15"/>
  <c r="AW142" i="15"/>
  <c r="AW148" i="15"/>
  <c r="AJ153" i="15"/>
  <c r="S176" i="15"/>
  <c r="T176" i="15" s="1"/>
  <c r="Y176" i="15" s="1"/>
  <c r="AK188" i="15"/>
  <c r="BB195" i="15"/>
  <c r="AQ195" i="15"/>
  <c r="AW7" i="15"/>
  <c r="AN3" i="15"/>
  <c r="AY7" i="15"/>
  <c r="BC8" i="15"/>
  <c r="AK10" i="15"/>
  <c r="AY12" i="15"/>
  <c r="AK15" i="15"/>
  <c r="AR23" i="15"/>
  <c r="AN24" i="15"/>
  <c r="AK25" i="15"/>
  <c r="AP26" i="15"/>
  <c r="AM27" i="15"/>
  <c r="AR28" i="15"/>
  <c r="AM29" i="15"/>
  <c r="AJ30" i="15"/>
  <c r="AN31" i="15"/>
  <c r="BA34" i="15"/>
  <c r="AK36" i="15"/>
  <c r="S40" i="15"/>
  <c r="T40" i="15" s="1"/>
  <c r="Y40" i="15" s="1"/>
  <c r="AV41" i="15"/>
  <c r="AU46" i="15"/>
  <c r="AR53" i="15"/>
  <c r="AU58" i="15"/>
  <c r="AR65" i="15"/>
  <c r="AI70" i="15"/>
  <c r="AZ71" i="15"/>
  <c r="S76" i="15"/>
  <c r="AM76" i="15" s="1"/>
  <c r="AJ80" i="15"/>
  <c r="AL81" i="15"/>
  <c r="AL82" i="15"/>
  <c r="S85" i="15"/>
  <c r="T85" i="15" s="1"/>
  <c r="Y85" i="15" s="1"/>
  <c r="BB85" i="15"/>
  <c r="S88" i="15"/>
  <c r="T88" i="15" s="1"/>
  <c r="Y88" i="15" s="1"/>
  <c r="AJ89" i="15"/>
  <c r="AQ90" i="15"/>
  <c r="AP91" i="15"/>
  <c r="AQ92" i="15"/>
  <c r="AQ93" i="15"/>
  <c r="AQ94" i="15"/>
  <c r="AZ95" i="15"/>
  <c r="S97" i="15"/>
  <c r="T97" i="15" s="1"/>
  <c r="Y97" i="15" s="1"/>
  <c r="BB97" i="15"/>
  <c r="AW98" i="15"/>
  <c r="BC99" i="15"/>
  <c r="AN102" i="15"/>
  <c r="AM103" i="15"/>
  <c r="AI104" i="15"/>
  <c r="AN105" i="15"/>
  <c r="AJ106" i="15"/>
  <c r="AQ107" i="15"/>
  <c r="AP108" i="15"/>
  <c r="AM112" i="15"/>
  <c r="AO113" i="15"/>
  <c r="AJ116" i="15"/>
  <c r="AQ119" i="15"/>
  <c r="AI121" i="15"/>
  <c r="AP122" i="15"/>
  <c r="AR126" i="15"/>
  <c r="AL129" i="15"/>
  <c r="BC130" i="15"/>
  <c r="AI132" i="15"/>
  <c r="AU133" i="15"/>
  <c r="AK137" i="15"/>
  <c r="AM147" i="15"/>
  <c r="AZ148" i="15"/>
  <c r="S152" i="15"/>
  <c r="AH152" i="15" s="1"/>
  <c r="AN153" i="15"/>
  <c r="S155" i="15"/>
  <c r="T155" i="15" s="1"/>
  <c r="Y155" i="15" s="1"/>
  <c r="AV161" i="15"/>
  <c r="AI165" i="15"/>
  <c r="S172" i="15"/>
  <c r="T172" i="15" s="1"/>
  <c r="Y172" i="15" s="1"/>
  <c r="S178" i="15"/>
  <c r="T178" i="15" s="1"/>
  <c r="Y178" i="15" s="1"/>
  <c r="S184" i="15"/>
  <c r="T184" i="15" s="1"/>
  <c r="Y184" i="15" s="1"/>
  <c r="AL10" i="15"/>
  <c r="AT11" i="15"/>
  <c r="S14" i="15"/>
  <c r="AH14" i="15" s="1"/>
  <c r="AL15" i="15"/>
  <c r="AY17" i="15"/>
  <c r="S22" i="15"/>
  <c r="AP24" i="15"/>
  <c r="AU28" i="15"/>
  <c r="AO29" i="15"/>
  <c r="AK30" i="15"/>
  <c r="AJ33" i="15"/>
  <c r="AQ36" i="15"/>
  <c r="BB41" i="15"/>
  <c r="AL43" i="15"/>
  <c r="BA46" i="15"/>
  <c r="AK48" i="15"/>
  <c r="S52" i="15"/>
  <c r="T52" i="15" s="1"/>
  <c r="Y52" i="15" s="1"/>
  <c r="AV53" i="15"/>
  <c r="BA58" i="15"/>
  <c r="AK60" i="15"/>
  <c r="S64" i="15"/>
  <c r="T64" i="15" s="1"/>
  <c r="Y64" i="15" s="1"/>
  <c r="AV65" i="15"/>
  <c r="AJ69" i="15"/>
  <c r="AL70" i="15"/>
  <c r="AK76" i="15"/>
  <c r="AK80" i="15"/>
  <c r="AN81" i="15"/>
  <c r="AM82" i="15"/>
  <c r="AZ83" i="15"/>
  <c r="AK88" i="15"/>
  <c r="AN103" i="15"/>
  <c r="S106" i="15"/>
  <c r="AH106" i="15" s="1"/>
  <c r="AU108" i="15"/>
  <c r="AR119" i="15"/>
  <c r="AU122" i="15"/>
  <c r="AW123" i="15"/>
  <c r="AT126" i="15"/>
  <c r="AL132" i="15"/>
  <c r="BB134" i="15"/>
  <c r="AL137" i="15"/>
  <c r="AV138" i="15"/>
  <c r="S150" i="15"/>
  <c r="T150" i="15" s="1"/>
  <c r="Y150" i="15" s="1"/>
  <c r="AK155" i="15"/>
  <c r="AW161" i="15"/>
  <c r="AR186" i="15"/>
  <c r="BC186" i="15"/>
  <c r="BA192" i="15"/>
  <c r="AW36" i="15"/>
  <c r="AK40" i="15"/>
  <c r="AK69" i="15"/>
  <c r="S74" i="15"/>
  <c r="AH74" i="15" s="1"/>
  <c r="AJ79" i="15"/>
  <c r="AJ101" i="15"/>
  <c r="AW122" i="15"/>
  <c r="S125" i="15"/>
  <c r="AH125" i="15" s="1"/>
  <c r="S128" i="15"/>
  <c r="AK128" i="15" s="1"/>
  <c r="AM132" i="15"/>
  <c r="AW138" i="15"/>
  <c r="AP144" i="15"/>
  <c r="AS144" i="15" s="1"/>
  <c r="BC148" i="15"/>
  <c r="AJ150" i="15"/>
  <c r="S157" i="15"/>
  <c r="AJ157" i="15" s="1"/>
  <c r="AX163" i="15"/>
  <c r="AU165" i="15"/>
  <c r="S167" i="15"/>
  <c r="T167" i="15" s="1"/>
  <c r="Y167" i="15" s="1"/>
  <c r="S173" i="15"/>
  <c r="T173" i="15" s="1"/>
  <c r="Y173" i="15" s="1"/>
  <c r="S179" i="15"/>
  <c r="T179" i="15" s="1"/>
  <c r="Y179" i="15" s="1"/>
  <c r="S185" i="15"/>
  <c r="T185" i="15" s="1"/>
  <c r="Y185" i="15" s="1"/>
  <c r="AR3" i="15"/>
  <c r="S9" i="15"/>
  <c r="AH9" i="15" s="1"/>
  <c r="AJ14" i="15"/>
  <c r="BC36" i="15"/>
  <c r="AX43" i="15"/>
  <c r="AW48" i="15"/>
  <c r="AI50" i="15"/>
  <c r="AK52" i="15"/>
  <c r="AR55" i="15"/>
  <c r="AW60" i="15"/>
  <c r="AI62" i="15"/>
  <c r="AK64" i="15"/>
  <c r="AR67" i="15"/>
  <c r="AL69" i="15"/>
  <c r="AI74" i="15"/>
  <c r="AK75" i="15"/>
  <c r="AR76" i="15"/>
  <c r="AL79" i="15"/>
  <c r="AQ80" i="15"/>
  <c r="S86" i="15"/>
  <c r="T86" i="15" s="1"/>
  <c r="Y86" i="15" s="1"/>
  <c r="AR89" i="15"/>
  <c r="BA90" i="15"/>
  <c r="S100" i="15"/>
  <c r="AH100" i="15" s="1"/>
  <c r="AU103" i="15"/>
  <c r="AQ104" i="15"/>
  <c r="AZ107" i="15"/>
  <c r="AZ108" i="15"/>
  <c r="AN110" i="15"/>
  <c r="AJ111" i="15"/>
  <c r="AR112" i="15"/>
  <c r="AN115" i="15"/>
  <c r="BC116" i="15"/>
  <c r="AK118" i="15"/>
  <c r="AZ121" i="15"/>
  <c r="AK125" i="15"/>
  <c r="AI128" i="15"/>
  <c r="AN132" i="15"/>
  <c r="AL140" i="15"/>
  <c r="BA141" i="15"/>
  <c r="AV144" i="15"/>
  <c r="AI146" i="15"/>
  <c r="AV147" i="15"/>
  <c r="AU152" i="15"/>
  <c r="AW155" i="15"/>
  <c r="AJ160" i="15"/>
  <c r="BC161" i="15"/>
  <c r="AZ165" i="15"/>
  <c r="S177" i="15"/>
  <c r="T177" i="15" s="1"/>
  <c r="Y177" i="15" s="1"/>
  <c r="AO191" i="15"/>
  <c r="BA22" i="15"/>
  <c r="AX25" i="15"/>
  <c r="AZ27" i="15"/>
  <c r="S33" i="15"/>
  <c r="AH33" i="15" s="1"/>
  <c r="AV33" i="15"/>
  <c r="AJ35" i="15"/>
  <c r="S42" i="15"/>
  <c r="T42" i="15" s="1"/>
  <c r="Y42" i="15" s="1"/>
  <c r="S47" i="15"/>
  <c r="T47" i="15" s="1"/>
  <c r="Y47" i="15" s="1"/>
  <c r="BC48" i="15"/>
  <c r="AO52" i="15"/>
  <c r="S59" i="15"/>
  <c r="AH59" i="15" s="1"/>
  <c r="BC60" i="15"/>
  <c r="AO64" i="15"/>
  <c r="AW76" i="15"/>
  <c r="AO79" i="15"/>
  <c r="BC82" i="15"/>
  <c r="AI85" i="15"/>
  <c r="AI86" i="15"/>
  <c r="BC92" i="15"/>
  <c r="AX93" i="15"/>
  <c r="AI97" i="15"/>
  <c r="S98" i="15"/>
  <c r="AH98" i="15" s="1"/>
  <c r="AK100" i="15"/>
  <c r="AT101" i="15"/>
  <c r="AV103" i="15"/>
  <c r="AX105" i="15"/>
  <c r="AX106" i="15"/>
  <c r="AK111" i="15"/>
  <c r="AW112" i="15"/>
  <c r="AO115" i="15"/>
  <c r="AL118" i="15"/>
  <c r="BB121" i="15"/>
  <c r="AL125" i="15"/>
  <c r="BC129" i="15"/>
  <c r="AN131" i="15"/>
  <c r="AU132" i="15"/>
  <c r="AP136" i="15"/>
  <c r="AZ137" i="15"/>
  <c r="S143" i="15"/>
  <c r="T143" i="15" s="1"/>
  <c r="Y143" i="15" s="1"/>
  <c r="AX144" i="15"/>
  <c r="AR146" i="15"/>
  <c r="BB155" i="15"/>
  <c r="BA165" i="15"/>
  <c r="S168" i="15"/>
  <c r="T168" i="15" s="1"/>
  <c r="Y168" i="15" s="1"/>
  <c r="S174" i="15"/>
  <c r="T174" i="15" s="1"/>
  <c r="Y174" i="15" s="1"/>
  <c r="S180" i="15"/>
  <c r="T180" i="15" s="1"/>
  <c r="Y180" i="15" s="1"/>
  <c r="AP191" i="15"/>
  <c r="S8" i="15"/>
  <c r="T8" i="15" s="1"/>
  <c r="AL5" i="15"/>
  <c r="AI9" i="15"/>
  <c r="AX15" i="15"/>
  <c r="S27" i="15"/>
  <c r="T27" i="15" s="1"/>
  <c r="Y27" i="15" s="1"/>
  <c r="AW30" i="15"/>
  <c r="AL35" i="15"/>
  <c r="BA40" i="15"/>
  <c r="AK42" i="15"/>
  <c r="AJ47" i="15"/>
  <c r="AU52" i="15"/>
  <c r="S54" i="15"/>
  <c r="T54" i="15" s="1"/>
  <c r="Y54" i="15" s="1"/>
  <c r="AZ57" i="15"/>
  <c r="AJ59" i="15"/>
  <c r="AU64" i="15"/>
  <c r="S66" i="15"/>
  <c r="T66" i="15" s="1"/>
  <c r="Y66" i="15" s="1"/>
  <c r="AK72" i="15"/>
  <c r="AN73" i="15"/>
  <c r="AM74" i="15"/>
  <c r="AP75" i="15"/>
  <c r="AM78" i="15"/>
  <c r="BA80" i="15"/>
  <c r="AM86" i="15"/>
  <c r="AP87" i="15"/>
  <c r="AR88" i="15"/>
  <c r="BA102" i="15"/>
  <c r="AV104" i="15"/>
  <c r="AP110" i="15"/>
  <c r="AM111" i="15"/>
  <c r="AV115" i="15"/>
  <c r="S122" i="15"/>
  <c r="T122" i="15" s="1"/>
  <c r="Y122" i="15" s="1"/>
  <c r="AQ128" i="15"/>
  <c r="S134" i="15"/>
  <c r="AH134" i="15" s="1"/>
  <c r="AI135" i="15"/>
  <c r="BB150" i="15"/>
  <c r="S154" i="15"/>
  <c r="T154" i="15" s="1"/>
  <c r="Y154" i="15" s="1"/>
  <c r="BC155" i="15"/>
  <c r="AV160" i="15"/>
  <c r="AK14" i="15"/>
  <c r="S7" i="15"/>
  <c r="T7" i="15" s="1"/>
  <c r="AI7" i="15"/>
  <c r="AM8" i="15"/>
  <c r="AR9" i="15"/>
  <c r="BA10" i="15"/>
  <c r="AW14" i="15"/>
  <c r="AN21" i="15"/>
  <c r="AI22" i="15"/>
  <c r="AP35" i="15"/>
  <c r="AM42" i="15"/>
  <c r="S44" i="15"/>
  <c r="AH44" i="15" s="1"/>
  <c r="AL47" i="15"/>
  <c r="BA52" i="15"/>
  <c r="AK54" i="15"/>
  <c r="AL59" i="15"/>
  <c r="BA64" i="15"/>
  <c r="AK66" i="15"/>
  <c r="AN72" i="15"/>
  <c r="AP74" i="15"/>
  <c r="AX81" i="15"/>
  <c r="AK84" i="15"/>
  <c r="AN85" i="15"/>
  <c r="AP86" i="15"/>
  <c r="S95" i="15"/>
  <c r="T95" i="15" s="1"/>
  <c r="Y95" i="15" s="1"/>
  <c r="AN96" i="15"/>
  <c r="AN97" i="15"/>
  <c r="AK99" i="15"/>
  <c r="BA101" i="15"/>
  <c r="AR110" i="15"/>
  <c r="AJ114" i="15"/>
  <c r="S117" i="15"/>
  <c r="AH117" i="15" s="1"/>
  <c r="AX118" i="15"/>
  <c r="AM124" i="15"/>
  <c r="AT128" i="15"/>
  <c r="AZ132" i="15"/>
  <c r="AK134" i="15"/>
  <c r="AR136" i="15"/>
  <c r="AU140" i="15"/>
  <c r="AX146" i="15"/>
  <c r="AO149" i="15"/>
  <c r="AZ158" i="15"/>
  <c r="BA160" i="15"/>
  <c r="S162" i="15"/>
  <c r="T162" i="15" s="1"/>
  <c r="Y162" i="15" s="1"/>
  <c r="S169" i="15"/>
  <c r="T169" i="15" s="1"/>
  <c r="Y169" i="15" s="1"/>
  <c r="S175" i="15"/>
  <c r="T175" i="15" s="1"/>
  <c r="Y175" i="15" s="1"/>
  <c r="S181" i="15"/>
  <c r="T181" i="15" s="1"/>
  <c r="Y181" i="15" s="1"/>
  <c r="AY197" i="15"/>
  <c r="AN197" i="15"/>
  <c r="S189" i="15"/>
  <c r="T189" i="15" s="1"/>
  <c r="Y189" i="15" s="1"/>
  <c r="AO192" i="15"/>
  <c r="AL193" i="15"/>
  <c r="S196" i="15"/>
  <c r="T196" i="15" s="1"/>
  <c r="Y196" i="15" s="1"/>
  <c r="BA196" i="15"/>
  <c r="AY200" i="15"/>
  <c r="AJ203" i="15"/>
  <c r="AV208" i="15"/>
  <c r="AP213" i="15"/>
  <c r="S215" i="15"/>
  <c r="AK215" i="15" s="1"/>
  <c r="BB215" i="15"/>
  <c r="BB217" i="15"/>
  <c r="AM224" i="15"/>
  <c r="AX226" i="15"/>
  <c r="AP228" i="15"/>
  <c r="S240" i="15"/>
  <c r="AH240" i="15" s="1"/>
  <c r="AJ242" i="15"/>
  <c r="AT244" i="15"/>
  <c r="AV246" i="15"/>
  <c r="AX251" i="15"/>
  <c r="AN255" i="15"/>
  <c r="AJ256" i="15"/>
  <c r="AU257" i="15"/>
  <c r="AY258" i="15"/>
  <c r="AN262" i="15"/>
  <c r="AQ263" i="15"/>
  <c r="AX268" i="15"/>
  <c r="AR271" i="15"/>
  <c r="AV272" i="15"/>
  <c r="AV273" i="15"/>
  <c r="AV276" i="15"/>
  <c r="AV277" i="15"/>
  <c r="AT281" i="15"/>
  <c r="AP286" i="15"/>
  <c r="AM287" i="15"/>
  <c r="AR291" i="15"/>
  <c r="BC301" i="15"/>
  <c r="AX302" i="15"/>
  <c r="BB305" i="15"/>
  <c r="BC307" i="15"/>
  <c r="AP312" i="15"/>
  <c r="AM313" i="15"/>
  <c r="AI314" i="15"/>
  <c r="AL316" i="15"/>
  <c r="AI317" i="15"/>
  <c r="AI318" i="15"/>
  <c r="BA321" i="15"/>
  <c r="AW322" i="15"/>
  <c r="BB323" i="15"/>
  <c r="AY326" i="15"/>
  <c r="AK333" i="15"/>
  <c r="AX186" i="15"/>
  <c r="AO193" i="15"/>
  <c r="AI199" i="15"/>
  <c r="AZ200" i="15"/>
  <c r="BC204" i="15"/>
  <c r="AQ207" i="15"/>
  <c r="BA208" i="15"/>
  <c r="AY213" i="15"/>
  <c r="AU224" i="15"/>
  <c r="AQ228" i="15"/>
  <c r="AU229" i="15"/>
  <c r="AI237" i="15"/>
  <c r="S239" i="15"/>
  <c r="AH239" i="15" s="1"/>
  <c r="AO240" i="15"/>
  <c r="AQ242" i="15"/>
  <c r="AU244" i="15"/>
  <c r="AW246" i="15"/>
  <c r="S254" i="15"/>
  <c r="T254" i="15" s="1"/>
  <c r="Y254" i="15" s="1"/>
  <c r="AO255" i="15"/>
  <c r="AK256" i="15"/>
  <c r="AV257" i="15"/>
  <c r="BC258" i="15"/>
  <c r="AV263" i="15"/>
  <c r="BC264" i="15"/>
  <c r="AM270" i="15"/>
  <c r="AW273" i="15"/>
  <c r="AX276" i="15"/>
  <c r="AW277" i="15"/>
  <c r="AX281" i="15"/>
  <c r="AQ286" i="15"/>
  <c r="AR290" i="15"/>
  <c r="AV291" i="15"/>
  <c r="AY303" i="15"/>
  <c r="S307" i="15"/>
  <c r="AH307" i="15" s="1"/>
  <c r="AZ310" i="15"/>
  <c r="AR311" i="15"/>
  <c r="AQ312" i="15"/>
  <c r="AJ317" i="15"/>
  <c r="AN318" i="15"/>
  <c r="AI319" i="15"/>
  <c r="S321" i="15"/>
  <c r="AH321" i="15" s="1"/>
  <c r="BB321" i="15"/>
  <c r="AL333" i="15"/>
  <c r="AL195" i="15"/>
  <c r="AP199" i="15"/>
  <c r="AJ206" i="15"/>
  <c r="AZ213" i="15"/>
  <c r="AP219" i="15"/>
  <c r="AR223" i="15"/>
  <c r="BC225" i="15"/>
  <c r="AR228" i="15"/>
  <c r="AP238" i="15"/>
  <c r="AQ240" i="15"/>
  <c r="AV244" i="15"/>
  <c r="AX246" i="15"/>
  <c r="BA257" i="15"/>
  <c r="AQ262" i="15"/>
  <c r="AW263" i="15"/>
  <c r="AN270" i="15"/>
  <c r="BA272" i="15"/>
  <c r="BC273" i="15"/>
  <c r="BC275" i="15"/>
  <c r="AZ276" i="15"/>
  <c r="AM279" i="15"/>
  <c r="AM280" i="15"/>
  <c r="AZ281" i="15"/>
  <c r="AM284" i="15"/>
  <c r="AV286" i="15"/>
  <c r="AT290" i="15"/>
  <c r="S296" i="15"/>
  <c r="AH296" i="15" s="1"/>
  <c r="AL305" i="15"/>
  <c r="BC308" i="15"/>
  <c r="AO314" i="15"/>
  <c r="AN316" i="15"/>
  <c r="AO318" i="15"/>
  <c r="S320" i="15"/>
  <c r="T320" i="15" s="1"/>
  <c r="Y320" i="15" s="1"/>
  <c r="AK321" i="15"/>
  <c r="AM333" i="15"/>
  <c r="AM195" i="15"/>
  <c r="AQ199" i="15"/>
  <c r="AN202" i="15"/>
  <c r="AQ206" i="15"/>
  <c r="AP211" i="15"/>
  <c r="S216" i="15"/>
  <c r="T216" i="15" s="1"/>
  <c r="Y216" i="15" s="1"/>
  <c r="AQ219" i="15"/>
  <c r="AR221" i="15"/>
  <c r="AU223" i="15"/>
  <c r="AN231" i="15"/>
  <c r="AQ238" i="15"/>
  <c r="AU241" i="15"/>
  <c r="AY246" i="15"/>
  <c r="S252" i="15"/>
  <c r="AH252" i="15" s="1"/>
  <c r="AL253" i="15"/>
  <c r="AQ255" i="15"/>
  <c r="BB257" i="15"/>
  <c r="AJ260" i="15"/>
  <c r="AR262" i="15"/>
  <c r="AN267" i="15"/>
  <c r="S269" i="15"/>
  <c r="AM269" i="15" s="1"/>
  <c r="BB272" i="15"/>
  <c r="BB281" i="15"/>
  <c r="S283" i="15"/>
  <c r="T283" i="15" s="1"/>
  <c r="Y283" i="15" s="1"/>
  <c r="AO283" i="15"/>
  <c r="AK285" i="15"/>
  <c r="AU287" i="15"/>
  <c r="AT288" i="15"/>
  <c r="AK293" i="15"/>
  <c r="AM295" i="15"/>
  <c r="BC302" i="15"/>
  <c r="AN305" i="15"/>
  <c r="BC310" i="15"/>
  <c r="AU311" i="15"/>
  <c r="AP313" i="15"/>
  <c r="AQ314" i="15"/>
  <c r="AO316" i="15"/>
  <c r="AL321" i="15"/>
  <c r="AJ326" i="15"/>
  <c r="AN333" i="15"/>
  <c r="AR199" i="15"/>
  <c r="AO202" i="15"/>
  <c r="BB203" i="15"/>
  <c r="S205" i="15"/>
  <c r="AH205" i="15" s="1"/>
  <c r="AR206" i="15"/>
  <c r="BA207" i="15"/>
  <c r="AJ210" i="15"/>
  <c r="AQ211" i="15"/>
  <c r="AI218" i="15"/>
  <c r="S221" i="15"/>
  <c r="AH221" i="15" s="1"/>
  <c r="AI227" i="15"/>
  <c r="AO231" i="15"/>
  <c r="AP236" i="15"/>
  <c r="AS236" i="15" s="1"/>
  <c r="AR238" i="15"/>
  <c r="AM250" i="15"/>
  <c r="S251" i="15"/>
  <c r="T251" i="15" s="1"/>
  <c r="Y251" i="15" s="1"/>
  <c r="AK260" i="15"/>
  <c r="S261" i="15"/>
  <c r="T261" i="15" s="1"/>
  <c r="Y261" i="15" s="1"/>
  <c r="AU262" i="15"/>
  <c r="AO267" i="15"/>
  <c r="AI268" i="15"/>
  <c r="S278" i="15"/>
  <c r="T278" i="15" s="1"/>
  <c r="Y278" i="15" s="1"/>
  <c r="AP279" i="15"/>
  <c r="AV287" i="15"/>
  <c r="AO293" i="15"/>
  <c r="AM294" i="15"/>
  <c r="AN296" i="15"/>
  <c r="AJ298" i="15"/>
  <c r="AQ299" i="15"/>
  <c r="AP300" i="15"/>
  <c r="AO305" i="15"/>
  <c r="AK308" i="15"/>
  <c r="S311" i="15"/>
  <c r="T311" i="15" s="1"/>
  <c r="Y311" i="15" s="1"/>
  <c r="AR314" i="15"/>
  <c r="AQ318" i="15"/>
  <c r="AP320" i="15"/>
  <c r="AM321" i="15"/>
  <c r="S323" i="15"/>
  <c r="T323" i="15" s="1"/>
  <c r="Y323" i="15" s="1"/>
  <c r="AJ325" i="15"/>
  <c r="AK326" i="15"/>
  <c r="AO333" i="15"/>
  <c r="AO197" i="15"/>
  <c r="AN198" i="15"/>
  <c r="AX199" i="15"/>
  <c r="AR202" i="15"/>
  <c r="AJ205" i="15"/>
  <c r="AN209" i="15"/>
  <c r="AM215" i="15"/>
  <c r="BB216" i="15"/>
  <c r="AZ221" i="15"/>
  <c r="BA223" i="15"/>
  <c r="S226" i="15"/>
  <c r="AH226" i="15" s="1"/>
  <c r="AM227" i="15"/>
  <c r="AP231" i="15"/>
  <c r="AR233" i="15"/>
  <c r="AN234" i="15"/>
  <c r="AU238" i="15"/>
  <c r="AM248" i="15"/>
  <c r="AO250" i="15"/>
  <c r="AN253" i="15"/>
  <c r="AL259" i="15"/>
  <c r="BC263" i="15"/>
  <c r="AI266" i="15"/>
  <c r="AP267" i="15"/>
  <c r="S270" i="15"/>
  <c r="T270" i="15" s="1"/>
  <c r="Y270" i="15" s="1"/>
  <c r="AZ280" i="15"/>
  <c r="AO285" i="15"/>
  <c r="AO294" i="15"/>
  <c r="AQ295" i="15"/>
  <c r="AN298" i="15"/>
  <c r="AP305" i="15"/>
  <c r="AJ306" i="15"/>
  <c r="AL308" i="15"/>
  <c r="S310" i="15"/>
  <c r="T310" i="15" s="1"/>
  <c r="Y310" i="15" s="1"/>
  <c r="S313" i="15"/>
  <c r="T313" i="15" s="1"/>
  <c r="Y313" i="15" s="1"/>
  <c r="AR318" i="15"/>
  <c r="AM319" i="15"/>
  <c r="AQ320" i="15"/>
  <c r="AN321" i="15"/>
  <c r="AM323" i="15"/>
  <c r="AJ324" i="15"/>
  <c r="AO325" i="15"/>
  <c r="S331" i="15"/>
  <c r="AH331" i="15" s="1"/>
  <c r="AP333" i="15"/>
  <c r="S201" i="15"/>
  <c r="T201" i="15" s="1"/>
  <c r="Y201" i="15" s="1"/>
  <c r="AK205" i="15"/>
  <c r="S207" i="15"/>
  <c r="AH207" i="15" s="1"/>
  <c r="AN210" i="15"/>
  <c r="AJ214" i="15"/>
  <c r="AN215" i="15"/>
  <c r="S223" i="15"/>
  <c r="AJ226" i="15"/>
  <c r="AX235" i="15"/>
  <c r="S246" i="15"/>
  <c r="T246" i="15" s="1"/>
  <c r="Y246" i="15" s="1"/>
  <c r="S247" i="15"/>
  <c r="T247" i="15" s="1"/>
  <c r="Y247" i="15" s="1"/>
  <c r="AN248" i="15"/>
  <c r="AK251" i="15"/>
  <c r="AO253" i="15"/>
  <c r="AM259" i="15"/>
  <c r="AM260" i="15"/>
  <c r="AM265" i="15"/>
  <c r="S272" i="15"/>
  <c r="AH272" i="15" s="1"/>
  <c r="S275" i="15"/>
  <c r="T275" i="15" s="1"/>
  <c r="Y275" i="15" s="1"/>
  <c r="AM275" i="15"/>
  <c r="S277" i="15"/>
  <c r="T277" i="15" s="1"/>
  <c r="Y277" i="15" s="1"/>
  <c r="S284" i="15"/>
  <c r="T284" i="15" s="1"/>
  <c r="Y284" i="15" s="1"/>
  <c r="BC289" i="15"/>
  <c r="AL297" i="15"/>
  <c r="AL301" i="15"/>
  <c r="AJ304" i="15"/>
  <c r="AK306" i="15"/>
  <c r="AK307" i="15"/>
  <c r="AM308" i="15"/>
  <c r="AK310" i="15"/>
  <c r="AP319" i="15"/>
  <c r="AR320" i="15"/>
  <c r="AO321" i="15"/>
  <c r="AI322" i="15"/>
  <c r="AN323" i="15"/>
  <c r="AK324" i="15"/>
  <c r="AP325" i="15"/>
  <c r="AM326" i="15"/>
  <c r="AR333" i="15"/>
  <c r="BA202" i="15"/>
  <c r="AL205" i="15"/>
  <c r="S214" i="15"/>
  <c r="AH214" i="15" s="1"/>
  <c r="AK214" i="15"/>
  <c r="AO215" i="15"/>
  <c r="AK226" i="15"/>
  <c r="AY233" i="15"/>
  <c r="AZ237" i="15"/>
  <c r="AI247" i="15"/>
  <c r="AK249" i="15"/>
  <c r="AL251" i="15"/>
  <c r="S257" i="15"/>
  <c r="T257" i="15" s="1"/>
  <c r="Y257" i="15" s="1"/>
  <c r="AN260" i="15"/>
  <c r="AK266" i="15"/>
  <c r="AL268" i="15"/>
  <c r="AN275" i="15"/>
  <c r="AJ282" i="15"/>
  <c r="AK292" i="15"/>
  <c r="AO301" i="15"/>
  <c r="AK303" i="15"/>
  <c r="AM306" i="15"/>
  <c r="AN307" i="15"/>
  <c r="AQ325" i="15"/>
  <c r="BB202" i="15"/>
  <c r="AI208" i="15"/>
  <c r="AL226" i="15"/>
  <c r="AY227" i="15"/>
  <c r="AJ230" i="15"/>
  <c r="AI244" i="15"/>
  <c r="S249" i="15"/>
  <c r="AH249" i="15" s="1"/>
  <c r="AI257" i="15"/>
  <c r="AL276" i="15"/>
  <c r="BC316" i="15"/>
  <c r="AP323" i="15"/>
  <c r="AO326" i="15"/>
  <c r="AX210" i="15"/>
  <c r="AW218" i="15"/>
  <c r="S220" i="15"/>
  <c r="AO220" i="15" s="1"/>
  <c r="AI224" i="15"/>
  <c r="AO226" i="15"/>
  <c r="S236" i="15"/>
  <c r="T236" i="15" s="1"/>
  <c r="Y236" i="15" s="1"/>
  <c r="AI264" i="15"/>
  <c r="S271" i="15"/>
  <c r="T271" i="15" s="1"/>
  <c r="Y271" i="15" s="1"/>
  <c r="AT274" i="15"/>
  <c r="BB284" i="15"/>
  <c r="AZ298" i="15"/>
  <c r="BA299" i="15"/>
  <c r="AP309" i="15"/>
  <c r="AJ313" i="15"/>
  <c r="S186" i="15"/>
  <c r="T186" i="15" s="1"/>
  <c r="Y186" i="15" s="1"/>
  <c r="AJ193" i="15"/>
  <c r="S195" i="15"/>
  <c r="T195" i="15" s="1"/>
  <c r="Y195" i="15" s="1"/>
  <c r="S202" i="15"/>
  <c r="AM202" i="15" s="1"/>
  <c r="AX205" i="15"/>
  <c r="AL207" i="15"/>
  <c r="BC210" i="15"/>
  <c r="S213" i="15"/>
  <c r="T213" i="15" s="1"/>
  <c r="Y213" i="15" s="1"/>
  <c r="AP217" i="15"/>
  <c r="S242" i="15"/>
  <c r="T242" i="15" s="1"/>
  <c r="Y242" i="15" s="1"/>
  <c r="AT247" i="15"/>
  <c r="AY259" i="15"/>
  <c r="AU265" i="15"/>
  <c r="AI271" i="15"/>
  <c r="AT277" i="15"/>
  <c r="AK281" i="15"/>
  <c r="AY282" i="15"/>
  <c r="BC284" i="15"/>
  <c r="AN291" i="15"/>
  <c r="BB292" i="15"/>
  <c r="S295" i="15"/>
  <c r="AH295" i="15" s="1"/>
  <c r="AZ296" i="15"/>
  <c r="BB300" i="15"/>
  <c r="AP303" i="15"/>
  <c r="AK311" i="15"/>
  <c r="AM312" i="15"/>
  <c r="AZ319" i="15"/>
  <c r="S192" i="15"/>
  <c r="T192" i="15" s="1"/>
  <c r="Y192" i="15" s="1"/>
  <c r="AK193" i="15"/>
  <c r="AP200" i="15"/>
  <c r="S203" i="15"/>
  <c r="AK203" i="15" s="1"/>
  <c r="AW204" i="15"/>
  <c r="AU208" i="15"/>
  <c r="AZ214" i="15"/>
  <c r="BA215" i="15"/>
  <c r="AW225" i="15"/>
  <c r="BB230" i="15"/>
  <c r="BA232" i="15"/>
  <c r="S241" i="15"/>
  <c r="T241" i="15" s="1"/>
  <c r="Y241" i="15" s="1"/>
  <c r="AT257" i="15"/>
  <c r="AZ260" i="15"/>
  <c r="AK270" i="15"/>
  <c r="BB282" i="15"/>
  <c r="AJ289" i="15"/>
  <c r="BA296" i="15"/>
  <c r="AY297" i="15"/>
  <c r="AW309" i="15"/>
  <c r="AW310" i="15"/>
  <c r="AV322" i="15"/>
  <c r="S333" i="15"/>
  <c r="AH333" i="15" s="1"/>
  <c r="AN4" i="15"/>
  <c r="AK6" i="15"/>
  <c r="AW6" i="15"/>
  <c r="AP7" i="15"/>
  <c r="BB7" i="15"/>
  <c r="AT8" i="15"/>
  <c r="AM9" i="15"/>
  <c r="AY9" i="15"/>
  <c r="AR10" i="15"/>
  <c r="AK11" i="15"/>
  <c r="AW11" i="15"/>
  <c r="AP12" i="15"/>
  <c r="BB12" i="15"/>
  <c r="AU13" i="15"/>
  <c r="AN14" i="15"/>
  <c r="AZ14" i="15"/>
  <c r="AR15" i="15"/>
  <c r="AK16" i="15"/>
  <c r="AW16" i="15"/>
  <c r="AP17" i="15"/>
  <c r="BB17" i="15"/>
  <c r="AI18" i="15"/>
  <c r="AU18" i="15"/>
  <c r="AP20" i="15"/>
  <c r="BB20" i="15"/>
  <c r="AK21" i="15"/>
  <c r="AW21" i="15"/>
  <c r="AR22" i="15"/>
  <c r="AM23" i="15"/>
  <c r="AY23" i="15"/>
  <c r="AT24" i="15"/>
  <c r="AO25" i="15"/>
  <c r="BA25" i="15"/>
  <c r="AJ26" i="15"/>
  <c r="AV26" i="15"/>
  <c r="AQ27" i="15"/>
  <c r="BC27" i="15"/>
  <c r="AL28" i="15"/>
  <c r="AX28" i="15"/>
  <c r="S30" i="15"/>
  <c r="AN30" i="15"/>
  <c r="AZ30" i="15"/>
  <c r="AI31" i="15"/>
  <c r="AR32" i="15"/>
  <c r="BA4" i="15"/>
  <c r="S6" i="15"/>
  <c r="AJ6" i="15" s="1"/>
  <c r="BC7" i="15"/>
  <c r="AI8" i="15"/>
  <c r="AU8" i="15"/>
  <c r="AZ9" i="15"/>
  <c r="S11" i="15"/>
  <c r="AX11" i="15"/>
  <c r="BC12" i="15"/>
  <c r="BA14" i="15"/>
  <c r="S16" i="15"/>
  <c r="AX16" i="15"/>
  <c r="BC17" i="15"/>
  <c r="BC20" i="15"/>
  <c r="AX21" i="15"/>
  <c r="S23" i="15"/>
  <c r="AZ23" i="15"/>
  <c r="AI24" i="15"/>
  <c r="AU24" i="15"/>
  <c r="BB25" i="15"/>
  <c r="AW26" i="15"/>
  <c r="AY28" i="15"/>
  <c r="AT29" i="15"/>
  <c r="BA30" i="15"/>
  <c r="AW3" i="15"/>
  <c r="BB4" i="15"/>
  <c r="AU5" i="15"/>
  <c r="AY6" i="15"/>
  <c r="AV8" i="15"/>
  <c r="BA9" i="15"/>
  <c r="AT10" i="15"/>
  <c r="AY11" i="15"/>
  <c r="AW13" i="15"/>
  <c r="BB14" i="15"/>
  <c r="AT15" i="15"/>
  <c r="AY16" i="15"/>
  <c r="AW18" i="15"/>
  <c r="S28" i="15"/>
  <c r="AI29" i="15"/>
  <c r="S3" i="15"/>
  <c r="AJ3" i="15" s="1"/>
  <c r="BC4" i="15"/>
  <c r="AZ6" i="15"/>
  <c r="AW8" i="15"/>
  <c r="BB9" i="15"/>
  <c r="AI10" i="15"/>
  <c r="AZ11" i="15"/>
  <c r="S13" i="15"/>
  <c r="AK13" i="15" s="1"/>
  <c r="AX13" i="15"/>
  <c r="BC14" i="15"/>
  <c r="AI15" i="15"/>
  <c r="AU15" i="15"/>
  <c r="AZ16" i="15"/>
  <c r="S18" i="15"/>
  <c r="AX18" i="15"/>
  <c r="S21" i="15"/>
  <c r="S26" i="15"/>
  <c r="AV32" i="15"/>
  <c r="AT25" i="15"/>
  <c r="S31" i="15"/>
  <c r="AJ31" i="15" s="1"/>
  <c r="AW32" i="15"/>
  <c r="AN34" i="15"/>
  <c r="AY34" i="15"/>
  <c r="BA3" i="15"/>
  <c r="AT4" i="15"/>
  <c r="AY5" i="15"/>
  <c r="BC6" i="15"/>
  <c r="AV7" i="15"/>
  <c r="AZ8" i="15"/>
  <c r="AX10" i="15"/>
  <c r="BC11" i="15"/>
  <c r="BA13" i="15"/>
  <c r="AT14" i="15"/>
  <c r="BC16" i="15"/>
  <c r="AV17" i="15"/>
  <c r="BA18" i="15"/>
  <c r="BC21" i="15"/>
  <c r="AX22" i="15"/>
  <c r="AZ24" i="15"/>
  <c r="AU25" i="15"/>
  <c r="BB26" i="15"/>
  <c r="AW27" i="15"/>
  <c r="AY29" i="15"/>
  <c r="AT30" i="15"/>
  <c r="BA31" i="15"/>
  <c r="AM33" i="15"/>
  <c r="AX33" i="15"/>
  <c r="AI4" i="15"/>
  <c r="AK7" i="15"/>
  <c r="AI14" i="15"/>
  <c r="AY32" i="15"/>
  <c r="BA5" i="15"/>
  <c r="BC13" i="15"/>
  <c r="S17" i="15"/>
  <c r="AX17" i="15"/>
  <c r="BC18" i="15"/>
  <c r="AZ32" i="15"/>
  <c r="BB5" i="15"/>
  <c r="AT6" i="15"/>
  <c r="AY20" i="15"/>
  <c r="AT21" i="15"/>
  <c r="BA32" i="15"/>
  <c r="AZ33" i="15"/>
  <c r="S35" i="15"/>
  <c r="AI35" i="15"/>
  <c r="AT35" i="15"/>
  <c r="BC5" i="15"/>
  <c r="AZ7" i="15"/>
  <c r="AW9" i="15"/>
  <c r="BB10" i="15"/>
  <c r="AU11" i="15"/>
  <c r="AZ12" i="15"/>
  <c r="BB15" i="15"/>
  <c r="AU16" i="15"/>
  <c r="AZ17" i="15"/>
  <c r="AU21" i="15"/>
  <c r="BB22" i="15"/>
  <c r="AW23" i="15"/>
  <c r="AY25" i="15"/>
  <c r="AT26" i="15"/>
  <c r="BA27" i="15"/>
  <c r="AV28" i="15"/>
  <c r="BC29" i="15"/>
  <c r="AX30" i="15"/>
  <c r="BB32" i="15"/>
  <c r="AY38" i="15"/>
  <c r="AT39" i="15"/>
  <c r="AY50" i="15"/>
  <c r="AT51" i="15"/>
  <c r="AY62" i="15"/>
  <c r="AT63" i="15"/>
  <c r="AI69" i="15"/>
  <c r="AT69" i="15"/>
  <c r="AQ70" i="15"/>
  <c r="BA33" i="15"/>
  <c r="AV34" i="15"/>
  <c r="BC35" i="15"/>
  <c r="AX36" i="15"/>
  <c r="S38" i="15"/>
  <c r="AZ38" i="15"/>
  <c r="AU39" i="15"/>
  <c r="BB40" i="15"/>
  <c r="AW41" i="15"/>
  <c r="AY43" i="15"/>
  <c r="AT44" i="15"/>
  <c r="BA45" i="15"/>
  <c r="AV46" i="15"/>
  <c r="BC47" i="15"/>
  <c r="AX48" i="15"/>
  <c r="S50" i="15"/>
  <c r="AZ50" i="15"/>
  <c r="AU51" i="15"/>
  <c r="BB52" i="15"/>
  <c r="AW53" i="15"/>
  <c r="AY55" i="15"/>
  <c r="BA57" i="15"/>
  <c r="AV58" i="15"/>
  <c r="BC59" i="15"/>
  <c r="AX60" i="15"/>
  <c r="S62" i="15"/>
  <c r="AZ62" i="15"/>
  <c r="AU63" i="15"/>
  <c r="BB64" i="15"/>
  <c r="AW65" i="15"/>
  <c r="AY67" i="15"/>
  <c r="AI68" i="15"/>
  <c r="AV68" i="15"/>
  <c r="AZ69" i="15"/>
  <c r="AR70" i="15"/>
  <c r="BB33" i="15"/>
  <c r="AW34" i="15"/>
  <c r="AY36" i="15"/>
  <c r="AT37" i="15"/>
  <c r="BA38" i="15"/>
  <c r="AV39" i="15"/>
  <c r="BC40" i="15"/>
  <c r="AX41" i="15"/>
  <c r="S43" i="15"/>
  <c r="AZ43" i="15"/>
  <c r="AI44" i="15"/>
  <c r="AU44" i="15"/>
  <c r="BB45" i="15"/>
  <c r="AW46" i="15"/>
  <c r="AY48" i="15"/>
  <c r="AT49" i="15"/>
  <c r="BA50" i="15"/>
  <c r="AV51" i="15"/>
  <c r="BC52" i="15"/>
  <c r="AX53" i="15"/>
  <c r="S55" i="15"/>
  <c r="AI55" i="15" s="1"/>
  <c r="AZ55" i="15"/>
  <c r="AU56" i="15"/>
  <c r="BB57" i="15"/>
  <c r="AW58" i="15"/>
  <c r="AY60" i="15"/>
  <c r="AT61" i="15"/>
  <c r="BA62" i="15"/>
  <c r="AV63" i="15"/>
  <c r="BC64" i="15"/>
  <c r="S67" i="15"/>
  <c r="AZ67" i="15"/>
  <c r="AW68" i="15"/>
  <c r="BB69" i="15"/>
  <c r="AU70" i="15"/>
  <c r="BC33" i="15"/>
  <c r="AX34" i="15"/>
  <c r="S36" i="15"/>
  <c r="AZ36" i="15"/>
  <c r="AU37" i="15"/>
  <c r="BB38" i="15"/>
  <c r="AW39" i="15"/>
  <c r="AY41" i="15"/>
  <c r="AT42" i="15"/>
  <c r="BA43" i="15"/>
  <c r="AV44" i="15"/>
  <c r="BC45" i="15"/>
  <c r="AX46" i="15"/>
  <c r="S48" i="15"/>
  <c r="AZ48" i="15"/>
  <c r="AU49" i="15"/>
  <c r="BB50" i="15"/>
  <c r="AW51" i="15"/>
  <c r="AY53" i="15"/>
  <c r="AT54" i="15"/>
  <c r="BA55" i="15"/>
  <c r="AV56" i="15"/>
  <c r="BC57" i="15"/>
  <c r="AX58" i="15"/>
  <c r="S60" i="15"/>
  <c r="AZ60" i="15"/>
  <c r="AU61" i="15"/>
  <c r="BB62" i="15"/>
  <c r="AW63" i="15"/>
  <c r="AY65" i="15"/>
  <c r="AT66" i="15"/>
  <c r="BA67" i="15"/>
  <c r="AX68" i="15"/>
  <c r="BA36" i="15"/>
  <c r="AV37" i="15"/>
  <c r="BC38" i="15"/>
  <c r="AX39" i="15"/>
  <c r="S41" i="15"/>
  <c r="AZ41" i="15"/>
  <c r="AI42" i="15"/>
  <c r="AU42" i="15"/>
  <c r="BB43" i="15"/>
  <c r="AW44" i="15"/>
  <c r="AY46" i="15"/>
  <c r="AT47" i="15"/>
  <c r="BA48" i="15"/>
  <c r="AV49" i="15"/>
  <c r="BC50" i="15"/>
  <c r="AX51" i="15"/>
  <c r="S53" i="15"/>
  <c r="AZ53" i="15"/>
  <c r="AI54" i="15"/>
  <c r="AU54" i="15"/>
  <c r="BB55" i="15"/>
  <c r="AW56" i="15"/>
  <c r="AY58" i="15"/>
  <c r="AT59" i="15"/>
  <c r="BA60" i="15"/>
  <c r="AV61" i="15"/>
  <c r="BC62" i="15"/>
  <c r="AX63" i="15"/>
  <c r="S65" i="15"/>
  <c r="AI65" i="15" s="1"/>
  <c r="AZ65" i="15"/>
  <c r="AI66" i="15"/>
  <c r="AU66" i="15"/>
  <c r="BB67" i="15"/>
  <c r="AY70" i="15"/>
  <c r="S34" i="15"/>
  <c r="AK37" i="15"/>
  <c r="AM39" i="15"/>
  <c r="AT40" i="15"/>
  <c r="S46" i="15"/>
  <c r="AI47" i="15"/>
  <c r="AK49" i="15"/>
  <c r="AM51" i="15"/>
  <c r="AT52" i="15"/>
  <c r="S58" i="15"/>
  <c r="AI58" i="15" s="1"/>
  <c r="AI59" i="15"/>
  <c r="AK61" i="15"/>
  <c r="AM63" i="15"/>
  <c r="AT64" i="15"/>
  <c r="AZ68" i="15"/>
  <c r="AQ71" i="15"/>
  <c r="BB71" i="15"/>
  <c r="BA68" i="15"/>
  <c r="BC71" i="15"/>
  <c r="AR71" i="15"/>
  <c r="S68" i="15"/>
  <c r="BB68" i="15"/>
  <c r="AP69" i="15"/>
  <c r="BC34" i="15"/>
  <c r="AX35" i="15"/>
  <c r="AZ37" i="15"/>
  <c r="AU38" i="15"/>
  <c r="BB39" i="15"/>
  <c r="AW40" i="15"/>
  <c r="AY42" i="15"/>
  <c r="AT43" i="15"/>
  <c r="BA44" i="15"/>
  <c r="AV45" i="15"/>
  <c r="BC46" i="15"/>
  <c r="AX47" i="15"/>
  <c r="AZ49" i="15"/>
  <c r="AU50" i="15"/>
  <c r="BB51" i="15"/>
  <c r="AW52" i="15"/>
  <c r="AY54" i="15"/>
  <c r="BA56" i="15"/>
  <c r="AV57" i="15"/>
  <c r="BC58" i="15"/>
  <c r="AZ61" i="15"/>
  <c r="AU62" i="15"/>
  <c r="BB63" i="15"/>
  <c r="AW64" i="15"/>
  <c r="AY66" i="15"/>
  <c r="AT67" i="15"/>
  <c r="BC68" i="15"/>
  <c r="AW33" i="15"/>
  <c r="AY35" i="15"/>
  <c r="AT36" i="15"/>
  <c r="BA37" i="15"/>
  <c r="AV38" i="15"/>
  <c r="BC39" i="15"/>
  <c r="AX40" i="15"/>
  <c r="AZ42" i="15"/>
  <c r="AU43" i="15"/>
  <c r="BB44" i="15"/>
  <c r="AW45" i="15"/>
  <c r="AY47" i="15"/>
  <c r="AT48" i="15"/>
  <c r="BA49" i="15"/>
  <c r="AV50" i="15"/>
  <c r="BC51" i="15"/>
  <c r="AX52" i="15"/>
  <c r="AZ54" i="15"/>
  <c r="AU55" i="15"/>
  <c r="BB56" i="15"/>
  <c r="AW57" i="15"/>
  <c r="AY59" i="15"/>
  <c r="AT60" i="15"/>
  <c r="BA61" i="15"/>
  <c r="AV62" i="15"/>
  <c r="BC63" i="15"/>
  <c r="AX64" i="15"/>
  <c r="AZ66" i="15"/>
  <c r="AU67" i="15"/>
  <c r="AV70" i="15"/>
  <c r="AK70" i="15"/>
  <c r="S71" i="15"/>
  <c r="AZ35" i="15"/>
  <c r="AU36" i="15"/>
  <c r="BB37" i="15"/>
  <c r="AW38" i="15"/>
  <c r="AY40" i="15"/>
  <c r="AT41" i="15"/>
  <c r="BA42" i="15"/>
  <c r="AV43" i="15"/>
  <c r="BC44" i="15"/>
  <c r="AX45" i="15"/>
  <c r="AZ47" i="15"/>
  <c r="AU48" i="15"/>
  <c r="BB49" i="15"/>
  <c r="AW50" i="15"/>
  <c r="AY52" i="15"/>
  <c r="AT53" i="15"/>
  <c r="BA54" i="15"/>
  <c r="AV55" i="15"/>
  <c r="BC56" i="15"/>
  <c r="AX57" i="15"/>
  <c r="AZ59" i="15"/>
  <c r="AU60" i="15"/>
  <c r="BB61" i="15"/>
  <c r="AW62" i="15"/>
  <c r="AY64" i="15"/>
  <c r="BA66" i="15"/>
  <c r="AV67" i="15"/>
  <c r="S69" i="15"/>
  <c r="AL71" i="15"/>
  <c r="AL72" i="15"/>
  <c r="AW72" i="15"/>
  <c r="S72" i="15"/>
  <c r="AM72" i="15"/>
  <c r="AO74" i="15"/>
  <c r="AJ75" i="15"/>
  <c r="AQ76" i="15"/>
  <c r="AL77" i="15"/>
  <c r="S79" i="15"/>
  <c r="AN79" i="15"/>
  <c r="AI80" i="15"/>
  <c r="AP81" i="15"/>
  <c r="AK82" i="15"/>
  <c r="AR83" i="15"/>
  <c r="AM84" i="15"/>
  <c r="AO86" i="15"/>
  <c r="AJ87" i="15"/>
  <c r="AQ88" i="15"/>
  <c r="AL89" i="15"/>
  <c r="S91" i="15"/>
  <c r="AN91" i="15"/>
  <c r="AI92" i="15"/>
  <c r="AP93" i="15"/>
  <c r="AK94" i="15"/>
  <c r="AR95" i="15"/>
  <c r="AM96" i="15"/>
  <c r="AO98" i="15"/>
  <c r="AJ99" i="15"/>
  <c r="AQ100" i="15"/>
  <c r="AL101" i="15"/>
  <c r="AY101" i="15"/>
  <c r="AJ102" i="15"/>
  <c r="AZ102" i="15"/>
  <c r="BC103" i="15"/>
  <c r="S84" i="15"/>
  <c r="S96" i="15"/>
  <c r="AL102" i="15"/>
  <c r="AZ106" i="15"/>
  <c r="AO106" i="15"/>
  <c r="BB108" i="15"/>
  <c r="AQ108" i="15"/>
  <c r="AT71" i="15"/>
  <c r="BA72" i="15"/>
  <c r="AV73" i="15"/>
  <c r="BC74" i="15"/>
  <c r="S77" i="15"/>
  <c r="AZ77" i="15"/>
  <c r="AU78" i="15"/>
  <c r="BB79" i="15"/>
  <c r="AW80" i="15"/>
  <c r="AY82" i="15"/>
  <c r="AT83" i="15"/>
  <c r="BA84" i="15"/>
  <c r="AV85" i="15"/>
  <c r="BC86" i="15"/>
  <c r="AX87" i="15"/>
  <c r="S89" i="15"/>
  <c r="AZ89" i="15"/>
  <c r="AU90" i="15"/>
  <c r="BB91" i="15"/>
  <c r="AW92" i="15"/>
  <c r="AY94" i="15"/>
  <c r="AT95" i="15"/>
  <c r="BA96" i="15"/>
  <c r="AV97" i="15"/>
  <c r="BC98" i="15"/>
  <c r="AX99" i="15"/>
  <c r="S101" i="15"/>
  <c r="AO101" i="15"/>
  <c r="BA113" i="15"/>
  <c r="AP113" i="15"/>
  <c r="AU119" i="15"/>
  <c r="S119" i="15"/>
  <c r="AK119" i="15" s="1"/>
  <c r="AJ119" i="15"/>
  <c r="S70" i="15"/>
  <c r="AZ70" i="15"/>
  <c r="AI71" i="15"/>
  <c r="AU71" i="15"/>
  <c r="BB72" i="15"/>
  <c r="AW73" i="15"/>
  <c r="AY75" i="15"/>
  <c r="AT76" i="15"/>
  <c r="BA77" i="15"/>
  <c r="AV78" i="15"/>
  <c r="BC79" i="15"/>
  <c r="AX80" i="15"/>
  <c r="S82" i="15"/>
  <c r="AZ82" i="15"/>
  <c r="AI83" i="15"/>
  <c r="AU83" i="15"/>
  <c r="BB84" i="15"/>
  <c r="AW85" i="15"/>
  <c r="AY87" i="15"/>
  <c r="AT88" i="15"/>
  <c r="BA89" i="15"/>
  <c r="AV90" i="15"/>
  <c r="BC91" i="15"/>
  <c r="AX92" i="15"/>
  <c r="S94" i="15"/>
  <c r="AZ94" i="15"/>
  <c r="AI95" i="15"/>
  <c r="AU95" i="15"/>
  <c r="BB96" i="15"/>
  <c r="AW97" i="15"/>
  <c r="AY99" i="15"/>
  <c r="AT100" i="15"/>
  <c r="BC101" i="15"/>
  <c r="S104" i="15"/>
  <c r="BA70" i="15"/>
  <c r="AV71" i="15"/>
  <c r="BC72" i="15"/>
  <c r="AX73" i="15"/>
  <c r="S75" i="15"/>
  <c r="AM75" i="15" s="1"/>
  <c r="AZ75" i="15"/>
  <c r="AI76" i="15"/>
  <c r="AU76" i="15"/>
  <c r="BB77" i="15"/>
  <c r="AW78" i="15"/>
  <c r="AY80" i="15"/>
  <c r="AT81" i="15"/>
  <c r="BA82" i="15"/>
  <c r="AV83" i="15"/>
  <c r="BC84" i="15"/>
  <c r="AX85" i="15"/>
  <c r="S87" i="15"/>
  <c r="AZ87" i="15"/>
  <c r="AI88" i="15"/>
  <c r="AU88" i="15"/>
  <c r="BB89" i="15"/>
  <c r="AW90" i="15"/>
  <c r="AY92" i="15"/>
  <c r="AT93" i="15"/>
  <c r="BA94" i="15"/>
  <c r="AV95" i="15"/>
  <c r="BC96" i="15"/>
  <c r="AX97" i="15"/>
  <c r="S99" i="15"/>
  <c r="AZ99" i="15"/>
  <c r="AI100" i="15"/>
  <c r="AU100" i="15"/>
  <c r="S103" i="15"/>
  <c r="AQ103" i="15"/>
  <c r="AT74" i="15"/>
  <c r="S80" i="15"/>
  <c r="AU81" i="15"/>
  <c r="AT86" i="15"/>
  <c r="S92" i="15"/>
  <c r="AU93" i="15"/>
  <c r="AT98" i="15"/>
  <c r="S102" i="15"/>
  <c r="AQ102" i="15"/>
  <c r="S108" i="15"/>
  <c r="AY111" i="15"/>
  <c r="AN111" i="15"/>
  <c r="S118" i="15"/>
  <c r="AY78" i="15"/>
  <c r="AT79" i="15"/>
  <c r="AL104" i="15"/>
  <c r="AW104" i="15"/>
  <c r="AU107" i="15"/>
  <c r="AJ107" i="15"/>
  <c r="AV114" i="15"/>
  <c r="AK114" i="15"/>
  <c r="BB120" i="15"/>
  <c r="S120" i="15"/>
  <c r="AK120" i="15" s="1"/>
  <c r="AQ120" i="15"/>
  <c r="AY123" i="15"/>
  <c r="AN123" i="15"/>
  <c r="S78" i="15"/>
  <c r="S90" i="15"/>
  <c r="AX104" i="15"/>
  <c r="AM104" i="15"/>
  <c r="AW109" i="15"/>
  <c r="AL109" i="15"/>
  <c r="S113" i="15"/>
  <c r="AW121" i="15"/>
  <c r="AL121" i="15"/>
  <c r="AY76" i="15"/>
  <c r="AT77" i="15"/>
  <c r="AY88" i="15"/>
  <c r="AT89" i="15"/>
  <c r="AY100" i="15"/>
  <c r="AN104" i="15"/>
  <c r="AY104" i="15"/>
  <c r="AV101" i="15"/>
  <c r="AV102" i="15"/>
  <c r="AO104" i="15"/>
  <c r="AZ104" i="15"/>
  <c r="AY74" i="15"/>
  <c r="BA76" i="15"/>
  <c r="AV77" i="15"/>
  <c r="BC78" i="15"/>
  <c r="AX79" i="15"/>
  <c r="AZ81" i="15"/>
  <c r="AU82" i="15"/>
  <c r="BB83" i="15"/>
  <c r="AW84" i="15"/>
  <c r="AY86" i="15"/>
  <c r="AT87" i="15"/>
  <c r="BA88" i="15"/>
  <c r="AV89" i="15"/>
  <c r="BC90" i="15"/>
  <c r="AX91" i="15"/>
  <c r="AZ93" i="15"/>
  <c r="AU94" i="15"/>
  <c r="BB95" i="15"/>
  <c r="AW96" i="15"/>
  <c r="AY98" i="15"/>
  <c r="AT99" i="15"/>
  <c r="BA100" i="15"/>
  <c r="AT112" i="15"/>
  <c r="S112" i="15"/>
  <c r="AI112" i="15"/>
  <c r="BC115" i="15"/>
  <c r="AR115" i="15"/>
  <c r="S116" i="15"/>
  <c r="AZ118" i="15"/>
  <c r="AO118" i="15"/>
  <c r="AT105" i="15"/>
  <c r="BA106" i="15"/>
  <c r="AV107" i="15"/>
  <c r="BC108" i="15"/>
  <c r="AX109" i="15"/>
  <c r="S111" i="15"/>
  <c r="AZ111" i="15"/>
  <c r="AU112" i="15"/>
  <c r="BB113" i="15"/>
  <c r="AW114" i="15"/>
  <c r="AY116" i="15"/>
  <c r="BA118" i="15"/>
  <c r="BC120" i="15"/>
  <c r="AX121" i="15"/>
  <c r="S123" i="15"/>
  <c r="AZ123" i="15"/>
  <c r="AI124" i="15"/>
  <c r="AU124" i="15"/>
  <c r="AP125" i="15"/>
  <c r="BB125" i="15"/>
  <c r="AK126" i="15"/>
  <c r="AW126" i="15"/>
  <c r="AR127" i="15"/>
  <c r="AM128" i="15"/>
  <c r="AY128" i="15"/>
  <c r="AT129" i="15"/>
  <c r="AO130" i="15"/>
  <c r="BA130" i="15"/>
  <c r="AJ131" i="15"/>
  <c r="AQ132" i="15"/>
  <c r="BC132" i="15"/>
  <c r="AL133" i="15"/>
  <c r="AX133" i="15"/>
  <c r="S135" i="15"/>
  <c r="AN135" i="15"/>
  <c r="AZ135" i="15"/>
  <c r="AI136" i="15"/>
  <c r="AU136" i="15"/>
  <c r="AP137" i="15"/>
  <c r="BC137" i="15"/>
  <c r="AK139" i="15"/>
  <c r="BC139" i="15"/>
  <c r="AI105" i="15"/>
  <c r="AU105" i="15"/>
  <c r="BB106" i="15"/>
  <c r="AW107" i="15"/>
  <c r="AY109" i="15"/>
  <c r="AT110" i="15"/>
  <c r="BA111" i="15"/>
  <c r="AV112" i="15"/>
  <c r="BC113" i="15"/>
  <c r="AX114" i="15"/>
  <c r="AZ116" i="15"/>
  <c r="BB118" i="15"/>
  <c r="AW119" i="15"/>
  <c r="AY121" i="15"/>
  <c r="AT122" i="15"/>
  <c r="BA123" i="15"/>
  <c r="AV124" i="15"/>
  <c r="BC125" i="15"/>
  <c r="AX126" i="15"/>
  <c r="AZ128" i="15"/>
  <c r="AI129" i="15"/>
  <c r="BB130" i="15"/>
  <c r="AW131" i="15"/>
  <c r="AY133" i="15"/>
  <c r="AT134" i="15"/>
  <c r="BA135" i="15"/>
  <c r="AV136" i="15"/>
  <c r="AQ137" i="15"/>
  <c r="AN138" i="15"/>
  <c r="BA138" i="15"/>
  <c r="AM139" i="15"/>
  <c r="S109" i="15"/>
  <c r="AY114" i="15"/>
  <c r="AT115" i="15"/>
  <c r="S121" i="15"/>
  <c r="AY126" i="15"/>
  <c r="AT127" i="15"/>
  <c r="S133" i="15"/>
  <c r="AI134" i="15"/>
  <c r="S138" i="15"/>
  <c r="BB138" i="15"/>
  <c r="AW105" i="15"/>
  <c r="AY107" i="15"/>
  <c r="AT108" i="15"/>
  <c r="BA109" i="15"/>
  <c r="AV110" i="15"/>
  <c r="BC111" i="15"/>
  <c r="S114" i="15"/>
  <c r="AU115" i="15"/>
  <c r="BB116" i="15"/>
  <c r="S126" i="15"/>
  <c r="BC138" i="15"/>
  <c r="AP139" i="15"/>
  <c r="S107" i="15"/>
  <c r="AI108" i="15"/>
  <c r="AY112" i="15"/>
  <c r="AT113" i="15"/>
  <c r="AY124" i="15"/>
  <c r="AT125" i="15"/>
  <c r="S131" i="15"/>
  <c r="AK131" i="15" s="1"/>
  <c r="AY136" i="15"/>
  <c r="AT137" i="15"/>
  <c r="S140" i="15"/>
  <c r="BC109" i="15"/>
  <c r="AX110" i="15"/>
  <c r="AZ112" i="15"/>
  <c r="AI113" i="15"/>
  <c r="AU113" i="15"/>
  <c r="BB114" i="15"/>
  <c r="AW115" i="15"/>
  <c r="AY117" i="15"/>
  <c r="AT118" i="15"/>
  <c r="BA119" i="15"/>
  <c r="BC121" i="15"/>
  <c r="AX122" i="15"/>
  <c r="S124" i="15"/>
  <c r="AZ124" i="15"/>
  <c r="AI125" i="15"/>
  <c r="AU125" i="15"/>
  <c r="BB126" i="15"/>
  <c r="AW127" i="15"/>
  <c r="AY129" i="15"/>
  <c r="AT130" i="15"/>
  <c r="BA131" i="15"/>
  <c r="AV132" i="15"/>
  <c r="BC133" i="15"/>
  <c r="AX134" i="15"/>
  <c r="S136" i="15"/>
  <c r="AZ136" i="15"/>
  <c r="AI137" i="15"/>
  <c r="AU137" i="15"/>
  <c r="S139" i="15"/>
  <c r="AU118" i="15"/>
  <c r="AX127" i="15"/>
  <c r="AZ129" i="15"/>
  <c r="BB131" i="15"/>
  <c r="AT139" i="15"/>
  <c r="AO141" i="15"/>
  <c r="AU139" i="15"/>
  <c r="BB105" i="15"/>
  <c r="AW106" i="15"/>
  <c r="S115" i="15"/>
  <c r="S127" i="15"/>
  <c r="AJ127" i="15" s="1"/>
  <c r="AM140" i="15"/>
  <c r="AX140" i="15"/>
  <c r="AL106" i="15"/>
  <c r="AY106" i="15"/>
  <c r="BB115" i="15"/>
  <c r="AW116" i="15"/>
  <c r="AY118" i="15"/>
  <c r="AT119" i="15"/>
  <c r="BA120" i="15"/>
  <c r="AV121" i="15"/>
  <c r="BC122" i="15"/>
  <c r="AX123" i="15"/>
  <c r="AZ125" i="15"/>
  <c r="AU126" i="15"/>
  <c r="BB127" i="15"/>
  <c r="AW128" i="15"/>
  <c r="AY130" i="15"/>
  <c r="BA132" i="15"/>
  <c r="AV133" i="15"/>
  <c r="BC134" i="15"/>
  <c r="AX135" i="15"/>
  <c r="AN137" i="15"/>
  <c r="S141" i="15"/>
  <c r="AN141" i="15"/>
  <c r="AI142" i="15"/>
  <c r="AU142" i="15"/>
  <c r="BB143" i="15"/>
  <c r="AW144" i="15"/>
  <c r="AY146" i="15"/>
  <c r="AT147" i="15"/>
  <c r="BA148" i="15"/>
  <c r="AV149" i="15"/>
  <c r="BC150" i="15"/>
  <c r="AL151" i="15"/>
  <c r="AX151" i="15"/>
  <c r="S153" i="15"/>
  <c r="AM153" i="15"/>
  <c r="AT154" i="15"/>
  <c r="BA155" i="15"/>
  <c r="AJ156" i="15"/>
  <c r="AV156" i="15"/>
  <c r="AQ157" i="15"/>
  <c r="BC157" i="15"/>
  <c r="AL158" i="15"/>
  <c r="AS158" i="15" s="1"/>
  <c r="AX158" i="15"/>
  <c r="S160" i="15"/>
  <c r="AN160" i="15"/>
  <c r="AZ160" i="15"/>
  <c r="AI161" i="15"/>
  <c r="AU161" i="15"/>
  <c r="AP162" i="15"/>
  <c r="BB162" i="15"/>
  <c r="AK163" i="15"/>
  <c r="AS163" i="15" s="1"/>
  <c r="AW163" i="15"/>
  <c r="AR164" i="15"/>
  <c r="AM165" i="15"/>
  <c r="AY165" i="15"/>
  <c r="AT166" i="15"/>
  <c r="AP186" i="15"/>
  <c r="BB186" i="15"/>
  <c r="AJ188" i="15"/>
  <c r="AQ189" i="15"/>
  <c r="BC189" i="15"/>
  <c r="AM190" i="15"/>
  <c r="BB190" i="15"/>
  <c r="AN191" i="15"/>
  <c r="AJ142" i="15"/>
  <c r="S146" i="15"/>
  <c r="AI147" i="15"/>
  <c r="AY151" i="15"/>
  <c r="AT152" i="15"/>
  <c r="AZ153" i="15"/>
  <c r="AI154" i="15"/>
  <c r="AY158" i="15"/>
  <c r="AT159" i="15"/>
  <c r="S165" i="15"/>
  <c r="AK165" i="15" s="1"/>
  <c r="AI166" i="15"/>
  <c r="AW188" i="15"/>
  <c r="AR191" i="15"/>
  <c r="BC191" i="15"/>
  <c r="AQ193" i="15"/>
  <c r="BB193" i="15"/>
  <c r="BA193" i="15"/>
  <c r="AI140" i="15"/>
  <c r="AY144" i="15"/>
  <c r="AT145" i="15"/>
  <c r="S151" i="15"/>
  <c r="AI152" i="15"/>
  <c r="BA153" i="15"/>
  <c r="S158" i="15"/>
  <c r="AI159" i="15"/>
  <c r="AY163" i="15"/>
  <c r="AX188" i="15"/>
  <c r="S190" i="15"/>
  <c r="AO190" i="15"/>
  <c r="S191" i="15"/>
  <c r="AV140" i="15"/>
  <c r="BC141" i="15"/>
  <c r="AX142" i="15"/>
  <c r="S144" i="15"/>
  <c r="AZ144" i="15"/>
  <c r="AU145" i="15"/>
  <c r="BB146" i="15"/>
  <c r="AW147" i="15"/>
  <c r="AY149" i="15"/>
  <c r="AT150" i="15"/>
  <c r="BA151" i="15"/>
  <c r="AW154" i="15"/>
  <c r="AY156" i="15"/>
  <c r="AT157" i="15"/>
  <c r="BA158" i="15"/>
  <c r="AV159" i="15"/>
  <c r="BC160" i="15"/>
  <c r="AX161" i="15"/>
  <c r="S163" i="15"/>
  <c r="AZ163" i="15"/>
  <c r="AU164" i="15"/>
  <c r="BB165" i="15"/>
  <c r="AW166" i="15"/>
  <c r="S188" i="15"/>
  <c r="AT189" i="15"/>
  <c r="AP190" i="15"/>
  <c r="AT191" i="15"/>
  <c r="AT143" i="15"/>
  <c r="S149" i="15"/>
  <c r="AM149" i="15" s="1"/>
  <c r="AI150" i="15"/>
  <c r="BC153" i="15"/>
  <c r="AX154" i="15"/>
  <c r="S156" i="15"/>
  <c r="AI157" i="15"/>
  <c r="BB158" i="15"/>
  <c r="AW159" i="15"/>
  <c r="AY161" i="15"/>
  <c r="AT162" i="15"/>
  <c r="BA163" i="15"/>
  <c r="BC165" i="15"/>
  <c r="AX166" i="15"/>
  <c r="AT186" i="15"/>
  <c r="AZ188" i="15"/>
  <c r="AI189" i="15"/>
  <c r="AU189" i="15"/>
  <c r="AZ142" i="15"/>
  <c r="AU143" i="15"/>
  <c r="BB144" i="15"/>
  <c r="AW145" i="15"/>
  <c r="AY147" i="15"/>
  <c r="AT148" i="15"/>
  <c r="BA149" i="15"/>
  <c r="AV150" i="15"/>
  <c r="BC151" i="15"/>
  <c r="AX152" i="15"/>
  <c r="AY154" i="15"/>
  <c r="BA156" i="15"/>
  <c r="BC158" i="15"/>
  <c r="S161" i="15"/>
  <c r="AZ161" i="15"/>
  <c r="AI162" i="15"/>
  <c r="AU162" i="15"/>
  <c r="BB163" i="15"/>
  <c r="AW164" i="15"/>
  <c r="AY166" i="15"/>
  <c r="AI186" i="15"/>
  <c r="AU186" i="15"/>
  <c r="BA188" i="15"/>
  <c r="AV189" i="15"/>
  <c r="AM192" i="15"/>
  <c r="AX192" i="15"/>
  <c r="AI192" i="15"/>
  <c r="S193" i="15"/>
  <c r="AY140" i="15"/>
  <c r="AT141" i="15"/>
  <c r="BA142" i="15"/>
  <c r="AV143" i="15"/>
  <c r="BC144" i="15"/>
  <c r="AL145" i="15"/>
  <c r="AX145" i="15"/>
  <c r="AZ147" i="15"/>
  <c r="AI148" i="15"/>
  <c r="AU148" i="15"/>
  <c r="BB149" i="15"/>
  <c r="AW150" i="15"/>
  <c r="AY152" i="15"/>
  <c r="AZ154" i="15"/>
  <c r="AU155" i="15"/>
  <c r="BB156" i="15"/>
  <c r="AW157" i="15"/>
  <c r="AY159" i="15"/>
  <c r="AT160" i="15"/>
  <c r="BA161" i="15"/>
  <c r="AV162" i="15"/>
  <c r="BC163" i="15"/>
  <c r="AL164" i="15"/>
  <c r="AZ166" i="15"/>
  <c r="BB188" i="15"/>
  <c r="AW189" i="15"/>
  <c r="AT190" i="15"/>
  <c r="AN192" i="15"/>
  <c r="AY192" i="15"/>
  <c r="AK194" i="15"/>
  <c r="AV194" i="15"/>
  <c r="AU190" i="15"/>
  <c r="AL194" i="15"/>
  <c r="AW194" i="15"/>
  <c r="AY150" i="15"/>
  <c r="AT151" i="15"/>
  <c r="AY157" i="15"/>
  <c r="AT158" i="15"/>
  <c r="AY189" i="15"/>
  <c r="AW190" i="15"/>
  <c r="BB140" i="15"/>
  <c r="AW141" i="15"/>
  <c r="AY143" i="15"/>
  <c r="AT144" i="15"/>
  <c r="BA145" i="15"/>
  <c r="AV146" i="15"/>
  <c r="BC147" i="15"/>
  <c r="AX148" i="15"/>
  <c r="AZ150" i="15"/>
  <c r="AU151" i="15"/>
  <c r="BB152" i="15"/>
  <c r="AV153" i="15"/>
  <c r="BC154" i="15"/>
  <c r="AZ157" i="15"/>
  <c r="AU158" i="15"/>
  <c r="BB159" i="15"/>
  <c r="AW160" i="15"/>
  <c r="AY162" i="15"/>
  <c r="AT163" i="15"/>
  <c r="BA164" i="15"/>
  <c r="BC166" i="15"/>
  <c r="AY186" i="15"/>
  <c r="AZ189" i="15"/>
  <c r="AT192" i="15"/>
  <c r="BC140" i="15"/>
  <c r="AX141" i="15"/>
  <c r="AZ143" i="15"/>
  <c r="AU144" i="15"/>
  <c r="BB145" i="15"/>
  <c r="AW146" i="15"/>
  <c r="AY148" i="15"/>
  <c r="AT149" i="15"/>
  <c r="BA150" i="15"/>
  <c r="BC152" i="15"/>
  <c r="AW153" i="15"/>
  <c r="AY155" i="15"/>
  <c r="BA157" i="15"/>
  <c r="AV158" i="15"/>
  <c r="BC159" i="15"/>
  <c r="AX160" i="15"/>
  <c r="AZ162" i="15"/>
  <c r="AU163" i="15"/>
  <c r="BB164" i="15"/>
  <c r="AW165" i="15"/>
  <c r="AZ186" i="15"/>
  <c r="AT188" i="15"/>
  <c r="BA189" i="15"/>
  <c r="AU192" i="15"/>
  <c r="AM191" i="15"/>
  <c r="S194" i="15"/>
  <c r="AN194" i="15"/>
  <c r="AZ194" i="15"/>
  <c r="AI195" i="15"/>
  <c r="AU195" i="15"/>
  <c r="BB196" i="15"/>
  <c r="AW197" i="15"/>
  <c r="AY199" i="15"/>
  <c r="BA201" i="15"/>
  <c r="AV202" i="15"/>
  <c r="BC203" i="15"/>
  <c r="AX204" i="15"/>
  <c r="S206" i="15"/>
  <c r="AN206" i="15"/>
  <c r="AZ206" i="15"/>
  <c r="AI207" i="15"/>
  <c r="AU207" i="15"/>
  <c r="BB208" i="15"/>
  <c r="AW209" i="15"/>
  <c r="AY211" i="15"/>
  <c r="BA214" i="15"/>
  <c r="BC216" i="15"/>
  <c r="AY219" i="15"/>
  <c r="BA221" i="15"/>
  <c r="AV223" i="15"/>
  <c r="BC224" i="15"/>
  <c r="AX225" i="15"/>
  <c r="S227" i="15"/>
  <c r="AP227" i="15"/>
  <c r="AK229" i="15"/>
  <c r="BB229" i="15"/>
  <c r="AT193" i="15"/>
  <c r="BA194" i="15"/>
  <c r="AV195" i="15"/>
  <c r="BC196" i="15"/>
  <c r="AX197" i="15"/>
  <c r="S199" i="15"/>
  <c r="AZ199" i="15"/>
  <c r="BB201" i="15"/>
  <c r="AW202" i="15"/>
  <c r="AY204" i="15"/>
  <c r="AT205" i="15"/>
  <c r="BA206" i="15"/>
  <c r="AV207" i="15"/>
  <c r="BC208" i="15"/>
  <c r="AX209" i="15"/>
  <c r="S211" i="15"/>
  <c r="AZ211" i="15"/>
  <c r="BB214" i="15"/>
  <c r="AW215" i="15"/>
  <c r="S219" i="15"/>
  <c r="AI219" i="15" s="1"/>
  <c r="BB221" i="15"/>
  <c r="AW223" i="15"/>
  <c r="AY225" i="15"/>
  <c r="AT226" i="15"/>
  <c r="AQ227" i="15"/>
  <c r="S228" i="15"/>
  <c r="AU228" i="15"/>
  <c r="AR230" i="15"/>
  <c r="BC230" i="15"/>
  <c r="AY230" i="15"/>
  <c r="AT231" i="15"/>
  <c r="AJ233" i="15"/>
  <c r="S234" i="15"/>
  <c r="S235" i="15"/>
  <c r="AI193" i="15"/>
  <c r="S204" i="15"/>
  <c r="AI204" i="15" s="1"/>
  <c r="AI205" i="15"/>
  <c r="S217" i="15"/>
  <c r="AI217" i="15" s="1"/>
  <c r="AY217" i="15"/>
  <c r="S225" i="15"/>
  <c r="AI226" i="15"/>
  <c r="AR227" i="15"/>
  <c r="AW228" i="15"/>
  <c r="AS254" i="15"/>
  <c r="S197" i="15"/>
  <c r="S209" i="15"/>
  <c r="S231" i="15"/>
  <c r="AO232" i="15"/>
  <c r="S230" i="15"/>
  <c r="AL235" i="15"/>
  <c r="AS235" i="15" s="1"/>
  <c r="AW235" i="15"/>
  <c r="AV227" i="15"/>
  <c r="AP229" i="15"/>
  <c r="AO233" i="15"/>
  <c r="AZ233" i="15"/>
  <c r="AN237" i="15"/>
  <c r="S237" i="15"/>
  <c r="AY237" i="15"/>
  <c r="AY193" i="15"/>
  <c r="AT194" i="15"/>
  <c r="AY205" i="15"/>
  <c r="AJ208" i="15"/>
  <c r="BC217" i="15"/>
  <c r="AX218" i="15"/>
  <c r="AU221" i="15"/>
  <c r="BB223" i="15"/>
  <c r="AW224" i="15"/>
  <c r="AY226" i="15"/>
  <c r="AW227" i="15"/>
  <c r="AI228" i="15"/>
  <c r="AR229" i="15"/>
  <c r="AI230" i="15"/>
  <c r="AV201" i="15"/>
  <c r="AV214" i="15"/>
  <c r="AY218" i="15"/>
  <c r="BA220" i="15"/>
  <c r="AV221" i="15"/>
  <c r="AK228" i="15"/>
  <c r="S229" i="15"/>
  <c r="AL230" i="15"/>
  <c r="AW230" i="15"/>
  <c r="BC195" i="15"/>
  <c r="S198" i="15"/>
  <c r="AZ198" i="15"/>
  <c r="AU199" i="15"/>
  <c r="BB200" i="15"/>
  <c r="AW201" i="15"/>
  <c r="AY203" i="15"/>
  <c r="BA205" i="15"/>
  <c r="AV206" i="15"/>
  <c r="BC207" i="15"/>
  <c r="AX208" i="15"/>
  <c r="S210" i="15"/>
  <c r="AZ210" i="15"/>
  <c r="AU211" i="15"/>
  <c r="BB213" i="15"/>
  <c r="AW214" i="15"/>
  <c r="AY216" i="15"/>
  <c r="S218" i="15"/>
  <c r="AZ218" i="15"/>
  <c r="AU219" i="15"/>
  <c r="BB220" i="15"/>
  <c r="AK221" i="15"/>
  <c r="AW221" i="15"/>
  <c r="AY224" i="15"/>
  <c r="AT225" i="15"/>
  <c r="BA226" i="15"/>
  <c r="AN228" i="15"/>
  <c r="AM230" i="15"/>
  <c r="AQ234" i="15"/>
  <c r="BB234" i="15"/>
  <c r="AY196" i="15"/>
  <c r="AT197" i="15"/>
  <c r="BA198" i="15"/>
  <c r="AV199" i="15"/>
  <c r="BC200" i="15"/>
  <c r="AZ203" i="15"/>
  <c r="AU204" i="15"/>
  <c r="BB205" i="15"/>
  <c r="AW206" i="15"/>
  <c r="AY208" i="15"/>
  <c r="AT209" i="15"/>
  <c r="BA210" i="15"/>
  <c r="AV211" i="15"/>
  <c r="BC213" i="15"/>
  <c r="AX214" i="15"/>
  <c r="BA218" i="15"/>
  <c r="BC220" i="15"/>
  <c r="AX221" i="15"/>
  <c r="S224" i="15"/>
  <c r="AZ224" i="15"/>
  <c r="AU225" i="15"/>
  <c r="BB226" i="15"/>
  <c r="AZ227" i="15"/>
  <c r="AM231" i="15"/>
  <c r="AX231" i="15"/>
  <c r="S232" i="15"/>
  <c r="AV192" i="15"/>
  <c r="BC193" i="15"/>
  <c r="AX194" i="15"/>
  <c r="AU197" i="15"/>
  <c r="BB198" i="15"/>
  <c r="AW199" i="15"/>
  <c r="AY201" i="15"/>
  <c r="BA203" i="15"/>
  <c r="AV204" i="15"/>
  <c r="BC205" i="15"/>
  <c r="AX206" i="15"/>
  <c r="AZ208" i="15"/>
  <c r="AU209" i="15"/>
  <c r="BB210" i="15"/>
  <c r="AW211" i="15"/>
  <c r="AY214" i="15"/>
  <c r="AT215" i="15"/>
  <c r="BA216" i="15"/>
  <c r="BB218" i="15"/>
  <c r="AW219" i="15"/>
  <c r="AY221" i="15"/>
  <c r="AT223" i="15"/>
  <c r="BA224" i="15"/>
  <c r="AV225" i="15"/>
  <c r="BC226" i="15"/>
  <c r="AI229" i="15"/>
  <c r="AT230" i="15"/>
  <c r="S233" i="15"/>
  <c r="AU234" i="15"/>
  <c r="BB235" i="15"/>
  <c r="AW236" i="15"/>
  <c r="AY238" i="15"/>
  <c r="AT239" i="15"/>
  <c r="BA240" i="15"/>
  <c r="AV241" i="15"/>
  <c r="BC242" i="15"/>
  <c r="AX243" i="15"/>
  <c r="S245" i="15"/>
  <c r="AZ245" i="15"/>
  <c r="AU246" i="15"/>
  <c r="BB247" i="15"/>
  <c r="AW248" i="15"/>
  <c r="AY250" i="15"/>
  <c r="AT251" i="15"/>
  <c r="BA252" i="15"/>
  <c r="AV253" i="15"/>
  <c r="BC254" i="15"/>
  <c r="AX255" i="15"/>
  <c r="AR257" i="15"/>
  <c r="S258" i="15"/>
  <c r="AK259" i="15"/>
  <c r="AR261" i="15"/>
  <c r="S262" i="15"/>
  <c r="AP263" i="15"/>
  <c r="AX264" i="15"/>
  <c r="AJ234" i="15"/>
  <c r="S238" i="15"/>
  <c r="AI239" i="15"/>
  <c r="AS239" i="15" s="1"/>
  <c r="AK241" i="15"/>
  <c r="AJ246" i="15"/>
  <c r="S250" i="15"/>
  <c r="AI251" i="15"/>
  <c r="AO258" i="15"/>
  <c r="S263" i="15"/>
  <c r="AJ267" i="15"/>
  <c r="AU267" i="15"/>
  <c r="S243" i="15"/>
  <c r="S255" i="15"/>
  <c r="AK264" i="15"/>
  <c r="AV264" i="15"/>
  <c r="AT242" i="15"/>
  <c r="S248" i="15"/>
  <c r="BB259" i="15"/>
  <c r="AY256" i="15"/>
  <c r="AV230" i="15"/>
  <c r="BC231" i="15"/>
  <c r="AX232" i="15"/>
  <c r="AZ234" i="15"/>
  <c r="AU235" i="15"/>
  <c r="BB236" i="15"/>
  <c r="AW237" i="15"/>
  <c r="AY239" i="15"/>
  <c r="AT240" i="15"/>
  <c r="BA241" i="15"/>
  <c r="AV242" i="15"/>
  <c r="BC243" i="15"/>
  <c r="AX244" i="15"/>
  <c r="AZ246" i="15"/>
  <c r="AU247" i="15"/>
  <c r="BB248" i="15"/>
  <c r="AW249" i="15"/>
  <c r="AY251" i="15"/>
  <c r="AT252" i="15"/>
  <c r="BA253" i="15"/>
  <c r="AV254" i="15"/>
  <c r="BC255" i="15"/>
  <c r="AZ256" i="15"/>
  <c r="AW257" i="15"/>
  <c r="AT258" i="15"/>
  <c r="BA260" i="15"/>
  <c r="AW261" i="15"/>
  <c r="AV262" i="15"/>
  <c r="AL264" i="15"/>
  <c r="AP266" i="15"/>
  <c r="BA266" i="15"/>
  <c r="AY232" i="15"/>
  <c r="AT233" i="15"/>
  <c r="BA234" i="15"/>
  <c r="AV235" i="15"/>
  <c r="BC236" i="15"/>
  <c r="AX237" i="15"/>
  <c r="AZ239" i="15"/>
  <c r="AI240" i="15"/>
  <c r="AU240" i="15"/>
  <c r="BB241" i="15"/>
  <c r="AW242" i="15"/>
  <c r="AY244" i="15"/>
  <c r="AT245" i="15"/>
  <c r="BA246" i="15"/>
  <c r="AV247" i="15"/>
  <c r="BC248" i="15"/>
  <c r="AX249" i="15"/>
  <c r="AZ251" i="15"/>
  <c r="AI252" i="15"/>
  <c r="AS252" i="15" s="1"/>
  <c r="AU252" i="15"/>
  <c r="BB253" i="15"/>
  <c r="AW254" i="15"/>
  <c r="BA256" i="15"/>
  <c r="AY257" i="15"/>
  <c r="AU258" i="15"/>
  <c r="S259" i="15"/>
  <c r="S260" i="15"/>
  <c r="BB260" i="15"/>
  <c r="AK261" i="15"/>
  <c r="AX261" i="15"/>
  <c r="AI262" i="15"/>
  <c r="AI263" i="15"/>
  <c r="AY263" i="15"/>
  <c r="AN264" i="15"/>
  <c r="AI265" i="15"/>
  <c r="AT265" i="15"/>
  <c r="AT238" i="15"/>
  <c r="BA239" i="15"/>
  <c r="AV240" i="15"/>
  <c r="BC241" i="15"/>
  <c r="AX242" i="15"/>
  <c r="AZ244" i="15"/>
  <c r="AU245" i="15"/>
  <c r="BB246" i="15"/>
  <c r="AW247" i="15"/>
  <c r="AM249" i="15"/>
  <c r="AY249" i="15"/>
  <c r="AT250" i="15"/>
  <c r="BA251" i="15"/>
  <c r="AV252" i="15"/>
  <c r="BC253" i="15"/>
  <c r="AX254" i="15"/>
  <c r="S256" i="15"/>
  <c r="BB256" i="15"/>
  <c r="AM257" i="15"/>
  <c r="AZ257" i="15"/>
  <c r="AV258" i="15"/>
  <c r="BC260" i="15"/>
  <c r="AY261" i="15"/>
  <c r="AJ263" i="15"/>
  <c r="AZ263" i="15"/>
  <c r="AQ264" i="15"/>
  <c r="BB265" i="15"/>
  <c r="AW266" i="15"/>
  <c r="BB239" i="15"/>
  <c r="AW240" i="15"/>
  <c r="AY242" i="15"/>
  <c r="AT243" i="15"/>
  <c r="BA244" i="15"/>
  <c r="AV245" i="15"/>
  <c r="BC246" i="15"/>
  <c r="AX247" i="15"/>
  <c r="AZ249" i="15"/>
  <c r="AU250" i="15"/>
  <c r="BB251" i="15"/>
  <c r="AW252" i="15"/>
  <c r="AY254" i="15"/>
  <c r="AT255" i="15"/>
  <c r="AZ261" i="15"/>
  <c r="AL262" i="15"/>
  <c r="AZ262" i="15"/>
  <c r="S266" i="15"/>
  <c r="AZ266" i="15"/>
  <c r="AX228" i="15"/>
  <c r="AZ230" i="15"/>
  <c r="AU231" i="15"/>
  <c r="BB232" i="15"/>
  <c r="AW233" i="15"/>
  <c r="AY235" i="15"/>
  <c r="AT236" i="15"/>
  <c r="BA237" i="15"/>
  <c r="AV238" i="15"/>
  <c r="BC239" i="15"/>
  <c r="AX240" i="15"/>
  <c r="AZ242" i="15"/>
  <c r="AU243" i="15"/>
  <c r="BB244" i="15"/>
  <c r="AW245" i="15"/>
  <c r="AY247" i="15"/>
  <c r="AT248" i="15"/>
  <c r="BA249" i="15"/>
  <c r="AV250" i="15"/>
  <c r="BC251" i="15"/>
  <c r="AX252" i="15"/>
  <c r="AZ254" i="15"/>
  <c r="AU255" i="15"/>
  <c r="AR256" i="15"/>
  <c r="AX258" i="15"/>
  <c r="AU259" i="15"/>
  <c r="BA261" i="15"/>
  <c r="AL265" i="15"/>
  <c r="AV231" i="15"/>
  <c r="BC232" i="15"/>
  <c r="AX233" i="15"/>
  <c r="AZ235" i="15"/>
  <c r="AU236" i="15"/>
  <c r="BB237" i="15"/>
  <c r="AW238" i="15"/>
  <c r="AY240" i="15"/>
  <c r="AT241" i="15"/>
  <c r="BA242" i="15"/>
  <c r="AV243" i="15"/>
  <c r="BC244" i="15"/>
  <c r="AX245" i="15"/>
  <c r="AZ247" i="15"/>
  <c r="AU248" i="15"/>
  <c r="BB249" i="15"/>
  <c r="AW250" i="15"/>
  <c r="AY252" i="15"/>
  <c r="AT253" i="15"/>
  <c r="BA254" i="15"/>
  <c r="AV255" i="15"/>
  <c r="AI259" i="15"/>
  <c r="S264" i="15"/>
  <c r="S267" i="15"/>
  <c r="AT260" i="15"/>
  <c r="AQ261" i="15"/>
  <c r="AU264" i="15"/>
  <c r="AY268" i="15"/>
  <c r="AT269" i="15"/>
  <c r="BA270" i="15"/>
  <c r="AV271" i="15"/>
  <c r="BC272" i="15"/>
  <c r="AX273" i="15"/>
  <c r="AQ275" i="15"/>
  <c r="AN276" i="15"/>
  <c r="AQ279" i="15"/>
  <c r="AN280" i="15"/>
  <c r="BB280" i="15"/>
  <c r="AL281" i="15"/>
  <c r="AY281" i="15"/>
  <c r="AI282" i="15"/>
  <c r="AV282" i="15"/>
  <c r="AP284" i="15"/>
  <c r="AP285" i="15"/>
  <c r="S286" i="15"/>
  <c r="BA287" i="15"/>
  <c r="AL289" i="15"/>
  <c r="AZ289" i="15"/>
  <c r="AX290" i="15"/>
  <c r="AJ291" i="15"/>
  <c r="AI292" i="15"/>
  <c r="AX292" i="15"/>
  <c r="AW300" i="15"/>
  <c r="AL300" i="15"/>
  <c r="AY301" i="15"/>
  <c r="S303" i="15"/>
  <c r="AN312" i="15"/>
  <c r="AY312" i="15"/>
  <c r="BC265" i="15"/>
  <c r="AX266" i="15"/>
  <c r="S268" i="15"/>
  <c r="AZ268" i="15"/>
  <c r="AI269" i="15"/>
  <c r="AU269" i="15"/>
  <c r="AP270" i="15"/>
  <c r="BB270" i="15"/>
  <c r="AW271" i="15"/>
  <c r="AY273" i="15"/>
  <c r="AV274" i="15"/>
  <c r="S276" i="15"/>
  <c r="BB276" i="15"/>
  <c r="AX277" i="15"/>
  <c r="AU278" i="15"/>
  <c r="S280" i="15"/>
  <c r="AP280" i="15"/>
  <c r="BC280" i="15"/>
  <c r="AW282" i="15"/>
  <c r="AT283" i="15"/>
  <c r="AR285" i="15"/>
  <c r="S287" i="15"/>
  <c r="AN287" i="15"/>
  <c r="BC287" i="15"/>
  <c r="AO288" i="15"/>
  <c r="BC288" i="15"/>
  <c r="BA289" i="15"/>
  <c r="AK290" i="15"/>
  <c r="AZ290" i="15"/>
  <c r="AL291" i="15"/>
  <c r="AZ291" i="15"/>
  <c r="AJ292" i="15"/>
  <c r="AY292" i="15"/>
  <c r="AL293" i="15"/>
  <c r="BB293" i="15"/>
  <c r="AQ294" i="15"/>
  <c r="BB294" i="15"/>
  <c r="AP294" i="15"/>
  <c r="AV295" i="15"/>
  <c r="BB296" i="15"/>
  <c r="AM298" i="15"/>
  <c r="AT267" i="15"/>
  <c r="BA268" i="15"/>
  <c r="AV269" i="15"/>
  <c r="BC270" i="15"/>
  <c r="AX271" i="15"/>
  <c r="S273" i="15"/>
  <c r="AZ273" i="15"/>
  <c r="AJ274" i="15"/>
  <c r="AW274" i="15"/>
  <c r="BC276" i="15"/>
  <c r="AY277" i="15"/>
  <c r="AI278" i="15"/>
  <c r="AV278" i="15"/>
  <c r="BA281" i="15"/>
  <c r="AX282" i="15"/>
  <c r="AU283" i="15"/>
  <c r="AR286" i="15"/>
  <c r="BB289" i="15"/>
  <c r="BA290" i="15"/>
  <c r="AZ292" i="15"/>
  <c r="AM293" i="15"/>
  <c r="BB268" i="15"/>
  <c r="AW269" i="15"/>
  <c r="AY271" i="15"/>
  <c r="AT272" i="15"/>
  <c r="BA273" i="15"/>
  <c r="AZ277" i="15"/>
  <c r="AW278" i="15"/>
  <c r="S281" i="15"/>
  <c r="AV283" i="15"/>
  <c r="S285" i="15"/>
  <c r="AT285" i="15"/>
  <c r="AQ287" i="15"/>
  <c r="S289" i="15"/>
  <c r="AN290" i="15"/>
  <c r="BB291" i="15"/>
  <c r="AL292" i="15"/>
  <c r="AU299" i="15"/>
  <c r="S299" i="15"/>
  <c r="AO300" i="15"/>
  <c r="S301" i="15"/>
  <c r="AV267" i="15"/>
  <c r="BC268" i="15"/>
  <c r="AZ271" i="15"/>
  <c r="AI272" i="15"/>
  <c r="AU272" i="15"/>
  <c r="BB273" i="15"/>
  <c r="AY274" i="15"/>
  <c r="AU275" i="15"/>
  <c r="BA277" i="15"/>
  <c r="AX278" i="15"/>
  <c r="AI279" i="15"/>
  <c r="AV279" i="15"/>
  <c r="BC281" i="15"/>
  <c r="AZ282" i="15"/>
  <c r="AJ283" i="15"/>
  <c r="AW283" i="15"/>
  <c r="AU284" i="15"/>
  <c r="AT286" i="15"/>
  <c r="S290" i="15"/>
  <c r="AP293" i="15"/>
  <c r="AX297" i="15"/>
  <c r="AQ298" i="15"/>
  <c r="AZ299" i="15"/>
  <c r="AW303" i="15"/>
  <c r="AX304" i="15"/>
  <c r="AY269" i="15"/>
  <c r="AT270" i="15"/>
  <c r="AZ274" i="15"/>
  <c r="AV275" i="15"/>
  <c r="BB277" i="15"/>
  <c r="AZ278" i="15"/>
  <c r="AW279" i="15"/>
  <c r="AT280" i="15"/>
  <c r="BA282" i="15"/>
  <c r="AY283" i="15"/>
  <c r="S288" i="15"/>
  <c r="AQ290" i="15"/>
  <c r="S291" i="15"/>
  <c r="S293" i="15"/>
  <c r="S294" i="15"/>
  <c r="AI295" i="15"/>
  <c r="AR296" i="15"/>
  <c r="AY304" i="15"/>
  <c r="BA264" i="15"/>
  <c r="AV265" i="15"/>
  <c r="BC266" i="15"/>
  <c r="AX267" i="15"/>
  <c r="AZ269" i="15"/>
  <c r="AU270" i="15"/>
  <c r="BB271" i="15"/>
  <c r="AW272" i="15"/>
  <c r="AW275" i="15"/>
  <c r="BC277" i="15"/>
  <c r="AN278" i="15"/>
  <c r="S282" i="15"/>
  <c r="AM283" i="15"/>
  <c r="AI285" i="15"/>
  <c r="AW285" i="15"/>
  <c r="AW286" i="15"/>
  <c r="S292" i="15"/>
  <c r="AP292" i="15"/>
  <c r="AV298" i="15"/>
  <c r="AJ299" i="15"/>
  <c r="BC299" i="15"/>
  <c r="AK309" i="15"/>
  <c r="AV309" i="15"/>
  <c r="S274" i="15"/>
  <c r="BB274" i="15"/>
  <c r="BB278" i="15"/>
  <c r="AY279" i="15"/>
  <c r="AV280" i="15"/>
  <c r="AK284" i="15"/>
  <c r="AJ286" i="15"/>
  <c r="AW294" i="15"/>
  <c r="AO295" i="15"/>
  <c r="AZ295" i="15"/>
  <c r="AR298" i="15"/>
  <c r="BC298" i="15"/>
  <c r="AN299" i="15"/>
  <c r="AY299" i="15"/>
  <c r="S300" i="15"/>
  <c r="AZ303" i="15"/>
  <c r="AP306" i="15"/>
  <c r="BA306" i="15"/>
  <c r="AY285" i="15"/>
  <c r="AZ286" i="15"/>
  <c r="AY294" i="15"/>
  <c r="AN295" i="15"/>
  <c r="AL302" i="15"/>
  <c r="AW302" i="15"/>
  <c r="AU308" i="15"/>
  <c r="AU281" i="15"/>
  <c r="BA284" i="15"/>
  <c r="AM286" i="15"/>
  <c r="BB306" i="15"/>
  <c r="S279" i="15"/>
  <c r="BB285" i="15"/>
  <c r="AY288" i="15"/>
  <c r="AZ297" i="15"/>
  <c r="AO297" i="15"/>
  <c r="AP297" i="15"/>
  <c r="AI298" i="15"/>
  <c r="AT298" i="15"/>
  <c r="S298" i="15"/>
  <c r="AP301" i="15"/>
  <c r="BA301" i="15"/>
  <c r="AN302" i="15"/>
  <c r="AY302" i="15"/>
  <c r="AL288" i="15"/>
  <c r="AK296" i="15"/>
  <c r="AV296" i="15"/>
  <c r="BB301" i="15"/>
  <c r="AQ301" i="15"/>
  <c r="AZ302" i="15"/>
  <c r="AO302" i="15"/>
  <c r="AL303" i="15"/>
  <c r="AJ314" i="15"/>
  <c r="AU314" i="15"/>
  <c r="S297" i="15"/>
  <c r="S304" i="15"/>
  <c r="AQ304" i="15"/>
  <c r="AW307" i="15"/>
  <c r="BB308" i="15"/>
  <c r="AR309" i="15"/>
  <c r="AJ310" i="15"/>
  <c r="AU310" i="15"/>
  <c r="AJ318" i="15"/>
  <c r="AU318" i="15"/>
  <c r="AN319" i="15"/>
  <c r="AK323" i="15"/>
  <c r="AV323" i="15"/>
  <c r="BA326" i="15"/>
  <c r="R12" i="16"/>
  <c r="R23" i="16"/>
  <c r="R44" i="16"/>
  <c r="AV300" i="15"/>
  <c r="AT301" i="15"/>
  <c r="S302" i="15"/>
  <c r="AI303" i="15"/>
  <c r="AT303" i="15"/>
  <c r="AR303" i="15"/>
  <c r="AW306" i="15"/>
  <c r="AM307" i="15"/>
  <c r="AX307" i="15"/>
  <c r="AZ307" i="15"/>
  <c r="AP311" i="15"/>
  <c r="BA311" i="15"/>
  <c r="AM311" i="15"/>
  <c r="AK318" i="15"/>
  <c r="AV318" i="15"/>
  <c r="AQ319" i="15"/>
  <c r="BB319" i="15"/>
  <c r="AL320" i="15"/>
  <c r="AW320" i="15"/>
  <c r="AI320" i="15"/>
  <c r="AN322" i="15"/>
  <c r="AY322" i="15"/>
  <c r="R22" i="16"/>
  <c r="R43" i="16"/>
  <c r="AK305" i="15"/>
  <c r="AV305" i="15"/>
  <c r="AI306" i="15"/>
  <c r="AJ307" i="15"/>
  <c r="AN308" i="15"/>
  <c r="AQ311" i="15"/>
  <c r="BB311" i="15"/>
  <c r="AN311" i="15"/>
  <c r="S312" i="15"/>
  <c r="S316" i="15"/>
  <c r="AI316" i="15"/>
  <c r="AT316" i="15"/>
  <c r="AO317" i="15"/>
  <c r="AZ317" i="15"/>
  <c r="AL318" i="15"/>
  <c r="AW318" i="15"/>
  <c r="AR319" i="15"/>
  <c r="BC319" i="15"/>
  <c r="AM320" i="15"/>
  <c r="AX320" i="15"/>
  <c r="AI321" i="15"/>
  <c r="AT321" i="15"/>
  <c r="AO322" i="15"/>
  <c r="AZ322" i="15"/>
  <c r="AY324" i="15"/>
  <c r="S329" i="15"/>
  <c r="R21" i="16"/>
  <c r="R42" i="16"/>
  <c r="AX305" i="15"/>
  <c r="AJ316" i="15"/>
  <c r="AU316" i="15"/>
  <c r="BB316" i="15"/>
  <c r="AP317" i="15"/>
  <c r="BA317" i="15"/>
  <c r="S319" i="15"/>
  <c r="AN320" i="15"/>
  <c r="AY320" i="15"/>
  <c r="AP322" i="15"/>
  <c r="BA322" i="15"/>
  <c r="R20" i="16"/>
  <c r="R41" i="16"/>
  <c r="S308" i="15"/>
  <c r="AK312" i="15"/>
  <c r="AV312" i="15"/>
  <c r="AK316" i="15"/>
  <c r="AV316" i="15"/>
  <c r="AQ317" i="15"/>
  <c r="BB317" i="15"/>
  <c r="S327" i="15"/>
  <c r="S332" i="15"/>
  <c r="R19" i="16"/>
  <c r="R40" i="16"/>
  <c r="AX301" i="15"/>
  <c r="AJ303" i="15"/>
  <c r="AW304" i="15"/>
  <c r="AP307" i="15"/>
  <c r="AT309" i="15"/>
  <c r="S309" i="15"/>
  <c r="AL312" i="15"/>
  <c r="AW312" i="15"/>
  <c r="AI312" i="15"/>
  <c r="R18" i="16"/>
  <c r="R39" i="16"/>
  <c r="AP310" i="15"/>
  <c r="AR313" i="15"/>
  <c r="BC313" i="15"/>
  <c r="S314" i="15"/>
  <c r="AR323" i="15"/>
  <c r="S324" i="15"/>
  <c r="S325" i="15"/>
  <c r="AI325" i="15"/>
  <c r="R17" i="16"/>
  <c r="R38" i="16"/>
  <c r="AR326" i="15"/>
  <c r="BC326" i="15"/>
  <c r="AI333" i="15"/>
  <c r="AT333" i="15"/>
  <c r="R16" i="16"/>
  <c r="R27" i="16"/>
  <c r="R37" i="16"/>
  <c r="AZ304" i="15"/>
  <c r="AR306" i="15"/>
  <c r="BC306" i="15"/>
  <c r="AU320" i="15"/>
  <c r="AM324" i="15"/>
  <c r="AK325" i="15"/>
  <c r="AV325" i="15"/>
  <c r="S326" i="15"/>
  <c r="R15" i="16"/>
  <c r="R36" i="16"/>
  <c r="AP304" i="15"/>
  <c r="BA304" i="15"/>
  <c r="BC304" i="15"/>
  <c r="S306" i="15"/>
  <c r="AT313" i="15"/>
  <c r="BA314" i="15"/>
  <c r="S318" i="15"/>
  <c r="AP324" i="15"/>
  <c r="BA324" i="15"/>
  <c r="AL325" i="15"/>
  <c r="AW325" i="15"/>
  <c r="BB333" i="15"/>
  <c r="R35" i="16"/>
  <c r="S305" i="15"/>
  <c r="AI308" i="15"/>
  <c r="AM314" i="15"/>
  <c r="AX314" i="15"/>
  <c r="AI323" i="15"/>
  <c r="AT323" i="15"/>
  <c r="AQ324" i="15"/>
  <c r="BB324" i="15"/>
  <c r="AM325" i="15"/>
  <c r="AX325" i="15"/>
  <c r="AO309" i="15"/>
  <c r="AZ309" i="15"/>
  <c r="AI310" i="15"/>
  <c r="AT310" i="15"/>
  <c r="AR312" i="15"/>
  <c r="AN314" i="15"/>
  <c r="AY314" i="15"/>
  <c r="AJ323" i="15"/>
  <c r="AU323" i="15"/>
  <c r="AR324" i="15"/>
  <c r="BC324" i="15"/>
  <c r="S330" i="15"/>
  <c r="R13" i="16"/>
  <c r="R24" i="16"/>
  <c r="R45" i="16"/>
  <c r="S317" i="15"/>
  <c r="S322" i="15"/>
  <c r="BC317" i="15"/>
  <c r="AX318" i="15"/>
  <c r="AZ320" i="15"/>
  <c r="AU321" i="15"/>
  <c r="BB322" i="15"/>
  <c r="AW323" i="15"/>
  <c r="AY325" i="15"/>
  <c r="AT326" i="15"/>
  <c r="AU333" i="15"/>
  <c r="F15" i="8"/>
  <c r="L29" i="8"/>
  <c r="L19" i="8"/>
  <c r="AM59" i="15" l="1"/>
  <c r="AS59" i="15" s="1"/>
  <c r="AM159" i="15"/>
  <c r="AX159" i="15" s="1"/>
  <c r="AM150" i="15"/>
  <c r="AX150" i="15" s="1"/>
  <c r="BD150" i="15" s="1"/>
  <c r="AM131" i="15"/>
  <c r="AM6" i="15"/>
  <c r="AS6" i="15" s="1"/>
  <c r="AJ130" i="15"/>
  <c r="AU130" i="15" s="1"/>
  <c r="BD130" i="15" s="1"/>
  <c r="AL220" i="15"/>
  <c r="AL217" i="15"/>
  <c r="AL216" i="15"/>
  <c r="AW216" i="15" s="1"/>
  <c r="AL213" i="15"/>
  <c r="AW213" i="15" s="1"/>
  <c r="AL200" i="15"/>
  <c r="AL196" i="15"/>
  <c r="AW196" i="15" s="1"/>
  <c r="AS67" i="15"/>
  <c r="AL120" i="15"/>
  <c r="AL117" i="15"/>
  <c r="AL20" i="15"/>
  <c r="AL4" i="15"/>
  <c r="AI75" i="15"/>
  <c r="AS75" i="15" s="1"/>
  <c r="AI56" i="15"/>
  <c r="AT56" i="15" s="1"/>
  <c r="AI32" i="15"/>
  <c r="E15" i="8"/>
  <c r="AS218" i="15"/>
  <c r="AM203" i="15"/>
  <c r="AS148" i="15"/>
  <c r="AH283" i="15"/>
  <c r="T253" i="15"/>
  <c r="Y253" i="15" s="1"/>
  <c r="AS68" i="15"/>
  <c r="AH275" i="15"/>
  <c r="AH254" i="15"/>
  <c r="AH311" i="15"/>
  <c r="AH200" i="15"/>
  <c r="AK200" i="15"/>
  <c r="AM200" i="15"/>
  <c r="T200" i="15"/>
  <c r="Y200" i="15" s="1"/>
  <c r="AH310" i="15"/>
  <c r="AS246" i="15"/>
  <c r="AI200" i="15"/>
  <c r="T152" i="15"/>
  <c r="Y152" i="15" s="1"/>
  <c r="T265" i="15"/>
  <c r="Y265" i="15" s="1"/>
  <c r="AK152" i="15"/>
  <c r="AS152" i="15" s="1"/>
  <c r="T307" i="15"/>
  <c r="Y307" i="15" s="1"/>
  <c r="T142" i="15"/>
  <c r="Y142" i="15" s="1"/>
  <c r="T296" i="15"/>
  <c r="Y296" i="15" s="1"/>
  <c r="AS232" i="15"/>
  <c r="AS274" i="15"/>
  <c r="AS275" i="15"/>
  <c r="AH157" i="15"/>
  <c r="AO20" i="15"/>
  <c r="T331" i="15"/>
  <c r="Y331" i="15" s="1"/>
  <c r="AO159" i="15"/>
  <c r="AZ159" i="15" s="1"/>
  <c r="AH213" i="15"/>
  <c r="AI213" i="15"/>
  <c r="AT213" i="15" s="1"/>
  <c r="T10" i="15"/>
  <c r="Y10" i="15" s="1"/>
  <c r="AU10" i="15" s="1"/>
  <c r="BD10" i="15" s="1"/>
  <c r="D10" i="8"/>
  <c r="C10" i="8"/>
  <c r="D4" i="8"/>
  <c r="D8" i="8"/>
  <c r="D5" i="8"/>
  <c r="C4" i="8"/>
  <c r="C8" i="8"/>
  <c r="C6" i="8"/>
  <c r="C5" i="8"/>
  <c r="D6" i="8"/>
  <c r="AH145" i="15"/>
  <c r="AH192" i="15"/>
  <c r="AH7" i="15"/>
  <c r="AH257" i="15"/>
  <c r="AH247" i="15"/>
  <c r="AS281" i="15"/>
  <c r="T207" i="15"/>
  <c r="Y207" i="15" s="1"/>
  <c r="AS198" i="15"/>
  <c r="AS273" i="15"/>
  <c r="AH85" i="15"/>
  <c r="AS45" i="15"/>
  <c r="AI216" i="15"/>
  <c r="AT216" i="15" s="1"/>
  <c r="AI196" i="15"/>
  <c r="AT196" i="15" s="1"/>
  <c r="AJ216" i="15"/>
  <c r="AU216" i="15" s="1"/>
  <c r="AJ213" i="15"/>
  <c r="AU213" i="15" s="1"/>
  <c r="AH236" i="15"/>
  <c r="T252" i="15"/>
  <c r="Y252" i="15" s="1"/>
  <c r="AK157" i="15"/>
  <c r="T249" i="15"/>
  <c r="Y249" i="15" s="1"/>
  <c r="AK216" i="15"/>
  <c r="AV216" i="15" s="1"/>
  <c r="AI20" i="15"/>
  <c r="AH277" i="15"/>
  <c r="AH278" i="15"/>
  <c r="AH195" i="15"/>
  <c r="AH110" i="15"/>
  <c r="AK20" i="15"/>
  <c r="T129" i="15"/>
  <c r="Y129" i="15" s="1"/>
  <c r="AX129" i="15" s="1"/>
  <c r="AS221" i="15"/>
  <c r="T148" i="15"/>
  <c r="Y148" i="15" s="1"/>
  <c r="AS241" i="15"/>
  <c r="AH313" i="15"/>
  <c r="T20" i="15"/>
  <c r="Y20" i="15" s="1"/>
  <c r="AJ129" i="15"/>
  <c r="AS256" i="15"/>
  <c r="AH129" i="15"/>
  <c r="T106" i="15"/>
  <c r="Y106" i="15" s="1"/>
  <c r="AS305" i="15"/>
  <c r="AM5" i="15"/>
  <c r="T51" i="15"/>
  <c r="Y51" i="15" s="1"/>
  <c r="AH122" i="15"/>
  <c r="AS44" i="15"/>
  <c r="T45" i="15"/>
  <c r="Y45" i="15" s="1"/>
  <c r="AS16" i="15"/>
  <c r="AS209" i="15"/>
  <c r="AS296" i="15"/>
  <c r="AH128" i="15"/>
  <c r="AH95" i="15"/>
  <c r="G10" i="8"/>
  <c r="AH86" i="15"/>
  <c r="AS225" i="15"/>
  <c r="G5" i="8"/>
  <c r="AS242" i="15"/>
  <c r="AS57" i="15"/>
  <c r="AH241" i="15"/>
  <c r="AM216" i="15"/>
  <c r="AX216" i="15" s="1"/>
  <c r="AH143" i="15"/>
  <c r="T134" i="15"/>
  <c r="Y134" i="15" s="1"/>
  <c r="T98" i="15"/>
  <c r="Y98" i="15" s="1"/>
  <c r="AM20" i="15"/>
  <c r="AS214" i="15"/>
  <c r="AS289" i="15"/>
  <c r="T81" i="15"/>
  <c r="Y81" i="15" s="1"/>
  <c r="AS47" i="15"/>
  <c r="AS48" i="15"/>
  <c r="AH93" i="15"/>
  <c r="AH132" i="15"/>
  <c r="AH130" i="15"/>
  <c r="AS146" i="15"/>
  <c r="AS237" i="15"/>
  <c r="AM220" i="15"/>
  <c r="AI164" i="15"/>
  <c r="AH155" i="15"/>
  <c r="T100" i="15"/>
  <c r="Y100" i="15" s="1"/>
  <c r="T125" i="15"/>
  <c r="Y125" i="15" s="1"/>
  <c r="AS114" i="15"/>
  <c r="T105" i="15"/>
  <c r="Y105" i="15" s="1"/>
  <c r="AH40" i="15"/>
  <c r="AH61" i="15"/>
  <c r="AM155" i="15"/>
  <c r="AX155" i="15" s="1"/>
  <c r="T239" i="15"/>
  <c r="Y239" i="15" s="1"/>
  <c r="AI117" i="15"/>
  <c r="AS132" i="15"/>
  <c r="AJ117" i="15"/>
  <c r="AH242" i="15"/>
  <c r="AS249" i="15"/>
  <c r="AH251" i="15"/>
  <c r="T240" i="15"/>
  <c r="Y240" i="15" s="1"/>
  <c r="T164" i="15"/>
  <c r="Y164" i="15" s="1"/>
  <c r="AV164" i="15" s="1"/>
  <c r="AK4" i="15"/>
  <c r="T295" i="15"/>
  <c r="Y295" i="15" s="1"/>
  <c r="AK213" i="15"/>
  <c r="AH42" i="15"/>
  <c r="AH12" i="15"/>
  <c r="T117" i="15"/>
  <c r="Y117" i="15" s="1"/>
  <c r="AJ196" i="15"/>
  <c r="AU196" i="15" s="1"/>
  <c r="AM213" i="15"/>
  <c r="AX213" i="15" s="1"/>
  <c r="AO155" i="15"/>
  <c r="AZ155" i="15" s="1"/>
  <c r="AH269" i="15"/>
  <c r="AI155" i="15"/>
  <c r="AT155" i="15" s="1"/>
  <c r="AK196" i="15"/>
  <c r="AV196" i="15" s="1"/>
  <c r="T269" i="15"/>
  <c r="Y269" i="15" s="1"/>
  <c r="AX269" i="15" s="1"/>
  <c r="BD269" i="15" s="1"/>
  <c r="AH150" i="15"/>
  <c r="AS30" i="15"/>
  <c r="AH47" i="15"/>
  <c r="AS199" i="15"/>
  <c r="AS272" i="15"/>
  <c r="T244" i="15"/>
  <c r="Y244" i="15" s="1"/>
  <c r="T221" i="15"/>
  <c r="Y221" i="15" s="1"/>
  <c r="AH271" i="15"/>
  <c r="AS105" i="15"/>
  <c r="AS99" i="15"/>
  <c r="AS253" i="15"/>
  <c r="AH189" i="15"/>
  <c r="AS326" i="15"/>
  <c r="AS258" i="15"/>
  <c r="AS161" i="15"/>
  <c r="AH284" i="15"/>
  <c r="AS207" i="15"/>
  <c r="AS270" i="15"/>
  <c r="AS77" i="15"/>
  <c r="T328" i="15"/>
  <c r="Y328" i="15" s="1"/>
  <c r="AS135" i="15"/>
  <c r="AH270" i="15"/>
  <c r="AH220" i="15"/>
  <c r="AS271" i="15"/>
  <c r="T220" i="15"/>
  <c r="Y220" i="15" s="1"/>
  <c r="T137" i="15"/>
  <c r="Y137" i="15" s="1"/>
  <c r="AS22" i="15"/>
  <c r="AS266" i="15"/>
  <c r="BD293" i="15"/>
  <c r="AH27" i="15"/>
  <c r="AM4" i="15"/>
  <c r="AI220" i="15"/>
  <c r="AJ220" i="15"/>
  <c r="AH73" i="15"/>
  <c r="AS226" i="15"/>
  <c r="AS147" i="15"/>
  <c r="AK186" i="15"/>
  <c r="AS186" i="15" s="1"/>
  <c r="AH147" i="15"/>
  <c r="AM32" i="15"/>
  <c r="AS145" i="15"/>
  <c r="AH186" i="15"/>
  <c r="T32" i="15"/>
  <c r="Y32" i="15" s="1"/>
  <c r="T57" i="15"/>
  <c r="Y57" i="15" s="1"/>
  <c r="G8" i="8"/>
  <c r="AS244" i="15"/>
  <c r="T76" i="15"/>
  <c r="Y76" i="15" s="1"/>
  <c r="AX76" i="15" s="1"/>
  <c r="BD76" i="15" s="1"/>
  <c r="AS255" i="15"/>
  <c r="AS58" i="15"/>
  <c r="AS247" i="15"/>
  <c r="AS52" i="15"/>
  <c r="T321" i="15"/>
  <c r="Y321" i="15" s="1"/>
  <c r="T272" i="15"/>
  <c r="Y272" i="15" s="1"/>
  <c r="T44" i="15"/>
  <c r="Y44" i="15" s="1"/>
  <c r="AH208" i="15"/>
  <c r="AS41" i="15"/>
  <c r="AS224" i="15"/>
  <c r="AS38" i="15"/>
  <c r="AS243" i="15"/>
  <c r="AS245" i="15"/>
  <c r="AS321" i="15"/>
  <c r="AS195" i="15"/>
  <c r="AS51" i="15"/>
  <c r="AS240" i="15"/>
  <c r="AS49" i="15"/>
  <c r="AS33" i="15"/>
  <c r="T333" i="15"/>
  <c r="Y333" i="15" s="1"/>
  <c r="AH261" i="15"/>
  <c r="AH166" i="15"/>
  <c r="T166" i="15"/>
  <c r="Y166" i="15" s="1"/>
  <c r="AV166" i="15" s="1"/>
  <c r="BD166" i="15" s="1"/>
  <c r="AS62" i="15"/>
  <c r="T214" i="15"/>
  <c r="Y214" i="15" s="1"/>
  <c r="AS333" i="15"/>
  <c r="AH216" i="15"/>
  <c r="AS160" i="15"/>
  <c r="AS136" i="15"/>
  <c r="AS8" i="15"/>
  <c r="T15" i="15"/>
  <c r="Y15" i="15" s="1"/>
  <c r="AO196" i="15"/>
  <c r="AZ196" i="15" s="1"/>
  <c r="AS40" i="15"/>
  <c r="AK129" i="15"/>
  <c r="AS43" i="15"/>
  <c r="AS61" i="15"/>
  <c r="T29" i="15"/>
  <c r="Y29" i="15" s="1"/>
  <c r="AK5" i="15"/>
  <c r="AH196" i="15"/>
  <c r="AS89" i="15"/>
  <c r="AK12" i="15"/>
  <c r="AI5" i="15"/>
  <c r="AS11" i="15"/>
  <c r="AH4" i="15"/>
  <c r="AS223" i="15"/>
  <c r="AS121" i="15"/>
  <c r="T226" i="15"/>
  <c r="Y226" i="15" s="1"/>
  <c r="AS108" i="15"/>
  <c r="AH320" i="15"/>
  <c r="BD263" i="15"/>
  <c r="AS231" i="15"/>
  <c r="AS204" i="15"/>
  <c r="AS138" i="15"/>
  <c r="AS313" i="15"/>
  <c r="AS107" i="15"/>
  <c r="AS50" i="15"/>
  <c r="AS93" i="15"/>
  <c r="G6" i="8"/>
  <c r="AH64" i="15"/>
  <c r="AS197" i="15"/>
  <c r="AS233" i="15"/>
  <c r="AS234" i="15"/>
  <c r="AS113" i="15"/>
  <c r="AS166" i="15"/>
  <c r="BD296" i="15"/>
  <c r="BD259" i="15"/>
  <c r="AS307" i="15"/>
  <c r="AS269" i="15"/>
  <c r="AS215" i="15"/>
  <c r="AS211" i="15"/>
  <c r="BD306" i="15"/>
  <c r="AS301" i="15"/>
  <c r="BD133" i="15"/>
  <c r="AS70" i="15"/>
  <c r="AH66" i="15"/>
  <c r="AS229" i="15"/>
  <c r="BD103" i="15"/>
  <c r="AM12" i="15"/>
  <c r="AM196" i="15"/>
  <c r="AX196" i="15" s="1"/>
  <c r="AS97" i="15"/>
  <c r="AS90" i="15"/>
  <c r="AS210" i="15"/>
  <c r="AK9" i="15"/>
  <c r="T33" i="15"/>
  <c r="Y33" i="15" s="1"/>
  <c r="BD297" i="15"/>
  <c r="BD319" i="15"/>
  <c r="AS260" i="15"/>
  <c r="AJ9" i="15"/>
  <c r="AS110" i="15"/>
  <c r="AS94" i="15"/>
  <c r="AS82" i="15"/>
  <c r="AH5" i="15"/>
  <c r="AS27" i="15"/>
  <c r="AH10" i="15"/>
  <c r="AS64" i="15"/>
  <c r="AS322" i="15"/>
  <c r="AS302" i="15"/>
  <c r="AS257" i="15"/>
  <c r="AH246" i="15"/>
  <c r="AS205" i="15"/>
  <c r="AO216" i="15"/>
  <c r="AZ216" i="15" s="1"/>
  <c r="AH159" i="15"/>
  <c r="AH162" i="15"/>
  <c r="AS118" i="15"/>
  <c r="AK117" i="15"/>
  <c r="AS103" i="15"/>
  <c r="AS96" i="15"/>
  <c r="AS84" i="15"/>
  <c r="BD33" i="15"/>
  <c r="AH76" i="15"/>
  <c r="T83" i="15"/>
  <c r="Y83" i="15" s="1"/>
  <c r="T59" i="15"/>
  <c r="Y59" i="15" s="1"/>
  <c r="AH52" i="15"/>
  <c r="T39" i="15"/>
  <c r="Y39" i="15" s="1"/>
  <c r="AJ20" i="15"/>
  <c r="T24" i="15"/>
  <c r="Y24" i="15" s="1"/>
  <c r="AS73" i="15"/>
  <c r="AJ154" i="15"/>
  <c r="AS154" i="15" s="1"/>
  <c r="T74" i="15"/>
  <c r="Y74" i="15" s="1"/>
  <c r="AS193" i="15"/>
  <c r="BD228" i="15"/>
  <c r="AS115" i="15"/>
  <c r="AS303" i="15"/>
  <c r="AH323" i="15"/>
  <c r="AM157" i="15"/>
  <c r="AS123" i="15"/>
  <c r="BD102" i="15"/>
  <c r="AS92" i="15"/>
  <c r="AS80" i="15"/>
  <c r="AH54" i="15"/>
  <c r="T4" i="15"/>
  <c r="V4" i="15" s="1"/>
  <c r="AS55" i="15"/>
  <c r="AS46" i="15"/>
  <c r="BD305" i="15"/>
  <c r="AS282" i="15"/>
  <c r="AS206" i="15"/>
  <c r="AS188" i="15"/>
  <c r="T157" i="15"/>
  <c r="Y157" i="15" s="1"/>
  <c r="AH164" i="15"/>
  <c r="AS112" i="15"/>
  <c r="T128" i="15"/>
  <c r="Y128" i="15" s="1"/>
  <c r="AV128" i="15" s="1"/>
  <c r="BD128" i="15" s="1"/>
  <c r="AS95" i="15"/>
  <c r="AS83" i="15"/>
  <c r="AS91" i="15"/>
  <c r="AS79" i="15"/>
  <c r="AH37" i="15"/>
  <c r="AS25" i="15"/>
  <c r="AS238" i="15"/>
  <c r="AH203" i="15"/>
  <c r="AS128" i="15"/>
  <c r="BD210" i="15"/>
  <c r="AI203" i="15"/>
  <c r="AS87" i="15"/>
  <c r="AH8" i="15"/>
  <c r="AS78" i="15"/>
  <c r="BD276" i="15"/>
  <c r="BD46" i="15"/>
  <c r="BD26" i="15"/>
  <c r="AS309" i="15"/>
  <c r="T203" i="15"/>
  <c r="Y203" i="15" s="1"/>
  <c r="AH154" i="15"/>
  <c r="BD312" i="15"/>
  <c r="AS320" i="15"/>
  <c r="AS276" i="15"/>
  <c r="BD229" i="15"/>
  <c r="AS149" i="15"/>
  <c r="AM164" i="15"/>
  <c r="AS126" i="15"/>
  <c r="AM117" i="15"/>
  <c r="AO117" i="15"/>
  <c r="AS111" i="15"/>
  <c r="AH97" i="15"/>
  <c r="AH88" i="15"/>
  <c r="AS39" i="15"/>
  <c r="T5" i="15"/>
  <c r="Y5" i="15" s="1"/>
  <c r="T63" i="15"/>
  <c r="Y63" i="15" s="1"/>
  <c r="AS21" i="15"/>
  <c r="AS36" i="15"/>
  <c r="AS300" i="15"/>
  <c r="AS308" i="15"/>
  <c r="BD302" i="15"/>
  <c r="AS267" i="15"/>
  <c r="AS208" i="15"/>
  <c r="AK220" i="15"/>
  <c r="AH201" i="15"/>
  <c r="T205" i="15"/>
  <c r="Y205" i="15" s="1"/>
  <c r="BD126" i="15"/>
  <c r="AS106" i="15"/>
  <c r="AS134" i="15"/>
  <c r="AS133" i="15"/>
  <c r="AI120" i="15"/>
  <c r="AS98" i="15"/>
  <c r="AS86" i="15"/>
  <c r="AS74" i="15"/>
  <c r="AS7" i="15"/>
  <c r="AH56" i="15"/>
  <c r="AS250" i="15"/>
  <c r="AS60" i="15"/>
  <c r="AS53" i="15"/>
  <c r="AS127" i="15"/>
  <c r="AS85" i="15"/>
  <c r="AS101" i="15"/>
  <c r="BD48" i="15"/>
  <c r="BD57" i="15"/>
  <c r="AS304" i="15"/>
  <c r="AS297" i="15"/>
  <c r="BD124" i="15"/>
  <c r="BD311" i="15"/>
  <c r="AS251" i="15"/>
  <c r="AS153" i="15"/>
  <c r="AS124" i="15"/>
  <c r="AS37" i="15"/>
  <c r="BD7" i="15"/>
  <c r="AH49" i="15"/>
  <c r="AK31" i="15"/>
  <c r="BD288" i="15"/>
  <c r="BD294" i="15"/>
  <c r="BD194" i="15"/>
  <c r="AS189" i="15"/>
  <c r="AS141" i="15"/>
  <c r="BD121" i="15"/>
  <c r="AS72" i="15"/>
  <c r="BD23" i="15"/>
  <c r="AS248" i="15"/>
  <c r="BD249" i="15"/>
  <c r="AS279" i="15"/>
  <c r="BD246" i="15"/>
  <c r="BD214" i="15"/>
  <c r="AS100" i="15"/>
  <c r="BD11" i="15"/>
  <c r="AS17" i="15"/>
  <c r="AS122" i="15"/>
  <c r="AS125" i="15"/>
  <c r="AS268" i="15"/>
  <c r="AS314" i="15"/>
  <c r="AS102" i="15"/>
  <c r="AS286" i="15"/>
  <c r="BD209" i="15"/>
  <c r="BD139" i="15"/>
  <c r="BD91" i="15"/>
  <c r="BD94" i="15"/>
  <c r="BD17" i="15"/>
  <c r="AS23" i="15"/>
  <c r="BD310" i="15"/>
  <c r="AS291" i="15"/>
  <c r="BD254" i="15"/>
  <c r="AS311" i="15"/>
  <c r="BD278" i="15"/>
  <c r="BD271" i="15"/>
  <c r="AS278" i="15"/>
  <c r="AM119" i="15"/>
  <c r="AS119" i="15" s="1"/>
  <c r="AS15" i="15"/>
  <c r="AM201" i="15"/>
  <c r="AS201" i="15" s="1"/>
  <c r="BD241" i="15"/>
  <c r="AS285" i="15"/>
  <c r="BD284" i="15"/>
  <c r="BD132" i="15"/>
  <c r="BD104" i="15"/>
  <c r="AS34" i="15"/>
  <c r="BD256" i="15"/>
  <c r="BD300" i="15"/>
  <c r="BD323" i="15"/>
  <c r="BD325" i="15"/>
  <c r="BD303" i="15"/>
  <c r="AS319" i="15"/>
  <c r="BD280" i="15"/>
  <c r="AS283" i="15"/>
  <c r="AS294" i="15"/>
  <c r="BD277" i="15"/>
  <c r="BD266" i="15"/>
  <c r="AS262" i="15"/>
  <c r="AJ217" i="15"/>
  <c r="BD146" i="15"/>
  <c r="AM219" i="15"/>
  <c r="AS165" i="15"/>
  <c r="BD99" i="15"/>
  <c r="BD84" i="15"/>
  <c r="BD111" i="15"/>
  <c r="BD80" i="15"/>
  <c r="BD38" i="15"/>
  <c r="T14" i="15"/>
  <c r="V14" i="15" s="1"/>
  <c r="BD262" i="15"/>
  <c r="BD106" i="15"/>
  <c r="AS104" i="15"/>
  <c r="BD92" i="15"/>
  <c r="BD273" i="15"/>
  <c r="BD290" i="15"/>
  <c r="AS280" i="15"/>
  <c r="BD260" i="15"/>
  <c r="BD247" i="15"/>
  <c r="AS261" i="15"/>
  <c r="BD199" i="15"/>
  <c r="BD218" i="15"/>
  <c r="BD135" i="15"/>
  <c r="BD96" i="15"/>
  <c r="BD82" i="15"/>
  <c r="BD79" i="15"/>
  <c r="BD78" i="15"/>
  <c r="BD50" i="15"/>
  <c r="AM56" i="15"/>
  <c r="AX56" i="15" s="1"/>
  <c r="BD314" i="15"/>
  <c r="BD261" i="15"/>
  <c r="AS306" i="15"/>
  <c r="AS310" i="15"/>
  <c r="BD320" i="15"/>
  <c r="BD317" i="15"/>
  <c r="BD279" i="15"/>
  <c r="AS287" i="15"/>
  <c r="BD274" i="15"/>
  <c r="BD289" i="15"/>
  <c r="BD232" i="15"/>
  <c r="BD223" i="15"/>
  <c r="BD198" i="15"/>
  <c r="AO219" i="15"/>
  <c r="AS162" i="15"/>
  <c r="AS190" i="15"/>
  <c r="BD90" i="15"/>
  <c r="BD53" i="15"/>
  <c r="AS63" i="15"/>
  <c r="BD28" i="15"/>
  <c r="BD21" i="15"/>
  <c r="AS10" i="15"/>
  <c r="AS28" i="15"/>
  <c r="AS323" i="15"/>
  <c r="AS284" i="15"/>
  <c r="AK217" i="15"/>
  <c r="BD62" i="15"/>
  <c r="AH202" i="15"/>
  <c r="T202" i="15"/>
  <c r="Y202" i="15" s="1"/>
  <c r="AS317" i="15"/>
  <c r="AS325" i="15"/>
  <c r="BD287" i="15"/>
  <c r="BD257" i="15"/>
  <c r="BD244" i="15"/>
  <c r="BD227" i="15"/>
  <c r="BD161" i="15"/>
  <c r="AS88" i="15"/>
  <c r="BD72" i="15"/>
  <c r="T9" i="15"/>
  <c r="Y9" i="15" s="1"/>
  <c r="AH215" i="15"/>
  <c r="T215" i="15"/>
  <c r="Y215" i="15" s="1"/>
  <c r="AV215" i="15" s="1"/>
  <c r="BD215" i="15" s="1"/>
  <c r="BD324" i="15"/>
  <c r="BD308" i="15"/>
  <c r="BD298" i="15"/>
  <c r="BD281" i="15"/>
  <c r="BD283" i="15"/>
  <c r="BD224" i="15"/>
  <c r="BD153" i="15"/>
  <c r="BD142" i="15"/>
  <c r="BD123" i="15"/>
  <c r="BD136" i="15"/>
  <c r="BD138" i="15"/>
  <c r="BD73" i="15"/>
  <c r="BD45" i="15"/>
  <c r="BD34" i="15"/>
  <c r="BD27" i="15"/>
  <c r="T25" i="15"/>
  <c r="Y25" i="15" s="1"/>
  <c r="BD321" i="15"/>
  <c r="BD322" i="15"/>
  <c r="BD307" i="15"/>
  <c r="AS293" i="15"/>
  <c r="BD291" i="15"/>
  <c r="AS259" i="15"/>
  <c r="AS264" i="15"/>
  <c r="BD211" i="15"/>
  <c r="BD197" i="15"/>
  <c r="BD221" i="15"/>
  <c r="BD208" i="15"/>
  <c r="AS227" i="15"/>
  <c r="BD140" i="15"/>
  <c r="AS142" i="15"/>
  <c r="BD108" i="15"/>
  <c r="AS71" i="15"/>
  <c r="AS81" i="15"/>
  <c r="AS66" i="15"/>
  <c r="AS54" i="15"/>
  <c r="AS42" i="15"/>
  <c r="AS29" i="15"/>
  <c r="AS26" i="15"/>
  <c r="AJ202" i="15"/>
  <c r="BD85" i="15"/>
  <c r="BD68" i="15"/>
  <c r="BD206" i="15"/>
  <c r="AS139" i="15"/>
  <c r="BD97" i="15"/>
  <c r="BD44" i="15"/>
  <c r="AH223" i="15"/>
  <c r="T223" i="15"/>
  <c r="Y223" i="15" s="1"/>
  <c r="AI202" i="15"/>
  <c r="BD282" i="15"/>
  <c r="BD304" i="15"/>
  <c r="AS288" i="15"/>
  <c r="AS290" i="15"/>
  <c r="AS191" i="15"/>
  <c r="BD101" i="15"/>
  <c r="BD22" i="15"/>
  <c r="AS24" i="15"/>
  <c r="AH22" i="15"/>
  <c r="T22" i="15"/>
  <c r="Y22" i="15" s="1"/>
  <c r="AS324" i="15"/>
  <c r="BD333" i="15"/>
  <c r="BD292" i="15"/>
  <c r="BD268" i="15"/>
  <c r="BD250" i="15"/>
  <c r="BD237" i="15"/>
  <c r="BD234" i="15"/>
  <c r="BD207" i="15"/>
  <c r="BD195" i="15"/>
  <c r="AS137" i="15"/>
  <c r="BD107" i="15"/>
  <c r="BD16" i="15"/>
  <c r="AS35" i="15"/>
  <c r="AM14" i="15"/>
  <c r="AS14" i="15" s="1"/>
  <c r="AH325" i="15"/>
  <c r="T325" i="15"/>
  <c r="Y325" i="15" s="1"/>
  <c r="BD309" i="15"/>
  <c r="AH319" i="15"/>
  <c r="T319" i="15"/>
  <c r="Y319" i="15" s="1"/>
  <c r="AS316" i="15"/>
  <c r="T274" i="15"/>
  <c r="Y274" i="15" s="1"/>
  <c r="AH274" i="15"/>
  <c r="AH294" i="15"/>
  <c r="T294" i="15"/>
  <c r="Y294" i="15" s="1"/>
  <c r="AH285" i="15"/>
  <c r="T285" i="15"/>
  <c r="Y285" i="15" s="1"/>
  <c r="BD295" i="15"/>
  <c r="AH268" i="15"/>
  <c r="T268" i="15"/>
  <c r="Y268" i="15" s="1"/>
  <c r="AH259" i="15"/>
  <c r="T259" i="15"/>
  <c r="Y259" i="15" s="1"/>
  <c r="BD233" i="15"/>
  <c r="T230" i="15"/>
  <c r="Y230" i="15" s="1"/>
  <c r="AH230" i="15"/>
  <c r="T139" i="15"/>
  <c r="Y139" i="15" s="1"/>
  <c r="AH139" i="15"/>
  <c r="BD137" i="15"/>
  <c r="AH114" i="15"/>
  <c r="T114" i="15"/>
  <c r="Y114" i="15" s="1"/>
  <c r="BD122" i="15"/>
  <c r="BD36" i="15"/>
  <c r="BD54" i="15"/>
  <c r="AH28" i="15"/>
  <c r="T28" i="15"/>
  <c r="Y28" i="15" s="1"/>
  <c r="AI3" i="15"/>
  <c r="AH314" i="15"/>
  <c r="T314" i="15"/>
  <c r="Y314" i="15" s="1"/>
  <c r="AH316" i="15"/>
  <c r="T316" i="15"/>
  <c r="Y316" i="15" s="1"/>
  <c r="T298" i="15"/>
  <c r="Y298" i="15" s="1"/>
  <c r="AH298" i="15"/>
  <c r="AH293" i="15"/>
  <c r="T293" i="15"/>
  <c r="Y293" i="15" s="1"/>
  <c r="BD270" i="15"/>
  <c r="BD245" i="15"/>
  <c r="AH258" i="15"/>
  <c r="T258" i="15"/>
  <c r="Y258" i="15" s="1"/>
  <c r="AH245" i="15"/>
  <c r="T245" i="15"/>
  <c r="Y245" i="15" s="1"/>
  <c r="T218" i="15"/>
  <c r="Y218" i="15" s="1"/>
  <c r="AH218" i="15"/>
  <c r="AS228" i="15"/>
  <c r="BD226" i="15"/>
  <c r="AH206" i="15"/>
  <c r="T206" i="15"/>
  <c r="Y206" i="15" s="1"/>
  <c r="AH163" i="15"/>
  <c r="T163" i="15"/>
  <c r="Y163" i="15" s="1"/>
  <c r="AK109" i="15"/>
  <c r="AI109" i="15"/>
  <c r="AH109" i="15"/>
  <c r="T109" i="15"/>
  <c r="Y109" i="15" s="1"/>
  <c r="BD134" i="15"/>
  <c r="T116" i="15"/>
  <c r="Y116" i="15" s="1"/>
  <c r="AH116" i="15"/>
  <c r="T120" i="15"/>
  <c r="Y120" i="15" s="1"/>
  <c r="AM120" i="15"/>
  <c r="AH120" i="15"/>
  <c r="AH102" i="15"/>
  <c r="T102" i="15"/>
  <c r="Y102" i="15" s="1"/>
  <c r="AO120" i="15"/>
  <c r="AM116" i="15"/>
  <c r="BD66" i="15"/>
  <c r="BD61" i="15"/>
  <c r="BD49" i="15"/>
  <c r="BD37" i="15"/>
  <c r="T301" i="15"/>
  <c r="Y301" i="15" s="1"/>
  <c r="AH301" i="15"/>
  <c r="AH281" i="15"/>
  <c r="T281" i="15"/>
  <c r="Y281" i="15" s="1"/>
  <c r="BD265" i="15"/>
  <c r="BD258" i="15"/>
  <c r="AH194" i="15"/>
  <c r="T194" i="15"/>
  <c r="Y194" i="15" s="1"/>
  <c r="AH156" i="15"/>
  <c r="T156" i="15"/>
  <c r="Y156" i="15" s="1"/>
  <c r="AH151" i="15"/>
  <c r="T151" i="15"/>
  <c r="Y151" i="15" s="1"/>
  <c r="AH131" i="15"/>
  <c r="T131" i="15"/>
  <c r="Y131" i="15" s="1"/>
  <c r="BD98" i="15"/>
  <c r="G4" i="8"/>
  <c r="AH21" i="15"/>
  <c r="T21" i="15"/>
  <c r="Y21" i="15" s="1"/>
  <c r="AH322" i="15"/>
  <c r="T322" i="15"/>
  <c r="Y322" i="15" s="1"/>
  <c r="AH291" i="15"/>
  <c r="T291" i="15"/>
  <c r="Y291" i="15" s="1"/>
  <c r="AS298" i="15"/>
  <c r="AH273" i="15"/>
  <c r="T273" i="15"/>
  <c r="Y273" i="15" s="1"/>
  <c r="AH276" i="15"/>
  <c r="T276" i="15"/>
  <c r="Y276" i="15" s="1"/>
  <c r="T267" i="15"/>
  <c r="Y267" i="15" s="1"/>
  <c r="AH267" i="15"/>
  <c r="AH266" i="15"/>
  <c r="T266" i="15"/>
  <c r="Y266" i="15" s="1"/>
  <c r="BD238" i="15"/>
  <c r="AS265" i="15"/>
  <c r="AH255" i="15"/>
  <c r="T255" i="15"/>
  <c r="Y255" i="15" s="1"/>
  <c r="AH238" i="15"/>
  <c r="T238" i="15"/>
  <c r="Y238" i="15" s="1"/>
  <c r="AH232" i="15"/>
  <c r="T232" i="15"/>
  <c r="Y232" i="15" s="1"/>
  <c r="T235" i="15"/>
  <c r="Y235" i="15" s="1"/>
  <c r="AH235" i="15"/>
  <c r="AH211" i="15"/>
  <c r="T211" i="15"/>
  <c r="Y211" i="15" s="1"/>
  <c r="AH199" i="15"/>
  <c r="T199" i="15"/>
  <c r="Y199" i="15" s="1"/>
  <c r="AS194" i="15"/>
  <c r="BD145" i="15"/>
  <c r="BD147" i="15"/>
  <c r="AO156" i="15"/>
  <c r="BD125" i="15"/>
  <c r="AH46" i="15"/>
  <c r="T46" i="15"/>
  <c r="Y46" i="15" s="1"/>
  <c r="AH26" i="15"/>
  <c r="T26" i="15"/>
  <c r="Y26" i="15" s="1"/>
  <c r="BD15" i="15"/>
  <c r="BD29" i="15"/>
  <c r="AH6" i="15"/>
  <c r="T6" i="15"/>
  <c r="BD24" i="15"/>
  <c r="AH312" i="15"/>
  <c r="T312" i="15"/>
  <c r="Y312" i="15" s="1"/>
  <c r="T317" i="15"/>
  <c r="Y317" i="15" s="1"/>
  <c r="AH317" i="15"/>
  <c r="BD275" i="15"/>
  <c r="AH243" i="15"/>
  <c r="T243" i="15"/>
  <c r="Y243" i="15" s="1"/>
  <c r="AH229" i="15"/>
  <c r="T229" i="15"/>
  <c r="Y229" i="15" s="1"/>
  <c r="AH225" i="15"/>
  <c r="T225" i="15"/>
  <c r="Y225" i="15" s="1"/>
  <c r="AH234" i="15"/>
  <c r="T234" i="15"/>
  <c r="Y234" i="15" s="1"/>
  <c r="BD160" i="15"/>
  <c r="AH191" i="15"/>
  <c r="T191" i="15"/>
  <c r="Y191" i="15" s="1"/>
  <c r="AH146" i="15"/>
  <c r="T146" i="15"/>
  <c r="Y146" i="15" s="1"/>
  <c r="AH136" i="15"/>
  <c r="T136" i="15"/>
  <c r="Y136" i="15" s="1"/>
  <c r="AH124" i="15"/>
  <c r="T124" i="15"/>
  <c r="Y124" i="15" s="1"/>
  <c r="AH111" i="15"/>
  <c r="T111" i="15"/>
  <c r="Y111" i="15" s="1"/>
  <c r="BD114" i="15"/>
  <c r="AH92" i="15"/>
  <c r="T92" i="15"/>
  <c r="Y92" i="15" s="1"/>
  <c r="BD93" i="15"/>
  <c r="BD81" i="15"/>
  <c r="AH94" i="15"/>
  <c r="T94" i="15"/>
  <c r="Y94" i="15" s="1"/>
  <c r="AH82" i="15"/>
  <c r="T82" i="15"/>
  <c r="Y82" i="15" s="1"/>
  <c r="AH70" i="15"/>
  <c r="T70" i="15"/>
  <c r="Y70" i="15" s="1"/>
  <c r="AH77" i="15"/>
  <c r="T77" i="15"/>
  <c r="Y77" i="15" s="1"/>
  <c r="AK116" i="15"/>
  <c r="BD60" i="15"/>
  <c r="BD40" i="15"/>
  <c r="AH65" i="15"/>
  <c r="T65" i="15"/>
  <c r="Y65" i="15" s="1"/>
  <c r="AT65" i="15" s="1"/>
  <c r="AH53" i="15"/>
  <c r="T53" i="15"/>
  <c r="Y53" i="15" s="1"/>
  <c r="AH41" i="15"/>
  <c r="T41" i="15"/>
  <c r="Y41" i="15" s="1"/>
  <c r="BD70" i="15"/>
  <c r="AH18" i="15"/>
  <c r="T18" i="15"/>
  <c r="AH16" i="15"/>
  <c r="T16" i="15"/>
  <c r="V12" i="15"/>
  <c r="Y12" i="15"/>
  <c r="AH326" i="15"/>
  <c r="T326" i="15"/>
  <c r="Y326" i="15" s="1"/>
  <c r="T304" i="15"/>
  <c r="Y304" i="15" s="1"/>
  <c r="AH304" i="15"/>
  <c r="AH288" i="15"/>
  <c r="T288" i="15"/>
  <c r="Y288" i="15" s="1"/>
  <c r="BD313" i="15"/>
  <c r="AH308" i="15"/>
  <c r="T308" i="15"/>
  <c r="Y308" i="15" s="1"/>
  <c r="AH297" i="15"/>
  <c r="T297" i="15"/>
  <c r="Y297" i="15" s="1"/>
  <c r="AH282" i="15"/>
  <c r="T282" i="15"/>
  <c r="Y282" i="15" s="1"/>
  <c r="AH290" i="15"/>
  <c r="T290" i="15"/>
  <c r="Y290" i="15" s="1"/>
  <c r="BD299" i="15"/>
  <c r="AH287" i="15"/>
  <c r="T287" i="15"/>
  <c r="Y287" i="15" s="1"/>
  <c r="AS292" i="15"/>
  <c r="T264" i="15"/>
  <c r="Y264" i="15" s="1"/>
  <c r="AH264" i="15"/>
  <c r="BD243" i="15"/>
  <c r="AH248" i="15"/>
  <c r="T248" i="15"/>
  <c r="Y248" i="15" s="1"/>
  <c r="AH231" i="15"/>
  <c r="T231" i="15"/>
  <c r="Y231" i="15" s="1"/>
  <c r="AH227" i="15"/>
  <c r="T227" i="15"/>
  <c r="Y227" i="15" s="1"/>
  <c r="BD163" i="15"/>
  <c r="AH193" i="15"/>
  <c r="T193" i="15"/>
  <c r="Y193" i="15" s="1"/>
  <c r="BD191" i="15"/>
  <c r="AH144" i="15"/>
  <c r="T144" i="15"/>
  <c r="Y144" i="15" s="1"/>
  <c r="AS140" i="15"/>
  <c r="AO151" i="15"/>
  <c r="BD113" i="15"/>
  <c r="AH138" i="15"/>
  <c r="T138" i="15"/>
  <c r="Y138" i="15" s="1"/>
  <c r="AH123" i="15"/>
  <c r="T123" i="15"/>
  <c r="Y123" i="15" s="1"/>
  <c r="AH112" i="15"/>
  <c r="T112" i="15"/>
  <c r="Y112" i="15" s="1"/>
  <c r="BD89" i="15"/>
  <c r="AH118" i="15"/>
  <c r="T118" i="15"/>
  <c r="Y118" i="15" s="1"/>
  <c r="BD86" i="15"/>
  <c r="AO131" i="15"/>
  <c r="AH89" i="15"/>
  <c r="T89" i="15"/>
  <c r="Y89" i="15" s="1"/>
  <c r="AH36" i="15"/>
  <c r="T36" i="15"/>
  <c r="Y36" i="15" s="1"/>
  <c r="BD69" i="15"/>
  <c r="AH31" i="15"/>
  <c r="AO31" i="15"/>
  <c r="T31" i="15"/>
  <c r="Y31" i="15" s="1"/>
  <c r="AM31" i="15"/>
  <c r="BD8" i="15"/>
  <c r="Y8" i="15"/>
  <c r="V8" i="15"/>
  <c r="AM3" i="15"/>
  <c r="AH318" i="15"/>
  <c r="T318" i="15"/>
  <c r="Y318" i="15" s="1"/>
  <c r="AH299" i="15"/>
  <c r="T299" i="15"/>
  <c r="Y299" i="15" s="1"/>
  <c r="BD326" i="15"/>
  <c r="AS299" i="15"/>
  <c r="BD286" i="15"/>
  <c r="BD272" i="15"/>
  <c r="BD236" i="15"/>
  <c r="AS263" i="15"/>
  <c r="BD242" i="15"/>
  <c r="BD239" i="15"/>
  <c r="BD225" i="15"/>
  <c r="T198" i="15"/>
  <c r="Y198" i="15" s="1"/>
  <c r="AH198" i="15"/>
  <c r="AH217" i="15"/>
  <c r="AO217" i="15"/>
  <c r="T217" i="15"/>
  <c r="Y217" i="15" s="1"/>
  <c r="BD231" i="15"/>
  <c r="BD190" i="15"/>
  <c r="AS192" i="15"/>
  <c r="BD148" i="15"/>
  <c r="AH149" i="15"/>
  <c r="T149" i="15"/>
  <c r="Y149" i="15" s="1"/>
  <c r="AX149" i="15" s="1"/>
  <c r="BD149" i="15" s="1"/>
  <c r="AH190" i="15"/>
  <c r="T190" i="15"/>
  <c r="Y190" i="15" s="1"/>
  <c r="AM217" i="15"/>
  <c r="AJ120" i="15"/>
  <c r="BD112" i="15"/>
  <c r="T90" i="15"/>
  <c r="Y90" i="15" s="1"/>
  <c r="AH90" i="15"/>
  <c r="AH101" i="15"/>
  <c r="T101" i="15"/>
  <c r="Y101" i="15" s="1"/>
  <c r="BD41" i="15"/>
  <c r="T71" i="15"/>
  <c r="Y71" i="15" s="1"/>
  <c r="AH71" i="15"/>
  <c r="BD43" i="15"/>
  <c r="BD64" i="15"/>
  <c r="AH48" i="15"/>
  <c r="T48" i="15"/>
  <c r="Y48" i="15" s="1"/>
  <c r="AS69" i="15"/>
  <c r="BD25" i="15"/>
  <c r="AH30" i="15"/>
  <c r="T30" i="15"/>
  <c r="Y30" i="15" s="1"/>
  <c r="BD255" i="15"/>
  <c r="BD240" i="15"/>
  <c r="BD251" i="15"/>
  <c r="T210" i="15"/>
  <c r="Y210" i="15" s="1"/>
  <c r="AH210" i="15"/>
  <c r="AH209" i="15"/>
  <c r="T209" i="15"/>
  <c r="Y209" i="15" s="1"/>
  <c r="AH161" i="15"/>
  <c r="T161" i="15"/>
  <c r="Y161" i="15" s="1"/>
  <c r="BD162" i="15"/>
  <c r="BD143" i="15"/>
  <c r="BD189" i="15"/>
  <c r="AH126" i="15"/>
  <c r="T126" i="15"/>
  <c r="Y126" i="15" s="1"/>
  <c r="AH133" i="15"/>
  <c r="T133" i="15"/>
  <c r="Y133" i="15" s="1"/>
  <c r="BD77" i="15"/>
  <c r="T78" i="15"/>
  <c r="Y78" i="15" s="1"/>
  <c r="AH78" i="15"/>
  <c r="AH80" i="15"/>
  <c r="T80" i="15"/>
  <c r="Y80" i="15" s="1"/>
  <c r="AH103" i="15"/>
  <c r="T103" i="15"/>
  <c r="Y103" i="15" s="1"/>
  <c r="T104" i="15"/>
  <c r="Y104" i="15" s="1"/>
  <c r="AH104" i="15"/>
  <c r="AH72" i="15"/>
  <c r="T72" i="15"/>
  <c r="Y72" i="15" s="1"/>
  <c r="T69" i="15"/>
  <c r="Y69" i="15" s="1"/>
  <c r="AH69" i="15"/>
  <c r="AH34" i="15"/>
  <c r="T34" i="15"/>
  <c r="Y34" i="15" s="1"/>
  <c r="AH60" i="15"/>
  <c r="T60" i="15"/>
  <c r="Y60" i="15" s="1"/>
  <c r="BD63" i="15"/>
  <c r="AK18" i="15"/>
  <c r="AS18" i="15" s="1"/>
  <c r="AS312" i="15"/>
  <c r="AH300" i="15"/>
  <c r="T300" i="15"/>
  <c r="Y300" i="15" s="1"/>
  <c r="BD267" i="15"/>
  <c r="BD264" i="15"/>
  <c r="BD248" i="15"/>
  <c r="AH263" i="15"/>
  <c r="T263" i="15"/>
  <c r="Y263" i="15" s="1"/>
  <c r="T237" i="15"/>
  <c r="Y237" i="15" s="1"/>
  <c r="AH237" i="15"/>
  <c r="AH204" i="15"/>
  <c r="T204" i="15"/>
  <c r="Y204" i="15" s="1"/>
  <c r="AT204" i="15" s="1"/>
  <c r="BD204" i="15" s="1"/>
  <c r="AH219" i="15"/>
  <c r="T219" i="15"/>
  <c r="Y219" i="15" s="1"/>
  <c r="BD205" i="15"/>
  <c r="BD193" i="15"/>
  <c r="AH188" i="15"/>
  <c r="T188" i="15"/>
  <c r="Y188" i="15" s="1"/>
  <c r="AH165" i="15"/>
  <c r="T165" i="15"/>
  <c r="Y165" i="15" s="1"/>
  <c r="AV165" i="15" s="1"/>
  <c r="BD165" i="15" s="1"/>
  <c r="AM156" i="15"/>
  <c r="AK151" i="15"/>
  <c r="AH107" i="15"/>
  <c r="T107" i="15"/>
  <c r="Y107" i="15" s="1"/>
  <c r="BD74" i="15"/>
  <c r="AH67" i="15"/>
  <c r="T67" i="15"/>
  <c r="Y67" i="15" s="1"/>
  <c r="AH55" i="15"/>
  <c r="T55" i="15"/>
  <c r="Y55" i="15" s="1"/>
  <c r="AT55" i="15" s="1"/>
  <c r="BD55" i="15" s="1"/>
  <c r="AH43" i="15"/>
  <c r="T43" i="15"/>
  <c r="Y43" i="15" s="1"/>
  <c r="AH62" i="15"/>
  <c r="T62" i="15"/>
  <c r="Y62" i="15" s="1"/>
  <c r="AH50" i="15"/>
  <c r="T50" i="15"/>
  <c r="Y50" i="15" s="1"/>
  <c r="AH38" i="15"/>
  <c r="T38" i="15"/>
  <c r="Y38" i="15" s="1"/>
  <c r="AH3" i="15"/>
  <c r="T3" i="15"/>
  <c r="T330" i="15"/>
  <c r="Y330" i="15" s="1"/>
  <c r="AH330" i="15"/>
  <c r="T305" i="15"/>
  <c r="Y305" i="15" s="1"/>
  <c r="AH305" i="15"/>
  <c r="T327" i="15"/>
  <c r="Y327" i="15" s="1"/>
  <c r="AH327" i="15"/>
  <c r="AS318" i="15"/>
  <c r="AH279" i="15"/>
  <c r="T279" i="15"/>
  <c r="Y279" i="15" s="1"/>
  <c r="AH289" i="15"/>
  <c r="T289" i="15"/>
  <c r="Y289" i="15" s="1"/>
  <c r="BD253" i="15"/>
  <c r="BD252" i="15"/>
  <c r="BD230" i="15"/>
  <c r="BD144" i="15"/>
  <c r="AH153" i="15"/>
  <c r="T153" i="15"/>
  <c r="Y153" i="15" s="1"/>
  <c r="T127" i="15"/>
  <c r="Y127" i="15" s="1"/>
  <c r="AU127" i="15" s="1"/>
  <c r="BD127" i="15" s="1"/>
  <c r="AH127" i="15"/>
  <c r="BD118" i="15"/>
  <c r="AI156" i="15"/>
  <c r="AH135" i="15"/>
  <c r="T135" i="15"/>
  <c r="Y135" i="15" s="1"/>
  <c r="BD105" i="15"/>
  <c r="T108" i="15"/>
  <c r="Y108" i="15" s="1"/>
  <c r="AH108" i="15"/>
  <c r="AS76" i="15"/>
  <c r="BD100" i="15"/>
  <c r="BD88" i="15"/>
  <c r="BD71" i="15"/>
  <c r="AH68" i="15"/>
  <c r="T68" i="15"/>
  <c r="Y68" i="15" s="1"/>
  <c r="BD47" i="15"/>
  <c r="BD51" i="15"/>
  <c r="BD35" i="15"/>
  <c r="T17" i="15"/>
  <c r="AH17" i="15"/>
  <c r="AM65" i="15"/>
  <c r="AS65" i="15" s="1"/>
  <c r="AH11" i="15"/>
  <c r="T11" i="15"/>
  <c r="AI13" i="15"/>
  <c r="AS13" i="15" s="1"/>
  <c r="AH332" i="15"/>
  <c r="T332" i="15"/>
  <c r="Y332" i="15" s="1"/>
  <c r="AH306" i="15"/>
  <c r="T306" i="15"/>
  <c r="Y306" i="15" s="1"/>
  <c r="BD318" i="15"/>
  <c r="AH329" i="15"/>
  <c r="T329" i="15"/>
  <c r="Y329" i="15" s="1"/>
  <c r="T302" i="15"/>
  <c r="Y302" i="15" s="1"/>
  <c r="AH302" i="15"/>
  <c r="BD301" i="15"/>
  <c r="AH262" i="15"/>
  <c r="T262" i="15"/>
  <c r="Y262" i="15" s="1"/>
  <c r="T224" i="15"/>
  <c r="Y224" i="15" s="1"/>
  <c r="AH224" i="15"/>
  <c r="AH197" i="15"/>
  <c r="T197" i="15"/>
  <c r="Y197" i="15" s="1"/>
  <c r="BD158" i="15"/>
  <c r="BD141" i="15"/>
  <c r="AK219" i="15"/>
  <c r="AH160" i="15"/>
  <c r="T160" i="15"/>
  <c r="Y160" i="15" s="1"/>
  <c r="AH141" i="15"/>
  <c r="T141" i="15"/>
  <c r="Y141" i="15" s="1"/>
  <c r="T115" i="15"/>
  <c r="Y115" i="15" s="1"/>
  <c r="AH115" i="15"/>
  <c r="AH121" i="15"/>
  <c r="T121" i="15"/>
  <c r="Y121" i="15" s="1"/>
  <c r="AH119" i="15"/>
  <c r="T119" i="15"/>
  <c r="Y119" i="15" s="1"/>
  <c r="BD83" i="15"/>
  <c r="AH96" i="15"/>
  <c r="T96" i="15"/>
  <c r="Y96" i="15" s="1"/>
  <c r="AH91" i="15"/>
  <c r="T91" i="15"/>
  <c r="Y91" i="15" s="1"/>
  <c r="AH79" i="15"/>
  <c r="T79" i="15"/>
  <c r="Y79" i="15" s="1"/>
  <c r="BD67" i="15"/>
  <c r="AH58" i="15"/>
  <c r="T58" i="15"/>
  <c r="Y58" i="15" s="1"/>
  <c r="AT58" i="15" s="1"/>
  <c r="BD58" i="15" s="1"/>
  <c r="BD30" i="15"/>
  <c r="AH13" i="15"/>
  <c r="T13" i="15"/>
  <c r="AH23" i="15"/>
  <c r="T23" i="15"/>
  <c r="Y23" i="15" s="1"/>
  <c r="T324" i="15"/>
  <c r="Y324" i="15" s="1"/>
  <c r="AH324" i="15"/>
  <c r="AH309" i="15"/>
  <c r="T309" i="15"/>
  <c r="Y309" i="15" s="1"/>
  <c r="BD316" i="15"/>
  <c r="T292" i="15"/>
  <c r="Y292" i="15" s="1"/>
  <c r="AH292" i="15"/>
  <c r="AS295" i="15"/>
  <c r="BD285" i="15"/>
  <c r="T280" i="15"/>
  <c r="Y280" i="15" s="1"/>
  <c r="AH280" i="15"/>
  <c r="AH303" i="15"/>
  <c r="T303" i="15"/>
  <c r="Y303" i="15" s="1"/>
  <c r="AH286" i="15"/>
  <c r="T286" i="15"/>
  <c r="Y286" i="15" s="1"/>
  <c r="T256" i="15"/>
  <c r="Y256" i="15" s="1"/>
  <c r="AH256" i="15"/>
  <c r="T260" i="15"/>
  <c r="Y260" i="15" s="1"/>
  <c r="AH260" i="15"/>
  <c r="BD235" i="15"/>
  <c r="AH250" i="15"/>
  <c r="T250" i="15"/>
  <c r="Y250" i="15" s="1"/>
  <c r="AH233" i="15"/>
  <c r="T233" i="15"/>
  <c r="Y233" i="15" s="1"/>
  <c r="AS230" i="15"/>
  <c r="AH228" i="15"/>
  <c r="T228" i="15"/>
  <c r="Y228" i="15" s="1"/>
  <c r="BD188" i="15"/>
  <c r="BD192" i="15"/>
  <c r="AH158" i="15"/>
  <c r="T158" i="15"/>
  <c r="Y158" i="15" s="1"/>
  <c r="AH140" i="15"/>
  <c r="T140" i="15"/>
  <c r="Y140" i="15" s="1"/>
  <c r="BD115" i="15"/>
  <c r="BD110" i="15"/>
  <c r="BD87" i="15"/>
  <c r="AI131" i="15"/>
  <c r="T113" i="15"/>
  <c r="Y113" i="15" s="1"/>
  <c r="AH113" i="15"/>
  <c r="AH99" i="15"/>
  <c r="T99" i="15"/>
  <c r="Y99" i="15" s="1"/>
  <c r="AH87" i="15"/>
  <c r="T87" i="15"/>
  <c r="Y87" i="15" s="1"/>
  <c r="AH75" i="15"/>
  <c r="T75" i="15"/>
  <c r="Y75" i="15" s="1"/>
  <c r="BD95" i="15"/>
  <c r="AH84" i="15"/>
  <c r="T84" i="15"/>
  <c r="Y84" i="15" s="1"/>
  <c r="BD52" i="15"/>
  <c r="BD42" i="15"/>
  <c r="BD39" i="15"/>
  <c r="T35" i="15"/>
  <c r="Y35" i="15" s="1"/>
  <c r="AH35" i="15"/>
  <c r="AK3" i="15"/>
  <c r="V7" i="15"/>
  <c r="Y7" i="15"/>
  <c r="AX59" i="15" l="1"/>
  <c r="BD59" i="15" s="1"/>
  <c r="BD159" i="15"/>
  <c r="AS150" i="15"/>
  <c r="AX131" i="15"/>
  <c r="AS130" i="15"/>
  <c r="AW217" i="15"/>
  <c r="AZ220" i="15"/>
  <c r="AW220" i="15"/>
  <c r="AW200" i="15"/>
  <c r="AW120" i="15"/>
  <c r="AW20" i="15"/>
  <c r="AW117" i="15"/>
  <c r="AX75" i="15"/>
  <c r="AT75" i="15"/>
  <c r="BD56" i="15"/>
  <c r="AS32" i="15"/>
  <c r="AT32" i="15"/>
  <c r="AS203" i="15"/>
  <c r="AV203" i="15"/>
  <c r="AX203" i="15"/>
  <c r="AX200" i="15"/>
  <c r="AV200" i="15"/>
  <c r="AU200" i="15"/>
  <c r="AT200" i="15"/>
  <c r="AS200" i="15"/>
  <c r="AV152" i="15"/>
  <c r="BD152" i="15" s="1"/>
  <c r="AS159" i="15"/>
  <c r="AV129" i="15"/>
  <c r="V10" i="15"/>
  <c r="L23" i="8"/>
  <c r="L17" i="8"/>
  <c r="L13" i="8"/>
  <c r="D15" i="8"/>
  <c r="C32" i="8" s="1"/>
  <c r="L15" i="8"/>
  <c r="C15" i="8"/>
  <c r="C31" i="8" s="1"/>
  <c r="L11" i="8"/>
  <c r="AV157" i="15"/>
  <c r="AU129" i="15"/>
  <c r="AT20" i="15"/>
  <c r="AX20" i="15"/>
  <c r="AV20" i="15"/>
  <c r="AU20" i="15"/>
  <c r="AZ20" i="15"/>
  <c r="AS213" i="15"/>
  <c r="AV213" i="15"/>
  <c r="BD213" i="15" s="1"/>
  <c r="AV186" i="15"/>
  <c r="BD186" i="15" s="1"/>
  <c r="G15" i="8"/>
  <c r="C33" i="8" s="1"/>
  <c r="AU220" i="15"/>
  <c r="AT220" i="15"/>
  <c r="AX164" i="15"/>
  <c r="AS129" i="15"/>
  <c r="AS164" i="15"/>
  <c r="AX220" i="15"/>
  <c r="AT164" i="15"/>
  <c r="AX32" i="15"/>
  <c r="AT117" i="15"/>
  <c r="V15" i="15"/>
  <c r="AS155" i="15"/>
  <c r="AS220" i="15"/>
  <c r="AV117" i="15"/>
  <c r="AS4" i="15"/>
  <c r="AZ117" i="15"/>
  <c r="AU117" i="15"/>
  <c r="AX117" i="15"/>
  <c r="AS20" i="15"/>
  <c r="AS5" i="15"/>
  <c r="AS117" i="15"/>
  <c r="AS116" i="15"/>
  <c r="AS12" i="15"/>
  <c r="Y14" i="15"/>
  <c r="AX14" i="15" s="1"/>
  <c r="BD14" i="15" s="1"/>
  <c r="AU154" i="15"/>
  <c r="BD154" i="15" s="1"/>
  <c r="AS196" i="15"/>
  <c r="AU157" i="15"/>
  <c r="Y4" i="15"/>
  <c r="AV220" i="15"/>
  <c r="AS120" i="15"/>
  <c r="AT203" i="15"/>
  <c r="AS9" i="15"/>
  <c r="V5" i="15"/>
  <c r="V9" i="15"/>
  <c r="AS216" i="15"/>
  <c r="AS151" i="15"/>
  <c r="AX157" i="15"/>
  <c r="AS219" i="15"/>
  <c r="AS157" i="15"/>
  <c r="AS202" i="15"/>
  <c r="AS31" i="15"/>
  <c r="AS156" i="15"/>
  <c r="AX201" i="15"/>
  <c r="BD201" i="15" s="1"/>
  <c r="AS217" i="15"/>
  <c r="BD216" i="15"/>
  <c r="AS56" i="15"/>
  <c r="AU202" i="15"/>
  <c r="AT202" i="15"/>
  <c r="AS3" i="15"/>
  <c r="AS131" i="15"/>
  <c r="AX202" i="15"/>
  <c r="AX12" i="15"/>
  <c r="AV12" i="15"/>
  <c r="V17" i="15"/>
  <c r="Y17" i="15"/>
  <c r="AX219" i="15"/>
  <c r="AT219" i="15"/>
  <c r="AZ219" i="15"/>
  <c r="AV219" i="15"/>
  <c r="AX65" i="15"/>
  <c r="BD65" i="15" s="1"/>
  <c r="AZ131" i="15"/>
  <c r="AT131" i="15"/>
  <c r="AV131" i="15"/>
  <c r="BD196" i="15"/>
  <c r="Y16" i="15"/>
  <c r="V16" i="15"/>
  <c r="Y13" i="15"/>
  <c r="V13" i="15"/>
  <c r="Y18" i="15"/>
  <c r="AV18" i="15" s="1"/>
  <c r="BD18" i="15" s="1"/>
  <c r="V18" i="15"/>
  <c r="AZ151" i="15"/>
  <c r="AV151" i="15"/>
  <c r="AZ120" i="15"/>
  <c r="AU120" i="15"/>
  <c r="AX120" i="15"/>
  <c r="AT120" i="15"/>
  <c r="AV120" i="15"/>
  <c r="AV9" i="15"/>
  <c r="AU9" i="15"/>
  <c r="Y3" i="15"/>
  <c r="V3" i="15"/>
  <c r="Y11" i="15"/>
  <c r="V11" i="15"/>
  <c r="AX119" i="15"/>
  <c r="AV119" i="15"/>
  <c r="AV116" i="15"/>
  <c r="AX116" i="15"/>
  <c r="BD155" i="15"/>
  <c r="AZ5" i="15"/>
  <c r="AX5" i="15"/>
  <c r="AV5" i="15"/>
  <c r="AT5" i="15"/>
  <c r="Y6" i="15"/>
  <c r="V6" i="15"/>
  <c r="AV109" i="15"/>
  <c r="AT109" i="15"/>
  <c r="AX156" i="15"/>
  <c r="AT156" i="15"/>
  <c r="AZ156" i="15"/>
  <c r="AZ217" i="15"/>
  <c r="AX217" i="15"/>
  <c r="AT217" i="15"/>
  <c r="AV217" i="15"/>
  <c r="AU217" i="15"/>
  <c r="AZ31" i="15"/>
  <c r="AX31" i="15"/>
  <c r="AU31" i="15"/>
  <c r="AV31" i="15"/>
  <c r="AS109" i="15"/>
  <c r="AU6" i="15" l="1"/>
  <c r="AX6" i="15"/>
  <c r="AX4" i="15"/>
  <c r="AW4" i="15"/>
  <c r="BD75" i="15"/>
  <c r="BD32" i="15"/>
  <c r="BD203" i="15"/>
  <c r="BD200" i="15"/>
  <c r="BD129" i="15"/>
  <c r="L31" i="8"/>
  <c r="N21" i="8" s="1"/>
  <c r="D25" i="8"/>
  <c r="C25" i="8"/>
  <c r="BD20" i="15"/>
  <c r="BD164" i="15"/>
  <c r="BD220" i="15"/>
  <c r="BD117" i="15"/>
  <c r="AZ4" i="15"/>
  <c r="AV4" i="15"/>
  <c r="BD157" i="15"/>
  <c r="BD151" i="15"/>
  <c r="BD9" i="15"/>
  <c r="BD109" i="15"/>
  <c r="BD12" i="15"/>
  <c r="BD119" i="15"/>
  <c r="BD131" i="15"/>
  <c r="BD5" i="15"/>
  <c r="BD202" i="15"/>
  <c r="BD156" i="15"/>
  <c r="BD116" i="15"/>
  <c r="AT13" i="15"/>
  <c r="AV13" i="15"/>
  <c r="BD120" i="15"/>
  <c r="BD31" i="15"/>
  <c r="BD217" i="15"/>
  <c r="AU3" i="15"/>
  <c r="AV3" i="15"/>
  <c r="AX3" i="15"/>
  <c r="AT3" i="15"/>
  <c r="BD219" i="15"/>
  <c r="BD6" i="15" l="1"/>
  <c r="N29" i="8"/>
  <c r="N25" i="8"/>
  <c r="N27" i="8"/>
  <c r="N15" i="8"/>
  <c r="N11" i="8"/>
  <c r="N13" i="8"/>
  <c r="N23" i="8"/>
  <c r="N19" i="8"/>
  <c r="N17" i="8"/>
  <c r="BD4" i="15"/>
  <c r="BD3" i="15"/>
  <c r="BD13" i="15"/>
  <c r="N31" i="8" l="1"/>
  <c r="H54" i="16"/>
  <c r="H64" i="16"/>
  <c r="H66" i="16"/>
  <c r="H65" i="16"/>
  <c r="H35" i="16"/>
  <c r="H61" i="16"/>
  <c r="H72" i="16"/>
  <c r="H34" i="16"/>
  <c r="H53" i="16"/>
  <c r="H59" i="16"/>
  <c r="H68" i="16"/>
  <c r="H27" i="16"/>
  <c r="H15" i="16"/>
  <c r="H63" i="16"/>
  <c r="H11" i="16"/>
  <c r="AB15" i="1"/>
  <c r="H30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Campino, Martha Lucia</author>
    <author>Temp</author>
    <author>Servicios</author>
  </authors>
  <commentList>
    <comment ref="E1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2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3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4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5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6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7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8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C88" authorId="1" shapeId="0" xr:uid="{00000000-0006-0000-0400-000009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C89" authorId="1" shapeId="0" xr:uid="{00000000-0006-0000-0400-00000A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A149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C215" authorId="1" shapeId="0" xr:uid="{00000000-0006-0000-0400-00000C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C216" authorId="1" shapeId="0" xr:uid="{00000000-0006-0000-0400-00000D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A313" authorId="1" shapeId="0" xr:uid="{00000000-0006-0000-0400-00000E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CAMBIA POR EL CODIGO 2406441</t>
        </r>
      </text>
    </comment>
    <comment ref="A405" authorId="2" shapeId="0" xr:uid="{00000000-0006-0000-0400-00000F000000}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El ensamble completo está reportado con el código sap 8201460</t>
        </r>
      </text>
    </comment>
    <comment ref="A406" authorId="2" shapeId="0" xr:uid="{00000000-0006-0000-0400-000010000000}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Ojo este repuesto ya se pide con otra referencia correo MP Nov 7-07</t>
        </r>
      </text>
    </comment>
    <comment ref="D430" authorId="1" shapeId="0" xr:uid="{00000000-0006-0000-0400-000011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Temp</author>
    <author>Mcampino</author>
    <author>Campino, Martha Lucia</author>
    <author>Narvaez Ortega, Pilar Astrid</author>
    <author>Narvaez, Pilar Astrid</author>
  </authors>
  <commentList>
    <comment ref="T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AQUÍ FALTA INGRESAR CONSUMOS POR AJSUTES DE DIFERENCIA, SE TRABAJA CON EL FISICO</t>
        </r>
      </text>
    </comment>
    <comment ref="AC1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INVENTARIO INICIAL D EJUNIO</t>
        </r>
      </text>
    </comment>
    <comment ref="E4" authorId="1" shapeId="0" xr:uid="{00000000-0006-0000-0600-000003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201 x 81 = 16,281</t>
        </r>
      </text>
    </comment>
    <comment ref="E5" authorId="2" shapeId="0" xr:uid="{00000000-0006-0000-0600-00000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44,5</t>
        </r>
      </text>
    </comment>
    <comment ref="E6" authorId="1" shapeId="0" xr:uid="{00000000-0006-0000-0600-000005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46,5x 190,6 =8862,9</t>
        </r>
      </text>
    </comment>
    <comment ref="E7" authorId="2" shapeId="0" xr:uid="{00000000-0006-0000-0600-000006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82" de Aktura; Madera de14 1/2 x 1/2  61,7 x 208,28 = 12860</t>
        </r>
      </text>
    </comment>
    <comment ref="E8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9" authorId="2" shapeId="0" xr:uid="{00000000-0006-0000-0600-000008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8204012 es el otro código 32,0 X 190,5 = 6,090</t>
        </r>
      </text>
    </comment>
    <comment ref="E9" authorId="2" shapeId="0" xr:uid="{00000000-0006-0000-0600-000009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32,0 X 190,5(75") = 6,090 cns2</t>
        </r>
      </text>
    </comment>
    <comment ref="E10" authorId="2" shapeId="0" xr:uid="{00000000-0006-0000-0600-00000A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1" authorId="2" shapeId="0" xr:uid="{00000000-0006-0000-0600-00000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2" authorId="2" shapeId="0" xr:uid="{00000000-0006-0000-0600-00000C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3" authorId="2" shapeId="0" xr:uid="{00000000-0006-0000-0600-00000D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4" authorId="2" shapeId="0" xr:uid="{00000000-0006-0000-0600-00000E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5" authorId="2" shapeId="0" xr:uid="{00000000-0006-0000-0600-00000F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6" authorId="2" shapeId="0" xr:uid="{00000000-0006-0000-0600-000010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7" authorId="2" shapeId="0" xr:uid="{00000000-0006-0000-0600-000011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103" authorId="2" shapeId="0" xr:uid="{00000000-0006-0000-0600-000012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No volver a pedir la reemplazo 8205266</t>
        </r>
      </text>
    </comment>
    <comment ref="B122" authorId="2" shapeId="0" xr:uid="{00000000-0006-0000-0600-000013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E197" authorId="2" shapeId="0" xr:uid="{00000000-0006-0000-0600-00001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Traslado de Bogota</t>
        </r>
      </text>
    </comment>
    <comment ref="C213" authorId="2" shapeId="0" xr:uid="{00000000-0006-0000-0600-000015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Antes eran cajas por 900 cms</t>
        </r>
      </text>
    </comment>
    <comment ref="C214" authorId="1" shapeId="0" xr:uid="{00000000-0006-0000-0600-000016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Hasta Nov 20-12 la unidad era caja por 200 unidades, en tiras de 49 cms</t>
        </r>
      </text>
    </comment>
    <comment ref="C216" authorId="2" shapeId="0" xr:uid="{00000000-0006-0000-0600-000017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12 planchas por caja (2,500 cm2)</t>
        </r>
      </text>
    </comment>
    <comment ref="B217" authorId="2" shapeId="0" xr:uid="{00000000-0006-0000-0600-000018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8204792</t>
        </r>
      </text>
    </comment>
    <comment ref="C217" authorId="2" shapeId="0" xr:uid="{00000000-0006-0000-0600-000019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40UNDS POR PLANCHA, CAJA DE 14 PLANCHAS PARA UN TOTAL DE 560 TIRAS</t>
        </r>
      </text>
    </comment>
    <comment ref="B218" authorId="2" shapeId="0" xr:uid="{00000000-0006-0000-0600-00001A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8204791</t>
        </r>
      </text>
    </comment>
    <comment ref="C218" authorId="2" shapeId="0" xr:uid="{00000000-0006-0000-0600-00001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339 UNIDADES POR PLANCHA CAJA DE 12 PLANCHAS PARA UN TOTAL DE 4,068 UNDS</t>
        </r>
      </text>
    </comment>
    <comment ref="E242" authorId="3" shapeId="0" xr:uid="{00000000-0006-0000-0600-00001C000000}">
      <text>
        <r>
          <rPr>
            <b/>
            <sz val="9"/>
            <color indexed="81"/>
            <rFont val="Tahoma"/>
            <family val="2"/>
          </rPr>
          <t>Narvaez Ortega, Pilar Astrid:</t>
        </r>
        <r>
          <rPr>
            <sz val="9"/>
            <color indexed="81"/>
            <rFont val="Tahoma"/>
            <family val="2"/>
          </rPr>
          <t xml:space="preserve">
juego x 2</t>
        </r>
      </text>
    </comment>
    <comment ref="C255" authorId="0" shapeId="0" xr:uid="{00000000-0006-0000-0600-00001D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  <comment ref="U267" authorId="4" shapeId="0" xr:uid="{00000000-0006-0000-0600-00001E000000}">
      <text>
        <r>
          <rPr>
            <b/>
            <sz val="9"/>
            <color indexed="81"/>
            <rFont val="Tahoma"/>
            <family val="2"/>
          </rPr>
          <t>Narvaez, Pilar Astrid:</t>
        </r>
        <r>
          <rPr>
            <sz val="9"/>
            <color indexed="81"/>
            <rFont val="Tahoma"/>
            <family val="2"/>
          </rPr>
          <t xml:space="preserve">
pedir
</t>
        </r>
      </text>
    </comment>
    <comment ref="B313" authorId="1" shapeId="0" xr:uid="{00000000-0006-0000-0600-00001F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CALI CREA EL CODITO 3438191 QUE ES EL MISMO MATERIAL QUE ESTE Y PARA LA BROCA LARGA EL CODIGO QUE CREA CALI ES 3438360</t>
        </r>
      </text>
    </comment>
    <comment ref="E333" authorId="2" shapeId="0" xr:uid="{00000000-0006-0000-0600-000020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65006014
65006088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Nunez, Isabela</author>
  </authors>
  <commentList>
    <comment ref="C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Nunez, Isabela:</t>
        </r>
        <r>
          <rPr>
            <sz val="9"/>
            <color indexed="81"/>
            <rFont val="Tahoma"/>
            <family val="2"/>
          </rPr>
          <t xml:space="preserve">
Se asume el turno de 7,3 horas con los supementos de los operarios(cafetería y baños)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informacion" description="Conexión a la consulta 'informacion' en el libro." type="5" refreshedVersion="6" background="1" saveData="1">
    <dbPr connection="Provider=Microsoft.Mashup.OleDb.1;Data Source=$Workbook$;Location=informacion;Extended Properties=&quot;&quot;" command="SELECT * FROM [informacion]"/>
  </connection>
</connections>
</file>

<file path=xl/sharedStrings.xml><?xml version="1.0" encoding="utf-8"?>
<sst xmlns="http://schemas.openxmlformats.org/spreadsheetml/2006/main" count="4748" uniqueCount="1333">
  <si>
    <t>Cód. Taller</t>
  </si>
  <si>
    <t>Cód. VPE</t>
  </si>
  <si>
    <t>Unidad</t>
  </si>
  <si>
    <t>M-001</t>
  </si>
  <si>
    <t>CM2</t>
  </si>
  <si>
    <t>M.Curva Import. W20985 Larga  (1/2"x102)</t>
  </si>
  <si>
    <t>M-002</t>
  </si>
  <si>
    <t>M.Curva Import. W16281 Mediana (1/2"X79)</t>
  </si>
  <si>
    <t>M-003</t>
  </si>
  <si>
    <t xml:space="preserve">Mad.Curva Import. 37,5" FW 8595 (1/2"x72) </t>
  </si>
  <si>
    <t>M.Curva Import. W21396 Larga  (1/2"x107)</t>
  </si>
  <si>
    <t>799 FB</t>
  </si>
  <si>
    <t>MADERA CURVA  FB39" 8860 (10-5/8"X1/2"X75" MARTIN</t>
  </si>
  <si>
    <t>800 FM</t>
  </si>
  <si>
    <t>MADERA CURVA FM50" 12860  61,8 (366 X 13 X 2500 101-3662513  50" MARTAN)</t>
  </si>
  <si>
    <t>805 FM</t>
  </si>
  <si>
    <t>MADERA CURVA FM50" 15850 (366 X 13 X 2500 101-3662513  50" MARTAN)</t>
  </si>
  <si>
    <t>UND</t>
  </si>
  <si>
    <t>MADERA CURVA  49"  12620  14-3/16" X 1/2" X 82"MARTIN</t>
  </si>
  <si>
    <t>MADERA CURVA 6,090  0.177 X 1.800MT 101-1771813</t>
  </si>
  <si>
    <t>MADERA CURVA 15,620  1/2"X14-3/8"X100" POLISOT</t>
  </si>
  <si>
    <t>MADERA CURVA  18,740  1/2"X14-3/8"X120" POLISOT</t>
  </si>
  <si>
    <t xml:space="preserve">MADERA CURVA  66" 24,680  1/2"X19-3/16"X120" WARD </t>
  </si>
  <si>
    <t>MADERA CURVA 37,5" 11,520   1/2" X 10-1/8" X 102" FW</t>
  </si>
  <si>
    <t>MADERA CURVA  39" 12,040  1/2" X 10-5/8" X 102" MARTIN</t>
  </si>
  <si>
    <t>MADERA CURVA 50"  12,807  1/2"X14-3/8"X82" POSILOT</t>
  </si>
  <si>
    <t>MADERA CURVA 49"  12,620  14-3/16" X 1/2" X 100"MARTIN</t>
  </si>
  <si>
    <t>MADERA CURVA 49"  12,620  14-3/16" X 1/2" X 120"MARTIN</t>
  </si>
  <si>
    <t>CUCHILLAS</t>
  </si>
  <si>
    <t>C-301</t>
  </si>
  <si>
    <t>CM</t>
  </si>
  <si>
    <t>Cuchilla Stop 50x70x2</t>
  </si>
  <si>
    <t>C-304</t>
  </si>
  <si>
    <t>Rect 970 CB x 4Pts 12T Notch (Puente)</t>
  </si>
  <si>
    <t>C-306</t>
  </si>
  <si>
    <t>Recta 937 CB x 4Ptos</t>
  </si>
  <si>
    <t>C-310</t>
  </si>
  <si>
    <t>Recta Perforada 908 1/8 x 1/8</t>
  </si>
  <si>
    <t>C-311</t>
  </si>
  <si>
    <t>Recta Perforada 908 1/4 x 1/4</t>
  </si>
  <si>
    <t>C-312</t>
  </si>
  <si>
    <t>Recta Perforada 937 3/8 x 3/8</t>
  </si>
  <si>
    <t>C-316</t>
  </si>
  <si>
    <t>Curva 970 CB x 4Ptos</t>
  </si>
  <si>
    <t>C-317</t>
  </si>
  <si>
    <t>Recta 970 CB x 4Ptos.</t>
  </si>
  <si>
    <t>C-319</t>
  </si>
  <si>
    <t>Curva Perforada 908 4 ptos 1/4 x 1/4</t>
  </si>
  <si>
    <t>C-320</t>
  </si>
  <si>
    <t>Curva Perforada 908 4 ptos3/8 x 3/8</t>
  </si>
  <si>
    <t>C-325</t>
  </si>
  <si>
    <t>Curva  937CB x 4Pts  20 Th</t>
  </si>
  <si>
    <t>C-338</t>
  </si>
  <si>
    <t>Recta Ultra 8 1030</t>
  </si>
  <si>
    <t>C-339</t>
  </si>
  <si>
    <t>Curva Ultra 8 1030</t>
  </si>
  <si>
    <t>C-340</t>
  </si>
  <si>
    <t>Recta 930 1/16 x 1/16</t>
  </si>
  <si>
    <t>C-344</t>
  </si>
  <si>
    <t>Recta Perforada 970/850 1/2 x 1/2</t>
  </si>
  <si>
    <t>C-345</t>
  </si>
  <si>
    <t>Curva Perforada 970/850 1/2 x 1/2</t>
  </si>
  <si>
    <t>C-346</t>
  </si>
  <si>
    <t>Recta Perforada 970/850 3/4 x 3/4</t>
  </si>
  <si>
    <t>C-347</t>
  </si>
  <si>
    <t>Curva Perforada 970/850 3/4 x 3/4</t>
  </si>
  <si>
    <t>C-348</t>
  </si>
  <si>
    <t>Curva Perforada 1000/860 1/4 x 1/4</t>
  </si>
  <si>
    <t>C-349</t>
  </si>
  <si>
    <t>Cuva Perforada 1000/860 3/8 x 3/8</t>
  </si>
  <si>
    <t>C-358</t>
  </si>
  <si>
    <t>Curva Ultra 8  990 x 4Pts</t>
  </si>
  <si>
    <t>C-359</t>
  </si>
  <si>
    <t>Recta 990/860 3/8 x 3/8 Mpress</t>
  </si>
  <si>
    <t>C-360</t>
  </si>
  <si>
    <t>Recta Perforada 990/860 1/4 x 1/4 Mpress</t>
  </si>
  <si>
    <t>C-361</t>
  </si>
  <si>
    <t>Curva 970 CB x 4Ptos FW</t>
  </si>
  <si>
    <t>C-362</t>
  </si>
  <si>
    <t>Curva Perforada 908 3/8 x 3/8 FW</t>
  </si>
  <si>
    <t>C-363</t>
  </si>
  <si>
    <t>Curva Perforada 908 1/4 x 1/4 FW</t>
  </si>
  <si>
    <t>C-326</t>
  </si>
  <si>
    <t>Tube Punch Ins. 990 x 1 1/4</t>
  </si>
  <si>
    <t>C-327</t>
  </si>
  <si>
    <t>Tube Punch Ins. 990 x 1 1/8</t>
  </si>
  <si>
    <t>C-328</t>
  </si>
  <si>
    <t>Tube Punch Ins. 990 x 1'</t>
  </si>
  <si>
    <t>C-329</t>
  </si>
  <si>
    <t>Tube Punch Ins. 990 x 7/8</t>
  </si>
  <si>
    <t>C-330</t>
  </si>
  <si>
    <t>Tube Punch Ins. 990 x 3/4</t>
  </si>
  <si>
    <t>C-331</t>
  </si>
  <si>
    <t>Tube Punch Ins. 990 x 5/8</t>
  </si>
  <si>
    <t>C-332</t>
  </si>
  <si>
    <t>Tube Punch Ins. 990 x 1/2</t>
  </si>
  <si>
    <t>C-333</t>
  </si>
  <si>
    <t>Tube Punch Ins. 990 x 3/8</t>
  </si>
  <si>
    <t>C-335</t>
  </si>
  <si>
    <t>Tube Punch Ins. 990 x 1/4</t>
  </si>
  <si>
    <t>C-337</t>
  </si>
  <si>
    <t>Tube Punch Ins. 990 x 9/64</t>
  </si>
  <si>
    <t>C-350</t>
  </si>
  <si>
    <t>Tube Punch 1030 1 x 1/4</t>
  </si>
  <si>
    <t>C-351</t>
  </si>
  <si>
    <t>Tube Punch 1030 x 1</t>
  </si>
  <si>
    <t>C-352</t>
  </si>
  <si>
    <t>Tube Punch 1030 x 7/8</t>
  </si>
  <si>
    <t>C-353</t>
  </si>
  <si>
    <t>Tube Punch 1030 x3/4</t>
  </si>
  <si>
    <t>C-354</t>
  </si>
  <si>
    <t>Tube Punch 1030 x 5/8 IB</t>
  </si>
  <si>
    <t>C-355</t>
  </si>
  <si>
    <t>Tube Punch 1030 x 1/2</t>
  </si>
  <si>
    <t>C-356</t>
  </si>
  <si>
    <t>Tube Punch 1030 x 3/8</t>
  </si>
  <si>
    <t>C-357</t>
  </si>
  <si>
    <t>Tube Punch 1030 x 3/16</t>
  </si>
  <si>
    <t>C-365</t>
  </si>
  <si>
    <t>Tube Punch Ultra 1030 x 11/8</t>
  </si>
  <si>
    <t>Tube Punch Ins. 990 x 3/4 CB</t>
  </si>
  <si>
    <t>TUBE PUNCH 1010 X 1-1/4" CB SERRATED</t>
  </si>
  <si>
    <t>TUBE PUNCH 1.010" X 1-1/8" CB ASERRADA</t>
  </si>
  <si>
    <t>TUBE PUNCH 1.010" x 1" CB ASERRADA</t>
  </si>
  <si>
    <t>TUBE PUNCH 1.010" X 7/8" CB ASERRADA</t>
  </si>
  <si>
    <t>TUBE PUNCH 1.010" X 3/4" CB ASERRADA</t>
  </si>
  <si>
    <t>TUBE PUNCH 1.010" X 5/8" CB ASERRADA</t>
  </si>
  <si>
    <t>TUBE PUNCH 1.010" X 1/2" CB ASERRADA</t>
  </si>
  <si>
    <t>TUBE PUNCH 1.010" X 3/8" CB ASERRADA</t>
  </si>
  <si>
    <t>TUBE PUNCH 1.010" X 1/4" CB ASERRADA</t>
  </si>
  <si>
    <t>TUBE PUNCH 1.040" X 1-1/4" CB ASERRADA</t>
  </si>
  <si>
    <t>TUBE PUNCH 1.040" X 1-1/8" CB ASERRADA</t>
  </si>
  <si>
    <t>TUBE PUNCH 1.040" X 1" CB ASERRADA</t>
  </si>
  <si>
    <t>TUBE PUNCH 1.040" X 7/8" CB ASERRADA</t>
  </si>
  <si>
    <t>TUBE PUNCH 1.040" X 3/4" CB ASERRADA</t>
  </si>
  <si>
    <t>TUBE PUNCH 1.040" X 5/8" CB ASERRADA</t>
  </si>
  <si>
    <t>TUBE PUNCH 1.040" X 1/2" CB ASERRADA</t>
  </si>
  <si>
    <t>TUBE PUNCH 1.040" X 3/8" CB ASERRADA</t>
  </si>
  <si>
    <t>TUBE PUNCH 1.040" X 1/4" CB ASERRADA</t>
  </si>
  <si>
    <t>C-318</t>
  </si>
  <si>
    <t>Curva Perforada 908 4 ptos 1/8 x 1/8</t>
  </si>
  <si>
    <t>C-366</t>
  </si>
  <si>
    <t>Curva Perforada 937 4 ptos 1/4 x 1/4</t>
  </si>
  <si>
    <t>Curva 1000 CB x 4Ptos FW</t>
  </si>
  <si>
    <t>Cuchilla curva .990 1/4X1/4 4PT 12-651-0</t>
  </si>
  <si>
    <t>Cuchilla curva .990 3/8X3/8 4PT 12-652-7</t>
  </si>
  <si>
    <t>Cuchilla curva aserrada 0,970 4PT  10T Dimensiones 66 X 90 Bicel Central, sin ranuras (No Notch)</t>
  </si>
  <si>
    <t>Cuchilla curva aserrada 1,000 4PT  10T Dimensiones 66 X 90 Bicel Central, sin ranuras (No Notch)</t>
  </si>
  <si>
    <t>Cuchilla Recta 1000 4 PT CB Ultra 10EH SNN</t>
  </si>
  <si>
    <t>Cuchilla curva, aserrada, 1.000 4PT. 10T, N/P, 66 X 90, Bisel Laterial, sin ranuras (NO NOTCH).maciza(Cod. 8201871 Jamco)</t>
  </si>
  <si>
    <t>Cuchilla recta 1023 10T SB SNN 11-864-7 (Cod. 8201870 Jamco)</t>
  </si>
  <si>
    <t>Cuhilla 990 que trajeron los de Container</t>
  </si>
  <si>
    <t>Cuchilla sanvick recta BC 12D 152211000C (ROD)</t>
  </si>
  <si>
    <t>Cuchilla curva 1" X 4 ptos 152221000L Bisel Lateral (ROD)</t>
  </si>
  <si>
    <t>Cuchilla recta 1,023 X 4 ptos 152211023L Bisel Lateral (ROD)</t>
  </si>
  <si>
    <t>Cuchilla curva ,950 4pts perforado 6x6 (RODICUT)</t>
  </si>
  <si>
    <t>Cuchilla recta ,970-,990 escord 10x 10 (RODICUT)</t>
  </si>
  <si>
    <t>Recta 1023 10T     (JAMCO)</t>
  </si>
  <si>
    <t>Curva 1000 10T     (JAMCO)</t>
  </si>
  <si>
    <t>Recta 1023 12T     (JAMCO)</t>
  </si>
  <si>
    <t>Curva 1000 12T     (JAMCO)</t>
  </si>
  <si>
    <t>CUCHILLA RECTA, (D) TIPO: DIENTE TIBURON(SHARK LINE) DERECHO. ALTURA: 25.40MM(1"), 4PT, DISTANCIA ENTRE DIENTES: 5MM. PRESENTACION: CAJA X 25 MTS.</t>
  </si>
  <si>
    <t>CUCHILLA RECTA, (I) TIPO: DIENTE TIBURON(SHARK LINE) IZQUIERDO. ALTURA: 25.40MM(1"), 4PT, DISTANCIA ENTRE DIENTES: 5MM. PRESENTACION: CAJA X 25 MTS.</t>
  </si>
  <si>
    <t>CUCHILLA CURVA, (D) TIPO: DIENTE TIBURON(SHARK LINE) DERECHO. 25.40MM(ALTURA), 4PT, DISTANCIA ENTRE DIENTES: 5MM. PARA CILINDRO PORTATROQUEL DE DIAMETRO 487MM(66" X 90"). PRESENTACION: CAJA X 25 MTS.</t>
  </si>
  <si>
    <t>CUCHILLA CURVA, ( I) TIPO: DIENTE TIBURON(SHARK LINE) IZQUIERDO. 25.40MM(ALTURA), 4PT, DISTANCIA ENTRE DIENTES: 5MM. PARA CILINDRO PORTATROQUEL DE DIAMETRO 487MM(66" X 90"). PRESENTACION: CAJA X 25 MTS.</t>
  </si>
  <si>
    <t>CUCHILLA CURVA, (D) TIPO: DIENTE TIBURON(SHARK LINE) DERECHO. 24.60MM(ALTURA), 4PT, DISTANCIA ENTRE DIENTES: 5MM. PARA CILINDRO PORTATROQUEL DE DIAMETRO 487MM(66" X 90"). PRESENTACION: CAJA X 25 MTS.</t>
  </si>
  <si>
    <t>CUCHILLA CURVA, (D) TIPO: DIENTE TIBURON(SHARK LINE) IZQUIERDO. 24.60MM(ALTURA), 4PT, DISTANCIA ENTRE DIENTES: 5MM. PARA CILINDRO PORTATROQUEL DE DIAMETRO 487MM(66" X 90"). PRESENTACION: CAJA X 25 MTS.</t>
  </si>
  <si>
    <t>CUCHILLA CURVA, (D) FW TIPO: DIENTE TIBURON(SHARK LINE) DERECHO. 24.60MM(ALTURA), 4PT, DISTANCIA ENTRE DIENTES: 5MM. PARA CILINDRO PORTATROQUEL DE DIAMETRO 257MM(37-1/2" X 90"). PRESENTACION: CAJA X 25 MTS.</t>
  </si>
  <si>
    <t>CUCHILLA CURVA, (I) FW TIPO: DIENTE TIBURON(SHARK LINE) IZQUIERDO. 24.60MM(ALTURA), 4PT, DISTANCIA ENTRE DIENTES: 5MM. PARA CILINDRO PORTATROQUEL DE DIAMETRO 257MM(37-1/2" X 90"). PRESENTACION: CAJA X 25 MTS.</t>
  </si>
  <si>
    <t>CUCHILLA RECTA, (D) TIPO: DIENTE TIBURON(SHARK LINE) DERECHO. ALTURA: 24.60MM, 4PT, DISTANCIA ENTRE DIENTES: 5MM. PRESENTACION: CAJA X 25 MTS.</t>
  </si>
  <si>
    <t>CUCHILLA RECTA, (I) TIPO: DIENTE TIBURON(SHARK LINE) IZQUIERDO. ALTURA: 24.60MM, 4PT, DISTANCIA ENTRE DIENTES: 5MM. PRESENTACION: CAJA X 25 MTS.</t>
  </si>
  <si>
    <t>CUCHILLA RECTA, (D) TIPO: DIENTE TIBURON(SHARK LINE) DERECHO. ALTURA: 24.60MM, 4PT, DISTANCIA ENTRE DIENTES: 11MM. PRESENTACION: CAJA X 8 MTS.</t>
  </si>
  <si>
    <t>CUCHILLA RECTA, (I )TIPO: DIENTE TIBURON(SHARK LINE) IZQUIERDO. ALTURA: 24.60MM, 4PT, DISTANCIA ENTRE DIENTES: 11MM. PRESENTACION: CAJA X 8 MTS.</t>
  </si>
  <si>
    <t>CUCHILLA RECTA, (D) TIPO: DIENTE TIBURON(SHARK LINE) DERECHO. ALTURA: 24.60MM, 4PT, DISTANCIA ENTRE DIENTES: 14MM. PRESENTACION: CAJA X 8 MTS.</t>
  </si>
  <si>
    <t>CUCHILLA RECTA, (I )TIPO: DIENTE TIBURON(SHARK LINE) IZQUIERDO. ALTURA: 24.60MM, 4PT, DISTANCIA ENTRE DIENTES: 14MM. PRESENTACION: CAJA X 8 MTS.</t>
  </si>
  <si>
    <t>CUCHILLA CURVA, (D) TIPO: DIENTE TIBURON(SHARK LINE) DERECHO. 24.60MM(ALTURA), 4PT, DISTANCIA ENTRE DIENTES: 11MM. PARA CILINDRO PORTATROQUEL DE DIAMETRO 487MM(66" X 90"). PRESENTACION: CAJA X 8 MTS.</t>
  </si>
  <si>
    <t>CUCHILLA CURVA, (I) TIPO: DIENTE TIBURON(SHARK LINE) IZQUIERDO. 24.60MM(ALTURA), 4PT, DISTANCIA ENTRE DIENTES: 1MM. PARA CILINDRO PORTATROQUEL DE DIAMETRO 487MM(66" X 90"). PRESENTACION: CAJA X 8 MTS.</t>
  </si>
  <si>
    <t>CUCHILLA CURVA, (D) TIPO: DIENTE TIBURON(SHARK LINE) DERECHO. 24.60MM(ALTURA), 4PT, DISTANCIA ENTRE DIENTES: 14MM. PARA CILINDRO PORTATROQUEL DE DIAMETRO 487MM(66" X 90"). PRESENTACION: CAJA X 8 MTS.</t>
  </si>
  <si>
    <t>CUCHILLA CURVA, (I) TIPO: DIENTE TIBURON(SHARK LINE) IZQUIERDO. 24.60MM(ALTURA), 4PT, DISTANCIA ENTRE DIENTES: 14MM. PARA CILINDRO PORTATROQUEL DE DIAMETRO 487MM(66" X 90"). PRESENTACION: CAJA X 8 MTS.</t>
  </si>
  <si>
    <t>CUCHILLA CURVA, (D) FW TIPO: DIENTE TIBURON(SHARK LINE) DERECHO. 24.60MM(ALTURA), 4PT, DISTANCIA ENTRE DIENTES: 11MM. PARA CILINDRO PORTATROQUEL DE DIAMETRO 257MM(37-1/2" X 90"). PRESENTACION: CAJA X 8 MTS.</t>
  </si>
  <si>
    <t>CUCHILLA CURVA, (I) FW TIPO: DIENTE TIBURON(SHARK LINE) IZQUIERDO. 24.60MM(ALTURA), 4PT, DISTANCIA ENTRE DIENTES: 11MM. PARA CILINDRO PORTATROQUEL DE DIAMETRO 257MM(37-1/2" X 90"). PRESENTACION: CAJA X 8 MTS.</t>
  </si>
  <si>
    <t>CUCHILLA CURVA, (D) FW TIPO: DIENTE TIBURON(SHARK LINE) DERECHO. 24.60MM(ALTURA), 4PT, DISTANCIA ENTRE DIENTES:14MM. PARA CILINDRO PORTATROQUEL DE DIAMETRO 257MM(37-1/2" X 90"). PRESENTACION: CAJA X 8 MTS.</t>
  </si>
  <si>
    <t>CUCHILLA CURVA, (I) FW TIPO: DIENTE TIBURON(SHARK LINE) IZQUIERDO. 24.60MM(ALTURA), 4PT, DISTANCIA ENTRE DIENTES: 14MM. PARA CILINDRO PORTATROQUEL DE DIAMETRO 257MM(37-1/2" X 90"). PRESENTACION: CAJA X 8 MTS.</t>
  </si>
  <si>
    <t>CUCHILLA CURVA .970 4PT 3/8X3/8 37.5X90</t>
  </si>
  <si>
    <t>CUCHILLA RECTA .990X4PT 10T CB ULTRA</t>
  </si>
  <si>
    <t>CUCHILLA CURVA .970 4PT 3/8X3/8 66X90</t>
  </si>
  <si>
    <t>CUCHILLA CURVA .970 4PT 1/4X1/4 66X90</t>
  </si>
  <si>
    <t>CUCHILLA CURVA .970 4PT 1/4X1/4 37.5X90</t>
  </si>
  <si>
    <t>Cuchilla curva Ultra 10  4pt, .970 CB 50"x90  Cat, No. 10-780 con puentes</t>
  </si>
  <si>
    <t xml:space="preserve">Cuchilla curva  4pt, ,970 CB  39"x90 con puentes </t>
  </si>
  <si>
    <t>CUCHILLA CURVA .990 4PT CB 10T 66X90</t>
  </si>
  <si>
    <t>CUCHILLA CURVA .990 4PT CB 66X90 RANURA</t>
  </si>
  <si>
    <t>CUCH BUNDLE BREAK CURVA .980 66X90 4PT</t>
  </si>
  <si>
    <t>CUCH BUNDLE BREAK CURVA 1.010 66X90 4PT</t>
  </si>
  <si>
    <t>CUCH BUNDLE BREAK RECTA .980 4PT STNN</t>
  </si>
  <si>
    <t>CUCH BUNDLE BREAK RECTA 1.010 4PT STNN</t>
  </si>
  <si>
    <t>SCORE RECTO .900 8 ON 4 STNN</t>
  </si>
  <si>
    <t>CUCHILLA CURVA 1.030 4PT CB 8T 66X90</t>
  </si>
  <si>
    <t>CUCHILLA RECTA .937X0.744 1/8X1/8 PERFO</t>
  </si>
  <si>
    <t>CUCHILLA CURVA .970 4PT 1/2"X1/2" 66X90</t>
  </si>
  <si>
    <t>CUCHILLA RECTA .990X4PT 8T CB ULTRA</t>
  </si>
  <si>
    <t>CUCHILLA RECTA 1030 X 8T CB EASY BENDER EU</t>
  </si>
  <si>
    <t>CUCHILLA RECTA 1000X8T CB EASY BENDER EU</t>
  </si>
  <si>
    <t>CUCHILLA RECTA 0.990 X 8T CB EASY BENDER EU</t>
  </si>
  <si>
    <t>CUCHILLA CURVA 1030 X 8T CB EASY BENDER 66X90 EU</t>
  </si>
  <si>
    <t>CUCHILLA CURVA 1000 X 8T CB EASY BENDER 66x90 EU</t>
  </si>
  <si>
    <t>CUCHILLA CURVA 0.990 X 8T CB EASY BENDER 66X90 EU</t>
  </si>
  <si>
    <t>CUCHILLA CURVA 1030 X 8T CB 66X90</t>
  </si>
  <si>
    <t>CUCHILLA CURVA 1000 X 8T CB 66"X90" EU</t>
  </si>
  <si>
    <t>CUCHILLA CURVA 0.990 X 8T CB 66X90 EU</t>
  </si>
  <si>
    <t>CUCHILLA CURVA 1030 X 8T CB 50X90 EU</t>
  </si>
  <si>
    <t>CUCHILLA CURVA 1000 X 8T CB 50X90 EU</t>
  </si>
  <si>
    <t>CUCHILLA CURVA 0.990 X 8T CB 50X90 EU</t>
  </si>
  <si>
    <t>CUCHILLA CURVA 1030 X 8T CB 39X90 EU</t>
  </si>
  <si>
    <t>CUCHILLA CURVA 1.000" X 8T CB 39"X90" EU</t>
  </si>
  <si>
    <t>CUCHILLA CURVA 0.990" X 8T CB 39"X90" EU</t>
  </si>
  <si>
    <t>CUCHILLA CURVA 1.000" X 8T 37.5"X90" EU</t>
  </si>
  <si>
    <t>CUCHILLA CURVA 0.990 X 8T 37.5X90</t>
  </si>
  <si>
    <t>CUCHILLA RECTA 0.990" 1/4" X 1/4" MPRESS</t>
  </si>
  <si>
    <t>CUCHILLA CURVA 0.990 1/4X1/4 66X90</t>
  </si>
  <si>
    <t>CUCHILLA CURVA 0.990 1/4X1/4 50X90</t>
  </si>
  <si>
    <t>CUCHILLA CURVA 0.990 1/4X1/4 39X90</t>
  </si>
  <si>
    <t>CUCHILLA CURVA 0.990 1/4X1/4 37.5X90</t>
  </si>
  <si>
    <t>CUCHILLA CURVA .970 4PT 1/4X1/4 50X90 EU</t>
  </si>
  <si>
    <t>CUCHILLA CURVA .970 4PT 3/8X3/8 50X90 EU</t>
  </si>
  <si>
    <t>CUCHILLA CURVA .970 4PT 1/4X1/4 39X90 EU</t>
  </si>
  <si>
    <t>CUCHILLA CURVA .970 4PT 3/8X3/8 39X90 EU</t>
  </si>
  <si>
    <t>CUCHILLA RECTA .990/.860 3/8"X3/8"MPRESS</t>
  </si>
  <si>
    <t>CUCHILLA CURVA 0.990 X 4PT 3/8X3/8 66X90</t>
  </si>
  <si>
    <t>CUCHILLA CURVA 0.990 X 4PT 3/8X3/8 50X90</t>
  </si>
  <si>
    <t>CUCHILLA CURVA 0.990 X 4PT 3/8X3/8 39X90</t>
  </si>
  <si>
    <t>CUCHILLA CURVA 0.990X4PT 3/8X3/8 37.5X90</t>
  </si>
  <si>
    <t>CUCHILLA RECTA .937"4PT SPEEDI-FOLD B3PC</t>
  </si>
  <si>
    <t>CUCHILLA CURVA 0.937"4PT SPEEDI-FLARE B6</t>
  </si>
  <si>
    <t>CUCHILLA RECTA .937" 4PT SPEEDI-TEAR BXF</t>
  </si>
  <si>
    <t>CUCHILLA CURVA .970 4PT 1/8"X1/8" 66X9</t>
  </si>
  <si>
    <t>CUCHILLA RECTA .970 4PT CB 1/8"X1/8"PERF</t>
  </si>
  <si>
    <t>CUCHILLA RECTA .970X.690 1/4X1/4 PERF AS</t>
  </si>
  <si>
    <t>CUCHILLA RECTA .970X.690 3/8X3/8 PERF AS</t>
  </si>
  <si>
    <t>CUCHILLA RECTA .970X.690 1/2X1/2 PERF AS</t>
  </si>
  <si>
    <t>CUCHILLA CURVA 1.000 8T CB 25X90"EU 7"ID</t>
  </si>
  <si>
    <t>CUCHILLA RECTA .970X.690 1/8X1/8 PERF AS</t>
  </si>
  <si>
    <t>CUCHILLA CURVA .970X.690 1/8X1/8 66"X90"</t>
  </si>
  <si>
    <t>CUCHILLA CURVA .970X.690 3/8X3/8 66"X90"</t>
  </si>
  <si>
    <t>CUCHILLA CURVA .970X.690 1/8X1/8 50"X90"</t>
  </si>
  <si>
    <t>CUCHILLA CURVA .970X.690 1/8X1/8 39"X90"</t>
  </si>
  <si>
    <t>CUCHILLA CURVA .970X.690 1/8X1/8 37.5X90</t>
  </si>
  <si>
    <t>VA</t>
  </si>
  <si>
    <t>CUCHILLA RECTA .970 CB 4PT 1/4"X1/8 STNN</t>
  </si>
  <si>
    <t>CUCHILLA CURVA .970 CB 4PT 1/4X1/8 66X90</t>
  </si>
  <si>
    <t>CUCHILLA CURV .970 CB4PT 1/4X1/8 37.5X90</t>
  </si>
  <si>
    <t>CUCHILLA CURVA .970X.690 1/4X1/4 66"X90"</t>
  </si>
  <si>
    <t>CUCHILLA RECTA .970X.690 CB 4PT 1/4"X1/8 STNN</t>
  </si>
  <si>
    <t>CUCHILLA CURVA .970X.690 CB 4PT 1/4X1/8 66X90</t>
  </si>
  <si>
    <t>CUCHILLA CURV .970X0.690 CB4PT 1/4X1/8 37.5X90</t>
  </si>
  <si>
    <t>ESCORES</t>
  </si>
  <si>
    <t>S-103</t>
  </si>
  <si>
    <t>Score Curvo 850 WARD</t>
  </si>
  <si>
    <t>S-107</t>
  </si>
  <si>
    <t>Score Curvo 850 x 4PtS FLEXOWARD</t>
  </si>
  <si>
    <t>S-104</t>
  </si>
  <si>
    <t>Score Recto 875 x 4Pts</t>
  </si>
  <si>
    <t>S-108</t>
  </si>
  <si>
    <t>Score Recto 830 x 4Pts</t>
  </si>
  <si>
    <t>Score Recto 860 x 4Pts</t>
  </si>
  <si>
    <t>Score Curvo mazizo 0,890 x 4ptos 66x90 no not</t>
  </si>
  <si>
    <t>Score Curvo mazizo 0,850 x 4ptos 66x90 no not</t>
  </si>
  <si>
    <t>SCORE CURVO .850 8 ON 4 66X90 LS 12377-7</t>
  </si>
  <si>
    <t>SCORE RECTO .875 8 ON 4 STNN LS 13-615-7</t>
  </si>
  <si>
    <t>CUCHILLA CURVA 25.40MM 5X5MM 66X90 PERFO</t>
  </si>
  <si>
    <t>CUCHILLA CURVA 24.64MM 5X5MM 66X90 PERFO</t>
  </si>
  <si>
    <t>CUCH CURVA 368 102-221000L368 BISEL LAT</t>
  </si>
  <si>
    <t>SCORE CURVO .900 8 ON 4 66X90</t>
  </si>
  <si>
    <t>CUCHILLA CURVA 1030 4PT CB 8T ULTR 50X90</t>
  </si>
  <si>
    <t>CUCHILLA CURVA 1.030 4 PT CB 8T 50 X 90</t>
  </si>
  <si>
    <t>SCORE CURVO 0.875" 8 ON 4 66" X 90" CC</t>
  </si>
  <si>
    <t>SCORE CURVO 0.875" 8 ON 4 50" X 90" CC</t>
  </si>
  <si>
    <t>SCORE CURVO 0.875" 8 ON 4 39" X 90" CC</t>
  </si>
  <si>
    <t>SCORE CURVO 0.875" 8 ON 4 37.5" X 90" CC</t>
  </si>
  <si>
    <t>SCORE CURVO 0.875" X 4PT 66" X 90"</t>
  </si>
  <si>
    <t>SCORE CURVO 0.875" 4PT 50" X 90"</t>
  </si>
  <si>
    <t>SCORE CURVO 0.875" X 4PT 39" X 90"</t>
  </si>
  <si>
    <t>SCORE CURVO 0.875" X 4PT 37.5" X 90"</t>
  </si>
  <si>
    <t>Scord curvo 0,890 X 4 ptos  15322890 (ROD)</t>
  </si>
  <si>
    <t>Scord recto 0,900 X 4 ptos  153219004 (ROD)</t>
  </si>
  <si>
    <t>Scord curvo 0,900 X 8 ptos  153229000 (ROD)</t>
  </si>
  <si>
    <t>Scord recto 0,900 X 8 ptos  153218904 (ROD)</t>
  </si>
  <si>
    <t>Score Recto 900 x 4Pts   (JAMCO)</t>
  </si>
  <si>
    <t>Score Curvo 890 x 4Pts   (JAMCO)</t>
  </si>
  <si>
    <t>Score Curvo ,850 4 ptos 39" x 90</t>
  </si>
  <si>
    <r>
      <t>Score Curvo con puente 0,850 4 ptos 50" x 90</t>
    </r>
    <r>
      <rPr>
        <sz val="10"/>
        <color indexed="12"/>
        <rFont val="Arial"/>
        <family val="2"/>
      </rPr>
      <t> </t>
    </r>
  </si>
  <si>
    <t>GOMAS</t>
  </si>
  <si>
    <t>G-401</t>
  </si>
  <si>
    <t>Tiras</t>
  </si>
  <si>
    <t>G. Hexagonal 5/8 p. Punch</t>
  </si>
  <si>
    <t>G-416</t>
  </si>
  <si>
    <t>G. Hexagonal 3/4 p. Punch</t>
  </si>
  <si>
    <t>G-403</t>
  </si>
  <si>
    <t>G. Ranura 1/4 x 5/8</t>
  </si>
  <si>
    <t>G-404</t>
  </si>
  <si>
    <t>G. Ranura 5/16 x 5/8</t>
  </si>
  <si>
    <t>G-405</t>
  </si>
  <si>
    <t>G. Ranura 3/8 x 5/8</t>
  </si>
  <si>
    <t>G-406</t>
  </si>
  <si>
    <t>G. Ranura 7/16 x 5/8</t>
  </si>
  <si>
    <t>G-412</t>
  </si>
  <si>
    <t>Caucho para escore (Cushion crease)</t>
  </si>
  <si>
    <t>G-415</t>
  </si>
  <si>
    <t>G-414</t>
  </si>
  <si>
    <t>G. para Refile 1/2 x 5/8 x 1</t>
  </si>
  <si>
    <t>G-413</t>
  </si>
  <si>
    <t>G. Ranura 3/16 x 5/8</t>
  </si>
  <si>
    <t>G. Ranura 7/16 x 0,685 (Doble pared)</t>
  </si>
  <si>
    <t>G. Ranura 3/8 x 0,685 (Doble pared)</t>
  </si>
  <si>
    <t>G. Ranura 5/16 x 0,685 (Doble pared)</t>
  </si>
  <si>
    <t>Goma 0,335" (8,51MTS) Cod. 1543335 Para escore (ROD)</t>
  </si>
  <si>
    <t>Und</t>
  </si>
  <si>
    <t>Goma Roja 15 tiras 17X15MM  15411517 (ROD)</t>
  </si>
  <si>
    <t>Goma Roja 20 toras 20X20MM  15412020 (ROD)</t>
  </si>
  <si>
    <t>Tiras-Plan</t>
  </si>
  <si>
    <t>Goma Amarilla 500 X 250 X 17MM 80708C 50"Sh (ROD)</t>
  </si>
  <si>
    <t>Goma Amarilla 500 X 250 X 20MM 80708C 35"Sh (ROD)</t>
  </si>
  <si>
    <t>Goma Roja 12 tiras 13 X 12mm   15411213 (ROD)</t>
  </si>
  <si>
    <t>Goma Amarilla 500x250x20mm 23520 35° SH (RODICUT)</t>
  </si>
  <si>
    <t>Goma Amarilla 500x250x17mm 25017 50° SH(RODICUT)</t>
  </si>
  <si>
    <t>Goma 104-3355 0,355" para escord (RODICUT)</t>
  </si>
  <si>
    <t>Goma Negra 1/4" 6,35mm 104-41/4 (RODICUT)</t>
  </si>
  <si>
    <t>Goma Amarilla 12 X 12 X 50mm (1/2x1/2x20)</t>
  </si>
  <si>
    <t>GOMA ROJA 15 X 17 X 495mm CAJA X 150MT</t>
  </si>
  <si>
    <t>Plancha</t>
  </si>
  <si>
    <t>G. Vulkoland 50cm x 25cm x 17mm 50"sh (JAMCO)</t>
  </si>
  <si>
    <t>G. Celda eyección 12 x 12 x 508mm   (JAMCO)</t>
  </si>
  <si>
    <t>G. Celda eyección 16 x 16 x 508mm   (JAMCO)</t>
  </si>
  <si>
    <t>G. Ranura 3/8" x 5/8" x 9-3/4"      (JAMCO)</t>
  </si>
  <si>
    <t>G. Ranura 3/8" x 11/16" x 9-3/4"  (JAMCO)</t>
  </si>
  <si>
    <t>G. Celda expulsión 20 x 20 x 31mm  (JAMCO)</t>
  </si>
  <si>
    <t>G. Vulkolan 3/8x3/4(19mm)x9,75"</t>
  </si>
  <si>
    <t>G. Vulkolan 1/4x3/4(19mm)x9,75"</t>
  </si>
  <si>
    <t>G. Vulkolan 3/16x3/4(19mm)x9,75"</t>
  </si>
  <si>
    <t>G. Vulkolan 5/16x3/4(19mm)x9,75"</t>
  </si>
  <si>
    <t>G. Vulkolan 7/16x3/4(19mm)x9,75"</t>
  </si>
  <si>
    <t>G. Vulkolan 3/8x11/16(17mm)x9,75"</t>
  </si>
  <si>
    <t>G. Vulkolan 1/4x11/16(19mm)x9,75"</t>
  </si>
  <si>
    <t>G. Roja RH 19MMx9"x18"</t>
  </si>
  <si>
    <t>G. Roja RH 22MMx9"x18"</t>
  </si>
  <si>
    <t>Caucho para escore (Cushion crease 0375)</t>
  </si>
  <si>
    <t>GOMA CELDA 3645 1/2"X1/2"X1-1/4"AMARILLA</t>
  </si>
  <si>
    <t>GOMA CELDA 3670 7/8"X5/8"X1-1/4"AMARILLA</t>
  </si>
  <si>
    <t>GOMA CELDA 3690 3/4"X3/4"X1-1/4"AMARILLA</t>
  </si>
  <si>
    <t>GOMA CELDA 20 X 20 X 1-1/4"AMARILLA</t>
  </si>
  <si>
    <t>GOMA CELDA HEX 05-482 1" X 1-1/4" NEGRA</t>
  </si>
  <si>
    <t>GOMA CELDA HEX 03-440 5/8" X 1" AMARILLA</t>
  </si>
  <si>
    <t>GOMA 09-670-0  5/8x7/8x1-1/4 MR12 AMARIL</t>
  </si>
  <si>
    <t>GOMA 09-000-0  5/8x7/8x7/8 MR12 AMARIL</t>
  </si>
  <si>
    <t>GOMA VULKOLAND 16MM X 25CM X 50CM 43°SH</t>
  </si>
  <si>
    <t>GOMA VULKOLAND 1/2"X16MMX9.75" X 42 UNDS</t>
  </si>
  <si>
    <t>GOMA VULKOLAND 3/8"X16MMX9.75" X 56 UNDS</t>
  </si>
  <si>
    <t>GOMA VULKOLAND 1/4"X16MMX9.75" X 91 UNDS</t>
  </si>
  <si>
    <t>GOMA VULKOLAND 3/16"X16MMX9.75"X119 UNDS</t>
  </si>
  <si>
    <t>GOMA VULKOLAND 5/16"X16MMX9.75" X 70UNDS</t>
  </si>
  <si>
    <t>GOMA VULKOLAND 7/16"X16MMX9.75" X 49UNDS</t>
  </si>
  <si>
    <t>GOMA 03-910 .225 J-CREASE™ PARA SCORE 50 PIES</t>
  </si>
  <si>
    <t>GOMA POLYMX 0.325" AMARILLA PARA SCORE</t>
  </si>
  <si>
    <t>GOMA POLYMX 0.390" AMARILLA PARA SCORE.</t>
  </si>
  <si>
    <t>GOMA POLYTOP 600 PCX40.16.0 16MM NARANJA 658x380x16mm (2,500mm2)</t>
  </si>
  <si>
    <t>40P O 560C</t>
  </si>
  <si>
    <t>GOMA POLYTOP 600 PCX15.14.0 14MM ARENA</t>
  </si>
  <si>
    <t>GOMA POLYTOP 600 PCX15.16.0 16MM ARENA</t>
  </si>
  <si>
    <t>GOMA POLYTOP PCX-15.16 658X15X16MM AREN  12 plan x caja x 25 tiras = 300 unds x caja</t>
  </si>
  <si>
    <t>GOMA POLYTOP PCX-15.16 50X30X16MM ARENA 12 plan x 156 unds =1872 uns x caja</t>
  </si>
  <si>
    <t>GOMA POLYTOP PCX-15.14 658X12X14MM ARENA  14 plan x caja  x 31 unides = 434 uds x caja</t>
  </si>
  <si>
    <t>GOMA POLYTOP PCX1516 658X380X16MM ARENA  12 plachas x caja</t>
  </si>
  <si>
    <t>GOMA POLYTOP NN MX600 658X22X4MM AMARIL</t>
  </si>
  <si>
    <t>HERRAMIENTAS</t>
  </si>
  <si>
    <t>Und.</t>
  </si>
  <si>
    <t>Filtro para polvo 2071 3M</t>
  </si>
  <si>
    <t>Respirador media cara 7500 # 2 3M</t>
  </si>
  <si>
    <t>Filtro para gases 2097 3M</t>
  </si>
  <si>
    <t>Escobilla E-28C  18x6,3x6,3 mm Caladora</t>
  </si>
  <si>
    <t>Piedra India 8" x 2" x 1" para afilar</t>
  </si>
  <si>
    <t>Cinta métrica para superficie curva 52-161</t>
  </si>
  <si>
    <t>Pistola neumática 52-110</t>
  </si>
  <si>
    <t>Pinza Armstrong 67-305 6-3/8" de punta</t>
  </si>
  <si>
    <t>Martillo Armstrong 69-446 12-3/4" 12 Oz</t>
  </si>
  <si>
    <t xml:space="preserve">Und. </t>
  </si>
  <si>
    <t>Broca espada sistema Serrapid (3410280)</t>
  </si>
  <si>
    <t>Extensión Armstrong 11-927 12" cuad  3/8"</t>
  </si>
  <si>
    <t>Taladro Dewalt DW-100 3/8"</t>
  </si>
  <si>
    <t>Llave para mandril  Rohm 1.5-13L 1/2 S2A</t>
  </si>
  <si>
    <t>Llave para mandril  Jacobs 26BA</t>
  </si>
  <si>
    <t xml:space="preserve">Grata circular 1/2" x 6" </t>
  </si>
  <si>
    <t>Destornillador Armstrong 11-943 3/8" x 6"</t>
  </si>
  <si>
    <t>Mango portabotador Armstrong 70-000</t>
  </si>
  <si>
    <t>Punta diamante 3/4 kilates 1/2" Rectificador</t>
  </si>
  <si>
    <t>Tenaza resortada (Rule pullers CAT 50521)</t>
  </si>
  <si>
    <t>Cincel plano Bellota 5827 1/2" x 8</t>
  </si>
  <si>
    <t>Cuchillo de zapateria # 2 Cabo redondo</t>
  </si>
  <si>
    <t>Copa Stanley 86-256 Hex 5/16" cuad 3/8"</t>
  </si>
  <si>
    <t>Punta Philips impacto # 2 412402 KD tools</t>
  </si>
  <si>
    <t>Electric Light bulb 13K4</t>
  </si>
  <si>
    <t>Hilo Aptan 40 blanco optico</t>
  </si>
  <si>
    <t>Caja para portabobina 257   131830-241 -HAO  JUKI (antes 6602230)</t>
  </si>
  <si>
    <t>P</t>
  </si>
  <si>
    <t>Correa en V tipo M43 apareada (Maq. Juki)</t>
  </si>
  <si>
    <t>Adjustable die hardware 37-128  (Dados)</t>
  </si>
  <si>
    <t>Tornillos</t>
  </si>
  <si>
    <t>Scraping prying tool 52-155</t>
  </si>
  <si>
    <t>T</t>
  </si>
  <si>
    <t>Doc</t>
  </si>
  <si>
    <t>Sierra para caladora 4 point 8 tooht  50-470 (8200192)</t>
  </si>
  <si>
    <t>Base para caladora 37 1/2 Saw Blades</t>
  </si>
  <si>
    <t>Motor para caladora K-11 115 V</t>
  </si>
  <si>
    <t>Grinding Wheel white 6"x3/4"x1/2" 50-110</t>
  </si>
  <si>
    <t>Discos para motortool</t>
  </si>
  <si>
    <t>Caja</t>
  </si>
  <si>
    <t>Gancho Crown para unir madera</t>
  </si>
  <si>
    <t>Cuchilla 56-541 11/2 (jg. Extra Helmold)</t>
  </si>
  <si>
    <t>und</t>
  </si>
  <si>
    <t>Caladora Cutawl K-12 115V</t>
  </si>
  <si>
    <t>Drill perf. Madera curva 1/2"x3/8"x1" 52-123</t>
  </si>
  <si>
    <t>Perro de ajuste 52-146</t>
  </si>
  <si>
    <t>Set</t>
  </si>
  <si>
    <t>Juego de dobladores para cuchillas 56-650</t>
  </si>
  <si>
    <t xml:space="preserve">Perfa Type Star-Up Kit  80-110 </t>
  </si>
  <si>
    <t>Link set para Cutawl K-12 Parte 4K</t>
  </si>
  <si>
    <t>Eje Plunger para Cutawl K-12 Parte 3K</t>
  </si>
  <si>
    <t>Cuadrante completo para Cutawl K-12 parte 5KR</t>
  </si>
  <si>
    <t>Pin Wrist para Cutawl K-12 Parte 3K2</t>
  </si>
  <si>
    <t>Chisel block assembly 2K2GR (AE) Cutwal</t>
  </si>
  <si>
    <t>Guide foot assembly 1KA Cutawl</t>
  </si>
  <si>
    <t>Barra para desmontaje de covers 36-250</t>
  </si>
  <si>
    <t>Vidrios para Optichek</t>
  </si>
  <si>
    <t>Helmold right and left miter machine 56-556</t>
  </si>
  <si>
    <t>Helmold E-Z Heavy duty notcher "Relieved" set of dies 1/2 x 1/2</t>
  </si>
  <si>
    <t>Helmold E-Z Heavy duty Bender</t>
  </si>
  <si>
    <t>Helmold Rule Cutter 56-540</t>
  </si>
  <si>
    <t>Cuchilla hembra 2 agujeros 1/2 x 1/2 Parte No 422-XXX Ranuradora serie 5313</t>
  </si>
  <si>
    <t>Cuchilla hembra 2 agujeros 1/8 x 1/2 Parte No 422-XXX Ranuradora serie 5313</t>
  </si>
  <si>
    <t>Cuchilla hembra 2 agujeros 1/4 x 1/2 Parte No 422-XXX Ranuradora serie 5313</t>
  </si>
  <si>
    <t>Cuchilla macho de 1/2 x 1/2 Parte No 403-XXX Ranuradora serie 5313</t>
  </si>
  <si>
    <t>Cuchilla macho de 1/8 x 1/2 Parte No 403-XXX Ranuradora serie 5313</t>
  </si>
  <si>
    <t>Cuchilla macho de 1/4 x 1/2 Parte No 403-XXX Ranuradora serie 5313</t>
  </si>
  <si>
    <t>Bloque macho de respaldo Parte No 210 Dobladora serie 1848</t>
  </si>
  <si>
    <t>Pernos Allen del poste delantero D/T Parte No 214 dobladora serie 1848</t>
  </si>
  <si>
    <t>Placas de sujección Parte No 108 Dobladora serie 1848</t>
  </si>
  <si>
    <t>Pernos de cabeza Fillister Parte No 116 Dobladora serie 1848</t>
  </si>
  <si>
    <t>Cuchillo macho para maquina de ingletes (derecha e izq.) serie No.5211 Parte No. 603 (2 tornillos allen)</t>
  </si>
  <si>
    <t>Cuchilla hembra para maquina de ingletes (Derecha e izq.) serie No. 5211 (2 tornillos allen)</t>
  </si>
  <si>
    <t>Barra calibradora corta para cortadora Helmold Parte No. 512</t>
  </si>
  <si>
    <t>Mango de la cortadora de reglas Helmold Parte No. 507</t>
  </si>
  <si>
    <t xml:space="preserve">Tornillos de Oreja para cortadora de regla Helmold. Parte No. 9 </t>
  </si>
  <si>
    <t>Tope de la calibradora corta para Cortadora de Reglas Helmold Parte No. 513</t>
  </si>
  <si>
    <t>Aceitera gota a gota Part.No.299 (Maq.Juki</t>
  </si>
  <si>
    <t>Aguja DP x 17 # 23 3 filos Schmetz/Muva</t>
  </si>
  <si>
    <t>Bobina Parte 258 cosedora Juki</t>
  </si>
  <si>
    <t>Tornillo 1/8 44 L=6 Parte 224 (Maq. Juki)</t>
  </si>
  <si>
    <t>Dedo posicionador portabobina (Maq.Juki)</t>
  </si>
  <si>
    <t>Broca para madera tipo espada 38 mm.</t>
  </si>
  <si>
    <t>Broca para madera tipo espada 32 mm.</t>
  </si>
  <si>
    <t>Broca para madera tipo espada 25 mm.</t>
  </si>
  <si>
    <t>Broca para madera tipo espada 22 mm.</t>
  </si>
  <si>
    <t>Broca para madera tipo espada 19 mm. (8201251)</t>
  </si>
  <si>
    <t>Broca para madera tipo espada 16 mm.</t>
  </si>
  <si>
    <t>Broca para madera tipo espada 13 mm.</t>
  </si>
  <si>
    <t>Broca para madera tipo espada 10 mm.</t>
  </si>
  <si>
    <t>Perfa Type Logo de reciclaje</t>
  </si>
  <si>
    <t>Bolsa</t>
  </si>
  <si>
    <t>Perfa Type bosa de  6 caracteres 80-100</t>
  </si>
  <si>
    <t>Taladro neumático 1/2" IR7816 Ingersoll Rand 1200 RPM</t>
  </si>
  <si>
    <t>Percusor (Miter Join) Part EB01095 (Senco)</t>
  </si>
  <si>
    <t>Guía para Senco SC1 Parte GB0123</t>
  </si>
  <si>
    <t>Guía para Senco SC1 Parte GB0128</t>
  </si>
  <si>
    <t>Sello para pistola Senco Parte LB3224</t>
  </si>
  <si>
    <t>Alojamiento para Senco SC1 Parte GB0104</t>
  </si>
  <si>
    <t>Carril para pistola Senco SC1 Part GB0494</t>
  </si>
  <si>
    <t>Kit</t>
  </si>
  <si>
    <t>Cuchilla macho-hembra perforadora neumatica 1/2 x 1/2</t>
  </si>
  <si>
    <t>Eje 7K Transmision caladora cutawl k-12 115V; El ensamble completo tiene código sap 8201460 (reemplazo los códigos 8201131 y 8201132)</t>
  </si>
  <si>
    <t>Eccentrica 7K3IT-BW Caladora cutawl k-12</t>
  </si>
  <si>
    <t xml:space="preserve">Rodamiento S.K.F. 6202-2RS1 </t>
  </si>
  <si>
    <t>Alicate Armston</t>
  </si>
  <si>
    <t>Visor para careta arseg 9014</t>
  </si>
  <si>
    <t>Base para caladora 66 Saw Blades</t>
  </si>
  <si>
    <t>Gabinete 80-115  para archivo Perfatype</t>
  </si>
  <si>
    <t>Respirador 3M 7502 1/2 CARA</t>
  </si>
  <si>
    <t>Gafa Zubiola 11885903 Everest</t>
  </si>
  <si>
    <t>Correa en V tipo 0170 2L170 1/4" x 17"</t>
  </si>
  <si>
    <t>Tornillo para ajustar troquel 5/16x18x1-1/4"</t>
  </si>
  <si>
    <t>Doblador 56-683 para cuchillas</t>
  </si>
  <si>
    <t>Perforadora Neumatica</t>
  </si>
  <si>
    <t>Dobldora Neumatica</t>
  </si>
  <si>
    <t>Cuchilla macho-hembra perforadora neumatica 1/2 x 1/4</t>
  </si>
  <si>
    <t>Motor 10K4 caladora K-12 115 V</t>
  </si>
  <si>
    <t>Pasador 410 separación dobladora helmold</t>
  </si>
  <si>
    <t>Taladro neumático 1/2"  950 RPM (para maquina serrapid)</t>
  </si>
  <si>
    <t>Torn SS-2110920-TP Cosedora Juki DNU 241</t>
  </si>
  <si>
    <t>BARRA GUIA DE HILO B1419053000 JUKI 241</t>
  </si>
  <si>
    <t>BARRA GUIA DE HILO B3128051000 JUKI 241</t>
  </si>
  <si>
    <t>TORN SS7060310SP 3-32 56 L3 JUKI DNU-241</t>
  </si>
  <si>
    <t>TORN SS7080510 1-8 44 L4.5 JUKI DNU-241H</t>
  </si>
  <si>
    <t>INSERTO BOQUILLA 3B256 BISEL LATERAL (X2)</t>
  </si>
  <si>
    <t>INSERTO BOQUILLA 3B240 BISEL CENTRAL(X2</t>
  </si>
  <si>
    <t>REGLA RF020 RODILLO SUPRESOR (juego x 6 unds)</t>
  </si>
  <si>
    <t>CENTRO PUNTO RPU023</t>
  </si>
  <si>
    <t>HERRAMIENTA POST-CORTE RP005 XR</t>
  </si>
  <si>
    <t>PLANCHUELA B1105-241-H00 JUKI DNU-241</t>
  </si>
  <si>
    <t>TORN SUJECCION SS-6090610 COSEDORA JUKI</t>
  </si>
  <si>
    <t>TORN SS-4080610-SP COSEDORA JUKI DNU-241</t>
  </si>
  <si>
    <t>DIENTE B1613-241-H00 COSED JUKI NDU-241</t>
  </si>
  <si>
    <t>RESORTE TENSION B3129-526-0 JUKI DNU-241</t>
  </si>
  <si>
    <t>DISCO DE TENSION B3126-051-0JUKI DNU-241</t>
  </si>
  <si>
    <t>DOBLADOR 56-686 R-3/16" 1-1/2" P/CUCHILL</t>
  </si>
  <si>
    <t>TENAZA RESORTADA 733180 10-1/2"P/TROQUEL</t>
  </si>
  <si>
    <t>CUCHILLA PICO LORO 56-433</t>
  </si>
  <si>
    <t>DRILL PERFORAR MADERA ORIFIO GOMA</t>
  </si>
  <si>
    <t>EXTRACTOR CUCHILLA 50-535</t>
  </si>
  <si>
    <t>BROCA SERRAPID AHX1211028-0-00 MAQ. SERRA</t>
  </si>
  <si>
    <t>BROCA SERRAJIG ø10 AHX1211029-0-00  MAQ. SERRA</t>
  </si>
  <si>
    <t>CENTRO PUNTO REGLETA PERF. TROQUEL PROOFER</t>
  </si>
  <si>
    <t>FRESA ESCARIADORA 1"X3/8" 915107 RQL3000</t>
  </si>
  <si>
    <t>PAÑO LIMPIADOR TISSUES PLOCK0002 X 25UND</t>
  </si>
  <si>
    <t>DOBLADOR 56-688 R-5/16" 1-1/2"P/CUCHILLA</t>
  </si>
  <si>
    <t>ARO POSILOCK 38-629 TROQUEL MARTIN 924  39"</t>
  </si>
  <si>
    <t>ARO POSILOCK 38-629 TROQUEL MARTIN 1228  50"</t>
  </si>
  <si>
    <t>TORN M6X22 SAM8975P03420 BOBST 1228NT  50"</t>
  </si>
  <si>
    <t>ARANDELA  SAM0227P01840 BOBST 1228 NT  50"</t>
  </si>
  <si>
    <t>KIT</t>
  </si>
  <si>
    <t>TROQUEL ESTANDAR # 32 1/8" E-Z 1-1/2"</t>
  </si>
  <si>
    <t>TROQUEL ESTANDAR # 33 3/16" E-Z 1-1/2"</t>
  </si>
  <si>
    <t>TROQUEL ESTANDAR # 34 1/4" E-Z 1-1/2"</t>
  </si>
  <si>
    <t>PAR</t>
  </si>
  <si>
    <t>DOBLADOR 56-687 R-1/4" 1-1/2"P/CUCHILLAS</t>
  </si>
  <si>
    <t>DOBLADOR 56-689 R-3/8" 1-1/2"P/CUCHILLAS</t>
  </si>
  <si>
    <t>DOBLADOR 56-684 R-7/16" 1-1/2"P/CUCHILLA</t>
  </si>
  <si>
    <t xml:space="preserve">PELICULA HN NEGATIVO X CM2- P.BARBOSA </t>
  </si>
  <si>
    <t>Perforadora Neumatica 1/4 x 1/2</t>
  </si>
  <si>
    <t>PISTOLA NEU SENCO SC1 55-1089</t>
  </si>
  <si>
    <t>TROQUEL ESTANDAR # 9 3/8"R E-Z 1-1/4"</t>
  </si>
  <si>
    <t>TROQUEL ESTANDAR # 10 1/2"R E-Z 1-1/4"</t>
  </si>
  <si>
    <t>TROQUEL ESTANDAR # 11 1-1/2"R E-Z 1-1/4"</t>
  </si>
  <si>
    <t>TROQUEL ESTANDAR # 12 2-1/2"R E-Z 1-1/4"</t>
  </si>
  <si>
    <t>TROQUEL ESTANDAR # 14 3/4"W E-Z 1-1/4"</t>
  </si>
  <si>
    <t>TROQUEL ESTANDAR # 19 1/4"R E-Z 1-1/4"</t>
  </si>
  <si>
    <t>TROQUEL ESTANDAR # 21 1/16"R E-Z 1-1/4"</t>
  </si>
  <si>
    <t>TROQUEL ESTANDAR # 22 3/32"R E-Z 1-1/4"</t>
  </si>
  <si>
    <t>TROQUEL ESTANDAR # 23 1/8"R E-Z 1-1/4"</t>
  </si>
  <si>
    <t>TROQUEL ESTANDAR # 24 5/32"R E-Z 1-1/4"</t>
  </si>
  <si>
    <t>TROQUEL ESTANDAR # 21A 1/16"R E-Z 1-1/4</t>
  </si>
  <si>
    <t>TROQUEL ESTANDAR # 22A 3/32"R E-Z 1-1/4"</t>
  </si>
  <si>
    <t>TROQUEL ESTANDAR # 23A 1/8"R E-Z 1-1/4"</t>
  </si>
  <si>
    <t>TROQUEL ESTANDAR # 24A 5/32"R E-Z 1-1/4"</t>
  </si>
  <si>
    <t>TROQUEL ESTANDAR # 25A 3/16"R E-Z 1-1/4"</t>
  </si>
  <si>
    <t>TROQUEL # 36 7/32"R HELMOLD E-Z 1-1/4"</t>
  </si>
  <si>
    <t>TROQUEL # 37 9/32"R HELMOLD E-Z 1-1/4"</t>
  </si>
  <si>
    <t>TROQUEL # 38 5/16"R HELMOLD E-Z 1-1/4"</t>
  </si>
  <si>
    <t>TROQUEL # 39 7/16"R HELMOLD E-Z 1-1/4"</t>
  </si>
  <si>
    <t>TROQUEL # 40 5/8"R HELMOLD E-Z 1-1/4"</t>
  </si>
  <si>
    <t>TROQUEL ESTANDAR # 1 60° E-Z 1-1/4"</t>
  </si>
  <si>
    <t>TROQUEL ESTANDAR # 2 90° E-Z 1-1/4"</t>
  </si>
  <si>
    <t>TROQUEL ESTANDAR # 3 140° E-Z 1-1/4"</t>
  </si>
  <si>
    <t>TROQUEL ESTANDAR # 7 3/16"R E-Z 1-1/4"</t>
  </si>
  <si>
    <t>TROQUEL ESTANDAR # 8 1/4"R E-Z 1-1/4"</t>
  </si>
  <si>
    <t>ACCESORIOS 1-1/2" 56-611 PARA DOBLADORES</t>
  </si>
  <si>
    <t>MANDRIL 1-1/2" 56-630 P/DOBLADOR 9 PZAS</t>
  </si>
  <si>
    <t>ACCESORIOS 1-1/4" 56-610 PARA DOBLADORES</t>
  </si>
  <si>
    <t>MANIJA 42411 PARA TROQUEL AZUL</t>
  </si>
  <si>
    <t>SIERRA SIN-FIN B16673 MAKITA LB1200</t>
  </si>
  <si>
    <t>SIERRA SIN-FIN B16667 MAKITA LB1200</t>
  </si>
  <si>
    <t>PREALISTAMIENTO</t>
  </si>
  <si>
    <t>Adhesivo Hernon 124</t>
  </si>
  <si>
    <t>Pestaña</t>
  </si>
  <si>
    <t>C.Medianas</t>
  </si>
  <si>
    <t>C.Largas</t>
  </si>
  <si>
    <t>Rollo</t>
  </si>
  <si>
    <t>Mylard</t>
  </si>
  <si>
    <t>Mazos</t>
  </si>
  <si>
    <t>Gripfast</t>
  </si>
  <si>
    <t>Adhesivo Sealco Ref SI30</t>
  </si>
  <si>
    <t>Transmount</t>
  </si>
  <si>
    <t>Tesafix</t>
  </si>
  <si>
    <t>Coushing SF 120 60" x 6'  (Azul)</t>
  </si>
  <si>
    <t>Cinta doble faz tesa 4964 12mm x 50 mts</t>
  </si>
  <si>
    <t>Cinta doble faz tesa 4964 25mm x 50 mts</t>
  </si>
  <si>
    <t>C.Pequeñas</t>
  </si>
  <si>
    <t>Pestaña para clises 77-737 102" D/salida (grande)</t>
  </si>
  <si>
    <t>Pestaña para clises 77-732 102" D/entrada (grande)</t>
  </si>
  <si>
    <t>mts</t>
  </si>
  <si>
    <t>REATA POLYESTER NYLON 3/4" SUJEC TROQUE</t>
  </si>
  <si>
    <t>Tesafix 310mm x 50 mts (Bquilla)</t>
  </si>
  <si>
    <t>ROL</t>
  </si>
  <si>
    <t>TRANSMOUNT 77-614 0.080" X 60" X 75"</t>
  </si>
  <si>
    <t>CORREAS DE TRANSPORTE 106 X 54  (PAPELSA)</t>
  </si>
  <si>
    <t>CINTA 0.015" DOBLE FAZ 310MM X 50MT</t>
  </si>
  <si>
    <t>Grapadora Stanley TR150</t>
  </si>
  <si>
    <t>PELICULA HN NEGATIVO X CM2</t>
  </si>
  <si>
    <t>Tipo</t>
  </si>
  <si>
    <t>CONTENIDO</t>
  </si>
  <si>
    <t>CÓDIGO</t>
  </si>
  <si>
    <t>DESCRIPCIÓN</t>
  </si>
  <si>
    <t>TIPO</t>
  </si>
  <si>
    <t>CLIENTE</t>
  </si>
  <si>
    <t>BOGOTA</t>
  </si>
  <si>
    <t>CALI</t>
  </si>
  <si>
    <t>MEDELLIN</t>
  </si>
  <si>
    <t>CORRUMED</t>
  </si>
  <si>
    <t>PACKING</t>
  </si>
  <si>
    <t>BARRANQUILLA</t>
  </si>
  <si>
    <t>P.BARBOSA</t>
  </si>
  <si>
    <t>P.BOGOTA</t>
  </si>
  <si>
    <t>R.DOMINICANA</t>
  </si>
  <si>
    <t>COSTARICA</t>
  </si>
  <si>
    <t>N° DE TROQUEL</t>
  </si>
  <si>
    <t>1 Caja</t>
  </si>
  <si>
    <t>2 Cajas</t>
  </si>
  <si>
    <t>Unds</t>
  </si>
  <si>
    <t>2 Caja</t>
  </si>
  <si>
    <t>1 Plancha</t>
  </si>
  <si>
    <t>2 Planchas</t>
  </si>
  <si>
    <t xml:space="preserve"> 2 Cajas</t>
  </si>
  <si>
    <t>Conversión Cm2</t>
  </si>
  <si>
    <t>1 teja</t>
  </si>
  <si>
    <t xml:space="preserve">CANTIDAD </t>
  </si>
  <si>
    <t xml:space="preserve">G. Celda 3/4 x 3/4 x 1 1/4    </t>
  </si>
  <si>
    <t>Fecha de recibo</t>
  </si>
  <si>
    <t>Fecha de despacho</t>
  </si>
  <si>
    <t>Días de entrega</t>
  </si>
  <si>
    <t>Tipo de trabajo</t>
  </si>
  <si>
    <t>Cliente</t>
  </si>
  <si>
    <t>Operario</t>
  </si>
  <si>
    <t>Ficha</t>
  </si>
  <si>
    <t>MTTO</t>
  </si>
  <si>
    <t>JHON HENAO</t>
  </si>
  <si>
    <t>WILLIAM ESCOBAR</t>
  </si>
  <si>
    <t>CARLOS BEDOYA</t>
  </si>
  <si>
    <t>CARLOS CASTAÑO</t>
  </si>
  <si>
    <t>RICHARD QUINTERO</t>
  </si>
  <si>
    <t>CARLOS LOPEZ</t>
  </si>
  <si>
    <t>JHON JAIRO MURIEL</t>
  </si>
  <si>
    <t>JHONY GARCIA</t>
  </si>
  <si>
    <t>FERNADO MATEWS</t>
  </si>
  <si>
    <t>JORGE MARMOLEJO</t>
  </si>
  <si>
    <t>N° de troquel</t>
  </si>
  <si>
    <t>Puenteado (Hrs)</t>
  </si>
  <si>
    <t>Calado (Hrs)</t>
  </si>
  <si>
    <t>Dibujo</t>
  </si>
  <si>
    <t>Serrapid (Hrs)</t>
  </si>
  <si>
    <t>Encuchillado (Hrs)</t>
  </si>
  <si>
    <t>Engomado (Hrs)</t>
  </si>
  <si>
    <t>Operación</t>
  </si>
  <si>
    <t>Código</t>
  </si>
  <si>
    <t>C</t>
  </si>
  <si>
    <t>Actividad</t>
  </si>
  <si>
    <t>Empaque</t>
  </si>
  <si>
    <t>General</t>
  </si>
  <si>
    <t>Base de datos</t>
  </si>
  <si>
    <t>*</t>
  </si>
  <si>
    <t>Tiempos de Operario</t>
  </si>
  <si>
    <t>Inventario</t>
  </si>
  <si>
    <t>Cód. SAP</t>
  </si>
  <si>
    <t>MADERA</t>
  </si>
  <si>
    <t>M.Curva Import. W20,985 Larga  (1/2"x102)</t>
  </si>
  <si>
    <t>M.Curva Import. W16,281 Mediana (1/2"X79)</t>
  </si>
  <si>
    <t xml:space="preserve">Mad.Curva Import. FW 8,595 (1/2"x72) </t>
  </si>
  <si>
    <t>MADERA CURVA FB 39" 8,860 (10-5/8" X 1/2" X 75" MARTIN )</t>
  </si>
  <si>
    <t>MADERA CURVA FM50" 12,860 (366 X 13 X 2500 101-3662513  50" MARTAN) 82"</t>
  </si>
  <si>
    <t>MADERA CURVA 49"  12,620  14-3/16" X 1/2" X 82"MARTIN</t>
  </si>
  <si>
    <t>MADERA CURVA 25"  ML 6,090  0.177 X 1.800MT 101-1771813 75" altura</t>
  </si>
  <si>
    <t>MADERA CURVA 50" 15,620  1/2"X14-3/8"X100" POSILOT</t>
  </si>
  <si>
    <t>MADERA CURVA 50" 18,740  1/2"X14-3/8"X120" POSILOT</t>
  </si>
  <si>
    <t>MADERA CURVA 49"  15,118  14-3/16" X 1/2" X 120"MARTIN</t>
  </si>
  <si>
    <t>Curva Ultra 8 1030  66x90</t>
  </si>
  <si>
    <t>Tube Punch Ins. 990 x 1 1/4   (32mm)</t>
  </si>
  <si>
    <t>Tube Punch Ins. 990 x 1 1/8   (28mm)</t>
  </si>
  <si>
    <t>Tube Punch Ins. 990 x 1'        (24mm)</t>
  </si>
  <si>
    <t>Tube Punch Ins. 990 x 7/8      (22mm)</t>
  </si>
  <si>
    <t>Tube Punch Ins. 990 x 3/4 IB  (20mm)</t>
  </si>
  <si>
    <t>Tube Punch Ins. 990 x 5/8      (16mm)</t>
  </si>
  <si>
    <t>Tube Punch Ins. 990 x 1/2      (12mm)</t>
  </si>
  <si>
    <t>Tube Punch Ins. 990 x 3/8      (10mm)</t>
  </si>
  <si>
    <t>Tube Punch Ins. 990 x 1/4      (6mm)</t>
  </si>
  <si>
    <t>Tube Punch Ins. 990 x 9/64    (4mm)</t>
  </si>
  <si>
    <t>Tube Punch 1030 x 5/8</t>
  </si>
  <si>
    <t>TUBE PUNCH 1010 X 1-1/4" CB SERRATED              (50 und)</t>
  </si>
  <si>
    <t>TUBE PUNCH 1.040" X 1-1/4" CB ASERRADA          (100 und)</t>
  </si>
  <si>
    <t>Cuchilla curva .990 1/4X1/4 4PT 12-651-0 MPRESS</t>
  </si>
  <si>
    <t>Cuchilla curva .990 3/8X3/8 4PT 12-652-7 MPRESS</t>
  </si>
  <si>
    <t>CUCHILLA CURVA, (I) TIPO: DIENTE TIBURON(SHARK LINE) IZQUIERDO. 25.40MM(ALTURA), 4PT, DISTANCIA ENTRE DIENTES: 5MM. PARA CILINDRO PORTATROQUEL DE DIAMETRO 487MM(66" X 90"). PRESENTACION: CAJA X 25 MTS.</t>
  </si>
  <si>
    <t>CUCHILLA CURVA, (I) TIPO: DIENTE TIBURON(SHARK LINE) IZQUIERDO. 24.60MM(ALTURA), 4PT, DISTANCIA ENTRE DIENTES: 5MM. PARA CILINDRO PORTATROQUEL DE DIAMETRO 487MM(66" X 90"). PRESENTACION: CAJA X 25 MTS.</t>
  </si>
  <si>
    <t>CUCHILLA RECTA, (I )TIPO: DIENTE TIBURON(SHARK LINE) IZQUIERDO. ALTURA: 24.60MM, 4PT, DISTANCIA ENTRE DIENTES: 5MM. PRESENTACION: CAJA X 25 MTS.</t>
  </si>
  <si>
    <t>CUCHILLA CURVA, (I) TIPO: DIENTE TIBURON(SHARK LINE) IZQUIERDO. 24.60MM(ALTURA), 4PT, DISTANCIA ENTRE DIENTES: 11MM. PARA CILINDRO PORTATROQUEL DE DIAMETRO 487MM(66" X 90"). PRESENTACION: CAJA X 8 MTS.</t>
  </si>
  <si>
    <t>CUCHILLA CURVA .970 4PT 1/4X1/4 66X90 (8200109) (8204530)</t>
  </si>
  <si>
    <t>CUCHILLA RECTA 1000 X 8T CB EASY BENDER EU</t>
  </si>
  <si>
    <t xml:space="preserve">CUCHILLA RECTA .937" 4PT SPEEDI-TEAR BXF </t>
  </si>
  <si>
    <t>CUCH CURVA 368 102-221000L368 BISEL LAT  1,000 50"</t>
  </si>
  <si>
    <t>CMS-1524</t>
  </si>
  <si>
    <t>Und-300</t>
  </si>
  <si>
    <t>CM-1524</t>
  </si>
  <si>
    <t>Plancha2,500 UNDS</t>
  </si>
  <si>
    <t>GOMA POLYTOP 600 PCX40.16.0 16MM NARANJA 658x380x16mm (2,500mm2) caja x 12 planchas</t>
  </si>
  <si>
    <t>GOMA POLYTOP 600 PCX15.14.0 14MM ARENA  574 UND X CAJA</t>
  </si>
  <si>
    <t>339P O 4080 C UNDS</t>
  </si>
  <si>
    <t>Pistola neumática 52-110  (3400594)</t>
  </si>
  <si>
    <t>Broca espada sistema Serrapid cod 3410280</t>
  </si>
  <si>
    <t>Caja para portabobina 257   131830-241 -HAO  JUKI (codigo anterior 6602230)</t>
  </si>
  <si>
    <t>Sierra para caladora 4 point 8 tooht  50-470(8200192)</t>
  </si>
  <si>
    <t>CAJ</t>
  </si>
  <si>
    <t>Und par</t>
  </si>
  <si>
    <t>Motor 10K4 Caladora Cutawl K-12 115V</t>
  </si>
  <si>
    <t>INSERTO BOQUILLA 3B256 BISEL LATERAL(X2 )5833160</t>
  </si>
  <si>
    <t>INSERTO BOQUILLA 3B240 BISEL CENTRAL(X2 5833161</t>
  </si>
  <si>
    <t>CENTRO PUNTO RPU023 antiguo código 3433221</t>
  </si>
  <si>
    <t>HERRAMIENTA POST-CORTE RP005 XR (3433231)</t>
  </si>
  <si>
    <t>par</t>
  </si>
  <si>
    <t>BROCA SERRAPID AHX1211028-0-00 MAQ. SERRA Cod 3438360</t>
  </si>
  <si>
    <t>MANIJA 42411 PARA TROQUEL</t>
  </si>
  <si>
    <t>Rol</t>
  </si>
  <si>
    <t>Tesafix  (8200490)</t>
  </si>
  <si>
    <t>Und-C12</t>
  </si>
  <si>
    <t>CORREAS DE TRANSPORTE 106 X 54  (PAPELSA-65006088)</t>
  </si>
  <si>
    <t>N° de Troquel Orden</t>
  </si>
  <si>
    <t>Ingresos</t>
  </si>
  <si>
    <r>
      <t>Portabobina 259  Juki DNU</t>
    </r>
    <r>
      <rPr>
        <sz val="10"/>
        <rFont val="Book Antiqua"/>
        <family val="1"/>
      </rPr>
      <t xml:space="preserve"> -24</t>
    </r>
    <r>
      <rPr>
        <sz val="10"/>
        <rFont val="Courier New CE"/>
        <family val="3"/>
        <charset val="238"/>
      </rPr>
      <t>I</t>
    </r>
    <r>
      <rPr>
        <sz val="10"/>
        <rFont val="Book Antiqua"/>
        <family val="1"/>
      </rPr>
      <t>H Máquina de coser (codigo aanterior 6606761)</t>
    </r>
  </si>
  <si>
    <r>
      <t xml:space="preserve">REGLA RF020 RODILLO SUPRESOR (juego x 6 unds) </t>
    </r>
    <r>
      <rPr>
        <sz val="10"/>
        <color indexed="10"/>
        <rFont val="Arial"/>
        <family val="2"/>
      </rPr>
      <t>cod. Anterior 3433220</t>
    </r>
  </si>
  <si>
    <t>Cant</t>
  </si>
  <si>
    <t xml:space="preserve">CUCHILLA CURVA .970 4PT 3/8X3/8 66X90 (8200110) </t>
  </si>
  <si>
    <t>NA</t>
  </si>
  <si>
    <t>Inventario Inicial</t>
  </si>
  <si>
    <t>Cantidad</t>
  </si>
  <si>
    <t>Descripción</t>
  </si>
  <si>
    <t>Score Curvo con puente 0,850 4 ptos 50" x 90 </t>
  </si>
  <si>
    <t>Score Curvo mazizo 0,850 x 4ptos 39x90 no not </t>
  </si>
  <si>
    <t>Score Curvo mazizo 0,850 x 4ptos 50x90 no not </t>
  </si>
  <si>
    <t>Remisión o código de ingreso</t>
  </si>
  <si>
    <t>Unidades</t>
  </si>
  <si>
    <t>Unidades tipo</t>
  </si>
  <si>
    <t xml:space="preserve">Ingreso de mercancia </t>
  </si>
  <si>
    <t>Disponible</t>
  </si>
  <si>
    <t>Consumo total</t>
  </si>
  <si>
    <t>Inventario final teórico</t>
  </si>
  <si>
    <t>Total de desperdicio</t>
  </si>
  <si>
    <t xml:space="preserve">Total </t>
  </si>
  <si>
    <t>Diferencia máxima permitida</t>
  </si>
  <si>
    <t>Unidades de diferencia</t>
  </si>
  <si>
    <t>2 Tejas</t>
  </si>
  <si>
    <t>9 Varillas</t>
  </si>
  <si>
    <t>Desperdicio</t>
  </si>
  <si>
    <t>Puenteado</t>
  </si>
  <si>
    <t>Calado</t>
  </si>
  <si>
    <t>Serrapid</t>
  </si>
  <si>
    <t>Encuchillado</t>
  </si>
  <si>
    <t>Engomado</t>
  </si>
  <si>
    <t>Prueba</t>
  </si>
  <si>
    <t>Planta</t>
  </si>
  <si>
    <t>Cuchillas</t>
  </si>
  <si>
    <t>Escores</t>
  </si>
  <si>
    <t>Total Dib/Cal</t>
  </si>
  <si>
    <t>Total Enc/Eng</t>
  </si>
  <si>
    <t>Dibujo-Calado (Hrs)</t>
  </si>
  <si>
    <t>Encuchillado-Engomado (Hrs)</t>
  </si>
  <si>
    <t>Dias de entrega (Prom)</t>
  </si>
  <si>
    <t>Cantidad de troqueles</t>
  </si>
  <si>
    <t>Score-Cuchilla (cm)</t>
  </si>
  <si>
    <t>Inicio-Formulario de ingreso</t>
  </si>
  <si>
    <t>TOTAL</t>
  </si>
  <si>
    <t>Fecha</t>
  </si>
  <si>
    <t xml:space="preserve">                            </t>
  </si>
  <si>
    <t>B/QUILLA</t>
  </si>
  <si>
    <t>PAPELSA BARBOSA</t>
  </si>
  <si>
    <t>PAPELSA BOGOTA</t>
  </si>
  <si>
    <t>REPUBLICA DOMINICANA</t>
  </si>
  <si>
    <t>COSTA RICA</t>
  </si>
  <si>
    <t>Elaborado por:</t>
  </si>
  <si>
    <t xml:space="preserve">CONTROL DE TIEMPOS POR PLANTA </t>
  </si>
  <si>
    <t>Departamento de Troqueles</t>
  </si>
  <si>
    <t>%</t>
  </si>
  <si>
    <t>Horas</t>
  </si>
  <si>
    <t>Etiquetas de fila</t>
  </si>
  <si>
    <t>Total general</t>
  </si>
  <si>
    <t>(Todas)</t>
  </si>
  <si>
    <t>Cuenta de N° de troquel</t>
  </si>
  <si>
    <t>PROMEDIOS POR TROQUEL</t>
  </si>
  <si>
    <t>PRODUCTIVIDAD</t>
  </si>
  <si>
    <t>Horas trabajadas</t>
  </si>
  <si>
    <t>Turnos trabajados</t>
  </si>
  <si>
    <t xml:space="preserve">Cms Cuchilla/Hora </t>
  </si>
  <si>
    <t xml:space="preserve">Dibujo y calado </t>
  </si>
  <si>
    <t xml:space="preserve">Cuchilla y escores </t>
  </si>
  <si>
    <t>Cm</t>
  </si>
  <si>
    <t xml:space="preserve">Encuchillado y engomado </t>
  </si>
  <si>
    <t>Conversión</t>
  </si>
  <si>
    <t>Inventario  Físico Unidades</t>
  </si>
  <si>
    <t xml:space="preserve">Eje Plunger para Cutawl K-12 Parte 3K                         </t>
  </si>
  <si>
    <t xml:space="preserve">Bloque macho de respaldo Parte No 210 Dobladora serie 1848                                                             </t>
  </si>
  <si>
    <t>Saldos</t>
  </si>
  <si>
    <t>Cinta doble faz tesa 12mm x 50 mts</t>
  </si>
  <si>
    <t>JUSTIFICACION</t>
  </si>
  <si>
    <t>C-S</t>
  </si>
  <si>
    <t>MARIO RAMIREZ</t>
  </si>
  <si>
    <t>M</t>
  </si>
  <si>
    <t>Inventario Final Físico conversión</t>
  </si>
  <si>
    <t>Prealista</t>
  </si>
  <si>
    <t>Corr</t>
  </si>
  <si>
    <t>B-B</t>
  </si>
  <si>
    <t>C - S</t>
  </si>
  <si>
    <t>S</t>
  </si>
  <si>
    <t>Diferencia (fisico vs teórico)</t>
  </si>
  <si>
    <t>STOCK FINAL SAP DESPUES DE CARGOS Y AJUSTES</t>
  </si>
  <si>
    <t>PILAR ASTRID NARVAEZ</t>
  </si>
  <si>
    <t>REAL (se restan consumos por desguace)</t>
  </si>
  <si>
    <t>DEBE HABER EN SAP</t>
  </si>
  <si>
    <t>DIFERENCIAS A AJUSTAR( (Comentario)</t>
  </si>
  <si>
    <t>Desguace</t>
  </si>
  <si>
    <t>PAÑOS LIMPIAR CALADORA</t>
  </si>
  <si>
    <t>FUERA DE INVENTARIO</t>
  </si>
  <si>
    <t>GRANDE</t>
  </si>
  <si>
    <t>MEDIANA</t>
  </si>
  <si>
    <t>PEQUEÑA</t>
  </si>
  <si>
    <t>no</t>
  </si>
  <si>
    <t>INCLUIR</t>
  </si>
  <si>
    <t>CONSUMO 3200 DOC 4906788512</t>
  </si>
  <si>
    <t>TORNILLO</t>
  </si>
  <si>
    <t>se consume en almacen, saca por requision</t>
  </si>
  <si>
    <t>8202402 TESAPRINT 310 MM POR JERIDAN Y TESA</t>
  </si>
  <si>
    <t>16 rollos ingresaron</t>
  </si>
  <si>
    <t xml:space="preserve">MADERA CURVA 10-3/4"x" 9750x   1/2" X  82" </t>
  </si>
  <si>
    <t>cutting rule 1000 4pto 3/8"3/16" snn</t>
  </si>
  <si>
    <t>1 ft</t>
  </si>
  <si>
    <t>cutting rule 1000 4pto 3/16"3/16" snn</t>
  </si>
  <si>
    <t>cuchilla curva 0,970 x0,690 1/2x1/2 66" x90"</t>
  </si>
  <si>
    <t>MADERA CURVA 10 3/4"X1/2"X82"</t>
  </si>
  <si>
    <t>1 UNID</t>
  </si>
  <si>
    <t>DOBLADOR 56-683-R-1/8"1-1/2# CUCHILLAS</t>
  </si>
  <si>
    <t>ESPEJO CORTADORA LASER</t>
  </si>
  <si>
    <t>CUCHILLA RECTA 1000  4PT 3/8"X3/16 SNN</t>
  </si>
  <si>
    <t>CUCHILLA RECTA 1000  4PT 3/16"X3/16 SNN</t>
  </si>
  <si>
    <t>CUCHILLA CURVA .970X.690 1/2X1/2 66X90</t>
  </si>
  <si>
    <t>CUCHILLA CURVA .970X.690 1/4X1/4 50X90</t>
  </si>
  <si>
    <t>CUCHILLA CURVA .970X.690 3/8X3/8 50X90</t>
  </si>
  <si>
    <t>CUCHILLA CURVA .970X.690 1/4X1/4 39X90</t>
  </si>
  <si>
    <t>CUCHILLA CURVA .970X.690 3/8X3/8 39X90</t>
  </si>
  <si>
    <t>CUCHILLA CURVA .970X.690 1/4X1/4 37,5X90</t>
  </si>
  <si>
    <t>CUCHILLA CURVA .970X.690 3/8X3/8 37,5X90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</si>
  <si>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</si>
  <si>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</si>
  <si>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</si>
  <si>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</si>
  <si>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</si>
  <si>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NO NOTCH</t>
  </si>
  <si>
    <t>CUCHILLA CURVA 1000x8T CB 375X90 EU NO NOTCH</t>
  </si>
  <si>
    <t>CUCHILLA CURVA 0990x8T CB 375X90 EU NO NOTCH</t>
  </si>
  <si>
    <t>CINTA DOBLE FAZ 0.015" X 500MM X 23MT</t>
  </si>
  <si>
    <t>CINTA DOBLE FAZ 0.015" X 500MMX23MT CAFE</t>
  </si>
  <si>
    <t>transmount traslucido</t>
  </si>
  <si>
    <t>SCORE CURVO 0.875" 8 ON 4 6.9843“-mini line</t>
  </si>
  <si>
    <t>JESÚS ALVAREZ</t>
  </si>
  <si>
    <t>C.I YUMBO</t>
  </si>
  <si>
    <t>CONACHO</t>
  </si>
  <si>
    <t>COLCERAMICA</t>
  </si>
  <si>
    <t>SETAS COLOMBIANAS</t>
  </si>
  <si>
    <t>NEROLI</t>
  </si>
  <si>
    <t>ETERNA</t>
  </si>
  <si>
    <t>MECANICOS UNIDOS</t>
  </si>
  <si>
    <t>UNILEVER</t>
  </si>
  <si>
    <t>CUCHILLA CURVA. 970X690 1/4X1/4 50X90</t>
  </si>
  <si>
    <t>CUCHILLA CURVA .970X690 1/4X1/4 39X90</t>
  </si>
  <si>
    <t>CUCHILLA CURVA .970X690 3/8X3/8 39X90</t>
  </si>
  <si>
    <t>CUCHILLA CURVA .970X690 3/8X3/8 50X90</t>
  </si>
  <si>
    <t>CUCHILLA CURVA .970X690 1/4X1/4 37,5X90</t>
  </si>
  <si>
    <t>CUCHILLA CURVA .970X690 3/8X3/8 37,5X90</t>
  </si>
  <si>
    <t>CUCHILLA CURVA .970X0.690 CB4PT 1/4X1/8 37.5X90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</si>
  <si>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</si>
  <si>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</si>
  <si>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</si>
  <si>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</si>
  <si>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</si>
  <si>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 NO NOTCH</t>
  </si>
  <si>
    <t>CUCHILLA CURVA 1000X8T CB 375X90 EU NO NOTCH</t>
  </si>
  <si>
    <t>CUCHILLA CURVA 0990X8T CB 375X90 EU NO NOTCH</t>
  </si>
  <si>
    <t>GOMA EPDM 14X14 15° SH EPH NEGRA 70 MT</t>
  </si>
  <si>
    <t>GOMA EPDM 14 X 14 15°SH EPH NEGRA 70MT</t>
  </si>
  <si>
    <t>Pestaña LARGAS</t>
  </si>
  <si>
    <t>LEAD EDGE STRIP 77-737 102"</t>
  </si>
  <si>
    <t>Códigos</t>
  </si>
  <si>
    <t>P.BOGOTÁ</t>
  </si>
  <si>
    <t>BOGOTÁ</t>
  </si>
  <si>
    <t>MEDELLÍN</t>
  </si>
  <si>
    <t>Plantas</t>
  </si>
  <si>
    <t>Portabobina 259  Juki DNU -24IH Máquina de coser (antes 6606761)</t>
  </si>
  <si>
    <t xml:space="preserve">Fecha: </t>
  </si>
  <si>
    <t>Específico</t>
  </si>
  <si>
    <t>WARD</t>
  </si>
  <si>
    <t>FW</t>
  </si>
  <si>
    <t>FB-39</t>
  </si>
  <si>
    <t>FB-50</t>
  </si>
  <si>
    <t>DF</t>
  </si>
  <si>
    <t>TW</t>
  </si>
  <si>
    <t>FM</t>
  </si>
  <si>
    <t>ML</t>
  </si>
  <si>
    <t>GF</t>
  </si>
  <si>
    <t>WB</t>
  </si>
  <si>
    <t>Dibujo (hr)</t>
  </si>
  <si>
    <t>Puenteado (hr)</t>
  </si>
  <si>
    <t>Calado (hr)</t>
  </si>
  <si>
    <t>Engomado (hr)</t>
  </si>
  <si>
    <t>Total Cuchi/Esc (cm)</t>
  </si>
  <si>
    <t>FB</t>
  </si>
  <si>
    <t>39"</t>
  </si>
  <si>
    <t>BOBST</t>
  </si>
  <si>
    <t>THE ELITE FLOWERS</t>
  </si>
  <si>
    <t>COLOMBINA</t>
  </si>
  <si>
    <t>COLKIMBERLY</t>
  </si>
  <si>
    <t>PROD. ALIMENTICIOS SEVILLA</t>
  </si>
  <si>
    <t>SUPERCERDO</t>
  </si>
  <si>
    <t>CULTIVOS MIRAMONTE</t>
  </si>
  <si>
    <t>RIMAX</t>
  </si>
  <si>
    <t>PLANTAS DEL TAMBO</t>
  </si>
  <si>
    <t>COLGATE</t>
  </si>
  <si>
    <t>CORRUGADO BOGOTÁ</t>
  </si>
  <si>
    <t>GESTIÓN CARGO</t>
  </si>
  <si>
    <t>NESTLE</t>
  </si>
  <si>
    <t xml:space="preserve">FAMILIA </t>
  </si>
  <si>
    <t>COLCAFÉ</t>
  </si>
  <si>
    <t>BRINSA</t>
  </si>
  <si>
    <t>PEPSICO</t>
  </si>
  <si>
    <t>LA GAITANA FARMS S.A.S</t>
  </si>
  <si>
    <t>CUARTO AGROFLOWERS</t>
  </si>
  <si>
    <t>FRESH AND NATURAL</t>
  </si>
  <si>
    <t>PAPELES NACIONALES</t>
  </si>
  <si>
    <t>INORCA</t>
  </si>
  <si>
    <t>SWEETSOL</t>
  </si>
  <si>
    <t>GUTIMILKO</t>
  </si>
  <si>
    <t>MIAFLORA BRANDED BOXES</t>
  </si>
  <si>
    <t>SOLE QUEEN BLUE</t>
  </si>
  <si>
    <t>BOTANAS S.A.S</t>
  </si>
  <si>
    <t>FRESENIUS MEDICAL</t>
  </si>
  <si>
    <t>VIDA ALIMENTOS</t>
  </si>
  <si>
    <t>COLANTA</t>
  </si>
  <si>
    <t>IS</t>
  </si>
  <si>
    <t>FLORES EL TRIGAL</t>
  </si>
  <si>
    <t>PANADERIA LA 96</t>
  </si>
  <si>
    <t>C.I PROBA</t>
  </si>
  <si>
    <t>BUEN CAFÉ</t>
  </si>
  <si>
    <t>KRIMA</t>
  </si>
  <si>
    <t>RANPACK</t>
  </si>
  <si>
    <t>NOEL</t>
  </si>
  <si>
    <t>MANUELA ECHEVERRI</t>
  </si>
  <si>
    <t>NOVANA</t>
  </si>
  <si>
    <t>AGRICOLA CUNDAY</t>
  </si>
  <si>
    <t>COLOMBIA PARADISE</t>
  </si>
  <si>
    <t>COPAPEL</t>
  </si>
  <si>
    <t>AGRO</t>
  </si>
  <si>
    <t>PELICULAS EXTRUIDAS</t>
  </si>
  <si>
    <t>GRUPO RIVERA</t>
  </si>
  <si>
    <t>PIZZA DOMINOS</t>
  </si>
  <si>
    <t>JGB</t>
  </si>
  <si>
    <t>PROCAPS</t>
  </si>
  <si>
    <t>ELECTROCONTROL</t>
  </si>
  <si>
    <t>CARVAJAL</t>
  </si>
  <si>
    <t>C.I FLORES DE FUNZA</t>
  </si>
  <si>
    <t>BANASAN</t>
  </si>
  <si>
    <t>FRUTAS COMERCIALES</t>
  </si>
  <si>
    <t>INDEGA</t>
  </si>
  <si>
    <t>SIPACK</t>
  </si>
  <si>
    <t>JOHNSON</t>
  </si>
  <si>
    <t>SIGRA</t>
  </si>
  <si>
    <t>MULTIDIMENSIONALES</t>
  </si>
  <si>
    <t>PRODUCTOS YUPI</t>
  </si>
  <si>
    <t>AVOFRUIT</t>
  </si>
  <si>
    <t>BAXTER</t>
  </si>
  <si>
    <t>FLORES IPANEMA</t>
  </si>
  <si>
    <t>FRUSELVA</t>
  </si>
  <si>
    <t>AGROPECUARIA ALIAR</t>
  </si>
  <si>
    <t>LUISIANA FARMS</t>
  </si>
  <si>
    <t>CERVALLE</t>
  </si>
  <si>
    <t>SABANILLA S.A.S</t>
  </si>
  <si>
    <t>COLPLAST</t>
  </si>
  <si>
    <t>LICORERA DE CUNDINAMARCA</t>
  </si>
  <si>
    <t>CONGELAGRO</t>
  </si>
  <si>
    <t>SB TALEE DE COLOMBIA</t>
  </si>
  <si>
    <t>CONSERVAS ABAD</t>
  </si>
  <si>
    <t>PROASEPSIS</t>
  </si>
  <si>
    <t>RB HEALTH</t>
  </si>
  <si>
    <t>BIMBO</t>
  </si>
  <si>
    <t>C.A MEJIA</t>
  </si>
  <si>
    <t>SALSAMENTARIA SANTANDER</t>
  </si>
  <si>
    <t>SUPPLA</t>
  </si>
  <si>
    <t>AP3 CARNES</t>
  </si>
  <si>
    <t>TOYS CAN SAS</t>
  </si>
  <si>
    <t>SKC MOLINO 4</t>
  </si>
  <si>
    <t>C.I BANASAN</t>
  </si>
  <si>
    <t>C.I BANARICA</t>
  </si>
  <si>
    <t>C.I FLORES DE LA VEGA</t>
  </si>
  <si>
    <t>DISTRIBUCIONES Y EMPAQUES</t>
  </si>
  <si>
    <t>MANITOBA</t>
  </si>
  <si>
    <t>PENTAGRAMA</t>
  </si>
  <si>
    <t>FLP COLOMBIA</t>
  </si>
  <si>
    <t>RAMO</t>
  </si>
  <si>
    <t>VERDE</t>
  </si>
  <si>
    <t>FARMACAPSULAS</t>
  </si>
  <si>
    <t>NUTRIENTO</t>
  </si>
  <si>
    <t>CELSA</t>
  </si>
  <si>
    <t>KIMBERLY</t>
  </si>
  <si>
    <t>HACEB</t>
  </si>
  <si>
    <t>KC ANTIOQUIA</t>
  </si>
  <si>
    <t>EXTRUSIONES</t>
  </si>
  <si>
    <t>LAS LOMITAS FLOWERS</t>
  </si>
  <si>
    <t>ENSENADA</t>
  </si>
  <si>
    <t>ALMACENES ÉXITO</t>
  </si>
  <si>
    <t>FLORES EL CAPIRO</t>
  </si>
  <si>
    <t>COLIBRI FLOWERS</t>
  </si>
  <si>
    <t>TENNIS</t>
  </si>
  <si>
    <t>RIOGRANDE</t>
  </si>
  <si>
    <t>SARY</t>
  </si>
  <si>
    <t>SUPERKASKOS</t>
  </si>
  <si>
    <t>FCA DE CALCETINES CRYSTAL</t>
  </si>
  <si>
    <t>COALICA</t>
  </si>
  <si>
    <t>PRONALCE</t>
  </si>
  <si>
    <t>PRODUCTOS ALIMENTICIOS DORIA</t>
  </si>
  <si>
    <t>POLLOS BUCANERO</t>
  </si>
  <si>
    <t>SOCODA</t>
  </si>
  <si>
    <t>CINAL</t>
  </si>
  <si>
    <t>INCUBADORA SANTANDER</t>
  </si>
  <si>
    <t>NOVACAMPO</t>
  </si>
  <si>
    <t>ARCAGOLD</t>
  </si>
  <si>
    <t>MM-PAKIGING COLOMBIA SAS</t>
  </si>
  <si>
    <t>PREBEL SA</t>
  </si>
  <si>
    <t>ALEXANDRA FARMS</t>
  </si>
  <si>
    <t>SCHNEIDER ELECTRIC DE COLOMBIA</t>
  </si>
  <si>
    <t>INDUSTRIAS ESPLACOL</t>
  </si>
  <si>
    <t>COOPERATIVA COLANTA</t>
  </si>
  <si>
    <t>INVERFOODS TRADING</t>
  </si>
  <si>
    <t>PLATANILLOS</t>
  </si>
  <si>
    <t>ARCLAD</t>
  </si>
  <si>
    <t>FRIGOSINU</t>
  </si>
  <si>
    <t>AREPAS DOÑA PAISA</t>
  </si>
  <si>
    <t>SEA TECHNOLOGY INTERNATIONAL</t>
  </si>
  <si>
    <t>JUAN MATAS SAS</t>
  </si>
  <si>
    <t>ORANGE</t>
  </si>
  <si>
    <t>LM INSTRUMENT SA</t>
  </si>
  <si>
    <t>CIALTA SAS</t>
  </si>
  <si>
    <t>FRESH COLOMBIA</t>
  </si>
  <si>
    <t>PRICESMART</t>
  </si>
  <si>
    <t>NUEVA LICORERA DE BOYACA</t>
  </si>
  <si>
    <t>LICOCAUCA</t>
  </si>
  <si>
    <t>HARINERA DEL VALLE</t>
  </si>
  <si>
    <t>ETERNA SA</t>
  </si>
  <si>
    <t>GRECO</t>
  </si>
  <si>
    <t>SOC IND METAL ELECTRICA</t>
  </si>
  <si>
    <t>AXIONLOG SAS</t>
  </si>
  <si>
    <t>CRISTIAN BAUTISTA</t>
  </si>
  <si>
    <t>FLORES DEL RIO Y CIA SAS</t>
  </si>
  <si>
    <t>JARDINES DE LOS ANDES SAS</t>
  </si>
  <si>
    <t>C.I AGRICOLA CARDENAL SAS</t>
  </si>
  <si>
    <t>HORTIFUT</t>
  </si>
  <si>
    <t>VALLES VERDES</t>
  </si>
  <si>
    <t xml:space="preserve">INVERSIONES AGROPECUARIAS </t>
  </si>
  <si>
    <t>MAXI FINCA</t>
  </si>
  <si>
    <t xml:space="preserve">EMPRESA DE LICORES DE CUNDINAMARCA </t>
  </si>
  <si>
    <t>CADENA</t>
  </si>
  <si>
    <t>MASTERCAJAS</t>
  </si>
  <si>
    <t>DERIVADOS LACTEOS DEL NORTE</t>
  </si>
  <si>
    <t>TRIBU CALIMA</t>
  </si>
  <si>
    <t>EXCO</t>
  </si>
  <si>
    <t>FLORANDIA</t>
  </si>
  <si>
    <t>WESTFAMILIA</t>
  </si>
  <si>
    <t>CLASIFRUT</t>
  </si>
  <si>
    <t>TUL</t>
  </si>
  <si>
    <t>ABSORBENTES DE COLOMBIA</t>
  </si>
  <si>
    <t>EXOTICS</t>
  </si>
  <si>
    <t>SI PLASTICOS SAS</t>
  </si>
  <si>
    <t>PERLAND</t>
  </si>
  <si>
    <t>AGUACATES FLOREZ</t>
  </si>
  <si>
    <t>BIOMIELES DE COLOMBIA</t>
  </si>
  <si>
    <t>AGP DE COLOMBIA</t>
  </si>
  <si>
    <t>CUCINARE</t>
  </si>
  <si>
    <t xml:space="preserve">TROQUEL TRANSPORTE MINILINE </t>
  </si>
  <si>
    <t>FEDERACION</t>
  </si>
  <si>
    <t>ALPINA</t>
  </si>
  <si>
    <t>COTTON BLUE</t>
  </si>
  <si>
    <t>SUPERFRUIT</t>
  </si>
  <si>
    <t xml:space="preserve">C.I CARIBBEAN EXOTICS </t>
  </si>
  <si>
    <t>PLASTICOS FENIX</t>
  </si>
  <si>
    <t>FAMILIA DEL PACIFICO</t>
  </si>
  <si>
    <t>MUEBLESJAMAR</t>
  </si>
  <si>
    <t>BENGALA</t>
  </si>
  <si>
    <t>DISTRIBUCIONES ESPLACOL</t>
  </si>
  <si>
    <t>BLOOMS DIRECT</t>
  </si>
  <si>
    <t>FLOREZ EL CAPIRO</t>
  </si>
  <si>
    <t>REORGANIZACION EMPRESARIAL</t>
  </si>
  <si>
    <t>NOVAVENTA SAS</t>
  </si>
  <si>
    <t>GASEOSAS LUX</t>
  </si>
  <si>
    <t>VENTOLINI</t>
  </si>
  <si>
    <t>ENSAYO PLANTILLA RCD1200 50"</t>
  </si>
  <si>
    <t>PROQUIDENT</t>
  </si>
  <si>
    <t>UPFIELD</t>
  </si>
  <si>
    <t>PELEX</t>
  </si>
  <si>
    <t>ST JUDE MEDICAL</t>
  </si>
  <si>
    <t>POINSETTIAS DE COLOMBIA</t>
  </si>
  <si>
    <t>MANE SUCURSAL</t>
  </si>
  <si>
    <t>PRODUCTOS NAT DE LA SABANA</t>
  </si>
  <si>
    <t>FAMILIY BEANS</t>
  </si>
  <si>
    <t>FLORES DE ORIENTE</t>
  </si>
  <si>
    <t>ENERGIA SOLAR</t>
  </si>
  <si>
    <t>DULCEMONTE</t>
  </si>
  <si>
    <t>SOPORTE Y LOGISTICA</t>
  </si>
  <si>
    <t>FLOWER BUYER</t>
  </si>
  <si>
    <t>BASF QUIMICA</t>
  </si>
  <si>
    <t>GRUPO CHIA</t>
  </si>
  <si>
    <t>CERVECERIA BARU</t>
  </si>
  <si>
    <t>EKOFIL</t>
  </si>
  <si>
    <t>PACIFICA</t>
  </si>
  <si>
    <t>SKCC DISEÑOS GENERICOS</t>
  </si>
  <si>
    <t>SMURFIT KAPPA</t>
  </si>
  <si>
    <t>POSTOBON</t>
  </si>
  <si>
    <t>USA BOUQUETS</t>
  </si>
  <si>
    <t>C.I AMANCAY</t>
  </si>
  <si>
    <t>ECOFIL</t>
  </si>
  <si>
    <t>CCL-MENDEZ</t>
  </si>
  <si>
    <t>AVON COLOMBIA</t>
  </si>
  <si>
    <t>RIO FERTIL</t>
  </si>
  <si>
    <t>AGROSIGO</t>
  </si>
  <si>
    <t>MONDELEZ</t>
  </si>
  <si>
    <t>DISTRIEMPAQUES Y SERVICIOS</t>
  </si>
  <si>
    <t>MEALS</t>
  </si>
  <si>
    <t>LOCERIA COLOMBIANA</t>
  </si>
  <si>
    <t>NORMAPLAS</t>
  </si>
  <si>
    <t>REROLI</t>
  </si>
  <si>
    <t>DISTRIBUCIONES Y SERVICIOS</t>
  </si>
  <si>
    <t>PINTUCO</t>
  </si>
  <si>
    <t>C.I AGROMONTE</t>
  </si>
  <si>
    <t>C.I GRANADA</t>
  </si>
  <si>
    <t>PROSIGNA</t>
  </si>
  <si>
    <t>GRIFFITH</t>
  </si>
  <si>
    <t>GRAMALUZ</t>
  </si>
  <si>
    <t>FYFFES</t>
  </si>
  <si>
    <t>FAMILIA CAJITA</t>
  </si>
  <si>
    <t>ECOIDEA</t>
  </si>
  <si>
    <t xml:space="preserve">MOLINO 4 </t>
  </si>
  <si>
    <t>JAMAR</t>
  </si>
  <si>
    <t>UNIDAD</t>
  </si>
  <si>
    <t>Score</t>
  </si>
  <si>
    <t>Goma</t>
  </si>
  <si>
    <t>Cuchilla</t>
  </si>
  <si>
    <t>Herramienta</t>
  </si>
  <si>
    <t>Madera</t>
  </si>
  <si>
    <t>Prealistamiento</t>
  </si>
  <si>
    <t>CUCHILLA RECTA 1/4 X 1/4</t>
  </si>
  <si>
    <t>CONVERSIÓN</t>
  </si>
  <si>
    <t>Tiempo (hr)</t>
  </si>
  <si>
    <t>Resumen</t>
  </si>
  <si>
    <t>C.I SUNSHINE BOUQUETS</t>
  </si>
  <si>
    <t>PRESH TECH</t>
  </si>
  <si>
    <t>ISCOL</t>
  </si>
  <si>
    <t>Aros</t>
  </si>
  <si>
    <t>CORTE SCORE DIENTE ULTRA RECTO 3/8 X 3/8</t>
  </si>
  <si>
    <t>JS924</t>
  </si>
  <si>
    <t>W2880</t>
  </si>
  <si>
    <t>W16463</t>
  </si>
  <si>
    <t>2855-REP</t>
  </si>
  <si>
    <t>209-REP</t>
  </si>
  <si>
    <t>358-REP</t>
  </si>
  <si>
    <t>1756-REP</t>
  </si>
  <si>
    <t>TIPALMA</t>
  </si>
  <si>
    <t>FB586</t>
  </si>
  <si>
    <t>3076-REP</t>
  </si>
  <si>
    <t>HADA</t>
  </si>
  <si>
    <t>W3774</t>
  </si>
  <si>
    <t>W7541</t>
  </si>
  <si>
    <t>BAYER</t>
  </si>
  <si>
    <t>W7538</t>
  </si>
  <si>
    <t>W17135</t>
  </si>
  <si>
    <t>W7914</t>
  </si>
  <si>
    <t>COLOMBIANA DE CERAMICA</t>
  </si>
  <si>
    <t>FM8495</t>
  </si>
  <si>
    <t>UNIPHOS COLOMBIA PLANT</t>
  </si>
  <si>
    <t>SUNSHINE BOUQUETS</t>
  </si>
  <si>
    <t>W8475</t>
  </si>
  <si>
    <t>W2809</t>
  </si>
  <si>
    <t>DE LOD ANGELES</t>
  </si>
  <si>
    <t>FB588</t>
  </si>
  <si>
    <t>DE LOS ANGELES</t>
  </si>
  <si>
    <t>FB591</t>
  </si>
  <si>
    <t>AMCOR</t>
  </si>
  <si>
    <t>W2121</t>
  </si>
  <si>
    <t>HAda</t>
  </si>
  <si>
    <t>TROQUEL TRANPORTE FW</t>
  </si>
  <si>
    <t>TROQ TRANS FW</t>
  </si>
  <si>
    <t>W2413</t>
  </si>
  <si>
    <t>W3202</t>
  </si>
  <si>
    <t>YUPI</t>
  </si>
  <si>
    <t>PLANTILLA JS50</t>
  </si>
  <si>
    <t>PLANTILLAS JS50</t>
  </si>
  <si>
    <t>PELICANO</t>
  </si>
  <si>
    <t>FB104</t>
  </si>
  <si>
    <t>W2099</t>
  </si>
  <si>
    <t>W2134</t>
  </si>
  <si>
    <t>TEAM FOODS</t>
  </si>
  <si>
    <t>FB594</t>
  </si>
  <si>
    <t>TROPIFRUIT</t>
  </si>
  <si>
    <t>B02-005</t>
  </si>
  <si>
    <t>JS-50</t>
  </si>
  <si>
    <t>FM17146</t>
  </si>
  <si>
    <t>FM17145</t>
  </si>
  <si>
    <t>FM17144</t>
  </si>
  <si>
    <t>FM17143</t>
  </si>
  <si>
    <t>FM17147</t>
  </si>
  <si>
    <t>MEXICHEM</t>
  </si>
  <si>
    <t>ML17137</t>
  </si>
  <si>
    <t>FM17148</t>
  </si>
  <si>
    <t>1/04/2024</t>
  </si>
  <si>
    <t>15/04/2024</t>
  </si>
  <si>
    <t>MTO MOD</t>
  </si>
  <si>
    <t>MTO MOD CALI ABRIL 24</t>
  </si>
  <si>
    <t>MTO</t>
  </si>
  <si>
    <t>CUCHILLA RECTA 0.970” x 0.860” 4PT SERR.</t>
  </si>
  <si>
    <t>SAP DESPUES DE DIFERENCIAS CONTRALORIA</t>
  </si>
  <si>
    <t>Inventario SAP después de CONSUMOS PILAR</t>
  </si>
  <si>
    <t>TROQUEL</t>
  </si>
  <si>
    <t>FECHA INGRESO</t>
  </si>
  <si>
    <t>FECHA ESTIMADA DESPACHO</t>
  </si>
  <si>
    <t>PLANTA</t>
  </si>
  <si>
    <t xml:space="preserve">CLIENTE </t>
  </si>
  <si>
    <t>MÁQUINA</t>
  </si>
  <si>
    <t>INGENIERO</t>
  </si>
  <si>
    <t>OBSERVACIONES</t>
  </si>
  <si>
    <t>DIAS DE ENTREGA</t>
  </si>
  <si>
    <t>DIAS DE ENTREGA2</t>
  </si>
  <si>
    <t>TOTAL 
DIAS</t>
  </si>
  <si>
    <t>PEDIDO</t>
  </si>
  <si>
    <t>P.AROCHA</t>
  </si>
  <si>
    <t>-</t>
  </si>
  <si>
    <t>W.BURITICA</t>
  </si>
  <si>
    <t>MAQUINA NUEVA FW31</t>
  </si>
  <si>
    <t>M.SERRANO</t>
  </si>
  <si>
    <t>FM17153</t>
  </si>
  <si>
    <t>PAPELSA</t>
  </si>
  <si>
    <t>J.GARCIA</t>
  </si>
  <si>
    <t>2991-REP</t>
  </si>
  <si>
    <t xml:space="preserve">COLOMBINA </t>
  </si>
  <si>
    <t>PILAR</t>
  </si>
  <si>
    <t>GTP-HACER EN UNA SOLA TEJA</t>
  </si>
  <si>
    <t>2835-REP</t>
  </si>
  <si>
    <t>2837-REP</t>
  </si>
  <si>
    <t>CAMBIA A UNA SOLA TEJA</t>
  </si>
  <si>
    <t>468-REP</t>
  </si>
  <si>
    <t>especifíco</t>
  </si>
  <si>
    <t>L.PEREZ</t>
  </si>
  <si>
    <t>CANCELADO-PENDIENTE DEFINIR QUE SE HACE CALADO</t>
  </si>
  <si>
    <t>FORMULARIO</t>
  </si>
  <si>
    <t>FB643</t>
  </si>
  <si>
    <t xml:space="preserve">CANCELADO  </t>
  </si>
  <si>
    <t>W2303</t>
  </si>
  <si>
    <t>GANAEXPO</t>
  </si>
  <si>
    <t>N.MOLINA</t>
  </si>
  <si>
    <t>L.SANCHEZ</t>
  </si>
  <si>
    <t>S.MARIN</t>
  </si>
  <si>
    <t>CANCELADO</t>
  </si>
  <si>
    <t>MAQUINA NUEVA JS924</t>
  </si>
  <si>
    <t>FB666</t>
  </si>
  <si>
    <t>FW31</t>
  </si>
  <si>
    <t>PLANTAS</t>
  </si>
  <si>
    <t>MAQUINAS</t>
  </si>
  <si>
    <t>GESTION CARGO</t>
  </si>
  <si>
    <t>W.HURTADO</t>
  </si>
  <si>
    <t>V.RUIZ</t>
  </si>
  <si>
    <t>ML17173</t>
  </si>
  <si>
    <t>AGROPECUARIA DOIMA</t>
  </si>
  <si>
    <t>V.AMPUDIA</t>
  </si>
  <si>
    <t>BUENCAFE LIOFILIZADO DE COLOMBIA</t>
  </si>
  <si>
    <t>SUPER</t>
  </si>
  <si>
    <t>37,5"</t>
  </si>
  <si>
    <t>Observacion</t>
  </si>
  <si>
    <t>Estado</t>
  </si>
  <si>
    <t>V.MORELO</t>
  </si>
  <si>
    <t>CUCHILLA CURVA 970X690 1/4 X 1/8</t>
  </si>
  <si>
    <t>E.VERGARA</t>
  </si>
  <si>
    <t>CRISTAR TABLETOP</t>
  </si>
  <si>
    <t>ALIMENTIC PAN</t>
  </si>
  <si>
    <t>PRODUCTOS VICKY</t>
  </si>
  <si>
    <t>J.OCAMPO</t>
  </si>
  <si>
    <t>FM16448</t>
  </si>
  <si>
    <t>K.SMITH</t>
  </si>
  <si>
    <t>ADAMA ANDINA</t>
  </si>
  <si>
    <t>M.POSADA</t>
  </si>
  <si>
    <t>ML17178</t>
  </si>
  <si>
    <t>CABIDA 2-6 CARAS-MAQUINA NUEVA JS924</t>
  </si>
  <si>
    <t>Columna1</t>
  </si>
  <si>
    <t>Q0-011378-00</t>
  </si>
  <si>
    <t>SOLO CALADO-CANCELADO</t>
  </si>
  <si>
    <t>En proceso...</t>
  </si>
  <si>
    <t>FB680</t>
  </si>
  <si>
    <t>CASABLANCA</t>
  </si>
  <si>
    <t>FB681</t>
  </si>
  <si>
    <t>ALMACENES EXITO</t>
  </si>
  <si>
    <t>M.VALENCIA</t>
  </si>
  <si>
    <t>FB683</t>
  </si>
  <si>
    <t>FATELARES</t>
  </si>
  <si>
    <t>W3030</t>
  </si>
  <si>
    <t>ALPLA</t>
  </si>
  <si>
    <t>FB684</t>
  </si>
  <si>
    <t>W2962</t>
  </si>
  <si>
    <t>W2392</t>
  </si>
  <si>
    <t>M.TORAL</t>
  </si>
  <si>
    <t>FB685</t>
  </si>
  <si>
    <t>W16542</t>
  </si>
  <si>
    <t>FABRICA DE ALIMENTOS</t>
  </si>
  <si>
    <t>W16247</t>
  </si>
  <si>
    <t>W8179</t>
  </si>
  <si>
    <t>W2396</t>
  </si>
  <si>
    <t>BANARICA</t>
  </si>
  <si>
    <t>NUMERO DE TROQUEL REPETIDO PENDIENTE</t>
  </si>
  <si>
    <t>FB687</t>
  </si>
  <si>
    <t>SISTEMAS Y ARCHIVOS</t>
  </si>
  <si>
    <t>FB31</t>
  </si>
  <si>
    <t>FW677</t>
  </si>
  <si>
    <t>METALCURVAS</t>
  </si>
  <si>
    <t>FB689</t>
  </si>
  <si>
    <t>FB688</t>
  </si>
  <si>
    <t>FB690</t>
  </si>
  <si>
    <t>COLCAFE</t>
  </si>
  <si>
    <t xml:space="preserve">NESTLE </t>
  </si>
  <si>
    <t>M.CASTRO</t>
  </si>
  <si>
    <t>UNIPHOS</t>
  </si>
  <si>
    <t>W2878</t>
  </si>
  <si>
    <t>FB691</t>
  </si>
  <si>
    <t>FM17188</t>
  </si>
  <si>
    <t>PREST TECH</t>
  </si>
  <si>
    <t>FM17189</t>
  </si>
  <si>
    <t>FM17186</t>
  </si>
  <si>
    <t>ADIDAS</t>
  </si>
  <si>
    <t>FW32</t>
  </si>
  <si>
    <t>MAQUINA NUEVA FW32</t>
  </si>
  <si>
    <t xml:space="preserve"> BARRANQUILLA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</si>
</sst>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 * #,##0_ ;_ * \-#,##0_ ;_ * &quot;-&quot;??_ ;_ @_ "/>
    <numFmt numFmtId="166" formatCode="0.0%"/>
    <numFmt numFmtId="167" formatCode="0.0"/>
    <numFmt numFmtId="168" formatCode="0.00000"/>
    <numFmt numFmtId="169" formatCode="_ * #,##0.00_ ;_ * \-#,##0.00_ ;_ * &quot;-&quot;??_ ;_ @_ "/>
    <numFmt numFmtId="170" formatCode="_ [$€-2]\ * #,##0.00_ ;_ [$€-2]\ * \-#,##0.00_ ;_ [$€-2]\ * &quot;-&quot;??_ "/>
    <numFmt numFmtId="171" formatCode="0.000"/>
    <numFmt numFmtId="172" formatCode="_-* #,##0_-;\-* #,##0_-;_-* &quot;-&quot;??_-;_-@_-"/>
    <numFmt numFmtId="173" formatCode="_-* #,##0.0_-;\-* #,##0.0_-;_-* &quot;-&quot;_-;_-@_-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color indexed="12"/>
      <name val="Arial"/>
      <family val="2"/>
    </font>
    <font>
      <sz val="10"/>
      <name val="Book Antiqua"/>
      <family val="1"/>
    </font>
    <font>
      <sz val="10"/>
      <name val="Courier New CE"/>
      <family val="3"/>
      <charset val="238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sz val="10"/>
      <color indexed="81"/>
      <name val="Tahoma"/>
      <family val="2"/>
    </font>
    <font>
      <sz val="11"/>
      <color indexed="81"/>
      <name val="Tahoma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4" tint="-0.249977111117893"/>
      <name val="Arial"/>
      <family val="2"/>
    </font>
    <font>
      <sz val="16"/>
      <name val="Arial"/>
      <family val="2"/>
    </font>
    <font>
      <sz val="16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b/>
      <sz val="20"/>
      <color theme="8" tint="-0.249977111117893"/>
      <name val="Arial"/>
      <family val="2"/>
    </font>
    <font>
      <b/>
      <sz val="9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b/>
      <sz val="14"/>
      <color theme="1"/>
      <name val="Calibri"/>
      <family val="2"/>
      <scheme val="minor"/>
    </font>
    <font>
      <u/>
      <sz val="12"/>
      <name val="Arial"/>
      <family val="2"/>
    </font>
    <font>
      <u/>
      <sz val="14"/>
      <color theme="4" tint="-0.249977111117893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 "/>
    </font>
    <font>
      <b/>
      <sz val="10"/>
      <color theme="0"/>
      <name val="Arial"/>
      <family val="2"/>
    </font>
    <font>
      <sz val="10"/>
      <name val="Arial"/>
      <family val="2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scheme val="minor"/>
    </font>
    <font>
      <sz val="10"/>
      <name val="Arial"/>
    </font>
    <font>
      <b/>
      <sz val="10"/>
      <name val="Arial"/>
    </font>
    <font>
      <sz val="11"/>
      <name val="Calibri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FF66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FF"/>
        <bgColor theme="4" tint="0.79998168889431442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170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6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0" fontId="15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Font="1"/>
    <xf numFmtId="0" fontId="0" fillId="5" borderId="5" xfId="0" applyFill="1" applyBorder="1"/>
    <xf numFmtId="0" fontId="0" fillId="5" borderId="8" xfId="0" applyFill="1" applyBorder="1"/>
    <xf numFmtId="0" fontId="0" fillId="5" borderId="0" xfId="0" applyFill="1"/>
    <xf numFmtId="0" fontId="0" fillId="5" borderId="10" xfId="0" applyFill="1" applyBorder="1"/>
    <xf numFmtId="0" fontId="0" fillId="5" borderId="11" xfId="0" applyFill="1" applyBorder="1"/>
    <xf numFmtId="0" fontId="22" fillId="5" borderId="6" xfId="0" applyFont="1" applyFill="1" applyBorder="1"/>
    <xf numFmtId="0" fontId="22" fillId="5" borderId="0" xfId="0" applyFont="1" applyFill="1"/>
    <xf numFmtId="0" fontId="23" fillId="5" borderId="0" xfId="0" applyFont="1" applyFill="1"/>
    <xf numFmtId="0" fontId="23" fillId="5" borderId="0" xfId="0" applyFont="1" applyFill="1" applyAlignment="1">
      <alignment horizontal="right"/>
    </xf>
    <xf numFmtId="0" fontId="26" fillId="5" borderId="0" xfId="0" applyFont="1" applyFill="1"/>
    <xf numFmtId="0" fontId="27" fillId="5" borderId="6" xfId="0" applyFont="1" applyFill="1" applyBorder="1" applyAlignment="1">
      <alignment horizontal="center" vertical="center"/>
    </xf>
    <xf numFmtId="0" fontId="25" fillId="5" borderId="0" xfId="0" applyFont="1" applyFill="1"/>
    <xf numFmtId="0" fontId="17" fillId="3" borderId="2" xfId="0" applyFont="1" applyFill="1" applyBorder="1" applyAlignment="1">
      <alignment horizontal="center" vertical="center"/>
    </xf>
    <xf numFmtId="0" fontId="17" fillId="3" borderId="18" xfId="0" applyFont="1" applyFill="1" applyBorder="1" applyAlignment="1">
      <alignment horizontal="center" vertical="center"/>
    </xf>
    <xf numFmtId="3" fontId="0" fillId="0" borderId="0" xfId="0" applyNumberFormat="1"/>
    <xf numFmtId="3" fontId="18" fillId="0" borderId="1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1" xfId="0" applyFont="1" applyBorder="1" applyAlignment="1">
      <alignment horizontal="left"/>
    </xf>
    <xf numFmtId="0" fontId="18" fillId="0" borderId="1" xfId="0" applyFont="1" applyBorder="1"/>
    <xf numFmtId="14" fontId="0" fillId="0" borderId="0" xfId="0" applyNumberFormat="1"/>
    <xf numFmtId="0" fontId="0" fillId="0" borderId="3" xfId="0" applyBorder="1" applyAlignment="1">
      <alignment horizontal="center"/>
    </xf>
    <xf numFmtId="0" fontId="4" fillId="0" borderId="13" xfId="0" applyFont="1" applyBorder="1"/>
    <xf numFmtId="14" fontId="4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5" fontId="4" fillId="0" borderId="1" xfId="1" applyNumberFormat="1" applyFont="1" applyFill="1" applyBorder="1" applyAlignment="1">
      <alignment horizontal="center"/>
    </xf>
    <xf numFmtId="0" fontId="4" fillId="0" borderId="23" xfId="0" applyFont="1" applyBorder="1"/>
    <xf numFmtId="14" fontId="4" fillId="0" borderId="3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3" xfId="0" applyFont="1" applyBorder="1"/>
    <xf numFmtId="0" fontId="3" fillId="0" borderId="23" xfId="0" applyFont="1" applyBorder="1"/>
    <xf numFmtId="1" fontId="0" fillId="0" borderId="3" xfId="0" applyNumberFormat="1" applyBorder="1" applyAlignment="1">
      <alignment horizontal="center"/>
    </xf>
    <xf numFmtId="0" fontId="4" fillId="0" borderId="1" xfId="0" applyFont="1" applyBorder="1"/>
    <xf numFmtId="0" fontId="3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166" fontId="18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 vertical="justify"/>
    </xf>
    <xf numFmtId="0" fontId="18" fillId="0" borderId="0" xfId="0" applyFont="1" applyAlignment="1">
      <alignment horizontal="center"/>
    </xf>
    <xf numFmtId="0" fontId="18" fillId="0" borderId="13" xfId="0" applyFont="1" applyBorder="1" applyAlignment="1">
      <alignment horizontal="left"/>
    </xf>
    <xf numFmtId="0" fontId="18" fillId="0" borderId="1" xfId="0" applyFont="1" applyBorder="1" applyProtection="1">
      <protection locked="0"/>
    </xf>
    <xf numFmtId="0" fontId="18" fillId="0" borderId="13" xfId="0" applyFont="1" applyBorder="1" applyAlignment="1" applyProtection="1">
      <alignment horizontal="left"/>
      <protection locked="0"/>
    </xf>
    <xf numFmtId="0" fontId="18" fillId="0" borderId="13" xfId="0" applyFont="1" applyBorder="1"/>
    <xf numFmtId="0" fontId="18" fillId="0" borderId="20" xfId="0" applyFont="1" applyBorder="1"/>
    <xf numFmtId="0" fontId="18" fillId="0" borderId="23" xfId="0" applyFont="1" applyBorder="1"/>
    <xf numFmtId="0" fontId="18" fillId="0" borderId="3" xfId="0" applyFont="1" applyBorder="1"/>
    <xf numFmtId="0" fontId="18" fillId="0" borderId="4" xfId="0" applyFont="1" applyBorder="1"/>
    <xf numFmtId="0" fontId="18" fillId="0" borderId="14" xfId="0" applyFont="1" applyBorder="1"/>
    <xf numFmtId="0" fontId="0" fillId="2" borderId="0" xfId="0" applyFill="1"/>
    <xf numFmtId="0" fontId="17" fillId="3" borderId="17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/>
    </xf>
    <xf numFmtId="0" fontId="32" fillId="5" borderId="0" xfId="2" applyFont="1" applyFill="1"/>
    <xf numFmtId="0" fontId="32" fillId="5" borderId="0" xfId="2" applyFont="1" applyFill="1" applyAlignment="1">
      <alignment horizontal="left"/>
    </xf>
    <xf numFmtId="0" fontId="33" fillId="5" borderId="0" xfId="2" applyFont="1" applyFill="1"/>
    <xf numFmtId="0" fontId="3" fillId="9" borderId="13" xfId="0" applyFont="1" applyFill="1" applyBorder="1"/>
    <xf numFmtId="0" fontId="34" fillId="0" borderId="3" xfId="0" applyFont="1" applyBorder="1" applyAlignment="1">
      <alignment horizontal="center"/>
    </xf>
    <xf numFmtId="0" fontId="34" fillId="0" borderId="23" xfId="0" applyFont="1" applyBorder="1"/>
    <xf numFmtId="14" fontId="34" fillId="0" borderId="3" xfId="0" applyNumberFormat="1" applyFont="1" applyBorder="1" applyAlignment="1">
      <alignment horizontal="center"/>
    </xf>
    <xf numFmtId="165" fontId="34" fillId="0" borderId="3" xfId="1" applyNumberFormat="1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3" fontId="0" fillId="0" borderId="1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2" fillId="0" borderId="1" xfId="0" applyFont="1" applyBorder="1"/>
    <xf numFmtId="0" fontId="0" fillId="8" borderId="1" xfId="0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5" fillId="2" borderId="0" xfId="0" applyFont="1" applyFill="1"/>
    <xf numFmtId="0" fontId="0" fillId="2" borderId="9" xfId="0" applyFill="1" applyBorder="1"/>
    <xf numFmtId="9" fontId="0" fillId="2" borderId="0" xfId="4" applyFont="1" applyFill="1" applyBorder="1" applyAlignment="1">
      <alignment horizontal="center"/>
    </xf>
    <xf numFmtId="2" fontId="0" fillId="2" borderId="0" xfId="0" applyNumberFormat="1" applyFill="1"/>
    <xf numFmtId="0" fontId="0" fillId="2" borderId="15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0" fillId="11" borderId="1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5" fillId="12" borderId="1" xfId="0" applyNumberFormat="1" applyFon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9" fontId="0" fillId="11" borderId="1" xfId="4" applyFont="1" applyFill="1" applyBorder="1" applyAlignment="1">
      <alignment horizontal="center" vertical="center"/>
    </xf>
    <xf numFmtId="9" fontId="2" fillId="12" borderId="1" xfId="4" applyFont="1" applyFill="1" applyBorder="1" applyAlignment="1">
      <alignment horizontal="center" vertical="center"/>
    </xf>
    <xf numFmtId="0" fontId="2" fillId="2" borderId="0" xfId="0" applyFont="1" applyFill="1"/>
    <xf numFmtId="0" fontId="31" fillId="2" borderId="0" xfId="0" applyFont="1" applyFill="1" applyAlignment="1">
      <alignment horizontal="center"/>
    </xf>
    <xf numFmtId="0" fontId="35" fillId="2" borderId="0" xfId="0" applyFont="1" applyFill="1"/>
    <xf numFmtId="0" fontId="0" fillId="0" borderId="0" xfId="0" applyAlignment="1">
      <alignment horizontal="center" vertical="center"/>
    </xf>
    <xf numFmtId="0" fontId="0" fillId="0" borderId="0" xfId="0" pivotButton="1"/>
    <xf numFmtId="1" fontId="0" fillId="0" borderId="0" xfId="0" applyNumberFormat="1"/>
    <xf numFmtId="0" fontId="15" fillId="0" borderId="0" xfId="0" applyFont="1"/>
    <xf numFmtId="0" fontId="4" fillId="0" borderId="0" xfId="0" applyFont="1"/>
    <xf numFmtId="167" fontId="4" fillId="0" borderId="0" xfId="0" applyNumberFormat="1" applyFont="1" applyAlignment="1">
      <alignment horizontal="right"/>
    </xf>
    <xf numFmtId="1" fontId="0" fillId="0" borderId="0" xfId="0" applyNumberForma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1" fontId="2" fillId="10" borderId="24" xfId="0" applyNumberFormat="1" applyFon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/>
    </xf>
    <xf numFmtId="0" fontId="15" fillId="0" borderId="4" xfId="0" applyFont="1" applyBorder="1"/>
    <xf numFmtId="167" fontId="4" fillId="0" borderId="16" xfId="0" applyNumberFormat="1" applyFont="1" applyBorder="1" applyAlignment="1">
      <alignment horizontal="center"/>
    </xf>
    <xf numFmtId="0" fontId="15" fillId="0" borderId="22" xfId="0" applyFont="1" applyBorder="1"/>
    <xf numFmtId="167" fontId="4" fillId="0" borderId="0" xfId="0" applyNumberFormat="1" applyFont="1" applyAlignment="1">
      <alignment horizontal="center"/>
    </xf>
    <xf numFmtId="167" fontId="4" fillId="0" borderId="21" xfId="0" applyNumberFormat="1" applyFont="1" applyBorder="1" applyAlignment="1">
      <alignment horizontal="left"/>
    </xf>
    <xf numFmtId="0" fontId="15" fillId="0" borderId="18" xfId="0" applyFont="1" applyBorder="1"/>
    <xf numFmtId="2" fontId="4" fillId="0" borderId="15" xfId="0" applyNumberFormat="1" applyFont="1" applyBorder="1" applyAlignment="1">
      <alignment horizontal="center"/>
    </xf>
    <xf numFmtId="167" fontId="4" fillId="0" borderId="17" xfId="0" applyNumberFormat="1" applyFont="1" applyBorder="1" applyAlignment="1">
      <alignment horizontal="left"/>
    </xf>
    <xf numFmtId="165" fontId="4" fillId="0" borderId="3" xfId="1" applyNumberFormat="1" applyFont="1" applyFill="1" applyBorder="1" applyAlignment="1">
      <alignment horizontal="center"/>
    </xf>
    <xf numFmtId="3" fontId="18" fillId="4" borderId="1" xfId="0" applyNumberFormat="1" applyFont="1" applyFill="1" applyBorder="1" applyAlignment="1">
      <alignment horizontal="center"/>
    </xf>
    <xf numFmtId="3" fontId="0" fillId="3" borderId="26" xfId="0" applyNumberFormat="1" applyFill="1" applyBorder="1"/>
    <xf numFmtId="0" fontId="0" fillId="3" borderId="26" xfId="0" applyFill="1" applyBorder="1" applyAlignment="1">
      <alignment horizontal="center"/>
    </xf>
    <xf numFmtId="166" fontId="0" fillId="3" borderId="26" xfId="4" applyNumberFormat="1" applyFont="1" applyFill="1" applyBorder="1" applyAlignment="1">
      <alignment horizontal="center"/>
    </xf>
    <xf numFmtId="9" fontId="0" fillId="3" borderId="26" xfId="4" applyFont="1" applyFill="1" applyBorder="1" applyAlignment="1">
      <alignment horizontal="center"/>
    </xf>
    <xf numFmtId="1" fontId="0" fillId="3" borderId="26" xfId="4" applyNumberFormat="1" applyFont="1" applyFill="1" applyBorder="1" applyAlignment="1">
      <alignment horizontal="center"/>
    </xf>
    <xf numFmtId="0" fontId="0" fillId="3" borderId="26" xfId="0" applyFill="1" applyBorder="1"/>
    <xf numFmtId="0" fontId="0" fillId="0" borderId="26" xfId="0" applyBorder="1" applyAlignment="1">
      <alignment horizontal="left"/>
    </xf>
    <xf numFmtId="0" fontId="3" fillId="0" borderId="26" xfId="0" applyFont="1" applyBorder="1" applyAlignment="1">
      <alignment horizontal="center"/>
    </xf>
    <xf numFmtId="0" fontId="4" fillId="0" borderId="26" xfId="0" applyFont="1" applyBorder="1" applyAlignment="1">
      <alignment horizontal="left" vertical="justify"/>
    </xf>
    <xf numFmtId="3" fontId="0" fillId="0" borderId="26" xfId="0" applyNumberFormat="1" applyBorder="1"/>
    <xf numFmtId="0" fontId="0" fillId="0" borderId="26" xfId="0" applyBorder="1" applyAlignment="1">
      <alignment horizontal="center"/>
    </xf>
    <xf numFmtId="3" fontId="0" fillId="0" borderId="26" xfId="0" applyNumberFormat="1" applyBorder="1" applyAlignment="1">
      <alignment horizontal="center"/>
    </xf>
    <xf numFmtId="3" fontId="0" fillId="13" borderId="26" xfId="0" applyNumberFormat="1" applyFill="1" applyBorder="1" applyAlignment="1">
      <alignment horizontal="center"/>
    </xf>
    <xf numFmtId="166" fontId="0" fillId="0" borderId="26" xfId="4" applyNumberFormat="1" applyFont="1" applyBorder="1" applyAlignment="1">
      <alignment horizontal="center"/>
    </xf>
    <xf numFmtId="9" fontId="0" fillId="0" borderId="26" xfId="4" applyFont="1" applyBorder="1" applyAlignment="1">
      <alignment horizontal="center"/>
    </xf>
    <xf numFmtId="0" fontId="4" fillId="0" borderId="26" xfId="0" applyFont="1" applyBorder="1" applyAlignment="1">
      <alignment horizontal="left"/>
    </xf>
    <xf numFmtId="1" fontId="0" fillId="0" borderId="26" xfId="4" applyNumberFormat="1" applyFont="1" applyFill="1" applyBorder="1" applyAlignment="1">
      <alignment horizontal="center"/>
    </xf>
    <xf numFmtId="0" fontId="15" fillId="6" borderId="26" xfId="0" applyFont="1" applyFill="1" applyBorder="1" applyAlignment="1">
      <alignment horizontal="center" vertical="center"/>
    </xf>
    <xf numFmtId="0" fontId="15" fillId="6" borderId="26" xfId="0" applyFont="1" applyFill="1" applyBorder="1" applyAlignment="1">
      <alignment horizontal="center" vertical="center" wrapText="1"/>
    </xf>
    <xf numFmtId="3" fontId="15" fillId="6" borderId="26" xfId="0" applyNumberFormat="1" applyFont="1" applyFill="1" applyBorder="1" applyAlignment="1">
      <alignment horizontal="center" vertical="center" wrapText="1"/>
    </xf>
    <xf numFmtId="0" fontId="2" fillId="6" borderId="26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 wrapText="1"/>
    </xf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166" fontId="0" fillId="5" borderId="26" xfId="4" applyNumberFormat="1" applyFont="1" applyFill="1" applyBorder="1" applyAlignment="1">
      <alignment horizontal="center"/>
    </xf>
    <xf numFmtId="1" fontId="0" fillId="5" borderId="26" xfId="4" applyNumberFormat="1" applyFont="1" applyFill="1" applyBorder="1" applyAlignment="1">
      <alignment horizontal="center"/>
    </xf>
    <xf numFmtId="0" fontId="5" fillId="0" borderId="26" xfId="0" applyFont="1" applyBorder="1" applyAlignment="1">
      <alignment vertical="center"/>
    </xf>
    <xf numFmtId="1" fontId="0" fillId="0" borderId="26" xfId="4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0" fillId="12" borderId="26" xfId="0" applyFill="1" applyBorder="1" applyAlignment="1">
      <alignment horizontal="left"/>
    </xf>
    <xf numFmtId="0" fontId="3" fillId="12" borderId="26" xfId="0" applyFont="1" applyFill="1" applyBorder="1" applyAlignment="1">
      <alignment horizontal="center"/>
    </xf>
    <xf numFmtId="0" fontId="4" fillId="12" borderId="26" xfId="0" applyFont="1" applyFill="1" applyBorder="1" applyAlignment="1">
      <alignment horizontal="left" vertical="justify"/>
    </xf>
    <xf numFmtId="3" fontId="0" fillId="12" borderId="26" xfId="0" applyNumberFormat="1" applyFill="1" applyBorder="1"/>
    <xf numFmtId="3" fontId="0" fillId="12" borderId="26" xfId="0" applyNumberFormat="1" applyFill="1" applyBorder="1" applyAlignment="1">
      <alignment horizontal="center"/>
    </xf>
    <xf numFmtId="0" fontId="4" fillId="12" borderId="26" xfId="0" applyFont="1" applyFill="1" applyBorder="1" applyAlignment="1">
      <alignment horizontal="left"/>
    </xf>
    <xf numFmtId="0" fontId="0" fillId="0" borderId="26" xfId="0" applyBorder="1" applyAlignment="1">
      <alignment horizontal="left" vertical="top" wrapText="1"/>
    </xf>
    <xf numFmtId="0" fontId="0" fillId="12" borderId="26" xfId="0" applyFill="1" applyBorder="1" applyAlignment="1">
      <alignment horizontal="center"/>
    </xf>
    <xf numFmtId="0" fontId="4" fillId="12" borderId="26" xfId="0" applyFont="1" applyFill="1" applyBorder="1" applyAlignment="1">
      <alignment horizontal="center" vertical="justify"/>
    </xf>
    <xf numFmtId="0" fontId="4" fillId="0" borderId="26" xfId="0" applyFont="1" applyBorder="1" applyAlignment="1">
      <alignment horizontal="center" vertical="justify"/>
    </xf>
    <xf numFmtId="166" fontId="0" fillId="0" borderId="26" xfId="4" applyNumberFormat="1" applyFont="1" applyFill="1" applyBorder="1" applyAlignment="1">
      <alignment horizontal="center"/>
    </xf>
    <xf numFmtId="9" fontId="0" fillId="0" borderId="26" xfId="4" applyFont="1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vertical="center"/>
    </xf>
    <xf numFmtId="3" fontId="0" fillId="0" borderId="26" xfId="0" applyNumberFormat="1" applyBorder="1" applyAlignment="1">
      <alignment horizontal="center" vertical="center"/>
    </xf>
    <xf numFmtId="166" fontId="0" fillId="0" borderId="26" xfId="4" applyNumberFormat="1" applyFont="1" applyFill="1" applyBorder="1" applyAlignment="1">
      <alignment horizontal="center" vertical="center"/>
    </xf>
    <xf numFmtId="9" fontId="0" fillId="0" borderId="26" xfId="4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3" fontId="0" fillId="0" borderId="26" xfId="0" applyNumberFormat="1" applyBorder="1" applyAlignment="1">
      <alignment horizontal="left"/>
    </xf>
    <xf numFmtId="0" fontId="34" fillId="0" borderId="1" xfId="0" applyFont="1" applyBorder="1"/>
    <xf numFmtId="14" fontId="34" fillId="0" borderId="1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65" fontId="34" fillId="0" borderId="1" xfId="1" applyNumberFormat="1" applyFont="1" applyFill="1" applyBorder="1" applyAlignment="1">
      <alignment horizontal="center"/>
    </xf>
    <xf numFmtId="0" fontId="34" fillId="0" borderId="13" xfId="0" applyFont="1" applyBorder="1"/>
    <xf numFmtId="3" fontId="0" fillId="3" borderId="26" xfId="0" applyNumberForma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3" fontId="0" fillId="0" borderId="26" xfId="0" applyNumberFormat="1" applyBorder="1" applyAlignment="1">
      <alignment horizontal="right" vertical="center"/>
    </xf>
    <xf numFmtId="3" fontId="18" fillId="0" borderId="26" xfId="0" applyNumberFormat="1" applyFont="1" applyBorder="1" applyAlignment="1">
      <alignment horizontal="center"/>
    </xf>
    <xf numFmtId="4" fontId="18" fillId="0" borderId="1" xfId="0" applyNumberFormat="1" applyFon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3" fontId="18" fillId="0" borderId="26" xfId="0" applyNumberFormat="1" applyFont="1" applyBorder="1" applyAlignment="1">
      <alignment horizontal="center" vertical="center"/>
    </xf>
    <xf numFmtId="3" fontId="0" fillId="3" borderId="26" xfId="0" applyNumberFormat="1" applyFill="1" applyBorder="1" applyAlignment="1">
      <alignment horizontal="left"/>
    </xf>
    <xf numFmtId="1" fontId="2" fillId="14" borderId="24" xfId="0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3" fillId="0" borderId="26" xfId="0" applyFont="1" applyBorder="1" applyAlignment="1">
      <alignment horizontal="center" vertical="center"/>
    </xf>
    <xf numFmtId="0" fontId="2" fillId="16" borderId="26" xfId="0" applyFont="1" applyFill="1" applyBorder="1" applyAlignment="1">
      <alignment horizontal="center" vertical="center" wrapText="1"/>
    </xf>
    <xf numFmtId="0" fontId="2" fillId="15" borderId="26" xfId="0" applyFont="1" applyFill="1" applyBorder="1" applyAlignment="1">
      <alignment horizontal="center" vertical="center" wrapText="1"/>
    </xf>
    <xf numFmtId="167" fontId="0" fillId="0" borderId="26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71" fontId="0" fillId="0" borderId="26" xfId="0" applyNumberFormat="1" applyBorder="1" applyAlignment="1">
      <alignment horizontal="center"/>
    </xf>
    <xf numFmtId="164" fontId="0" fillId="0" borderId="0" xfId="3" applyFont="1" applyFill="1"/>
    <xf numFmtId="0" fontId="15" fillId="17" borderId="26" xfId="0" applyFont="1" applyFill="1" applyBorder="1" applyAlignment="1">
      <alignment horizontal="center" vertical="center" wrapText="1"/>
    </xf>
    <xf numFmtId="0" fontId="15" fillId="12" borderId="26" xfId="0" applyFont="1" applyFill="1" applyBorder="1" applyAlignment="1">
      <alignment horizontal="center" vertical="center" wrapText="1"/>
    </xf>
    <xf numFmtId="0" fontId="15" fillId="10" borderId="26" xfId="0" applyFont="1" applyFill="1" applyBorder="1" applyAlignment="1">
      <alignment horizontal="center" vertical="center" wrapText="1"/>
    </xf>
    <xf numFmtId="0" fontId="2" fillId="10" borderId="26" xfId="0" applyFont="1" applyFill="1" applyBorder="1" applyAlignment="1">
      <alignment horizontal="center" vertical="center" wrapText="1"/>
    </xf>
    <xf numFmtId="0" fontId="18" fillId="4" borderId="13" xfId="0" applyFont="1" applyFill="1" applyBorder="1" applyAlignment="1">
      <alignment horizontal="left"/>
    </xf>
    <xf numFmtId="0" fontId="18" fillId="4" borderId="23" xfId="0" applyFont="1" applyFill="1" applyBorder="1" applyAlignment="1">
      <alignment horizontal="left"/>
    </xf>
    <xf numFmtId="1" fontId="0" fillId="10" borderId="0" xfId="0" applyNumberFormat="1" applyFill="1" applyAlignment="1">
      <alignment horizontal="center" vertical="center"/>
    </xf>
    <xf numFmtId="3" fontId="18" fillId="12" borderId="26" xfId="0" applyNumberFormat="1" applyFont="1" applyFill="1" applyBorder="1" applyAlignment="1">
      <alignment horizontal="center"/>
    </xf>
    <xf numFmtId="0" fontId="15" fillId="7" borderId="26" xfId="0" applyFont="1" applyFill="1" applyBorder="1" applyAlignment="1">
      <alignment horizontal="center" vertical="center" wrapText="1"/>
    </xf>
    <xf numFmtId="0" fontId="3" fillId="0" borderId="30" xfId="0" applyFont="1" applyBorder="1" applyAlignment="1">
      <alignment horizontal="center"/>
    </xf>
    <xf numFmtId="0" fontId="4" fillId="0" borderId="30" xfId="0" applyFont="1" applyBorder="1" applyAlignment="1">
      <alignment horizontal="left"/>
    </xf>
    <xf numFmtId="0" fontId="3" fillId="0" borderId="31" xfId="0" applyFont="1" applyBorder="1" applyAlignment="1">
      <alignment horizontal="center"/>
    </xf>
    <xf numFmtId="0" fontId="4" fillId="0" borderId="31" xfId="0" applyFont="1" applyBorder="1" applyAlignment="1">
      <alignment horizontal="left"/>
    </xf>
    <xf numFmtId="0" fontId="15" fillId="3" borderId="27" xfId="0" applyFont="1" applyFill="1" applyBorder="1"/>
    <xf numFmtId="0" fontId="4" fillId="0" borderId="30" xfId="0" applyFont="1" applyBorder="1" applyAlignment="1">
      <alignment horizontal="center"/>
    </xf>
    <xf numFmtId="0" fontId="15" fillId="3" borderId="20" xfId="0" applyFont="1" applyFill="1" applyBorder="1"/>
    <xf numFmtId="0" fontId="15" fillId="3" borderId="14" xfId="0" applyFont="1" applyFill="1" applyBorder="1"/>
    <xf numFmtId="0" fontId="15" fillId="3" borderId="13" xfId="0" applyFont="1" applyFill="1" applyBorder="1"/>
    <xf numFmtId="0" fontId="0" fillId="0" borderId="31" xfId="0" applyBorder="1" applyAlignment="1">
      <alignment horizontal="left"/>
    </xf>
    <xf numFmtId="0" fontId="15" fillId="3" borderId="20" xfId="0" applyFont="1" applyFill="1" applyBorder="1" applyAlignment="1">
      <alignment vertical="center"/>
    </xf>
    <xf numFmtId="0" fontId="15" fillId="3" borderId="14" xfId="0" applyFont="1" applyFill="1" applyBorder="1" applyAlignment="1">
      <alignment vertical="center"/>
    </xf>
    <xf numFmtId="0" fontId="15" fillId="3" borderId="13" xfId="0" applyFont="1" applyFill="1" applyBorder="1" applyAlignment="1">
      <alignment vertical="center"/>
    </xf>
    <xf numFmtId="0" fontId="28" fillId="3" borderId="27" xfId="0" applyFont="1" applyFill="1" applyBorder="1"/>
    <xf numFmtId="0" fontId="28" fillId="3" borderId="28" xfId="0" applyFont="1" applyFill="1" applyBorder="1"/>
    <xf numFmtId="0" fontId="28" fillId="3" borderId="29" xfId="0" applyFont="1" applyFill="1" applyBorder="1"/>
    <xf numFmtId="0" fontId="0" fillId="3" borderId="26" xfId="0" applyFill="1" applyBorder="1" applyAlignment="1">
      <alignment horizontal="left"/>
    </xf>
    <xf numFmtId="0" fontId="28" fillId="3" borderId="20" xfId="0" applyFont="1" applyFill="1" applyBorder="1"/>
    <xf numFmtId="0" fontId="28" fillId="3" borderId="14" xfId="0" applyFont="1" applyFill="1" applyBorder="1"/>
    <xf numFmtId="0" fontId="28" fillId="3" borderId="13" xfId="0" applyFont="1" applyFill="1" applyBorder="1"/>
    <xf numFmtId="3" fontId="0" fillId="14" borderId="1" xfId="0" applyNumberFormat="1" applyFill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left"/>
    </xf>
    <xf numFmtId="0" fontId="0" fillId="18" borderId="26" xfId="0" applyFill="1" applyBorder="1" applyAlignment="1">
      <alignment horizontal="left"/>
    </xf>
    <xf numFmtId="0" fontId="4" fillId="18" borderId="26" xfId="0" applyFont="1" applyFill="1" applyBorder="1" applyAlignment="1">
      <alignment horizontal="left" vertical="justify"/>
    </xf>
    <xf numFmtId="3" fontId="0" fillId="10" borderId="1" xfId="0" applyNumberFormat="1" applyFill="1" applyBorder="1" applyAlignment="1">
      <alignment horizontal="center"/>
    </xf>
    <xf numFmtId="0" fontId="0" fillId="19" borderId="0" xfId="0" applyFill="1" applyAlignment="1">
      <alignment horizontal="left"/>
    </xf>
    <xf numFmtId="0" fontId="0" fillId="19" borderId="0" xfId="0" applyFill="1"/>
    <xf numFmtId="0" fontId="4" fillId="19" borderId="0" xfId="0" applyFont="1" applyFill="1" applyAlignment="1">
      <alignment horizontal="left" vertical="justify"/>
    </xf>
    <xf numFmtId="0" fontId="0" fillId="20" borderId="0" xfId="0" applyFill="1" applyAlignment="1">
      <alignment horizontal="center"/>
    </xf>
    <xf numFmtId="0" fontId="3" fillId="14" borderId="26" xfId="0" applyFont="1" applyFill="1" applyBorder="1" applyAlignment="1">
      <alignment horizontal="center"/>
    </xf>
    <xf numFmtId="0" fontId="4" fillId="21" borderId="26" xfId="0" applyFont="1" applyFill="1" applyBorder="1" applyAlignment="1">
      <alignment horizontal="left"/>
    </xf>
    <xf numFmtId="0" fontId="3" fillId="21" borderId="30" xfId="0" applyFont="1" applyFill="1" applyBorder="1" applyAlignment="1">
      <alignment horizontal="center"/>
    </xf>
    <xf numFmtId="0" fontId="4" fillId="21" borderId="30" xfId="0" applyFont="1" applyFill="1" applyBorder="1" applyAlignment="1">
      <alignment horizontal="left"/>
    </xf>
    <xf numFmtId="3" fontId="0" fillId="22" borderId="26" xfId="0" applyNumberFormat="1" applyFill="1" applyBorder="1" applyAlignment="1">
      <alignment horizontal="center"/>
    </xf>
    <xf numFmtId="0" fontId="15" fillId="14" borderId="26" xfId="0" applyFont="1" applyFill="1" applyBorder="1" applyAlignment="1">
      <alignment horizontal="center" vertical="center" wrapText="1"/>
    </xf>
    <xf numFmtId="3" fontId="15" fillId="14" borderId="26" xfId="0" applyNumberFormat="1" applyFont="1" applyFill="1" applyBorder="1" applyAlignment="1">
      <alignment horizontal="center" vertical="center" wrapText="1"/>
    </xf>
    <xf numFmtId="0" fontId="39" fillId="0" borderId="13" xfId="0" applyFont="1" applyBorder="1"/>
    <xf numFmtId="14" fontId="39" fillId="0" borderId="1" xfId="0" applyNumberFormat="1" applyFont="1" applyBorder="1" applyAlignment="1">
      <alignment horizontal="center"/>
    </xf>
    <xf numFmtId="1" fontId="39" fillId="0" borderId="1" xfId="0" applyNumberFormat="1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165" fontId="39" fillId="0" borderId="1" xfId="1" applyNumberFormat="1" applyFont="1" applyFill="1" applyBorder="1" applyAlignment="1">
      <alignment horizontal="center"/>
    </xf>
    <xf numFmtId="0" fontId="18" fillId="0" borderId="16" xfId="0" applyFont="1" applyBorder="1"/>
    <xf numFmtId="0" fontId="4" fillId="0" borderId="1" xfId="0" applyFont="1" applyBorder="1" applyAlignment="1">
      <alignment horizontal="left"/>
    </xf>
    <xf numFmtId="0" fontId="16" fillId="3" borderId="2" xfId="0" applyFont="1" applyFill="1" applyBorder="1" applyAlignment="1">
      <alignment horizontal="left" vertical="center" wrapText="1"/>
    </xf>
    <xf numFmtId="0" fontId="17" fillId="3" borderId="2" xfId="0" applyFont="1" applyFill="1" applyBorder="1" applyAlignment="1">
      <alignment horizontal="left" vertical="center" wrapText="1"/>
    </xf>
    <xf numFmtId="0" fontId="17" fillId="3" borderId="0" xfId="0" applyFont="1" applyFill="1" applyAlignment="1">
      <alignment horizontal="left" vertical="center" wrapText="1"/>
    </xf>
    <xf numFmtId="0" fontId="17" fillId="3" borderId="17" xfId="0" applyFont="1" applyFill="1" applyBorder="1" applyAlignment="1">
      <alignment horizontal="left"/>
    </xf>
    <xf numFmtId="0" fontId="17" fillId="3" borderId="2" xfId="0" applyFont="1" applyFill="1" applyBorder="1" applyAlignment="1">
      <alignment horizontal="left"/>
    </xf>
    <xf numFmtId="0" fontId="17" fillId="5" borderId="17" xfId="0" applyFont="1" applyFill="1" applyBorder="1" applyAlignment="1">
      <alignment horizontal="left"/>
    </xf>
    <xf numFmtId="0" fontId="17" fillId="5" borderId="18" xfId="0" applyFont="1" applyFill="1" applyBorder="1" applyAlignment="1">
      <alignment horizontal="left"/>
    </xf>
    <xf numFmtId="0" fontId="17" fillId="5" borderId="15" xfId="0" applyFont="1" applyFill="1" applyBorder="1" applyAlignment="1">
      <alignment horizontal="left"/>
    </xf>
    <xf numFmtId="0" fontId="17" fillId="3" borderId="15" xfId="0" applyFont="1" applyFill="1" applyBorder="1" applyAlignment="1">
      <alignment horizontal="left" vertical="center" wrapText="1"/>
    </xf>
    <xf numFmtId="0" fontId="18" fillId="0" borderId="1" xfId="0" applyFont="1" applyBorder="1" applyAlignment="1">
      <alignment vertical="center"/>
    </xf>
    <xf numFmtId="0" fontId="17" fillId="3" borderId="17" xfId="0" applyFont="1" applyFill="1" applyBorder="1" applyAlignment="1">
      <alignment horizontal="left" vertical="center" wrapText="1"/>
    </xf>
    <xf numFmtId="0" fontId="18" fillId="0" borderId="14" xfId="0" applyFont="1" applyBorder="1" applyAlignment="1">
      <alignment horizontal="left"/>
    </xf>
    <xf numFmtId="0" fontId="18" fillId="0" borderId="16" xfId="0" applyFont="1" applyBorder="1" applyAlignment="1">
      <alignment horizontal="left"/>
    </xf>
    <xf numFmtId="0" fontId="18" fillId="0" borderId="1" xfId="0" applyFont="1" applyBorder="1" applyAlignment="1">
      <alignment horizontal="left" vertical="justify"/>
    </xf>
    <xf numFmtId="0" fontId="18" fillId="0" borderId="0" xfId="5" applyFont="1"/>
    <xf numFmtId="0" fontId="15" fillId="5" borderId="1" xfId="0" applyFont="1" applyFill="1" applyBorder="1" applyAlignment="1">
      <alignment horizontal="left" vertical="center" wrapText="1"/>
    </xf>
    <xf numFmtId="0" fontId="41" fillId="0" borderId="0" xfId="0" applyFont="1"/>
    <xf numFmtId="0" fontId="42" fillId="24" borderId="2" xfId="0" applyFont="1" applyFill="1" applyBorder="1" applyAlignment="1">
      <alignment horizontal="left" vertical="center" wrapText="1"/>
    </xf>
    <xf numFmtId="0" fontId="42" fillId="24" borderId="18" xfId="0" applyFont="1" applyFill="1" applyBorder="1" applyAlignment="1">
      <alignment horizontal="left" vertical="center" wrapText="1"/>
    </xf>
    <xf numFmtId="0" fontId="18" fillId="23" borderId="0" xfId="0" applyFont="1" applyFill="1" applyAlignment="1">
      <alignment horizontal="left"/>
    </xf>
    <xf numFmtId="172" fontId="0" fillId="0" borderId="0" xfId="1" applyNumberFormat="1" applyFont="1" applyBorder="1"/>
    <xf numFmtId="0" fontId="18" fillId="0" borderId="23" xfId="0" applyFont="1" applyBorder="1" applyAlignment="1">
      <alignment horizontal="left"/>
    </xf>
    <xf numFmtId="0" fontId="18" fillId="0" borderId="3" xfId="0" applyFont="1" applyBorder="1" applyAlignment="1">
      <alignment horizontal="left" vertical="justify"/>
    </xf>
    <xf numFmtId="14" fontId="2" fillId="5" borderId="19" xfId="0" applyNumberFormat="1" applyFont="1" applyFill="1" applyBorder="1" applyAlignment="1">
      <alignment horizontal="left" vertical="center"/>
    </xf>
    <xf numFmtId="0" fontId="2" fillId="5" borderId="19" xfId="0" applyFont="1" applyFill="1" applyBorder="1" applyAlignment="1">
      <alignment horizontal="left" vertical="center"/>
    </xf>
    <xf numFmtId="0" fontId="2" fillId="5" borderId="22" xfId="0" applyFont="1" applyFill="1" applyBorder="1" applyAlignment="1">
      <alignment horizontal="left" vertical="center"/>
    </xf>
    <xf numFmtId="0" fontId="15" fillId="5" borderId="2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left" vertical="center"/>
    </xf>
    <xf numFmtId="3" fontId="16" fillId="3" borderId="2" xfId="0" applyNumberFormat="1" applyFont="1" applyFill="1" applyBorder="1" applyAlignment="1">
      <alignment horizontal="left" vertical="center" wrapText="1"/>
    </xf>
    <xf numFmtId="0" fontId="16" fillId="3" borderId="18" xfId="0" applyFont="1" applyFill="1" applyBorder="1" applyAlignment="1">
      <alignment horizontal="left" vertical="center"/>
    </xf>
    <xf numFmtId="3" fontId="0" fillId="8" borderId="26" xfId="0" applyNumberForma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14" borderId="0" xfId="0" applyNumberFormat="1" applyFill="1" applyAlignment="1">
      <alignment horizontal="center"/>
    </xf>
    <xf numFmtId="1" fontId="0" fillId="14" borderId="0" xfId="0" applyNumberFormat="1" applyFill="1" applyAlignment="1">
      <alignment horizontal="center" vertical="center"/>
    </xf>
    <xf numFmtId="0" fontId="41" fillId="0" borderId="32" xfId="0" applyFont="1" applyBorder="1"/>
    <xf numFmtId="0" fontId="41" fillId="0" borderId="33" xfId="0" applyFont="1" applyBorder="1"/>
    <xf numFmtId="0" fontId="41" fillId="23" borderId="32" xfId="0" applyFont="1" applyFill="1" applyBorder="1"/>
    <xf numFmtId="0" fontId="41" fillId="23" borderId="33" xfId="0" applyFont="1" applyFill="1" applyBorder="1"/>
    <xf numFmtId="0" fontId="34" fillId="14" borderId="3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39" fillId="14" borderId="1" xfId="0" applyFont="1" applyFill="1" applyBorder="1" applyAlignment="1">
      <alignment horizontal="center"/>
    </xf>
    <xf numFmtId="0" fontId="43" fillId="0" borderId="13" xfId="0" applyFont="1" applyBorder="1"/>
    <xf numFmtId="14" fontId="43" fillId="0" borderId="1" xfId="0" applyNumberFormat="1" applyFont="1" applyBorder="1" applyAlignment="1">
      <alignment horizontal="center"/>
    </xf>
    <xf numFmtId="0" fontId="43" fillId="0" borderId="1" xfId="0" applyFont="1" applyBorder="1" applyAlignment="1">
      <alignment horizontal="center"/>
    </xf>
    <xf numFmtId="165" fontId="43" fillId="0" borderId="1" xfId="1" applyNumberFormat="1" applyFont="1" applyFill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3" fillId="8" borderId="3" xfId="0" applyFont="1" applyFill="1" applyBorder="1" applyAlignment="1">
      <alignment horizontal="center"/>
    </xf>
    <xf numFmtId="0" fontId="43" fillId="8" borderId="1" xfId="0" applyFont="1" applyFill="1" applyBorder="1" applyAlignment="1">
      <alignment horizontal="center"/>
    </xf>
    <xf numFmtId="0" fontId="43" fillId="0" borderId="23" xfId="0" applyFont="1" applyBorder="1" applyAlignment="1">
      <alignment horizontal="center"/>
    </xf>
    <xf numFmtId="0" fontId="43" fillId="14" borderId="1" xfId="0" applyFont="1" applyFill="1" applyBorder="1" applyAlignment="1">
      <alignment horizontal="center"/>
    </xf>
    <xf numFmtId="4" fontId="0" fillId="8" borderId="26" xfId="0" applyNumberFormat="1" applyFill="1" applyBorder="1" applyAlignment="1">
      <alignment horizontal="center"/>
    </xf>
    <xf numFmtId="3" fontId="38" fillId="0" borderId="2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4" fontId="0" fillId="0" borderId="26" xfId="0" applyNumberFormat="1" applyBorder="1"/>
    <xf numFmtId="4" fontId="18" fillId="0" borderId="26" xfId="0" applyNumberFormat="1" applyFont="1" applyBorder="1"/>
    <xf numFmtId="0" fontId="0" fillId="19" borderId="26" xfId="0" applyFill="1" applyBorder="1" applyAlignment="1">
      <alignment horizontal="left"/>
    </xf>
    <xf numFmtId="0" fontId="3" fillId="19" borderId="26" xfId="0" applyFont="1" applyFill="1" applyBorder="1" applyAlignment="1">
      <alignment horizontal="center"/>
    </xf>
    <xf numFmtId="0" fontId="4" fillId="19" borderId="26" xfId="0" applyFont="1" applyFill="1" applyBorder="1" applyAlignment="1">
      <alignment horizontal="left" vertical="justify"/>
    </xf>
    <xf numFmtId="0" fontId="18" fillId="0" borderId="26" xfId="0" applyFont="1" applyBorder="1" applyAlignment="1">
      <alignment horizontal="left"/>
    </xf>
    <xf numFmtId="0" fontId="44" fillId="19" borderId="26" xfId="0" applyFont="1" applyFill="1" applyBorder="1" applyAlignment="1">
      <alignment horizontal="center" vertical="center" wrapText="1"/>
    </xf>
    <xf numFmtId="3" fontId="38" fillId="14" borderId="26" xfId="0" applyNumberFormat="1" applyFont="1" applyFill="1" applyBorder="1" applyAlignment="1">
      <alignment horizontal="center"/>
    </xf>
    <xf numFmtId="0" fontId="45" fillId="20" borderId="2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8" fillId="23" borderId="13" xfId="0" applyFont="1" applyFill="1" applyBorder="1"/>
    <xf numFmtId="0" fontId="18" fillId="23" borderId="17" xfId="0" applyFont="1" applyFill="1" applyBorder="1"/>
    <xf numFmtId="0" fontId="41" fillId="23" borderId="0" xfId="0" applyFont="1" applyFill="1"/>
    <xf numFmtId="0" fontId="17" fillId="0" borderId="0" xfId="0" applyFont="1" applyAlignment="1">
      <alignment horizontal="left"/>
    </xf>
    <xf numFmtId="173" fontId="2" fillId="5" borderId="19" xfId="9" applyNumberFormat="1" applyFont="1" applyFill="1" applyBorder="1" applyAlignment="1">
      <alignment horizontal="left" vertical="center"/>
    </xf>
    <xf numFmtId="173" fontId="0" fillId="0" borderId="0" xfId="9" applyNumberFormat="1" applyFont="1"/>
    <xf numFmtId="0" fontId="24" fillId="5" borderId="0" xfId="0" applyFont="1" applyFill="1"/>
    <xf numFmtId="0" fontId="2" fillId="2" borderId="4" xfId="0" applyFont="1" applyFill="1" applyBorder="1"/>
    <xf numFmtId="0" fontId="2" fillId="2" borderId="16" xfId="0" applyFont="1" applyFill="1" applyBorder="1"/>
    <xf numFmtId="0" fontId="2" fillId="2" borderId="23" xfId="0" applyFont="1" applyFill="1" applyBorder="1"/>
    <xf numFmtId="0" fontId="2" fillId="2" borderId="22" xfId="0" applyFont="1" applyFill="1" applyBorder="1"/>
    <xf numFmtId="0" fontId="2" fillId="2" borderId="21" xfId="0" applyFont="1" applyFill="1" applyBorder="1"/>
    <xf numFmtId="0" fontId="2" fillId="2" borderId="18" xfId="0" applyFont="1" applyFill="1" applyBorder="1"/>
    <xf numFmtId="0" fontId="2" fillId="2" borderId="15" xfId="0" applyFont="1" applyFill="1" applyBorder="1"/>
    <xf numFmtId="0" fontId="2" fillId="2" borderId="17" xfId="0" applyFont="1" applyFill="1" applyBorder="1"/>
    <xf numFmtId="0" fontId="0" fillId="4" borderId="0" xfId="0" applyFill="1" applyAlignment="1">
      <alignment horizontal="center"/>
    </xf>
    <xf numFmtId="3" fontId="0" fillId="4" borderId="0" xfId="0" applyNumberFormat="1" applyFill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173" fontId="0" fillId="10" borderId="1" xfId="9" applyNumberFormat="1" applyFont="1" applyFill="1" applyBorder="1" applyAlignment="1">
      <alignment horizontal="center"/>
    </xf>
    <xf numFmtId="0" fontId="0" fillId="10" borderId="20" xfId="0" applyFill="1" applyBorder="1"/>
    <xf numFmtId="0" fontId="0" fillId="0" borderId="20" xfId="0" applyBorder="1" applyAlignment="1">
      <alignment horizontal="center"/>
    </xf>
    <xf numFmtId="0" fontId="0" fillId="10" borderId="0" xfId="0" applyFill="1" applyAlignment="1">
      <alignment horizontal="center"/>
    </xf>
    <xf numFmtId="0" fontId="46" fillId="5" borderId="19" xfId="0" applyFont="1" applyFill="1" applyBorder="1" applyAlignment="1">
      <alignment horizontal="left" vertical="center"/>
    </xf>
    <xf numFmtId="0" fontId="47" fillId="0" borderId="13" xfId="0" applyFont="1" applyBorder="1"/>
    <xf numFmtId="14" fontId="47" fillId="0" borderId="1" xfId="0" applyNumberFormat="1" applyFont="1" applyBorder="1" applyAlignment="1">
      <alignment horizontal="center"/>
    </xf>
    <xf numFmtId="1" fontId="47" fillId="0" borderId="1" xfId="0" applyNumberFormat="1" applyFont="1" applyBorder="1" applyAlignment="1">
      <alignment horizontal="center"/>
    </xf>
    <xf numFmtId="0" fontId="47" fillId="0" borderId="1" xfId="0" applyFont="1" applyBorder="1" applyAlignment="1">
      <alignment horizontal="center"/>
    </xf>
    <xf numFmtId="165" fontId="47" fillId="0" borderId="1" xfId="1" applyNumberFormat="1" applyFont="1" applyFill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7" fillId="8" borderId="3" xfId="0" applyFont="1" applyFill="1" applyBorder="1" applyAlignment="1">
      <alignment horizontal="center"/>
    </xf>
    <xf numFmtId="173" fontId="47" fillId="0" borderId="3" xfId="9" applyNumberFormat="1" applyFont="1" applyFill="1" applyBorder="1" applyAlignment="1">
      <alignment horizontal="center"/>
    </xf>
    <xf numFmtId="173" fontId="47" fillId="0" borderId="1" xfId="9" applyNumberFormat="1" applyFont="1" applyFill="1" applyBorder="1" applyAlignment="1">
      <alignment horizontal="center"/>
    </xf>
    <xf numFmtId="173" fontId="47" fillId="8" borderId="1" xfId="9" applyNumberFormat="1" applyFont="1" applyFill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8" fillId="5" borderId="2" xfId="0" applyFont="1" applyFill="1" applyBorder="1" applyAlignment="1">
      <alignment horizontal="left" vertical="center" wrapText="1"/>
    </xf>
    <xf numFmtId="0" fontId="49" fillId="0" borderId="23" xfId="0" applyFont="1" applyBorder="1" applyAlignment="1">
      <alignment horizontal="left"/>
    </xf>
    <xf numFmtId="0" fontId="49" fillId="0" borderId="3" xfId="0" applyFont="1" applyBorder="1"/>
    <xf numFmtId="0" fontId="49" fillId="0" borderId="3" xfId="0" applyFont="1" applyBorder="1" applyAlignment="1">
      <alignment horizontal="center"/>
    </xf>
    <xf numFmtId="0" fontId="49" fillId="0" borderId="3" xfId="0" applyFont="1" applyBorder="1" applyAlignment="1">
      <alignment horizontal="left" vertical="justify"/>
    </xf>
    <xf numFmtId="0" fontId="49" fillId="0" borderId="0" xfId="0" applyFont="1"/>
    <xf numFmtId="0" fontId="15" fillId="25" borderId="26" xfId="0" applyFont="1" applyFill="1" applyBorder="1" applyAlignment="1">
      <alignment horizontal="center" vertical="center"/>
    </xf>
    <xf numFmtId="0" fontId="15" fillId="26" borderId="26" xfId="0" applyFont="1" applyFill="1" applyBorder="1" applyAlignment="1">
      <alignment horizontal="center" vertical="center" wrapText="1"/>
    </xf>
    <xf numFmtId="0" fontId="15" fillId="25" borderId="26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0" fillId="3" borderId="26" xfId="0" applyFont="1" applyFill="1" applyBorder="1" applyAlignment="1">
      <alignment horizontal="center" vertical="center"/>
    </xf>
    <xf numFmtId="0" fontId="36" fillId="3" borderId="20" xfId="0" applyFont="1" applyFill="1" applyBorder="1" applyAlignment="1">
      <alignment horizontal="center"/>
    </xf>
    <xf numFmtId="0" fontId="36" fillId="3" borderId="14" xfId="0" applyFont="1" applyFill="1" applyBorder="1" applyAlignment="1">
      <alignment horizontal="center"/>
    </xf>
    <xf numFmtId="0" fontId="36" fillId="3" borderId="13" xfId="0" applyFont="1" applyFill="1" applyBorder="1" applyAlignment="1">
      <alignment horizontal="center"/>
    </xf>
    <xf numFmtId="0" fontId="37" fillId="3" borderId="20" xfId="0" applyFont="1" applyFill="1" applyBorder="1" applyAlignment="1">
      <alignment horizontal="center"/>
    </xf>
    <xf numFmtId="0" fontId="37" fillId="3" borderId="14" xfId="0" applyFont="1" applyFill="1" applyBorder="1" applyAlignment="1">
      <alignment horizontal="center"/>
    </xf>
    <xf numFmtId="0" fontId="37" fillId="3" borderId="13" xfId="0" applyFont="1" applyFill="1" applyBorder="1" applyAlignment="1">
      <alignment horizontal="center"/>
    </xf>
    <xf numFmtId="0" fontId="30" fillId="2" borderId="8" xfId="0" applyFont="1" applyFill="1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9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15" fillId="2" borderId="9" xfId="0" applyFont="1" applyFill="1" applyBorder="1" applyAlignment="1">
      <alignment horizontal="center"/>
    </xf>
  </cellXfs>
  <cellStyles count="10">
    <cellStyle name="Euro" xfId="6" xr:uid="{00000000-0005-0000-0000-000000000000}"/>
    <cellStyle name="Hipervínculo" xfId="2" builtinId="8"/>
    <cellStyle name="Millares" xfId="1" builtinId="3"/>
    <cellStyle name="Millares [0]" xfId="9" builtinId="6"/>
    <cellStyle name="Millares 2" xfId="7" xr:uid="{00000000-0005-0000-0000-000004000000}"/>
    <cellStyle name="Moneda [0]" xfId="3" builtinId="7"/>
    <cellStyle name="Normal" xfId="0" builtinId="0"/>
    <cellStyle name="Normal 2" xfId="5" xr:uid="{00000000-0005-0000-0000-000007000000}"/>
    <cellStyle name="Porcentaje" xfId="4" builtinId="5"/>
    <cellStyle name="Porcentaje 2" xfId="8" xr:uid="{00000000-0005-0000-0000-000009000000}"/>
  </cellStyles>
  <dxfs count="2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m/d/yyyy"/>
    </dxf>
    <dxf>
      <numFmt numFmtId="174" formatCode="m/d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2" formatCode="_-* #,##0_-;\-* #,##0_-;_-* &quot;-&quot;??_-;_-@_-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justify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textRotation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73" formatCode="_-* #,##0.0_-;\-* #,##0.0_-;_-* &quot;-&quot;_-;_-@_-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m/yyyy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00FF00"/>
      <color rgb="FFCC66FF"/>
      <color rgb="FFFF33CC"/>
      <color rgb="FFFFCC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6</xdr:row>
          <xdr:rowOff>180975</xdr:rowOff>
        </xdr:from>
        <xdr:to>
          <xdr:col>9</xdr:col>
          <xdr:colOff>447675</xdr:colOff>
          <xdr:row>9</xdr:row>
          <xdr:rowOff>152400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56196"/>
          <a:ext cx="990600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348343</xdr:colOff>
      <xdr:row>0</xdr:row>
      <xdr:rowOff>0</xdr:rowOff>
    </xdr:from>
    <xdr:to>
      <xdr:col>9</xdr:col>
      <xdr:colOff>1338047</xdr:colOff>
      <xdr:row>0</xdr:row>
      <xdr:rowOff>315686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921343" y="0"/>
          <a:ext cx="989704" cy="3156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89647</xdr:colOff>
      <xdr:row>0</xdr:row>
      <xdr:rowOff>22412</xdr:rowOff>
    </xdr:from>
    <xdr:to>
      <xdr:col>7</xdr:col>
      <xdr:colOff>1467971</xdr:colOff>
      <xdr:row>0</xdr:row>
      <xdr:rowOff>381000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608794" y="22412"/>
          <a:ext cx="1378324" cy="3585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0</xdr:row>
      <xdr:rowOff>161925</xdr:rowOff>
    </xdr:from>
    <xdr:to>
      <xdr:col>11</xdr:col>
      <xdr:colOff>200025</xdr:colOff>
      <xdr:row>2</xdr:row>
      <xdr:rowOff>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3011150" y="161925"/>
          <a:ext cx="147637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340178</xdr:rowOff>
    </xdr:from>
    <xdr:to>
      <xdr:col>0</xdr:col>
      <xdr:colOff>1333500</xdr:colOff>
      <xdr:row>0</xdr:row>
      <xdr:rowOff>748393</xdr:rowOff>
    </xdr:to>
    <xdr:sp macro="" textlink="">
      <xdr:nvSpPr>
        <xdr:cNvPr id="4" name="Rectángulo redonde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340178"/>
          <a:ext cx="1333500" cy="4082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56196"/>
          <a:ext cx="101155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zon, Alexander" refreshedDate="45469.4637693287" createdVersion="6" refreshedVersion="6" minRefreshableVersion="3" recordCount="37" xr:uid="{00000000-000A-0000-FFFF-FFFF01000000}">
  <cacheSource type="worksheet">
    <worksheetSource name="TablaTiempos"/>
  </cacheSource>
  <cacheFields count="6">
    <cacheField name="Fecha" numFmtId="14">
      <sharedItems containsDate="1" containsMixedTypes="1" minDate="1900-08-21T00:00:00" maxDate="2024-06-23T00:00:00" count="144">
        <d v="2024-06-20T00:00:00"/>
        <s v="25/6/2024"/>
        <s v="24/6/2024"/>
        <s v="21/6/2024"/>
        <s v="22/6/2024"/>
        <s v="23/6/2024"/>
        <s v="21/06/2024"/>
        <s v="24/06/2024"/>
        <s v="23/06/2024"/>
        <d v="2024-06-22T00:00:00"/>
        <s v="25/06/2024"/>
        <s v="26/06/2024"/>
        <d v="2024-04-24T00:00:00" u="1"/>
        <d v="2020-04-20T00:00:00" u="1"/>
        <d v="2019-05-01T00:00:00" u="1"/>
        <d v="2024-04-20T00:00:00" u="1"/>
        <d v="2020-04-16T00:00:00" u="1"/>
        <d v="2020-03-31T00:00:00" u="1"/>
        <d v="2024-04-16T00:00:00" u="1"/>
        <d v="2020-03-27T00:00:00" u="1"/>
        <d v="2024-04-12T00:00:00" u="1"/>
        <d v="2020-04-08T00:00:00" u="1"/>
        <d v="2024-03-27T00:00:00" u="1"/>
        <d v="2020-03-23T00:00:00" u="1"/>
        <d v="2024-04-08T00:00:00" u="1"/>
        <d v="2020-04-04T00:00:00" u="1"/>
        <d v="2024-04-04T00:00:00" u="1"/>
        <d v="1900-08-21T00:00:00" u="1"/>
        <d v="2024-03-11T00:00:00" u="1"/>
        <d v="2019-05-24T00:00:00" u="1"/>
        <d v="2024-03-07T00:00:00" u="1"/>
        <d v="2019-06-05T00:00:00" u="1"/>
        <d v="2023-12-13T00:00:00" u="1"/>
        <d v="2019-05-20T00:00:00" u="1"/>
        <d v="2023-11-28T00:00:00" u="1"/>
        <d v="2023-12-09T00:00:00" u="1"/>
        <d v="2019-05-16T00:00:00" u="1"/>
        <d v="2023-11-24T00:00:00" u="1"/>
        <d v="2024-01-29T00:00:00" u="1"/>
        <d v="2019-05-12T00:00:00" u="1"/>
        <d v="2019-04-27T00:00:00" u="1"/>
        <d v="2020-04-27T00:00:00" u="1"/>
        <d v="2019-05-08T00:00:00" u="1"/>
        <d v="2020-04-23T00:00:00" u="1"/>
        <d v="2019-05-04T00:00:00" u="1"/>
        <d v="2024-04-23T00:00:00" u="1"/>
        <d v="2024-04-19T00:00:00" u="1"/>
        <d v="2020-04-15T00:00:00" u="1"/>
        <d v="2020-03-30T00:00:00" u="1"/>
        <d v="2024-04-15T00:00:00" u="1"/>
        <d v="2020-04-11T00:00:00" u="1"/>
        <d v="2024-03-30T00:00:00" u="1"/>
        <d v="2020-03-26T00:00:00" u="1"/>
        <d v="2024-04-11T00:00:00" u="1"/>
        <d v="2020-04-07T00:00:00" u="1"/>
        <d v="2024-03-26T00:00:00" u="1"/>
        <d v="2020-04-03T00:00:00" u="1"/>
        <d v="2024-04-03T00:00:00" u="1"/>
        <d v="2024-02-29T00:00:00" u="1"/>
        <d v="2019-05-23T00:00:00" u="1"/>
        <d v="2024-03-06T00:00:00" u="1"/>
        <d v="2023-12-12T00:00:00" u="1"/>
        <d v="2019-05-19T00:00:00" u="1"/>
        <d v="2024-03-02T00:00:00" u="1"/>
        <d v="2023-11-27T00:00:00" u="1"/>
        <d v="2019-05-15T00:00:00" u="1"/>
        <d v="2023-11-23T00:00:00" u="1"/>
        <d v="2019-04-30T00:00:00" u="1"/>
        <d v="2024-01-28T00:00:00" u="1"/>
        <d v="2019-05-11T00:00:00" u="1"/>
        <d v="2023-11-19T00:00:00" u="1"/>
        <d v="2019-04-26T00:00:00" u="1"/>
        <d v="2019-05-07T00:00:00" u="1"/>
        <d v="2024-04-26T00:00:00" u="1"/>
        <d v="2020-04-22T00:00:00" u="1"/>
        <d v="2019-05-03T00:00:00" u="1"/>
        <d v="2024-04-22T00:00:00" u="1"/>
        <d v="2020-04-18T00:00:00" u="1"/>
        <d v="2024-04-18T00:00:00" u="1"/>
        <d v="2020-04-14T00:00:00" u="1"/>
        <d v="2024-04-14T00:00:00" u="1"/>
        <d v="2024-03-29T00:00:00" u="1"/>
        <d v="2020-03-25T00:00:00" u="1"/>
        <d v="2024-04-10T00:00:00" u="1"/>
        <d v="2020-04-06T00:00:00" u="1"/>
        <d v="2020-03-21T00:00:00" u="1"/>
        <d v="2024-04-06T00:00:00" u="1"/>
        <d v="2020-04-02T00:00:00" u="1"/>
        <d v="2024-03-21T00:00:00" u="1"/>
        <d v="2024-04-02T00:00:00" u="1"/>
        <d v="2019-05-30T00:00:00" u="1"/>
        <d v="2024-03-13T00:00:00" u="1"/>
        <d v="2024-02-28T00:00:00" u="1"/>
        <d v="2019-05-26T00:00:00" u="1"/>
        <d v="2024-03-09T00:00:00" u="1"/>
        <d v="2024-02-24T00:00:00" u="1"/>
        <d v="2019-05-22T00:00:00" u="1"/>
        <d v="2024-03-05T00:00:00" u="1"/>
        <d v="2023-11-30T00:00:00" u="1"/>
        <d v="2019-05-18T00:00:00" u="1"/>
        <d v="2024-03-01T00:00:00" u="1"/>
        <d v="2019-05-14T00:00:00" u="1"/>
        <d v="2019-04-29T00:00:00" u="1"/>
        <d v="2019-05-10T00:00:00" u="1"/>
        <d v="2023-11-18T00:00:00" u="1"/>
        <d v="2019-04-25T00:00:00" u="1"/>
        <d v="2020-04-25T00:00:00" u="1"/>
        <d v="2019-05-06T00:00:00" u="1"/>
        <d v="2024-04-25T00:00:00" u="1"/>
        <d v="2024-02-04T00:00:00" u="1"/>
        <d v="2020-04-21T00:00:00" u="1"/>
        <d v="2019-05-02T00:00:00" u="1"/>
        <d v="2024-04-21T00:00:00" u="1"/>
        <d v="2020-04-17T00:00:00" u="1"/>
        <d v="2024-04-17T00:00:00" u="1"/>
        <d v="2020-04-13T00:00:00" u="1"/>
        <d v="2020-03-28T00:00:00" u="1"/>
        <d v="2024-04-13T00:00:00" u="1"/>
        <d v="2024-03-28T00:00:00" u="1"/>
        <d v="2020-03-24T00:00:00" u="1"/>
        <d v="2024-04-09T00:00:00" u="1"/>
        <d v="2020-04-05T00:00:00" u="1"/>
        <d v="2024-03-24T00:00:00" u="1"/>
        <d v="2020-03-20T00:00:00" u="1"/>
        <d v="2024-04-05T00:00:00" u="1"/>
        <d v="2020-04-01T00:00:00" u="1"/>
        <d v="2024-04-01T00:00:00" u="1"/>
        <d v="2020-03-12T00:00:00" u="1"/>
        <d v="2024-03-12T00:00:00" u="1"/>
        <d v="2024-02-27T00:00:00" u="1"/>
        <d v="2024-05-29T00:00:00" u="1"/>
        <d v="2019-05-25T00:00:00" u="1"/>
        <d v="2024-03-08T00:00:00" u="1"/>
        <d v="2023-12-14T00:00:00" u="1"/>
        <d v="2019-05-21T00:00:00" u="1"/>
        <d v="2024-03-04T00:00:00" u="1"/>
        <d v="2023-11-29T00:00:00" u="1"/>
        <d v="2019-05-17T00:00:00" u="1"/>
        <d v="2023-11-25T00:00:00" u="1"/>
        <d v="2019-05-13T00:00:00" u="1"/>
        <d v="2024-01-26T00:00:00" u="1"/>
        <d v="2019-05-09T00:00:00" u="1"/>
        <d v="2020-04-24T00:00:00" u="1"/>
        <d v="2019-05-05T00:00:00" u="1"/>
      </sharedItems>
    </cacheField>
    <cacheField name="N° de troquel" numFmtId="0">
      <sharedItems containsMixedTypes="1" containsNumber="1" containsInteger="1" minValue="3628" maxValue="3646"/>
    </cacheField>
    <cacheField name="Operario" numFmtId="0">
      <sharedItems containsBlank="1" count="16">
        <s v="RICHARD QUINTERO"/>
        <s v="JORGE MARMOLEJO"/>
        <s v="JHONY GARCIA"/>
        <s v="CARLOS BEDOYA"/>
        <s v="JESÚS ALVAREZ"/>
        <s v="CARLOS LOPEZ"/>
        <s v="JHON JAIRO MURIEL"/>
        <s v="MARIO RAMIREZ"/>
        <s v="WILLIAM ESCOBAR"/>
        <m u="1"/>
        <s v="JORGE BARRAGAN" u="1"/>
        <s v="FERNADO MATEWS" u="1"/>
        <s v="CARLOS CASTAÑO" u="1"/>
        <s v="J.HENAO" u="1"/>
        <s v="ESCOBAR" u="1"/>
        <s v="BEDOYA " u="1"/>
      </sharedItems>
    </cacheField>
    <cacheField name="Ficha" numFmtId="0">
      <sharedItems containsSemiMixedTypes="0" containsString="0" containsNumber="1" containsInteger="1" minValue="64" maxValue="11332"/>
    </cacheField>
    <cacheField name="Tiempo (hr)" numFmtId="173">
      <sharedItems containsSemiMixedTypes="0" containsString="0" containsNumber="1" minValue="0.5" maxValue="7.5"/>
    </cacheField>
    <cacheField name="Activida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s v="W2303"/>
    <x v="0"/>
    <n v="2181"/>
    <n v="2"/>
    <s v="Puenteado"/>
  </r>
  <r>
    <x v="1"/>
    <s v="W2303"/>
    <x v="1"/>
    <n v="11332"/>
    <n v="0.5"/>
    <s v="Empaque"/>
  </r>
  <r>
    <x v="1"/>
    <s v="W2303"/>
    <x v="1"/>
    <n v="11332"/>
    <n v="0.5"/>
    <s v="Prueba"/>
  </r>
  <r>
    <x v="1"/>
    <s v="W2303"/>
    <x v="1"/>
    <n v="11332"/>
    <n v="2"/>
    <s v="Engomado"/>
  </r>
  <r>
    <x v="1"/>
    <s v="W2303"/>
    <x v="2"/>
    <n v="5838"/>
    <n v="1"/>
    <s v="Engomado"/>
  </r>
  <r>
    <x v="1"/>
    <s v="W2303"/>
    <x v="3"/>
    <n v="1496"/>
    <n v="4.5"/>
    <s v="Engomado"/>
  </r>
  <r>
    <x v="2"/>
    <s v="W2303"/>
    <x v="4"/>
    <n v="5371"/>
    <n v="7.5"/>
    <s v="Encuchillado"/>
  </r>
  <r>
    <x v="2"/>
    <s v="W2303"/>
    <x v="5"/>
    <n v="96"/>
    <n v="7.5"/>
    <s v="Encuchillado"/>
  </r>
  <r>
    <x v="3"/>
    <s v="W2303"/>
    <x v="6"/>
    <n v="5998"/>
    <n v="2"/>
    <s v="Calado"/>
  </r>
  <r>
    <x v="4"/>
    <s v="3429A"/>
    <x v="0"/>
    <n v="2181"/>
    <n v="2"/>
    <s v="Puenteado"/>
  </r>
  <r>
    <x v="1"/>
    <s v="3429A"/>
    <x v="7"/>
    <n v="1582"/>
    <n v="1"/>
    <s v="Empaque"/>
  </r>
  <r>
    <x v="1"/>
    <s v="3429A"/>
    <x v="7"/>
    <n v="1582"/>
    <n v="2.5"/>
    <s v="Engomado"/>
  </r>
  <r>
    <x v="1"/>
    <s v="3429A"/>
    <x v="7"/>
    <n v="1582"/>
    <n v="3.5"/>
    <s v="Engomado"/>
  </r>
  <r>
    <x v="1"/>
    <s v="3429A"/>
    <x v="1"/>
    <n v="11332"/>
    <n v="3"/>
    <s v="Engomado"/>
  </r>
  <r>
    <x v="1"/>
    <s v="3429A"/>
    <x v="7"/>
    <n v="1582"/>
    <n v="3.5"/>
    <s v="Encuchillado"/>
  </r>
  <r>
    <x v="1"/>
    <s v="3429A"/>
    <x v="3"/>
    <n v="1496"/>
    <n v="3"/>
    <s v="Encuchillado"/>
  </r>
  <r>
    <x v="2"/>
    <s v="3429A"/>
    <x v="7"/>
    <n v="1582"/>
    <n v="6"/>
    <s v="Encuchillado"/>
  </r>
  <r>
    <x v="2"/>
    <s v="3429A"/>
    <x v="7"/>
    <n v="1582"/>
    <n v="7"/>
    <s v="Encuchillado"/>
  </r>
  <r>
    <x v="5"/>
    <s v="3429A"/>
    <x v="6"/>
    <n v="5998"/>
    <n v="2"/>
    <s v="Calado"/>
  </r>
  <r>
    <x v="6"/>
    <n v="3628"/>
    <x v="0"/>
    <n v="2181"/>
    <n v="3"/>
    <s v="Puenteado"/>
  </r>
  <r>
    <x v="7"/>
    <n v="3628"/>
    <x v="2"/>
    <n v="5838"/>
    <n v="0.5"/>
    <s v="Prueba"/>
  </r>
  <r>
    <x v="7"/>
    <n v="3628"/>
    <x v="2"/>
    <n v="5838"/>
    <n v="6"/>
    <s v="Engomado"/>
  </r>
  <r>
    <x v="7"/>
    <n v="3628"/>
    <x v="1"/>
    <n v="11332"/>
    <n v="4"/>
    <s v="Engomado"/>
  </r>
  <r>
    <x v="7"/>
    <n v="3628"/>
    <x v="1"/>
    <n v="11332"/>
    <n v="7.5"/>
    <s v="Encuchillado"/>
  </r>
  <r>
    <x v="7"/>
    <n v="3628"/>
    <x v="2"/>
    <n v="5838"/>
    <n v="7.5"/>
    <s v="Encuchillado"/>
  </r>
  <r>
    <x v="8"/>
    <n v="3628"/>
    <x v="8"/>
    <n v="64"/>
    <n v="3.5"/>
    <s v="Encuchillado"/>
  </r>
  <r>
    <x v="9"/>
    <n v="3628"/>
    <x v="6"/>
    <n v="5998"/>
    <n v="2.5"/>
    <s v="Calado"/>
  </r>
  <r>
    <x v="10"/>
    <n v="3645"/>
    <x v="0"/>
    <n v="2181"/>
    <n v="2"/>
    <s v="Puenteado"/>
  </r>
  <r>
    <x v="11"/>
    <n v="3645"/>
    <x v="4"/>
    <n v="5371"/>
    <n v="3.5"/>
    <s v="Engomado"/>
  </r>
  <r>
    <x v="10"/>
    <n v="3645"/>
    <x v="4"/>
    <n v="5371"/>
    <n v="7.5"/>
    <s v="Encuchillado"/>
  </r>
  <r>
    <x v="10"/>
    <n v="3645"/>
    <x v="6"/>
    <n v="5998"/>
    <n v="1.5"/>
    <s v="Calado"/>
  </r>
  <r>
    <x v="10"/>
    <n v="3646"/>
    <x v="0"/>
    <n v="2181"/>
    <n v="1.5"/>
    <s v="Puenteado"/>
  </r>
  <r>
    <x v="11"/>
    <n v="3646"/>
    <x v="2"/>
    <n v="5838"/>
    <n v="2.5"/>
    <s v="Engomado"/>
  </r>
  <r>
    <x v="11"/>
    <n v="3646"/>
    <x v="5"/>
    <n v="96"/>
    <n v="2"/>
    <s v="Engomado"/>
  </r>
  <r>
    <x v="11"/>
    <n v="3646"/>
    <x v="5"/>
    <n v="96"/>
    <n v="2"/>
    <s v="Encuchillado"/>
  </r>
  <r>
    <x v="10"/>
    <n v="3646"/>
    <x v="5"/>
    <n v="96"/>
    <n v="7.5"/>
    <s v="Encuchillado"/>
  </r>
  <r>
    <x v="10"/>
    <n v="3646"/>
    <x v="6"/>
    <n v="5998"/>
    <n v="2"/>
    <s v="Cal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Q5:R13" firstHeaderRow="1" firstDataRow="1" firstDataCol="1" rowPageCount="1" colPageCount="1"/>
  <pivotFields count="6">
    <pivotField axis="axisPage" showAll="0">
      <items count="145">
        <item m="1" x="67"/>
        <item m="1" x="111"/>
        <item m="1" x="44"/>
        <item m="1" x="143"/>
        <item m="1" x="107"/>
        <item m="1" x="72"/>
        <item m="1" x="75"/>
        <item m="1" x="14"/>
        <item m="1" x="102"/>
        <item m="1" x="42"/>
        <item m="1" x="90"/>
        <item m="1" x="105"/>
        <item m="1" x="71"/>
        <item m="1" x="93"/>
        <item m="1" x="40"/>
        <item m="1" x="69"/>
        <item m="1" x="139"/>
        <item m="1" x="101"/>
        <item m="1" x="103"/>
        <item m="1" x="39"/>
        <item m="1" x="141"/>
        <item m="1" x="65"/>
        <item m="1" x="36"/>
        <item m="1" x="137"/>
        <item m="1" x="99"/>
        <item m="1" x="33"/>
        <item m="1" x="134"/>
        <item m="1" x="96"/>
        <item m="1" x="62"/>
        <item m="1" x="59"/>
        <item m="1" x="29"/>
        <item m="1" x="131"/>
        <item m="1" x="31"/>
        <item m="1" x="17"/>
        <item m="1" x="87"/>
        <item m="1" x="123"/>
        <item m="1" x="23"/>
        <item m="1" x="119"/>
        <item m="1" x="85"/>
        <item m="1" x="82"/>
        <item m="1" x="52"/>
        <item m="1" x="127"/>
        <item m="1" x="19"/>
        <item m="1" x="116"/>
        <item m="1" x="48"/>
        <item m="1" x="125"/>
        <item m="1" x="56"/>
        <item m="1" x="25"/>
        <item m="1" x="121"/>
        <item m="1" x="84"/>
        <item m="1" x="54"/>
        <item m="1" x="21"/>
        <item m="1" x="50"/>
        <item m="1" x="115"/>
        <item m="1" x="79"/>
        <item m="1" x="47"/>
        <item m="1" x="16"/>
        <item m="1" x="113"/>
        <item m="1" x="77"/>
        <item m="1" x="13"/>
        <item m="1" x="110"/>
        <item m="1" x="74"/>
        <item m="1" x="43"/>
        <item m="1" x="142"/>
        <item m="1" x="106"/>
        <item m="1" x="41"/>
        <item m="1" x="34"/>
        <item m="1" x="136"/>
        <item m="1" x="98"/>
        <item m="1" x="35"/>
        <item m="1" x="37"/>
        <item m="1" x="138"/>
        <item m="1" x="64"/>
        <item m="1" x="104"/>
        <item m="1" x="66"/>
        <item m="1" x="70"/>
        <item m="1" x="61"/>
        <item m="1" x="32"/>
        <item m="1" x="133"/>
        <item m="1" x="97"/>
        <item m="1" x="60"/>
        <item m="1" x="28"/>
        <item m="1" x="128"/>
        <item m="1" x="91"/>
        <item m="1" x="132"/>
        <item m="1" x="30"/>
        <item m="1" x="94"/>
        <item m="1" x="135"/>
        <item m="1" x="100"/>
        <item m="1" x="63"/>
        <item m="1" x="58"/>
        <item m="1" x="92"/>
        <item m="1" x="95"/>
        <item m="1" x="129"/>
        <item m="1" x="86"/>
        <item m="1" x="120"/>
        <item m="1" x="83"/>
        <item m="1" x="24"/>
        <item m="1" x="53"/>
        <item m="1" x="88"/>
        <item m="1" x="81"/>
        <item m="1" x="51"/>
        <item m="1" x="140"/>
        <item m="1" x="68"/>
        <item m="1" x="126"/>
        <item m="1" x="89"/>
        <item m="1" x="38"/>
        <item m="1" x="55"/>
        <item m="1" x="22"/>
        <item m="1" x="109"/>
        <item m="1" x="57"/>
        <item m="1" x="26"/>
        <item m="1" x="122"/>
        <item m="1" x="118"/>
        <item m="1" x="124"/>
        <item m="1" x="20"/>
        <item m="1" x="117"/>
        <item m="1" x="80"/>
        <item m="1" x="49"/>
        <item m="1" x="18"/>
        <item m="1" x="114"/>
        <item m="1" x="78"/>
        <item m="1" x="46"/>
        <item m="1" x="15"/>
        <item m="1" x="112"/>
        <item m="1" x="76"/>
        <item m="1" x="45"/>
        <item m="1" x="12"/>
        <item m="1" x="27"/>
        <item m="1" x="108"/>
        <item m="1" x="73"/>
        <item m="1" x="1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axis="axisRow" showAll="0">
      <items count="17">
        <item m="1" x="15"/>
        <item m="1" x="12"/>
        <item x="5"/>
        <item m="1" x="14"/>
        <item m="1" x="11"/>
        <item m="1" x="13"/>
        <item x="6"/>
        <item x="2"/>
        <item m="1" x="10"/>
        <item x="1"/>
        <item x="0"/>
        <item h="1" m="1" x="9"/>
        <item x="8"/>
        <item x="7"/>
        <item h="1" x="4"/>
        <item h="1" x="3"/>
        <item t="default"/>
      </items>
    </pivotField>
    <pivotField showAll="0"/>
    <pivotField showAll="0"/>
    <pivotField showAll="0"/>
  </pivotFields>
  <rowFields count="1">
    <field x="2"/>
  </rowFields>
  <rowItems count="8">
    <i>
      <x v="2"/>
    </i>
    <i>
      <x v="6"/>
    </i>
    <i>
      <x v="7"/>
    </i>
    <i>
      <x v="9"/>
    </i>
    <i>
      <x v="10"/>
    </i>
    <i>
      <x v="12"/>
    </i>
    <i>
      <x v="13"/>
    </i>
    <i t="grand">
      <x/>
    </i>
  </rowItems>
  <colItems count="1">
    <i/>
  </colItems>
  <pageFields count="1">
    <pageField fld="0" hier="-1"/>
  </pageFields>
  <dataFields count="1">
    <dataField name="Cuenta de N° de troquel" fld="1" subtotal="count" baseField="0" baseItem="0"/>
  </dataFields>
  <formats count="2">
    <format dxfId="63">
      <pivotArea collapsedLevelsAreSubtotals="1" fieldPosition="0">
        <references count="1">
          <reference field="2" count="5">
            <x v="0"/>
            <x v="1"/>
            <x v="6"/>
            <x v="8"/>
            <x v="10"/>
          </reference>
        </references>
      </pivotArea>
    </format>
    <format dxfId="6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900-000000000000}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TROQUEL" tableColumnId="1"/>
      <queryTableField id="2" name="FECHA INGRESO" tableColumnId="2"/>
      <queryTableField id="3" name="FECHA ESTIMADA DESPACHO" tableColumnId="3"/>
      <queryTableField id="4" name="PLANTA" tableColumnId="4"/>
      <queryTableField id="5" name="CLIENTE " tableColumnId="5"/>
      <queryTableField id="6" name="MÁQUINA" tableColumnId="6"/>
      <queryTableField id="7" name="INGENIERO" tableColumnId="7"/>
      <queryTableField id="8" name="OBSERVACIONES" tableColumnId="8"/>
      <queryTableField id="9" name="DIAS DE ENTREGA" tableColumnId="9"/>
      <queryTableField id="10" name="DIAS DE ENTREGA2" tableColumnId="10"/>
      <queryTableField id="11" name="TOTAL _x000a_DIAS" tableColumnId="11"/>
      <queryTableField id="12" name="PEDIDO" tableColumnId="12"/>
    </queryTableFields>
  </queryTableRefresh>
</queryTable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general" displayName="Tablageneral" ref="A2:S3" totalsRowShown="0" headerRowDxfId="214" headerRowBorderDxfId="213" tableBorderDxfId="212" totalsRowBorderDxfId="211">
  <autoFilter ref="A2:S3" xr:uid="{00000000-0009-0000-0100-000006000000}"/>
  <tableColumns count="19">
    <tableColumn id="9" xr3:uid="{00000000-0010-0000-0000-000009000000}" name="Planta" dataDxfId="210" totalsRowDxfId="209"/>
    <tableColumn id="1" xr3:uid="{00000000-0010-0000-0000-000001000000}" name="Cliente" dataDxfId="208" totalsRowDxfId="207"/>
    <tableColumn id="2" xr3:uid="{00000000-0010-0000-0000-000002000000}" name="Fecha de recibo" dataDxfId="206" totalsRowDxfId="205"/>
    <tableColumn id="3" xr3:uid="{00000000-0010-0000-0000-000003000000}" name="Fecha de despacho" dataDxfId="204" totalsRowDxfId="203"/>
    <tableColumn id="4" xr3:uid="{00000000-0010-0000-0000-000004000000}" name="Días de entrega" dataDxfId="202" totalsRowDxfId="201">
      <calculatedColumnFormula>Tablageneral[[#This Row],[Fecha de despacho]]-Tablageneral[[#This Row],[Fecha de recibo]]</calculatedColumnFormula>
    </tableColumn>
    <tableColumn id="5" xr3:uid="{00000000-0010-0000-0000-000005000000}" name="N° de Troquel Orden" dataDxfId="200" totalsRowDxfId="199"/>
    <tableColumn id="6" xr3:uid="{00000000-0010-0000-0000-000006000000}" name="Tipo de trabajo" dataDxfId="198" totalsRowDxfId="197"/>
    <tableColumn id="7" xr3:uid="{00000000-0010-0000-0000-000007000000}" name="Específico" dataDxfId="196" totalsRowDxfId="195" dataCellStyle="Millares">
      <calculatedColumnFormula>VLOOKUP(Tablageneral[[#This Row],[Tipo de trabajo]],TablaTipoTrabajo[#All],2,FALSE)</calculatedColumnFormula>
    </tableColumn>
    <tableColumn id="10" xr3:uid="{00000000-0010-0000-0000-00000A000000}" name="Dibujo (hr)" dataDxfId="194" totalsRowDxfId="193">
      <calculatedColumnFormula>+SUMIFS(TablaTiempos[Tiempo (hr)],TablaTiempos[N° de troquel],Tablageneral[[#This Row],[N° de Troquel Orden]],TablaTiempos[Actividad],"Dibujo")</calculatedColumnFormula>
    </tableColumn>
    <tableColumn id="13" xr3:uid="{00000000-0010-0000-0000-00000D000000}" name="Puenteado (hr)" dataDxfId="192" totalsRowDxfId="191">
      <calculatedColumnFormula>+SUMIFS(TablaTiempos[Tiempo (hr)],TablaTiempos[N° de troquel],Tablageneral[[#This Row],[N° de Troquel Orden]],TablaTiempos[Actividad],"Puenteado")</calculatedColumnFormula>
    </tableColumn>
    <tableColumn id="14" xr3:uid="{00000000-0010-0000-0000-00000E000000}" name="Calado (hr)" dataDxfId="190" totalsRowDxfId="189">
      <calculatedColumnFormula>+SUMIFS(TablaTiempos[Tiempo (hr)],TablaTiempos[N° de troquel],Tablageneral[[#This Row],[N° de Troquel Orden]],TablaTiempos[Actividad],"Calado")</calculatedColumnFormula>
    </tableColumn>
    <tableColumn id="19" xr3:uid="{00000000-0010-0000-0000-000013000000}" name="Total Dib/Cal" dataDxfId="188" totalsRowDxfId="187">
      <calculatedColumnFormula>+SUM(Tablageneral[[#This Row],[Dibujo (hr)]:[Calado (hr)]])</calculatedColumnFormula>
    </tableColumn>
    <tableColumn id="15" xr3:uid="{00000000-0010-0000-0000-00000F000000}" name="Encuchillado" dataDxfId="186" totalsRowDxfId="185" dataCellStyle="Millares [0]">
      <calculatedColumnFormula>+SUMIFS(TablaTiempos[Tiempo (hr)],TablaTiempos[N° de troquel],Tablageneral[[#This Row],[N° de Troquel Orden]],TablaTiempos[Actividad],"Encuchillado")</calculatedColumnFormula>
    </tableColumn>
    <tableColumn id="11" xr3:uid="{00000000-0010-0000-0000-00000B000000}" name="Engomado (hr)" dataDxfId="184" totalsRowDxfId="183" dataCellStyle="Millares [0]">
      <calculatedColumnFormula>+SUMIFS(TablaTiempos[Tiempo (hr)],TablaTiempos[N° de troquel],Tablageneral[[#This Row],[N° de Troquel Orden]],TablaTiempos[Actividad],"Engomado")</calculatedColumnFormula>
    </tableColumn>
    <tableColumn id="20" xr3:uid="{00000000-0010-0000-0000-000014000000}" name="Total Enc/Eng" dataDxfId="182" totalsRowDxfId="181" dataCellStyle="Millares [0]">
      <calculatedColumnFormula>+Tablageneral[[#This Row],[Engomado (hr)]]+Tablageneral[[#This Row],[Encuchillado]]</calculatedColumnFormula>
    </tableColumn>
    <tableColumn id="16" xr3:uid="{00000000-0010-0000-0000-000010000000}" name="Cuchillas" dataDxfId="180" totalsRowDxfId="179">
      <calculatedColumnFormula>+SUMIFS(TablaConsumos[[CANTIDAD ]],TablaConsumos[N° DE TROQUEL],Tablageneral[[#This Row],[N° de Troquel Orden]],TablaConsumos[TIPO],"Cuchilla")</calculatedColumnFormula>
    </tableColumn>
    <tableColumn id="17" xr3:uid="{00000000-0010-0000-0000-000011000000}" name="Escores" dataDxfId="178" totalsRowDxfId="177">
      <calculatedColumnFormula>+SUMIFS(TablaConsumos[[CANTIDAD ]],TablaConsumos[N° DE TROQUEL],Tablageneral[[#This Row],[N° de Troquel Orden]],TablaConsumos[TIPO],"Score")</calculatedColumnFormula>
    </tableColumn>
    <tableColumn id="18" xr3:uid="{00000000-0010-0000-0000-000012000000}" name="Total Cuchi/Esc (cm)" dataDxfId="176" totalsRowDxfId="175">
      <calculatedColumnFormula>+Tablageneral[[#This Row],[Escores]]+Tablageneral[[#This Row],[Cuchillas]]</calculatedColumnFormula>
    </tableColumn>
    <tableColumn id="8" xr3:uid="{00000000-0010-0000-0000-000008000000}" name="Estad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Consumos" displayName="TablaConsumos" ref="A1:I2" totalsRowShown="0" headerRowDxfId="174" headerRowBorderDxfId="173" tableBorderDxfId="172">
  <autoFilter ref="A1:I2" xr:uid="{00000000-0009-0000-0100-000004000000}"/>
  <tableColumns count="9">
    <tableColumn id="7" xr3:uid="{00000000-0010-0000-0100-000007000000}" name="Planta" dataDxfId="171"/>
    <tableColumn id="6" xr3:uid="{00000000-0010-0000-0100-000006000000}" name="CLIENTE" dataDxfId="170"/>
    <tableColumn id="8" xr3:uid="{00000000-0010-0000-0100-000008000000}" name="N° DE TROQUEL" dataDxfId="169"/>
    <tableColumn id="9" xr3:uid="{00000000-0010-0000-0100-000009000000}" name="CÓDIGO" dataDxfId="168"/>
    <tableColumn id="10" xr3:uid="{00000000-0010-0000-0100-00000A000000}" name="CANTIDAD " dataDxfId="167"/>
    <tableColumn id="11" xr3:uid="{00000000-0010-0000-0100-00000B000000}" name="CONVERSIÓN" dataDxfId="166"/>
    <tableColumn id="13" xr3:uid="{00000000-0010-0000-0100-00000D000000}" name="UNIDAD" dataDxfId="165"/>
    <tableColumn id="14" xr3:uid="{00000000-0010-0000-0100-00000E000000}" name="DESCRIPCIÓN" dataDxfId="164"/>
    <tableColumn id="15" xr3:uid="{00000000-0010-0000-0100-00000F000000}" name="TIPO" dataDxfId="16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Tiempos" displayName="TablaTiempos" ref="A1:G2" totalsRowShown="0" headerRowDxfId="162" dataDxfId="161" tableBorderDxfId="160">
  <autoFilter ref="A1:G2" xr:uid="{00000000-0009-0000-0100-000005000000}"/>
  <tableColumns count="7">
    <tableColumn id="2" xr3:uid="{00000000-0010-0000-0200-000002000000}" name="Fecha" dataDxfId="159"/>
    <tableColumn id="3" xr3:uid="{00000000-0010-0000-0200-000003000000}" name="N° de troquel" dataDxfId="158"/>
    <tableColumn id="4" xr3:uid="{00000000-0010-0000-0200-000004000000}" name="Operario" dataDxfId="157"/>
    <tableColumn id="5" xr3:uid="{00000000-0010-0000-0200-000005000000}" name="Ficha" dataDxfId="156"/>
    <tableColumn id="6" xr3:uid="{00000000-0010-0000-0200-000006000000}" name="Tiempo (hr)" dataDxfId="155" dataCellStyle="Millares [0]"/>
    <tableColumn id="7" xr3:uid="{00000000-0010-0000-0200-000007000000}" name="Actividad" dataDxfId="154"/>
    <tableColumn id="1" xr3:uid="{00000000-0010-0000-0200-000001000000}" name="Observacion" dataDxfId="15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aClientes" displayName="TablaClientes" ref="S1:S245" totalsRowShown="0" headerRowDxfId="152" dataDxfId="150" headerRowBorderDxfId="151" tableBorderDxfId="149" totalsRowBorderDxfId="148">
  <autoFilter ref="S1:S245" xr:uid="{00000000-0009-0000-0100-000001000000}"/>
  <tableColumns count="1">
    <tableColumn id="1" xr3:uid="{00000000-0010-0000-0300-000001000000}" name="Cliente" dataDxfId="147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aPlantas" displayName="TablaPlantas" ref="J1:J11" totalsRowShown="0" headerRowDxfId="146" dataDxfId="144" headerRowBorderDxfId="145" tableBorderDxfId="143" totalsRowBorderDxfId="142">
  <autoFilter ref="J1:J11" xr:uid="{00000000-0009-0000-0100-000002000000}"/>
  <tableColumns count="1">
    <tableColumn id="1" xr3:uid="{00000000-0010-0000-0400-000001000000}" name="Plantas" dataDxfId="141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aMateriales" displayName="TablaMateriales" ref="A1:H530" totalsRowShown="0" headerRowDxfId="140" dataDxfId="138" headerRowBorderDxfId="139" tableBorderDxfId="137">
  <autoFilter ref="A1:H530" xr:uid="{00000000-0009-0000-0100-000003000000}"/>
  <tableColumns count="8">
    <tableColumn id="1" xr3:uid="{00000000-0010-0000-0500-000001000000}" name="Códigos" dataDxfId="136"/>
    <tableColumn id="2" xr3:uid="{00000000-0010-0000-0500-000002000000}" name="Cód. Taller" dataDxfId="135"/>
    <tableColumn id="3" xr3:uid="{00000000-0010-0000-0500-000003000000}" name="Cód. VPE" dataDxfId="134"/>
    <tableColumn id="4" xr3:uid="{00000000-0010-0000-0500-000004000000}" name="Unidad" dataDxfId="133"/>
    <tableColumn id="5" xr3:uid="{00000000-0010-0000-0500-000005000000}" name="Descripción" dataDxfId="132"/>
    <tableColumn id="6" xr3:uid="{00000000-0010-0000-0500-000006000000}" name="Tipo" dataDxfId="131"/>
    <tableColumn id="7" xr3:uid="{00000000-0010-0000-0500-000007000000}" name="Cant" dataDxfId="130"/>
    <tableColumn id="8" xr3:uid="{00000000-0010-0000-0500-000008000000}" name="Conversión Cm2" dataDxfId="129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Actividad" displayName="TablaActividad" ref="O1:P9" totalsRowShown="0" headerRowDxfId="128" dataDxfId="126" headerRowBorderDxfId="127" tableBorderDxfId="125" totalsRowBorderDxfId="124">
  <autoFilter ref="O1:P9" xr:uid="{00000000-0009-0000-0100-000009000000}"/>
  <tableColumns count="2">
    <tableColumn id="1" xr3:uid="{00000000-0010-0000-0600-000001000000}" name="Operación" dataDxfId="123"/>
    <tableColumn id="2" xr3:uid="{00000000-0010-0000-0600-000002000000}" name="Código" dataDxfId="122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aConversión" displayName="TablaConversión" ref="U1:Y3" totalsRowShown="0" headerRowDxfId="121" dataDxfId="120">
  <autoFilter ref="U1:Y3" xr:uid="{00000000-0009-0000-0100-00000B000000}"/>
  <tableColumns count="5">
    <tableColumn id="1" xr3:uid="{00000000-0010-0000-0700-000001000000}" name="Códigos" dataDxfId="119"/>
    <tableColumn id="3" xr3:uid="{00000000-0010-0000-0700-000003000000}" name="Descripción"/>
    <tableColumn id="2" xr3:uid="{00000000-0010-0000-0700-000002000000}" name="CM2" dataDxfId="118" dataCellStyle="Millares">
      <calculatedColumnFormula>INDEX(TablaMateriales[Conversión Cm2],MATCH(TablaConversión[[#This Row],[Códigos]],TablaMateriales[Códigos],0))</calculatedColumnFormula>
    </tableColumn>
    <tableColumn id="4" xr3:uid="{00000000-0010-0000-0700-000004000000}" name="Unidad" dataDxfId="117"/>
    <tableColumn id="5" xr3:uid="{00000000-0010-0000-0700-000005000000}" name="Tipo" dataDxfId="1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tablaOperarios" displayName="tablaOperarios" ref="L1:M13" totalsRowShown="0" headerRowDxfId="115" dataDxfId="113" headerRowBorderDxfId="114" tableBorderDxfId="112" totalsRowBorderDxfId="111">
  <autoFilter ref="L1:M13" xr:uid="{00000000-0009-0000-0100-00000F000000}"/>
  <tableColumns count="2">
    <tableColumn id="1" xr3:uid="{00000000-0010-0000-0800-000001000000}" name="Operario" dataDxfId="110"/>
    <tableColumn id="2" xr3:uid="{00000000-0010-0000-0800-000002000000}" name="Ficha" dataDxfId="109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tablaOperarios9" displayName="tablaOperarios9" ref="AD1:AE13" totalsRowShown="0" headerRowDxfId="108" dataDxfId="106" headerRowBorderDxfId="107" tableBorderDxfId="105" totalsRowBorderDxfId="104">
  <autoFilter ref="AD1:AE13" xr:uid="{00000000-0009-0000-0100-000008000000}"/>
  <tableColumns count="2">
    <tableColumn id="2" xr3:uid="{00000000-0010-0000-0900-000002000000}" name="Ficha" dataDxfId="103"/>
    <tableColumn id="1" xr3:uid="{00000000-0010-0000-0900-000001000000}" name="Operario" dataDxfId="102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TipoTrabajo" displayName="TablaTipoTrabajo" ref="AA1:AB17" totalsRowShown="0" headerRowDxfId="101" dataDxfId="100">
  <autoFilter ref="AA1:AB17" xr:uid="{00000000-0009-0000-0100-00000C000000}"/>
  <tableColumns count="2">
    <tableColumn id="4" xr3:uid="{00000000-0010-0000-0A00-000004000000}" name="Tipo de trabajo" dataDxfId="99"/>
    <tableColumn id="1" xr3:uid="{00000000-0010-0000-0A00-000001000000}" name="especifíco" dataDxfId="9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Ingresos" displayName="TablaIngresos" ref="B2:I32" totalsRowShown="0" headerRowDxfId="97" dataDxfId="95" headerRowBorderDxfId="96" tableBorderDxfId="94" totalsRowBorderDxfId="93">
  <autoFilter ref="B2:I32" xr:uid="{00000000-0009-0000-0100-00000A000000}"/>
  <tableColumns count="8">
    <tableColumn id="1" xr3:uid="{00000000-0010-0000-0B00-000001000000}" name="Código" dataDxfId="92"/>
    <tableColumn id="2" xr3:uid="{00000000-0010-0000-0B00-000002000000}" name="Unidades tipo" dataDxfId="91"/>
    <tableColumn id="3" xr3:uid="{00000000-0010-0000-0B00-000003000000}" name="Descripción" dataDxfId="90">
      <calculatedColumnFormula>+VLOOKUP(B3,TablaMateriales[#All],5,FALSE)</calculatedColumnFormula>
    </tableColumn>
    <tableColumn id="4" xr3:uid="{00000000-0010-0000-0B00-000004000000}" name="Remisión o código de ingreso" dataDxfId="89"/>
    <tableColumn id="5" xr3:uid="{00000000-0010-0000-0B00-000005000000}" name="Unidades" dataDxfId="88"/>
    <tableColumn id="8" xr3:uid="{00000000-0010-0000-0B00-000008000000}" name="Conversión" dataDxfId="87">
      <calculatedColumnFormula>+VLOOKUP(TablaIngresos[[#This Row],[Código]],TablaMateriales[#All],8,FALSE)</calculatedColumnFormula>
    </tableColumn>
    <tableColumn id="6" xr3:uid="{00000000-0010-0000-0B00-000006000000}" name="Cantidad" dataDxfId="86"/>
    <tableColumn id="7" xr3:uid="{00000000-0010-0000-0B00-000007000000}" name="Columna1" dataDxfId="85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ResumenPlantas" displayName="ResumenPlantas" ref="B3:G13" totalsRowShown="0" headerRowDxfId="61" headerRowBorderDxfId="60" tableBorderDxfId="59" totalsRowBorderDxfId="58">
  <autoFilter ref="B3:G13" xr:uid="{00000000-0009-0000-0100-000007000000}"/>
  <tableColumns count="6">
    <tableColumn id="1" xr3:uid="{00000000-0010-0000-0C00-000001000000}" name="Planta" dataDxfId="57"/>
    <tableColumn id="2" xr3:uid="{00000000-0010-0000-0C00-000002000000}" name="Dibujo-Calado (Hrs)" dataDxfId="56">
      <calculatedColumnFormula>+SUMIFS(Tablageneral[Total Dib/Cal],Tablageneral[Planta],Resumen!B4)</calculatedColumnFormula>
    </tableColumn>
    <tableColumn id="3" xr3:uid="{00000000-0010-0000-0C00-000003000000}" name="Encuchillado-Engomado (Hrs)" dataDxfId="55">
      <calculatedColumnFormula>+SUMIFS(Tablageneral[Total Enc/Eng],Tablageneral[Planta],Resumen!B4)</calculatedColumnFormula>
    </tableColumn>
    <tableColumn id="4" xr3:uid="{00000000-0010-0000-0C00-000004000000}" name="Dias de entrega (Prom)" dataDxfId="54">
      <calculatedColumnFormula>IFERROR(AVERAGEIFS(Tablageneral[Días de entrega],Tablageneral[Planta],Resumen!B4),0)</calculatedColumnFormula>
    </tableColumn>
    <tableColumn id="5" xr3:uid="{00000000-0010-0000-0C00-000005000000}" name="Cantidad de troqueles" dataDxfId="53">
      <calculatedColumnFormula>+COUNTIFS(Tablageneral[Planta],Resumen!B4)</calculatedColumnFormula>
    </tableColumn>
    <tableColumn id="6" xr3:uid="{00000000-0010-0000-0C00-000006000000}" name="Score-Cuchilla (cm)" dataDxfId="52">
      <calculatedColumnFormula>+SUMIFS(Tablageneral[Total Cuchi/Esc (cm)],Tablageneral[Planta],Resumen!B4)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lageneral14" displayName="Tablageneral14" ref="A2:R72" totalsRowShown="0" headerRowDxfId="51" headerRowBorderDxfId="50" tableBorderDxfId="49" totalsRowBorderDxfId="48">
  <autoFilter ref="A2:R72" xr:uid="{00000000-0009-0000-0100-00000D000000}"/>
  <tableColumns count="18">
    <tableColumn id="9" xr3:uid="{00000000-0010-0000-0D00-000009000000}" name="Planta" dataDxfId="47" totalsRowDxfId="46"/>
    <tableColumn id="1" xr3:uid="{00000000-0010-0000-0D00-000001000000}" name="Cliente" dataDxfId="45" totalsRowDxfId="44"/>
    <tableColumn id="2" xr3:uid="{00000000-0010-0000-0D00-000002000000}" name="Fecha de recibo" dataDxfId="43" totalsRowDxfId="42"/>
    <tableColumn id="3" xr3:uid="{00000000-0010-0000-0D00-000003000000}" name="Fecha de despacho" dataDxfId="41" totalsRowDxfId="40"/>
    <tableColumn id="4" xr3:uid="{00000000-0010-0000-0D00-000004000000}" name="Días de entrega" dataDxfId="39" totalsRowDxfId="38">
      <calculatedColumnFormula>Tablageneral14[[#This Row],[Fecha de despacho]]-Tablageneral14[[#This Row],[Fecha de recibo]]</calculatedColumnFormula>
    </tableColumn>
    <tableColumn id="5" xr3:uid="{00000000-0010-0000-0D00-000005000000}" name="N° de Troquel Orden" dataDxfId="37" totalsRowDxfId="36"/>
    <tableColumn id="6" xr3:uid="{00000000-0010-0000-0D00-000006000000}" name="Tipo de trabajo" dataDxfId="35" totalsRowDxfId="34"/>
    <tableColumn id="7" xr3:uid="{00000000-0010-0000-0D00-000007000000}" name="Específico" dataDxfId="33" totalsRowDxfId="32" dataCellStyle="Millares">
      <calculatedColumnFormula>INDEX(#REF!,MATCH(Tablageneral14[[#This Row],[Tipo de trabajo]],TablaTipoTrabajo[especifíco],0))</calculatedColumnFormula>
    </tableColumn>
    <tableColumn id="10" xr3:uid="{00000000-0010-0000-0D00-00000A000000}" name="Dibujo (hr)" dataDxfId="31" totalsRowDxfId="30">
      <calculatedColumnFormula>+SUMIFS(TablaTiempos[Tiempo (hr)],TablaTiempos[N° de troquel],Tablageneral14[[#This Row],[N° de Troquel Orden]],TablaTiempos[Actividad],"Dibujo")</calculatedColumnFormula>
    </tableColumn>
    <tableColumn id="13" xr3:uid="{00000000-0010-0000-0D00-00000D000000}" name="Puenteado (hr)" dataDxfId="29" totalsRowDxfId="28">
      <calculatedColumnFormula>+SUMIFS(TablaTiempos[Tiempo (hr)],TablaTiempos[N° de troquel],Tablageneral14[[#This Row],[N° de Troquel Orden]],TablaTiempos[Actividad],"Puenteado")</calculatedColumnFormula>
    </tableColumn>
    <tableColumn id="14" xr3:uid="{00000000-0010-0000-0D00-00000E000000}" name="Calado (hr)" dataDxfId="27" totalsRowDxfId="26">
      <calculatedColumnFormula>+SUMIFS(TablaTiempos[Tiempo (hr)],TablaTiempos[N° de troquel],Tablageneral14[[#This Row],[N° de Troquel Orden]],TablaTiempos[Actividad],"Calado")</calculatedColumnFormula>
    </tableColumn>
    <tableColumn id="19" xr3:uid="{00000000-0010-0000-0D00-000013000000}" name="Total Dib/Cal" dataDxfId="25" totalsRowDxfId="24">
      <calculatedColumnFormula>+SUM(Tablageneral14[[#This Row],[Dibujo (hr)]:[Calado (hr)]])</calculatedColumnFormula>
    </tableColumn>
    <tableColumn id="15" xr3:uid="{00000000-0010-0000-0D00-00000F000000}" name="Encuchillado" dataDxfId="23" totalsRowDxfId="22">
      <calculatedColumnFormula>+SUMIFS(TablaTiempos[Tiempo (hr)],TablaTiempos[N° de troquel],Tablageneral14[[#This Row],[N° de Troquel Orden]],TablaTiempos[Actividad],"Encuchillado")</calculatedColumnFormula>
    </tableColumn>
    <tableColumn id="11" xr3:uid="{00000000-0010-0000-0D00-00000B000000}" name="Engomado (hr)" dataDxfId="21" totalsRowDxfId="20">
      <calculatedColumnFormula>+SUMIFS(TablaTiempos[Tiempo (hr)],TablaTiempos[N° de troquel],Tablageneral14[[#This Row],[N° de Troquel Orden]],TablaTiempos[Actividad],"Engomado")</calculatedColumnFormula>
    </tableColumn>
    <tableColumn id="20" xr3:uid="{00000000-0010-0000-0D00-000014000000}" name="Total Enc/Eng" dataDxfId="19" totalsRowDxfId="18">
      <calculatedColumnFormula>+Tablageneral14[[#This Row],[Engomado (hr)]]+Tablageneral14[[#This Row],[Encuchillado]]</calculatedColumnFormula>
    </tableColumn>
    <tableColumn id="16" xr3:uid="{00000000-0010-0000-0D00-000010000000}" name="Cuchillas" dataDxfId="17" totalsRowDxfId="16">
      <calculatedColumnFormula>+SUMIFS(TablaConsumos[[CANTIDAD ]],TablaConsumos[N° DE TROQUEL],Tablageneral14[[#This Row],[N° de Troquel Orden]],TablaConsumos[TIPO],"Cuchilla")</calculatedColumnFormula>
    </tableColumn>
    <tableColumn id="17" xr3:uid="{00000000-0010-0000-0D00-000011000000}" name="Escores" dataDxfId="15" totalsRowDxfId="14">
      <calculatedColumnFormula>+SUMIFS(TablaConsumos[[CANTIDAD ]],TablaConsumos[N° DE TROQUEL],Tablageneral14[[#This Row],[N° de Troquel Orden]],TablaConsumos[TIPO],"Score")</calculatedColumnFormula>
    </tableColumn>
    <tableColumn id="18" xr3:uid="{00000000-0010-0000-0D00-000012000000}" name="Total Cuchi/Esc (cm)" dataDxfId="13" totalsRowDxfId="12">
      <calculatedColumnFormula>+Tablageneral14[[#This Row],[Escores]]+Tablageneral14[[#This Row],[Cuchillas]]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informacion" displayName="informacion" ref="A1:L88" tableType="queryTable" totalsRowShown="0">
  <autoFilter ref="A1:L88" xr:uid="{00000000-0009-0000-0100-00000E000000}"/>
  <tableColumns count="12">
    <tableColumn id="1" xr3:uid="{00000000-0010-0000-0E00-000001000000}" uniqueName="1" name="TROQUEL" queryTableFieldId="1" dataDxfId="11"/>
    <tableColumn id="2" xr3:uid="{00000000-0010-0000-0E00-000002000000}" uniqueName="2" name="FECHA INGRESO" queryTableFieldId="2" dataDxfId="10"/>
    <tableColumn id="3" xr3:uid="{00000000-0010-0000-0E00-000003000000}" uniqueName="3" name="FECHA ESTIMADA DESPACHO" queryTableFieldId="3" dataDxfId="9"/>
    <tableColumn id="4" xr3:uid="{00000000-0010-0000-0E00-000004000000}" uniqueName="4" name="PLANTA" queryTableFieldId="4" dataDxfId="8"/>
    <tableColumn id="5" xr3:uid="{00000000-0010-0000-0E00-000005000000}" uniqueName="5" name="CLIENTE " queryTableFieldId="5" dataDxfId="7"/>
    <tableColumn id="6" xr3:uid="{00000000-0010-0000-0E00-000006000000}" uniqueName="6" name="MÁQUINA" queryTableFieldId="6" dataDxfId="6"/>
    <tableColumn id="7" xr3:uid="{00000000-0010-0000-0E00-000007000000}" uniqueName="7" name="INGENIERO" queryTableFieldId="7" dataDxfId="5"/>
    <tableColumn id="8" xr3:uid="{00000000-0010-0000-0E00-000008000000}" uniqueName="8" name="OBSERVACIONES" queryTableFieldId="8" dataDxfId="4"/>
    <tableColumn id="9" xr3:uid="{00000000-0010-0000-0E00-000009000000}" uniqueName="9" name="DIAS DE ENTREGA" queryTableFieldId="9" dataDxfId="3"/>
    <tableColumn id="10" xr3:uid="{00000000-0010-0000-0E00-00000A000000}" uniqueName="10" name="DIAS DE ENTREGA2" queryTableFieldId="10" dataDxfId="2"/>
    <tableColumn id="11" xr3:uid="{00000000-0010-0000-0E00-00000B000000}" uniqueName="11" name="TOTAL _x000a_DIAS" queryTableFieldId="11" dataDxfId="1"/>
    <tableColumn id="12" xr3:uid="{00000000-0010-0000-0E00-00000C000000}" uniqueName="12" name="PEDIDO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11" Type="http://schemas.openxmlformats.org/officeDocument/2006/relationships/comments" Target="../comments1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3.xml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K19"/>
  <sheetViews>
    <sheetView showGridLines="0" zoomScaleNormal="100" zoomScaleSheetLayoutView="85" workbookViewId="0">
      <selection activeCell="O5" sqref="O5"/>
    </sheetView>
  </sheetViews>
  <sheetFormatPr baseColWidth="10" defaultRowHeight="15" x14ac:dyDescent="0.25"/>
  <cols>
    <col min="1" max="1" width="3.28515625" customWidth="1"/>
    <col min="4" max="4" width="38" customWidth="1"/>
    <col min="5" max="5" width="9.140625" customWidth="1"/>
    <col min="6" max="6" width="13.28515625" customWidth="1"/>
    <col min="9" max="9" width="13.85546875" customWidth="1"/>
  </cols>
  <sheetData>
    <row r="1" spans="2:11" ht="15.75" thickBot="1" x14ac:dyDescent="0.3"/>
    <row r="2" spans="2:11" ht="50.25" customHeight="1" x14ac:dyDescent="0.3">
      <c r="B2" s="9"/>
      <c r="C2" s="14"/>
      <c r="D2" s="19"/>
      <c r="E2" s="14"/>
      <c r="F2" s="14"/>
      <c r="G2" s="315"/>
      <c r="H2" s="316"/>
      <c r="I2" s="316"/>
      <c r="J2" s="316"/>
      <c r="K2" s="317"/>
    </row>
    <row r="3" spans="2:11" ht="20.25" x14ac:dyDescent="0.3">
      <c r="B3" s="10"/>
      <c r="C3" s="15"/>
      <c r="D3" s="16"/>
      <c r="E3" s="15"/>
      <c r="F3" s="15"/>
      <c r="G3" s="318"/>
      <c r="H3" s="354" t="s">
        <v>1248</v>
      </c>
      <c r="I3" s="354"/>
      <c r="J3" s="354"/>
      <c r="K3" s="319"/>
    </row>
    <row r="4" spans="2:11" ht="20.25" x14ac:dyDescent="0.3">
      <c r="B4" s="10"/>
      <c r="C4" s="15"/>
      <c r="D4" s="18" t="s">
        <v>596</v>
      </c>
      <c r="E4" s="15"/>
      <c r="F4" s="15"/>
      <c r="G4" s="318"/>
      <c r="H4" s="354"/>
      <c r="I4" s="354"/>
      <c r="J4" s="354"/>
      <c r="K4" s="319"/>
    </row>
    <row r="5" spans="2:11" ht="20.25" x14ac:dyDescent="0.3">
      <c r="B5" s="10"/>
      <c r="C5" s="15"/>
      <c r="D5" s="18"/>
      <c r="E5" s="15"/>
      <c r="F5" s="15"/>
      <c r="G5" s="318"/>
      <c r="H5" s="98"/>
      <c r="I5" s="98"/>
      <c r="J5" s="98"/>
      <c r="K5" s="319"/>
    </row>
    <row r="6" spans="2:11" ht="20.25" x14ac:dyDescent="0.3">
      <c r="B6" s="10"/>
      <c r="C6" s="20">
        <v>1</v>
      </c>
      <c r="D6" s="64" t="s">
        <v>762</v>
      </c>
      <c r="E6" s="16"/>
      <c r="F6" s="15"/>
      <c r="G6" s="318"/>
      <c r="H6" s="98"/>
      <c r="I6" s="98"/>
      <c r="J6" s="98"/>
      <c r="K6" s="319"/>
    </row>
    <row r="7" spans="2:11" ht="20.25" x14ac:dyDescent="0.3">
      <c r="B7" s="10"/>
      <c r="C7" s="20">
        <v>2</v>
      </c>
      <c r="D7" s="64" t="s">
        <v>653</v>
      </c>
      <c r="E7" s="16"/>
      <c r="F7" s="314"/>
      <c r="G7" s="318"/>
      <c r="H7" s="98"/>
      <c r="I7" s="98"/>
      <c r="J7" s="98"/>
      <c r="K7" s="319"/>
    </row>
    <row r="8" spans="2:11" ht="20.25" x14ac:dyDescent="0.3">
      <c r="B8" s="10"/>
      <c r="C8" s="20">
        <v>3</v>
      </c>
      <c r="D8" s="65" t="s">
        <v>720</v>
      </c>
      <c r="E8" s="16"/>
      <c r="F8" s="314"/>
      <c r="G8" s="318"/>
      <c r="H8" s="98"/>
      <c r="I8" s="98"/>
      <c r="J8" s="98"/>
      <c r="K8" s="319"/>
    </row>
    <row r="9" spans="2:11" ht="20.25" x14ac:dyDescent="0.3">
      <c r="B9" s="10"/>
      <c r="C9" s="20">
        <v>4</v>
      </c>
      <c r="D9" s="64" t="s">
        <v>656</v>
      </c>
      <c r="E9" s="16"/>
      <c r="F9" s="15"/>
      <c r="G9" s="318"/>
      <c r="H9" s="98"/>
      <c r="I9" s="98"/>
      <c r="J9" s="98"/>
      <c r="K9" s="319"/>
    </row>
    <row r="10" spans="2:11" ht="20.25" x14ac:dyDescent="0.3">
      <c r="B10" s="10"/>
      <c r="C10" s="20">
        <v>5</v>
      </c>
      <c r="D10" s="64" t="s">
        <v>657</v>
      </c>
      <c r="E10" s="16"/>
      <c r="F10" s="15"/>
      <c r="G10" s="318"/>
      <c r="H10" s="98"/>
      <c r="I10" s="98"/>
      <c r="J10" s="98"/>
      <c r="K10" s="319"/>
    </row>
    <row r="11" spans="2:11" ht="20.25" x14ac:dyDescent="0.3">
      <c r="B11" s="10"/>
      <c r="C11" s="20">
        <v>6</v>
      </c>
      <c r="D11" s="64" t="s">
        <v>1149</v>
      </c>
      <c r="E11" s="15"/>
      <c r="F11" s="15"/>
      <c r="G11" s="318"/>
      <c r="H11" s="98"/>
      <c r="I11" s="98"/>
      <c r="J11" s="98"/>
      <c r="K11" s="319"/>
    </row>
    <row r="12" spans="2:11" x14ac:dyDescent="0.25">
      <c r="B12" s="10"/>
      <c r="C12" s="11"/>
      <c r="D12" s="11"/>
      <c r="E12" s="11"/>
      <c r="F12" s="11"/>
      <c r="G12" s="318"/>
      <c r="H12" s="98"/>
      <c r="I12" s="98"/>
      <c r="J12" s="98"/>
      <c r="K12" s="319"/>
    </row>
    <row r="13" spans="2:11" x14ac:dyDescent="0.25">
      <c r="B13" s="10"/>
      <c r="C13" s="11"/>
      <c r="D13" s="11"/>
      <c r="E13" s="11"/>
      <c r="F13" s="11"/>
      <c r="G13" s="318"/>
      <c r="H13" s="98"/>
      <c r="I13" s="98"/>
      <c r="J13" s="98"/>
      <c r="K13" s="319"/>
    </row>
    <row r="14" spans="2:11" x14ac:dyDescent="0.25">
      <c r="B14" s="10"/>
      <c r="C14" s="11"/>
      <c r="D14" s="11"/>
      <c r="E14" s="11"/>
      <c r="F14" s="11"/>
      <c r="G14" s="318"/>
      <c r="H14" s="98"/>
      <c r="I14" s="98"/>
      <c r="J14" s="98"/>
      <c r="K14" s="319"/>
    </row>
    <row r="15" spans="2:11" ht="20.25" x14ac:dyDescent="0.3">
      <c r="B15" s="10"/>
      <c r="C15" s="17" t="s">
        <v>655</v>
      </c>
      <c r="D15" s="66" t="s">
        <v>654</v>
      </c>
      <c r="E15" s="11"/>
      <c r="F15" s="11"/>
      <c r="G15" s="318"/>
      <c r="H15" s="98"/>
      <c r="I15" s="98"/>
      <c r="J15" s="98"/>
      <c r="K15" s="319"/>
    </row>
    <row r="16" spans="2:11" x14ac:dyDescent="0.25">
      <c r="B16" s="10"/>
      <c r="C16" s="11"/>
      <c r="D16" s="11"/>
      <c r="E16" s="11"/>
      <c r="F16" s="11"/>
      <c r="G16" s="318"/>
      <c r="H16" s="98"/>
      <c r="I16" s="98"/>
      <c r="J16" s="98"/>
      <c r="K16" s="319"/>
    </row>
    <row r="17" spans="2:11" x14ac:dyDescent="0.25">
      <c r="B17" s="10"/>
      <c r="C17" s="11"/>
      <c r="D17" s="11"/>
      <c r="E17" s="11"/>
      <c r="F17" s="11"/>
      <c r="G17" s="318"/>
      <c r="H17" s="98"/>
      <c r="I17" s="98"/>
      <c r="J17" s="98"/>
      <c r="K17" s="319"/>
    </row>
    <row r="18" spans="2:11" x14ac:dyDescent="0.25">
      <c r="B18" s="10"/>
      <c r="C18" s="11"/>
      <c r="D18" s="11"/>
      <c r="E18" s="11"/>
      <c r="F18" s="11"/>
      <c r="G18" s="318"/>
      <c r="H18" s="98"/>
      <c r="I18" s="98"/>
      <c r="J18" s="98"/>
      <c r="K18" s="319"/>
    </row>
    <row r="19" spans="2:11" ht="15.75" thickBot="1" x14ac:dyDescent="0.3">
      <c r="B19" s="12"/>
      <c r="C19" s="13"/>
      <c r="D19" s="13"/>
      <c r="E19" s="13"/>
      <c r="F19" s="13"/>
      <c r="G19" s="320"/>
      <c r="H19" s="321"/>
      <c r="I19" s="321"/>
      <c r="J19" s="321"/>
      <c r="K19" s="322"/>
    </row>
  </sheetData>
  <mergeCells count="1">
    <mergeCell ref="H3:J4"/>
  </mergeCells>
  <hyperlinks>
    <hyperlink ref="D15" location="DATA!A1" display="Base de datos" xr:uid="{00000000-0004-0000-0000-000000000000}"/>
    <hyperlink ref="D9" location="TIEMPOS!A1" display="Tiempos" xr:uid="{00000000-0004-0000-0000-000001000000}"/>
    <hyperlink ref="D10" location="Inventario!A1" display="Inventario" xr:uid="{00000000-0004-0000-0000-000002000000}"/>
    <hyperlink ref="D7" location="General!A1" display="General" xr:uid="{00000000-0004-0000-0000-000003000000}"/>
    <hyperlink ref="D8" location="Ingresos!A1" display="Ingresos" xr:uid="{00000000-0004-0000-0000-000004000000}"/>
    <hyperlink ref="D6" location="Inicio!A1" display="Inicio-Formulario de ingreso" xr:uid="{00000000-0004-0000-0000-000005000000}"/>
    <hyperlink ref="D11" location="Resumen!A1" display="Resumen por plantas" xr:uid="{00000000-0004-0000-0000-00000600000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7</xdr:col>
                <xdr:colOff>257175</xdr:colOff>
                <xdr:row>6</xdr:row>
                <xdr:rowOff>180975</xdr:rowOff>
              </from>
              <to>
                <xdr:col>9</xdr:col>
                <xdr:colOff>447675</xdr:colOff>
                <xdr:row>9</xdr:row>
                <xdr:rowOff>152400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  <pageSetUpPr fitToPage="1"/>
  </sheetPr>
  <dimension ref="A1:S3"/>
  <sheetViews>
    <sheetView showGridLines="0" zoomScale="85" zoomScaleNormal="85" workbookViewId="0">
      <selection activeCell="F16" sqref="F16"/>
    </sheetView>
  </sheetViews>
  <sheetFormatPr baseColWidth="10" defaultRowHeight="15" x14ac:dyDescent="0.25"/>
  <cols>
    <col min="1" max="1" width="14.7109375" bestFit="1" customWidth="1"/>
    <col min="2" max="2" width="31.28515625" bestFit="1" customWidth="1"/>
    <col min="3" max="3" width="11.140625" bestFit="1" customWidth="1"/>
    <col min="4" max="4" width="11.7109375" bestFit="1" customWidth="1"/>
    <col min="5" max="5" width="9.85546875" bestFit="1" customWidth="1"/>
    <col min="6" max="6" width="23.85546875" bestFit="1" customWidth="1"/>
    <col min="7" max="7" width="9.7109375" style="2" customWidth="1"/>
    <col min="8" max="8" width="14.28515625" style="2" bestFit="1" customWidth="1"/>
    <col min="9" max="9" width="8.7109375" style="2" bestFit="1" customWidth="1"/>
    <col min="10" max="10" width="10.28515625" customWidth="1"/>
    <col min="11" max="11" width="9.28515625" bestFit="1" customWidth="1"/>
    <col min="12" max="12" width="9.42578125" bestFit="1" customWidth="1"/>
    <col min="13" max="13" width="13.85546875" customWidth="1"/>
    <col min="14" max="14" width="12.5703125" bestFit="1" customWidth="1"/>
    <col min="15" max="15" width="10.5703125" bestFit="1" customWidth="1"/>
    <col min="16" max="16" width="11.140625" bestFit="1" customWidth="1"/>
    <col min="17" max="17" width="10.28515625" bestFit="1" customWidth="1"/>
    <col min="18" max="18" width="16.7109375" bestFit="1" customWidth="1"/>
    <col min="19" max="19" width="13.42578125" customWidth="1"/>
  </cols>
  <sheetData>
    <row r="1" spans="1:19" ht="44.25" customHeight="1" x14ac:dyDescent="0.25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ht="39" customHeight="1" x14ac:dyDescent="0.25">
      <c r="A2" s="259" t="s">
        <v>752</v>
      </c>
      <c r="B2" s="259" t="s">
        <v>627</v>
      </c>
      <c r="C2" s="259" t="s">
        <v>623</v>
      </c>
      <c r="D2" s="259" t="s">
        <v>624</v>
      </c>
      <c r="E2" s="259" t="s">
        <v>625</v>
      </c>
      <c r="F2" s="259" t="s">
        <v>719</v>
      </c>
      <c r="G2" s="259" t="s">
        <v>626</v>
      </c>
      <c r="H2" s="259" t="s">
        <v>889</v>
      </c>
      <c r="I2" s="261" t="s">
        <v>900</v>
      </c>
      <c r="J2" s="261" t="s">
        <v>901</v>
      </c>
      <c r="K2" s="261" t="s">
        <v>902</v>
      </c>
      <c r="L2" s="261" t="s">
        <v>755</v>
      </c>
      <c r="M2" s="261" t="s">
        <v>749</v>
      </c>
      <c r="N2" s="261" t="s">
        <v>903</v>
      </c>
      <c r="O2" s="262" t="s">
        <v>756</v>
      </c>
      <c r="P2" s="262" t="s">
        <v>753</v>
      </c>
      <c r="Q2" s="262" t="s">
        <v>754</v>
      </c>
      <c r="R2" s="262" t="s">
        <v>904</v>
      </c>
      <c r="S2" s="345" t="s">
        <v>1272</v>
      </c>
    </row>
    <row r="3" spans="1:19" x14ac:dyDescent="0.25">
      <c r="A3" s="30"/>
      <c r="B3" s="334"/>
      <c r="C3" s="335"/>
      <c r="D3" s="335"/>
      <c r="E3" s="336">
        <f>Tablageneral[[#This Row],[Fecha de despacho]]-Tablageneral[[#This Row],[Fecha de recibo]]</f>
        <v>0</v>
      </c>
      <c r="F3" s="337"/>
      <c r="G3" s="337"/>
      <c r="H3" s="338" t="e">
        <f>VLOOKUP(Tablageneral[[#This Row],[Tipo de trabajo]],TablaTipoTrabajo[#All],2,FALSE)</f>
        <v>#N/A</v>
      </c>
      <c r="I3" s="337">
        <f>+SUMIFS(TablaTiempos[Tiempo (hr)],TablaTiempos[N° de troquel],Tablageneral[[#This Row],[N° de Troquel Orden]],TablaTiempos[Actividad],"Dibujo")</f>
        <v>0</v>
      </c>
      <c r="J3" s="339">
        <f>+SUMIFS(TablaTiempos[Tiempo (hr)],TablaTiempos[N° de troquel],Tablageneral[[#This Row],[N° de Troquel Orden]],TablaTiempos[Actividad],"Puenteado")</f>
        <v>0</v>
      </c>
      <c r="K3" s="339">
        <f>+SUMIFS(TablaTiempos[Tiempo (hr)],TablaTiempos[N° de troquel],Tablageneral[[#This Row],[N° de Troquel Orden]],TablaTiempos[Actividad],"Calado")</f>
        <v>0</v>
      </c>
      <c r="L3" s="340">
        <f>+SUM(Tablageneral[[#This Row],[Dibujo (hr)]:[Calado (hr)]])</f>
        <v>0</v>
      </c>
      <c r="M3" s="341">
        <f>+SUMIFS(TablaTiempos[Tiempo (hr)],TablaTiempos[N° de troquel],Tablageneral[[#This Row],[N° de Troquel Orden]],TablaTiempos[Actividad],"Encuchillado")</f>
        <v>0</v>
      </c>
      <c r="N3" s="342">
        <f>+SUMIFS(TablaTiempos[Tiempo (hr)],TablaTiempos[N° de troquel],Tablageneral[[#This Row],[N° de Troquel Orden]],TablaTiempos[Actividad],"Engomado")</f>
        <v>0</v>
      </c>
      <c r="O3" s="343">
        <f>+Tablageneral[[#This Row],[Engomado (hr)]]+Tablageneral[[#This Row],[Encuchillado]]</f>
        <v>0</v>
      </c>
      <c r="P3" s="344">
        <f>+SUMIFS(TablaConsumos[[CANTIDAD ]],TablaConsumos[N° DE TROQUEL],Tablageneral[[#This Row],[N° de Troquel Orden]],TablaConsumos[TIPO],"Cuchilla")</f>
        <v>0</v>
      </c>
      <c r="Q3" s="339">
        <f>+SUMIFS(TablaConsumos[[CANTIDAD ]],TablaConsumos[N° DE TROQUEL],Tablageneral[[#This Row],[N° de Troquel Orden]],TablaConsumos[TIPO],"Score")</f>
        <v>0</v>
      </c>
      <c r="R3" s="340">
        <f>+Tablageneral[[#This Row],[Escores]]+Tablageneral[[#This Row],[Cuchillas]]</f>
        <v>0</v>
      </c>
      <c r="S3" t="s">
        <v>1289</v>
      </c>
    </row>
  </sheetData>
  <sheetProtection sheet="1" objects="1" scenarios="1"/>
  <mergeCells count="1">
    <mergeCell ref="A1:S1"/>
  </mergeCells>
  <conditionalFormatting sqref="F3">
    <cfRule type="duplicateValues" dxfId="215" priority="40"/>
  </conditionalFormatting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Data!K$2:K$11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2D050"/>
  </sheetPr>
  <dimension ref="A1:L3"/>
  <sheetViews>
    <sheetView showGridLines="0" zoomScale="90" zoomScaleNormal="90" workbookViewId="0">
      <pane ySplit="1" topLeftCell="A2" activePane="bottomLeft" state="frozen"/>
      <selection activeCell="F8" sqref="F8"/>
      <selection pane="bottomLeft" activeCell="E25" sqref="E25"/>
    </sheetView>
  </sheetViews>
  <sheetFormatPr baseColWidth="10" defaultRowHeight="15" x14ac:dyDescent="0.25"/>
  <cols>
    <col min="1" max="1" width="17.28515625" style="7" bestFit="1" customWidth="1"/>
    <col min="2" max="2" width="28.28515625" style="7" bestFit="1" customWidth="1"/>
    <col min="3" max="3" width="22.85546875" style="7" bestFit="1" customWidth="1"/>
    <col min="4" max="4" width="12.42578125" style="7" bestFit="1" customWidth="1"/>
    <col min="5" max="5" width="14.7109375" style="190" bestFit="1" customWidth="1"/>
    <col min="6" max="6" width="17.85546875" style="2" bestFit="1" customWidth="1"/>
    <col min="7" max="7" width="12" bestFit="1" customWidth="1"/>
    <col min="8" max="8" width="70.28515625" style="7" bestFit="1" customWidth="1"/>
    <col min="9" max="9" width="9.140625" bestFit="1" customWidth="1"/>
    <col min="10" max="10" width="2.28515625" bestFit="1" customWidth="1"/>
    <col min="11" max="11" width="21.7109375" style="23" customWidth="1"/>
    <col min="12" max="12" width="14" style="23" customWidth="1"/>
    <col min="13" max="13" width="16.7109375" customWidth="1"/>
    <col min="14" max="14" width="66.7109375" customWidth="1"/>
    <col min="15" max="15" width="13.140625" customWidth="1"/>
    <col min="16" max="16" width="11" customWidth="1"/>
  </cols>
  <sheetData>
    <row r="1" spans="1:12" x14ac:dyDescent="0.25">
      <c r="A1" s="271" t="s">
        <v>752</v>
      </c>
      <c r="B1" s="271" t="s">
        <v>600</v>
      </c>
      <c r="C1" s="244" t="s">
        <v>611</v>
      </c>
      <c r="D1" s="271" t="s">
        <v>597</v>
      </c>
      <c r="E1" s="244" t="s">
        <v>621</v>
      </c>
      <c r="F1" s="272" t="s">
        <v>1147</v>
      </c>
      <c r="G1" s="271" t="s">
        <v>1139</v>
      </c>
      <c r="H1" s="271" t="s">
        <v>598</v>
      </c>
      <c r="I1" s="273" t="s">
        <v>599</v>
      </c>
      <c r="K1"/>
      <c r="L1"/>
    </row>
    <row r="2" spans="1:12" x14ac:dyDescent="0.25">
      <c r="A2" s="1"/>
      <c r="B2" s="1"/>
      <c r="C2" s="72"/>
      <c r="D2" s="3"/>
      <c r="E2" s="4"/>
      <c r="F2" s="73"/>
      <c r="G2" s="1"/>
      <c r="H2" s="72"/>
      <c r="I2" s="331"/>
      <c r="K2"/>
      <c r="L2"/>
    </row>
    <row r="3" spans="1:12" x14ac:dyDescent="0.25">
      <c r="A3" s="2"/>
      <c r="B3" s="2"/>
      <c r="D3" s="323"/>
      <c r="E3" s="324"/>
      <c r="F3" s="275"/>
      <c r="G3" s="2"/>
      <c r="I3" s="2"/>
    </row>
  </sheetData>
  <sheetProtection sheet="1" objects="1" scenarios="1"/>
  <pageMargins left="0.7" right="0.7" top="0.75" bottom="0.75" header="0.3" footer="0.3"/>
  <pageSetup orientation="portrait" r:id="rId1"/>
  <ignoredErrors>
    <ignoredError sqref="H1:I1" calculatedColum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Data!$J$2:$J$11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92D050"/>
  </sheetPr>
  <dimension ref="A1:J2"/>
  <sheetViews>
    <sheetView showGridLines="0" zoomScale="85" zoomScaleNormal="85" workbookViewId="0">
      <pane ySplit="1" topLeftCell="A2" activePane="bottomLeft" state="frozen"/>
      <selection activeCell="F8" sqref="F8"/>
      <selection pane="bottomLeft" activeCell="A8" sqref="A3:XFD8"/>
    </sheetView>
  </sheetViews>
  <sheetFormatPr baseColWidth="10" defaultRowHeight="15" x14ac:dyDescent="0.25"/>
  <cols>
    <col min="1" max="1" width="13.140625" style="29" customWidth="1"/>
    <col min="2" max="2" width="19.85546875" bestFit="1" customWidth="1"/>
    <col min="3" max="3" width="19" bestFit="1" customWidth="1"/>
    <col min="4" max="4" width="25.42578125" customWidth="1"/>
    <col min="5" max="5" width="14" style="313" bestFit="1" customWidth="1"/>
    <col min="6" max="6" width="13.85546875" customWidth="1"/>
    <col min="7" max="7" width="20.140625" customWidth="1"/>
    <col min="8" max="8" width="28.28515625" customWidth="1"/>
    <col min="9" max="9" width="14.140625" customWidth="1"/>
    <col min="10" max="10" width="18.7109375" customWidth="1"/>
  </cols>
  <sheetData>
    <row r="1" spans="1:10" ht="33.75" customHeight="1" x14ac:dyDescent="0.25">
      <c r="A1" s="267" t="s">
        <v>764</v>
      </c>
      <c r="B1" s="268" t="s">
        <v>641</v>
      </c>
      <c r="C1" s="268" t="s">
        <v>628</v>
      </c>
      <c r="D1" s="269" t="s">
        <v>629</v>
      </c>
      <c r="E1" s="312" t="s">
        <v>1148</v>
      </c>
      <c r="F1" s="270" t="s">
        <v>651</v>
      </c>
      <c r="G1" s="333" t="s">
        <v>1271</v>
      </c>
      <c r="H1" s="6"/>
      <c r="I1" s="6"/>
      <c r="J1" s="6"/>
    </row>
    <row r="2" spans="1:10" x14ac:dyDescent="0.25">
      <c r="A2" s="325"/>
      <c r="B2" s="326"/>
      <c r="C2" s="327"/>
      <c r="D2" s="328"/>
      <c r="E2" s="329"/>
      <c r="F2" s="330"/>
      <c r="G2" s="332"/>
    </row>
  </sheetData>
  <sheetProtection sheet="1" objects="1" scenarios="1"/>
  <phoneticPr fontId="40" type="noConversion"/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Data!$P$2:$P$9</xm:f>
          </x14:formula1>
          <xm:sqref>F2</xm:sqref>
        </x14:dataValidation>
        <x14:dataValidation type="list" allowBlank="1" showInputMessage="1" showErrorMessage="1" xr:uid="{00000000-0002-0000-0300-000001000000}">
          <x14:formula1>
            <xm:f>Data!$M$2:$M$13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FFCCCC"/>
  </sheetPr>
  <dimension ref="A1:AO1159"/>
  <sheetViews>
    <sheetView showGridLines="0" tabSelected="1" topLeftCell="A506" zoomScale="70" zoomScaleNormal="70" workbookViewId="0">
      <selection activeCell="I513" sqref="I513"/>
    </sheetView>
  </sheetViews>
  <sheetFormatPr baseColWidth="10" defaultColWidth="11.5703125" defaultRowHeight="15" x14ac:dyDescent="0.25"/>
  <cols>
    <col min="1" max="1" width="11.42578125" style="27" customWidth="1"/>
    <col min="2" max="2" width="14.42578125" style="28" bestFit="1" customWidth="1"/>
    <col min="3" max="3" width="12.28515625" style="28" bestFit="1" customWidth="1"/>
    <col min="4" max="4" width="12" style="28" bestFit="1" customWidth="1"/>
    <col min="5" max="5" width="80.7109375" style="28" customWidth="1"/>
    <col min="6" max="6" width="17.140625" style="28" bestFit="1" customWidth="1"/>
    <col min="7" max="7" width="11.5703125" style="26" customWidth="1"/>
    <col min="8" max="8" width="17.7109375" style="26" bestFit="1" customWidth="1"/>
    <col min="9" max="9" width="7.85546875" customWidth="1"/>
    <col min="10" max="10" width="13.85546875" bestFit="1" customWidth="1"/>
    <col min="12" max="12" width="11.5703125" customWidth="1"/>
    <col min="13" max="13" width="20" customWidth="1"/>
    <col min="14" max="14" width="17.85546875" customWidth="1"/>
    <col min="16" max="16" width="18" bestFit="1" customWidth="1"/>
    <col min="17" max="17" width="12.85546875" bestFit="1" customWidth="1"/>
    <col min="18" max="18" width="6" customWidth="1"/>
    <col min="19" max="19" width="35.42578125" bestFit="1" customWidth="1"/>
    <col min="20" max="20" width="35.42578125" customWidth="1"/>
    <col min="22" max="22" width="11.28515625" customWidth="1"/>
    <col min="23" max="23" width="19.85546875" customWidth="1"/>
    <col min="24" max="24" width="7.42578125" bestFit="1" customWidth="1"/>
    <col min="28" max="28" width="16.5703125" customWidth="1"/>
    <col min="29" max="29" width="11.7109375" customWidth="1"/>
    <col min="30" max="30" width="11.5703125" customWidth="1"/>
    <col min="31" max="31" width="19.28515625" customWidth="1"/>
    <col min="32" max="32" width="18.42578125" customWidth="1"/>
  </cols>
  <sheetData>
    <row r="1" spans="1:41" s="7" customFormat="1" x14ac:dyDescent="0.25">
      <c r="A1" s="254" t="s">
        <v>882</v>
      </c>
      <c r="B1" s="245" t="s">
        <v>0</v>
      </c>
      <c r="C1" s="245" t="s">
        <v>1</v>
      </c>
      <c r="D1" s="245" t="s">
        <v>2</v>
      </c>
      <c r="E1" s="245" t="s">
        <v>728</v>
      </c>
      <c r="F1" s="245" t="s">
        <v>595</v>
      </c>
      <c r="G1" s="245" t="s">
        <v>723</v>
      </c>
      <c r="H1" s="245" t="s">
        <v>619</v>
      </c>
      <c r="J1" s="252" t="s">
        <v>886</v>
      </c>
      <c r="L1" s="247" t="s">
        <v>628</v>
      </c>
      <c r="M1" s="248" t="s">
        <v>629</v>
      </c>
      <c r="O1" s="249" t="s">
        <v>648</v>
      </c>
      <c r="P1" s="250" t="s">
        <v>649</v>
      </c>
      <c r="S1" s="251" t="s">
        <v>627</v>
      </c>
      <c r="T1" s="311"/>
      <c r="U1" s="246" t="s">
        <v>882</v>
      </c>
      <c r="V1" s="246" t="s">
        <v>728</v>
      </c>
      <c r="W1" s="246" t="s">
        <v>4</v>
      </c>
      <c r="X1" s="246" t="s">
        <v>2</v>
      </c>
      <c r="Y1" s="246" t="s">
        <v>595</v>
      </c>
      <c r="AA1" s="7" t="s">
        <v>626</v>
      </c>
      <c r="AB1" s="7" t="s">
        <v>1245</v>
      </c>
      <c r="AD1" s="248" t="s">
        <v>629</v>
      </c>
      <c r="AE1" s="247" t="s">
        <v>628</v>
      </c>
      <c r="AM1" s="7" t="s">
        <v>1260</v>
      </c>
      <c r="AO1" s="7" t="s">
        <v>1261</v>
      </c>
    </row>
    <row r="2" spans="1:41" x14ac:dyDescent="0.25">
      <c r="A2" s="49">
        <v>8200792</v>
      </c>
      <c r="B2" s="28" t="s">
        <v>3</v>
      </c>
      <c r="C2" s="45">
        <v>409</v>
      </c>
      <c r="D2" s="45" t="s">
        <v>4</v>
      </c>
      <c r="E2" s="27" t="s">
        <v>5</v>
      </c>
      <c r="F2" s="28" t="s">
        <v>1144</v>
      </c>
      <c r="G2" s="45" t="s">
        <v>620</v>
      </c>
      <c r="H2" s="24">
        <f>20985</f>
        <v>20985</v>
      </c>
      <c r="J2" s="255" t="s">
        <v>606</v>
      </c>
      <c r="L2" s="52" t="s">
        <v>636</v>
      </c>
      <c r="M2" s="309">
        <v>96</v>
      </c>
      <c r="O2" s="52" t="s">
        <v>644</v>
      </c>
      <c r="P2" s="53" t="s">
        <v>644</v>
      </c>
      <c r="S2" s="57" t="s">
        <v>1107</v>
      </c>
      <c r="T2" s="26"/>
      <c r="U2" s="263">
        <v>8201455</v>
      </c>
      <c r="V2" s="263" t="s">
        <v>19</v>
      </c>
      <c r="W2" s="264">
        <f>INDEX(TablaMateriales[Conversión Cm2],MATCH(TablaConversión[[#This Row],[Códigos]],TablaMateriales[Códigos],0))</f>
        <v>6090</v>
      </c>
      <c r="X2" s="264" t="s">
        <v>17</v>
      </c>
      <c r="Y2" s="264" t="s">
        <v>1144</v>
      </c>
      <c r="AA2" s="260" t="s">
        <v>890</v>
      </c>
      <c r="AB2" s="260" t="str">
        <f t="shared" ref="AB2:AB7" si="0">AA2</f>
        <v>WARD</v>
      </c>
      <c r="AD2" s="309">
        <v>96</v>
      </c>
      <c r="AE2" s="52" t="s">
        <v>636</v>
      </c>
    </row>
    <row r="3" spans="1:41" x14ac:dyDescent="0.25">
      <c r="A3" s="49">
        <v>8200914</v>
      </c>
      <c r="B3" s="28" t="s">
        <v>6</v>
      </c>
      <c r="C3" s="45">
        <v>410</v>
      </c>
      <c r="D3" s="45" t="s">
        <v>4</v>
      </c>
      <c r="E3" s="27" t="s">
        <v>7</v>
      </c>
      <c r="F3" s="28" t="s">
        <v>1144</v>
      </c>
      <c r="G3" s="45" t="s">
        <v>620</v>
      </c>
      <c r="H3" s="24">
        <f>16281</f>
        <v>16281</v>
      </c>
      <c r="J3" s="255" t="s">
        <v>884</v>
      </c>
      <c r="L3" s="52" t="s">
        <v>639</v>
      </c>
      <c r="M3" s="52">
        <v>766</v>
      </c>
      <c r="O3" s="52" t="s">
        <v>642</v>
      </c>
      <c r="P3" s="53" t="s">
        <v>746</v>
      </c>
      <c r="S3" s="57" t="s">
        <v>908</v>
      </c>
      <c r="T3" s="26"/>
      <c r="U3" s="25">
        <v>8204500</v>
      </c>
      <c r="V3" s="25" t="s">
        <v>364</v>
      </c>
      <c r="W3" s="264">
        <f>INDEX(TablaMateriales[Conversión Cm2],MATCH(TablaConversión[[#This Row],[Códigos]],TablaMateriales[Códigos],0))</f>
        <v>2500</v>
      </c>
      <c r="X3" s="264" t="s">
        <v>17</v>
      </c>
      <c r="Y3" s="264" t="s">
        <v>1141</v>
      </c>
      <c r="AA3" s="260" t="s">
        <v>891</v>
      </c>
      <c r="AB3" s="260" t="str">
        <f t="shared" si="0"/>
        <v>FW</v>
      </c>
      <c r="AD3" s="52">
        <v>766</v>
      </c>
      <c r="AE3" s="52" t="s">
        <v>639</v>
      </c>
    </row>
    <row r="4" spans="1:41" x14ac:dyDescent="0.25">
      <c r="A4" s="49">
        <v>8200910</v>
      </c>
      <c r="B4" s="28" t="s">
        <v>8</v>
      </c>
      <c r="C4" s="45">
        <v>412</v>
      </c>
      <c r="D4" s="45" t="s">
        <v>4</v>
      </c>
      <c r="E4" s="27" t="s">
        <v>9</v>
      </c>
      <c r="F4" s="28" t="s">
        <v>1144</v>
      </c>
      <c r="G4" s="45" t="s">
        <v>620</v>
      </c>
      <c r="H4" s="24">
        <f>8595</f>
        <v>8595</v>
      </c>
      <c r="J4" s="255" t="s">
        <v>602</v>
      </c>
      <c r="L4" s="52" t="s">
        <v>637</v>
      </c>
      <c r="M4" s="308">
        <v>5998</v>
      </c>
      <c r="O4" s="52" t="s">
        <v>643</v>
      </c>
      <c r="P4" s="53" t="s">
        <v>747</v>
      </c>
      <c r="S4" s="57" t="s">
        <v>909</v>
      </c>
      <c r="T4" s="26"/>
      <c r="AA4" s="260" t="s">
        <v>905</v>
      </c>
      <c r="AB4" s="260" t="s">
        <v>893</v>
      </c>
      <c r="AD4" s="308">
        <v>5998</v>
      </c>
      <c r="AE4" s="52" t="s">
        <v>637</v>
      </c>
    </row>
    <row r="5" spans="1:41" x14ac:dyDescent="0.25">
      <c r="A5" s="49">
        <v>8202680</v>
      </c>
      <c r="C5" s="45"/>
      <c r="D5" s="45" t="s">
        <v>4</v>
      </c>
      <c r="E5" s="27" t="s">
        <v>10</v>
      </c>
      <c r="F5" s="28" t="s">
        <v>1144</v>
      </c>
      <c r="G5" s="45" t="s">
        <v>620</v>
      </c>
      <c r="H5" s="24">
        <f>21396</f>
        <v>21396</v>
      </c>
      <c r="J5" s="255" t="s">
        <v>604</v>
      </c>
      <c r="L5" s="52" t="s">
        <v>638</v>
      </c>
      <c r="M5" s="52">
        <v>5838</v>
      </c>
      <c r="O5" s="52" t="s">
        <v>645</v>
      </c>
      <c r="P5" s="53" t="s">
        <v>748</v>
      </c>
      <c r="S5" s="57" t="s">
        <v>1114</v>
      </c>
      <c r="T5" s="26"/>
      <c r="AA5" s="260" t="s">
        <v>897</v>
      </c>
      <c r="AB5" s="260" t="str">
        <f>AA5</f>
        <v>ML</v>
      </c>
      <c r="AD5" s="52">
        <v>5838</v>
      </c>
      <c r="AE5" s="52" t="s">
        <v>638</v>
      </c>
    </row>
    <row r="6" spans="1:41" x14ac:dyDescent="0.25">
      <c r="A6" s="49">
        <v>8203642</v>
      </c>
      <c r="C6" s="45" t="s">
        <v>11</v>
      </c>
      <c r="D6" s="45" t="s">
        <v>4</v>
      </c>
      <c r="E6" s="27" t="s">
        <v>12</v>
      </c>
      <c r="F6" s="28" t="s">
        <v>1144</v>
      </c>
      <c r="G6" s="45" t="s">
        <v>620</v>
      </c>
      <c r="H6" s="24">
        <f>8860</f>
        <v>8860</v>
      </c>
      <c r="J6" s="255" t="s">
        <v>885</v>
      </c>
      <c r="L6" s="52" t="s">
        <v>640</v>
      </c>
      <c r="M6" s="308">
        <v>11332</v>
      </c>
      <c r="O6" s="52" t="s">
        <v>646</v>
      </c>
      <c r="P6" s="53" t="s">
        <v>749</v>
      </c>
      <c r="S6" s="57" t="s">
        <v>910</v>
      </c>
      <c r="T6" s="26"/>
      <c r="AA6" s="260" t="s">
        <v>894</v>
      </c>
      <c r="AB6" s="260" t="str">
        <f t="shared" si="0"/>
        <v>DF</v>
      </c>
      <c r="AD6" s="308">
        <v>11332</v>
      </c>
      <c r="AE6" s="52" t="s">
        <v>640</v>
      </c>
    </row>
    <row r="7" spans="1:41" x14ac:dyDescent="0.25">
      <c r="A7" s="49">
        <v>8201920</v>
      </c>
      <c r="C7" s="45" t="s">
        <v>13</v>
      </c>
      <c r="D7" s="45" t="s">
        <v>4</v>
      </c>
      <c r="E7" s="27" t="s">
        <v>14</v>
      </c>
      <c r="F7" s="28" t="s">
        <v>1144</v>
      </c>
      <c r="G7" s="45" t="s">
        <v>620</v>
      </c>
      <c r="H7" s="24">
        <f>12860</f>
        <v>12860</v>
      </c>
      <c r="J7" s="255" t="s">
        <v>605</v>
      </c>
      <c r="L7" s="52" t="s">
        <v>854</v>
      </c>
      <c r="M7" s="52">
        <v>5371</v>
      </c>
      <c r="O7" s="52" t="s">
        <v>647</v>
      </c>
      <c r="P7" s="53" t="s">
        <v>750</v>
      </c>
      <c r="S7" s="57" t="s">
        <v>911</v>
      </c>
      <c r="T7" s="26"/>
      <c r="AA7" s="260" t="s">
        <v>895</v>
      </c>
      <c r="AB7" s="260" t="str">
        <f t="shared" si="0"/>
        <v>TW</v>
      </c>
      <c r="AD7" s="52">
        <v>5371</v>
      </c>
      <c r="AE7" s="52" t="s">
        <v>854</v>
      </c>
    </row>
    <row r="8" spans="1:41" x14ac:dyDescent="0.25">
      <c r="A8" s="49">
        <v>8204570</v>
      </c>
      <c r="C8" s="45" t="s">
        <v>15</v>
      </c>
      <c r="D8" s="45" t="s">
        <v>4</v>
      </c>
      <c r="E8" s="27" t="s">
        <v>16</v>
      </c>
      <c r="F8" s="28" t="s">
        <v>1144</v>
      </c>
      <c r="G8" s="45" t="s">
        <v>620</v>
      </c>
      <c r="H8" s="24">
        <f>15850</f>
        <v>15850</v>
      </c>
      <c r="J8" s="255" t="s">
        <v>607</v>
      </c>
      <c r="L8" s="54" t="s">
        <v>635</v>
      </c>
      <c r="M8" s="308">
        <v>2181</v>
      </c>
      <c r="O8" s="52" t="s">
        <v>751</v>
      </c>
      <c r="P8" s="53" t="s">
        <v>751</v>
      </c>
      <c r="S8" s="57" t="s">
        <v>912</v>
      </c>
      <c r="T8" s="26"/>
      <c r="AA8" s="260" t="s">
        <v>896</v>
      </c>
      <c r="AB8" s="260" t="s">
        <v>893</v>
      </c>
      <c r="AD8" s="308">
        <v>2181</v>
      </c>
      <c r="AE8" s="54" t="s">
        <v>635</v>
      </c>
    </row>
    <row r="9" spans="1:41" x14ac:dyDescent="0.25">
      <c r="A9" s="49">
        <v>8201620</v>
      </c>
      <c r="C9" s="45">
        <v>813</v>
      </c>
      <c r="D9" s="45" t="s">
        <v>4</v>
      </c>
      <c r="E9" s="27" t="s">
        <v>18</v>
      </c>
      <c r="F9" s="28" t="s">
        <v>1144</v>
      </c>
      <c r="G9" s="45" t="s">
        <v>620</v>
      </c>
      <c r="H9" s="24">
        <f>12620</f>
        <v>12620</v>
      </c>
      <c r="J9" s="255" t="s">
        <v>883</v>
      </c>
      <c r="L9" s="54" t="s">
        <v>634</v>
      </c>
      <c r="M9" s="52">
        <v>5967</v>
      </c>
      <c r="O9" s="54" t="s">
        <v>652</v>
      </c>
      <c r="P9" s="56" t="s">
        <v>652</v>
      </c>
      <c r="S9" s="57" t="s">
        <v>913</v>
      </c>
      <c r="T9" s="26"/>
      <c r="AA9" s="278" t="s">
        <v>1155</v>
      </c>
      <c r="AB9" s="279" t="s">
        <v>1155</v>
      </c>
      <c r="AD9" s="52">
        <v>5967</v>
      </c>
      <c r="AE9" s="54" t="s">
        <v>634</v>
      </c>
    </row>
    <row r="10" spans="1:41" x14ac:dyDescent="0.25">
      <c r="A10" s="49">
        <v>8201455</v>
      </c>
      <c r="C10" s="45">
        <v>894</v>
      </c>
      <c r="D10" s="45" t="s">
        <v>17</v>
      </c>
      <c r="E10" s="27" t="s">
        <v>19</v>
      </c>
      <c r="F10" s="28" t="s">
        <v>1144</v>
      </c>
      <c r="G10" s="45" t="s">
        <v>620</v>
      </c>
      <c r="H10" s="24">
        <f>6090</f>
        <v>6090</v>
      </c>
      <c r="J10" s="255" t="s">
        <v>609</v>
      </c>
      <c r="L10" s="54" t="s">
        <v>633</v>
      </c>
      <c r="M10" s="308">
        <v>1496</v>
      </c>
      <c r="S10" s="57" t="s">
        <v>914</v>
      </c>
      <c r="T10" s="26"/>
      <c r="AA10" s="278" t="s">
        <v>630</v>
      </c>
      <c r="AB10" s="279" t="s">
        <v>630</v>
      </c>
      <c r="AD10" s="308">
        <v>1496</v>
      </c>
      <c r="AE10" s="54" t="s">
        <v>633</v>
      </c>
    </row>
    <row r="11" spans="1:41" x14ac:dyDescent="0.25">
      <c r="A11" s="49">
        <v>8205580</v>
      </c>
      <c r="C11" s="45">
        <v>904</v>
      </c>
      <c r="D11" s="45" t="s">
        <v>4</v>
      </c>
      <c r="E11" s="27" t="s">
        <v>20</v>
      </c>
      <c r="F11" s="28" t="s">
        <v>1144</v>
      </c>
      <c r="G11" s="45" t="s">
        <v>620</v>
      </c>
      <c r="H11" s="24">
        <f>15620</f>
        <v>15620</v>
      </c>
      <c r="J11" s="256" t="s">
        <v>610</v>
      </c>
      <c r="L11" s="54" t="s">
        <v>797</v>
      </c>
      <c r="M11" s="52">
        <v>1582</v>
      </c>
      <c r="S11" s="57" t="s">
        <v>1150</v>
      </c>
      <c r="T11" s="26"/>
      <c r="AA11" s="260" t="s">
        <v>898</v>
      </c>
      <c r="AB11" s="260" t="s">
        <v>890</v>
      </c>
      <c r="AD11" s="52">
        <v>1582</v>
      </c>
      <c r="AE11" s="54" t="s">
        <v>797</v>
      </c>
    </row>
    <row r="12" spans="1:41" x14ac:dyDescent="0.25">
      <c r="A12" s="49">
        <v>8205581</v>
      </c>
      <c r="C12" s="45">
        <v>905</v>
      </c>
      <c r="D12" s="45" t="s">
        <v>4</v>
      </c>
      <c r="E12" s="27" t="s">
        <v>21</v>
      </c>
      <c r="F12" s="28" t="s">
        <v>1144</v>
      </c>
      <c r="G12" s="45" t="s">
        <v>620</v>
      </c>
      <c r="H12" s="24">
        <f>18740</f>
        <v>18740</v>
      </c>
      <c r="L12" s="52" t="s">
        <v>631</v>
      </c>
      <c r="M12" s="308">
        <v>5406</v>
      </c>
      <c r="S12" s="57" t="s">
        <v>915</v>
      </c>
      <c r="T12" s="26"/>
      <c r="AA12" s="260" t="s">
        <v>899</v>
      </c>
      <c r="AB12" s="260" t="s">
        <v>893</v>
      </c>
      <c r="AD12" s="308">
        <v>5406</v>
      </c>
      <c r="AE12" s="52" t="s">
        <v>631</v>
      </c>
    </row>
    <row r="13" spans="1:41" x14ac:dyDescent="0.25">
      <c r="A13" s="49">
        <v>8205582</v>
      </c>
      <c r="C13" s="45">
        <v>906</v>
      </c>
      <c r="D13" s="45" t="s">
        <v>4</v>
      </c>
      <c r="E13" s="27" t="s">
        <v>22</v>
      </c>
      <c r="F13" s="28" t="s">
        <v>1144</v>
      </c>
      <c r="G13" s="45" t="s">
        <v>620</v>
      </c>
      <c r="H13" s="24">
        <f>24680</f>
        <v>24680</v>
      </c>
      <c r="L13" s="52" t="s">
        <v>632</v>
      </c>
      <c r="M13" s="54">
        <v>64</v>
      </c>
      <c r="S13" s="57" t="s">
        <v>916</v>
      </c>
      <c r="T13" s="26"/>
      <c r="AA13" s="260" t="s">
        <v>893</v>
      </c>
      <c r="AB13" s="260" t="s">
        <v>893</v>
      </c>
      <c r="AD13" s="54">
        <v>64</v>
      </c>
      <c r="AE13" s="52" t="s">
        <v>632</v>
      </c>
    </row>
    <row r="14" spans="1:41" x14ac:dyDescent="0.25">
      <c r="A14" s="49">
        <v>8205610</v>
      </c>
      <c r="C14" s="45">
        <v>907</v>
      </c>
      <c r="D14" s="45" t="s">
        <v>4</v>
      </c>
      <c r="E14" s="27" t="s">
        <v>23</v>
      </c>
      <c r="F14" s="28" t="s">
        <v>1144</v>
      </c>
      <c r="G14" s="45" t="s">
        <v>620</v>
      </c>
      <c r="H14" s="24">
        <f>11520</f>
        <v>11520</v>
      </c>
      <c r="S14" s="57" t="s">
        <v>861</v>
      </c>
      <c r="T14" s="26"/>
      <c r="AA14" s="260" t="s">
        <v>906</v>
      </c>
      <c r="AB14" s="260" t="s">
        <v>892</v>
      </c>
      <c r="AC14" s="260"/>
    </row>
    <row r="15" spans="1:41" x14ac:dyDescent="0.25">
      <c r="A15" s="49">
        <v>8205611</v>
      </c>
      <c r="C15" s="45">
        <v>908</v>
      </c>
      <c r="D15" s="45" t="s">
        <v>4</v>
      </c>
      <c r="E15" s="27" t="s">
        <v>24</v>
      </c>
      <c r="F15" s="28" t="s">
        <v>1144</v>
      </c>
      <c r="G15" s="45" t="s">
        <v>620</v>
      </c>
      <c r="H15" s="24">
        <f>12040</f>
        <v>12040</v>
      </c>
      <c r="S15" s="57" t="s">
        <v>917</v>
      </c>
      <c r="T15" s="26"/>
      <c r="AA15" s="260" t="s">
        <v>907</v>
      </c>
      <c r="AB15" s="260" t="str">
        <f ca="1">TablaTipoTrabajo[[#This Row],[especifíco]]</f>
        <v>BOBST</v>
      </c>
      <c r="AC15" s="260"/>
    </row>
    <row r="16" spans="1:41" x14ac:dyDescent="0.25">
      <c r="A16" s="49">
        <v>8205820</v>
      </c>
      <c r="C16" s="45"/>
      <c r="D16" s="45" t="s">
        <v>4</v>
      </c>
      <c r="E16" s="27" t="s">
        <v>25</v>
      </c>
      <c r="F16" s="28" t="s">
        <v>1144</v>
      </c>
      <c r="G16" s="45" t="s">
        <v>620</v>
      </c>
      <c r="H16" s="24">
        <f>12807</f>
        <v>12807</v>
      </c>
      <c r="S16" s="57" t="s">
        <v>918</v>
      </c>
      <c r="T16" s="26"/>
      <c r="AA16" s="280" t="s">
        <v>892</v>
      </c>
      <c r="AB16" s="281" t="str">
        <f>AA16</f>
        <v>FB-39</v>
      </c>
      <c r="AC16" s="310"/>
    </row>
    <row r="17" spans="1:29" x14ac:dyDescent="0.25">
      <c r="A17" s="49">
        <v>8205860</v>
      </c>
      <c r="C17" s="45"/>
      <c r="D17" s="45" t="s">
        <v>4</v>
      </c>
      <c r="E17" s="27" t="s">
        <v>26</v>
      </c>
      <c r="F17" s="28" t="s">
        <v>1144</v>
      </c>
      <c r="G17" s="45" t="s">
        <v>620</v>
      </c>
      <c r="H17" s="24">
        <f>12620</f>
        <v>12620</v>
      </c>
      <c r="S17" s="57" t="s">
        <v>919</v>
      </c>
      <c r="T17" s="26"/>
      <c r="AA17" s="260" t="s">
        <v>1200</v>
      </c>
      <c r="AB17" s="260" t="s">
        <v>1200</v>
      </c>
      <c r="AC17" s="260"/>
    </row>
    <row r="18" spans="1:29" x14ac:dyDescent="0.25">
      <c r="A18" s="49">
        <v>8205861</v>
      </c>
      <c r="C18" s="45"/>
      <c r="D18" s="45" t="s">
        <v>4</v>
      </c>
      <c r="E18" s="27" t="s">
        <v>27</v>
      </c>
      <c r="F18" s="28" t="s">
        <v>1144</v>
      </c>
      <c r="G18" s="45" t="s">
        <v>620</v>
      </c>
      <c r="H18" s="24">
        <f>15118</f>
        <v>15118</v>
      </c>
      <c r="S18" s="57" t="s">
        <v>920</v>
      </c>
      <c r="T18" s="26"/>
      <c r="AB18" s="260"/>
      <c r="AC18" s="260"/>
    </row>
    <row r="19" spans="1:29" x14ac:dyDescent="0.25">
      <c r="A19" s="49">
        <v>8200100</v>
      </c>
      <c r="B19" s="28" t="s">
        <v>29</v>
      </c>
      <c r="C19" s="45">
        <v>420</v>
      </c>
      <c r="D19" s="45" t="s">
        <v>30</v>
      </c>
      <c r="E19" s="27" t="s">
        <v>31</v>
      </c>
      <c r="F19" s="28" t="s">
        <v>1142</v>
      </c>
      <c r="G19" s="24" t="s">
        <v>612</v>
      </c>
      <c r="H19" s="178">
        <v>30.48</v>
      </c>
      <c r="S19" s="57" t="s">
        <v>604</v>
      </c>
      <c r="T19" s="26"/>
    </row>
    <row r="20" spans="1:29" x14ac:dyDescent="0.25">
      <c r="A20" s="49">
        <v>8200102</v>
      </c>
      <c r="B20" s="28" t="s">
        <v>32</v>
      </c>
      <c r="C20" s="45">
        <v>422</v>
      </c>
      <c r="D20" s="45" t="s">
        <v>30</v>
      </c>
      <c r="E20" s="27" t="s">
        <v>33</v>
      </c>
      <c r="F20" s="28" t="s">
        <v>1142</v>
      </c>
      <c r="G20" s="24" t="s">
        <v>612</v>
      </c>
      <c r="H20" s="178">
        <v>30.48</v>
      </c>
      <c r="S20" s="57" t="s">
        <v>921</v>
      </c>
      <c r="T20" s="26"/>
    </row>
    <row r="21" spans="1:29" x14ac:dyDescent="0.25">
      <c r="A21" s="49">
        <v>8200103</v>
      </c>
      <c r="B21" s="28" t="s">
        <v>34</v>
      </c>
      <c r="C21" s="45">
        <v>423</v>
      </c>
      <c r="D21" s="45" t="s">
        <v>30</v>
      </c>
      <c r="E21" s="27" t="s">
        <v>35</v>
      </c>
      <c r="F21" s="28" t="s">
        <v>1142</v>
      </c>
      <c r="G21" s="24" t="s">
        <v>612</v>
      </c>
      <c r="H21" s="178">
        <v>30.48</v>
      </c>
      <c r="S21" s="57" t="s">
        <v>922</v>
      </c>
      <c r="T21" s="26"/>
    </row>
    <row r="22" spans="1:29" x14ac:dyDescent="0.25">
      <c r="A22" s="49">
        <v>8200104</v>
      </c>
      <c r="B22" s="28" t="s">
        <v>36</v>
      </c>
      <c r="C22" s="45">
        <v>424</v>
      </c>
      <c r="D22" s="45" t="s">
        <v>30</v>
      </c>
      <c r="E22" s="27" t="s">
        <v>37</v>
      </c>
      <c r="F22" s="28" t="s">
        <v>1142</v>
      </c>
      <c r="G22" s="24" t="s">
        <v>612</v>
      </c>
      <c r="H22" s="178">
        <v>30.48</v>
      </c>
      <c r="S22" s="57" t="s">
        <v>856</v>
      </c>
      <c r="T22" s="26"/>
    </row>
    <row r="23" spans="1:29" x14ac:dyDescent="0.25">
      <c r="A23" s="49">
        <v>8200105</v>
      </c>
      <c r="B23" s="28" t="s">
        <v>38</v>
      </c>
      <c r="C23" s="45">
        <v>425</v>
      </c>
      <c r="D23" s="45" t="s">
        <v>30</v>
      </c>
      <c r="E23" s="27" t="s">
        <v>39</v>
      </c>
      <c r="F23" s="28" t="s">
        <v>1142</v>
      </c>
      <c r="G23" s="24" t="s">
        <v>612</v>
      </c>
      <c r="H23" s="178">
        <v>30.48</v>
      </c>
      <c r="S23" s="57" t="s">
        <v>857</v>
      </c>
      <c r="T23" s="26"/>
    </row>
    <row r="24" spans="1:29" x14ac:dyDescent="0.25">
      <c r="A24" s="49">
        <v>8200106</v>
      </c>
      <c r="B24" s="28" t="s">
        <v>40</v>
      </c>
      <c r="C24" s="45">
        <v>426</v>
      </c>
      <c r="D24" s="45" t="s">
        <v>30</v>
      </c>
      <c r="E24" s="27" t="s">
        <v>41</v>
      </c>
      <c r="F24" s="28" t="s">
        <v>1142</v>
      </c>
      <c r="G24" s="24" t="s">
        <v>612</v>
      </c>
      <c r="H24" s="178">
        <v>30.48</v>
      </c>
      <c r="S24" s="57" t="s">
        <v>923</v>
      </c>
      <c r="T24" s="26"/>
    </row>
    <row r="25" spans="1:29" x14ac:dyDescent="0.25">
      <c r="A25" s="49">
        <v>8200107</v>
      </c>
      <c r="B25" s="28" t="s">
        <v>42</v>
      </c>
      <c r="C25" s="45">
        <v>427</v>
      </c>
      <c r="D25" s="45" t="s">
        <v>30</v>
      </c>
      <c r="E25" s="27" t="s">
        <v>43</v>
      </c>
      <c r="F25" s="28" t="s">
        <v>1142</v>
      </c>
      <c r="G25" s="24" t="s">
        <v>612</v>
      </c>
      <c r="H25" s="178">
        <v>30.48</v>
      </c>
      <c r="S25" s="57" t="s">
        <v>859</v>
      </c>
      <c r="T25" s="26"/>
    </row>
    <row r="26" spans="1:29" x14ac:dyDescent="0.25">
      <c r="A26" s="49">
        <v>8200108</v>
      </c>
      <c r="B26" s="28" t="s">
        <v>44</v>
      </c>
      <c r="C26" s="45">
        <v>428</v>
      </c>
      <c r="D26" s="45" t="s">
        <v>30</v>
      </c>
      <c r="E26" s="27" t="s">
        <v>45</v>
      </c>
      <c r="F26" s="28" t="s">
        <v>1142</v>
      </c>
      <c r="G26" s="24" t="s">
        <v>612</v>
      </c>
      <c r="H26" s="178">
        <v>30.48</v>
      </c>
      <c r="S26" s="57" t="s">
        <v>924</v>
      </c>
      <c r="T26" s="26"/>
    </row>
    <row r="27" spans="1:29" x14ac:dyDescent="0.25">
      <c r="A27" s="49">
        <v>8200109</v>
      </c>
      <c r="B27" s="28" t="s">
        <v>46</v>
      </c>
      <c r="C27" s="45">
        <v>429</v>
      </c>
      <c r="D27" s="45" t="s">
        <v>30</v>
      </c>
      <c r="E27" s="27" t="s">
        <v>47</v>
      </c>
      <c r="F27" s="28" t="s">
        <v>1142</v>
      </c>
      <c r="G27" s="24" t="s">
        <v>612</v>
      </c>
      <c r="H27" s="178">
        <v>30.48</v>
      </c>
      <c r="S27" s="57" t="s">
        <v>925</v>
      </c>
      <c r="T27" s="26"/>
    </row>
    <row r="28" spans="1:29" x14ac:dyDescent="0.25">
      <c r="A28" s="49">
        <v>8200110</v>
      </c>
      <c r="B28" s="28" t="s">
        <v>48</v>
      </c>
      <c r="C28" s="45">
        <v>430</v>
      </c>
      <c r="D28" s="45" t="s">
        <v>30</v>
      </c>
      <c r="E28" s="27" t="s">
        <v>49</v>
      </c>
      <c r="F28" s="28" t="s">
        <v>1142</v>
      </c>
      <c r="G28" s="24" t="s">
        <v>612</v>
      </c>
      <c r="H28" s="178">
        <v>30.48</v>
      </c>
      <c r="S28" s="57" t="s">
        <v>926</v>
      </c>
      <c r="T28" s="26"/>
    </row>
    <row r="29" spans="1:29" x14ac:dyDescent="0.25">
      <c r="A29" s="49">
        <v>8200120</v>
      </c>
      <c r="B29" s="28" t="s">
        <v>50</v>
      </c>
      <c r="C29" s="45">
        <v>431</v>
      </c>
      <c r="D29" s="45" t="s">
        <v>30</v>
      </c>
      <c r="E29" s="27" t="s">
        <v>51</v>
      </c>
      <c r="F29" s="28" t="s">
        <v>1142</v>
      </c>
      <c r="G29" s="24" t="s">
        <v>612</v>
      </c>
      <c r="H29" s="178">
        <v>30.48</v>
      </c>
      <c r="S29" s="57" t="s">
        <v>927</v>
      </c>
      <c r="T29" s="26"/>
    </row>
    <row r="30" spans="1:29" x14ac:dyDescent="0.25">
      <c r="A30" s="49">
        <v>8200141</v>
      </c>
      <c r="B30" s="28" t="s">
        <v>52</v>
      </c>
      <c r="C30" s="45">
        <v>432</v>
      </c>
      <c r="D30" s="45" t="s">
        <v>30</v>
      </c>
      <c r="E30" s="27" t="s">
        <v>53</v>
      </c>
      <c r="F30" s="28" t="s">
        <v>1142</v>
      </c>
      <c r="G30" s="24" t="s">
        <v>612</v>
      </c>
      <c r="H30" s="178">
        <v>30.48</v>
      </c>
      <c r="S30" s="242" t="s">
        <v>858</v>
      </c>
      <c r="T30" s="26"/>
    </row>
    <row r="31" spans="1:29" x14ac:dyDescent="0.25">
      <c r="A31" s="49">
        <v>8200142</v>
      </c>
      <c r="B31" s="28" t="s">
        <v>54</v>
      </c>
      <c r="C31" s="45">
        <v>433</v>
      </c>
      <c r="D31" s="45" t="s">
        <v>30</v>
      </c>
      <c r="E31" s="27" t="s">
        <v>55</v>
      </c>
      <c r="F31" s="28" t="s">
        <v>1142</v>
      </c>
      <c r="G31" s="24" t="s">
        <v>612</v>
      </c>
      <c r="H31" s="178">
        <v>30.48</v>
      </c>
      <c r="S31" s="242" t="s">
        <v>928</v>
      </c>
      <c r="T31" s="26"/>
    </row>
    <row r="32" spans="1:29" x14ac:dyDescent="0.25">
      <c r="A32" s="49">
        <v>8200143</v>
      </c>
      <c r="B32" s="28" t="s">
        <v>56</v>
      </c>
      <c r="C32" s="45">
        <v>434</v>
      </c>
      <c r="D32" s="45" t="s">
        <v>30</v>
      </c>
      <c r="E32" s="27" t="s">
        <v>57</v>
      </c>
      <c r="F32" s="28" t="s">
        <v>1142</v>
      </c>
      <c r="G32" s="24" t="s">
        <v>612</v>
      </c>
      <c r="H32" s="178">
        <v>30.48</v>
      </c>
      <c r="S32" s="242" t="s">
        <v>929</v>
      </c>
      <c r="T32" s="26"/>
    </row>
    <row r="33" spans="1:20" x14ac:dyDescent="0.25">
      <c r="A33" s="49">
        <v>8200144</v>
      </c>
      <c r="B33" s="28" t="s">
        <v>58</v>
      </c>
      <c r="C33" s="45">
        <v>435</v>
      </c>
      <c r="D33" s="45" t="s">
        <v>30</v>
      </c>
      <c r="E33" s="27" t="s">
        <v>59</v>
      </c>
      <c r="F33" s="28" t="s">
        <v>1142</v>
      </c>
      <c r="G33" s="24" t="s">
        <v>612</v>
      </c>
      <c r="H33" s="178">
        <v>30.48</v>
      </c>
      <c r="S33" s="242" t="s">
        <v>930</v>
      </c>
      <c r="T33" s="26"/>
    </row>
    <row r="34" spans="1:20" x14ac:dyDescent="0.25">
      <c r="A34" s="49">
        <v>8200145</v>
      </c>
      <c r="B34" s="28" t="s">
        <v>60</v>
      </c>
      <c r="C34" s="45">
        <v>436</v>
      </c>
      <c r="D34" s="45" t="s">
        <v>30</v>
      </c>
      <c r="E34" s="27" t="s">
        <v>61</v>
      </c>
      <c r="F34" s="28" t="s">
        <v>1142</v>
      </c>
      <c r="G34" s="24" t="s">
        <v>612</v>
      </c>
      <c r="H34" s="178">
        <v>30.48</v>
      </c>
      <c r="S34" s="242" t="s">
        <v>931</v>
      </c>
      <c r="T34" s="26"/>
    </row>
    <row r="35" spans="1:20" x14ac:dyDescent="0.25">
      <c r="A35" s="49">
        <v>8200146</v>
      </c>
      <c r="B35" s="28" t="s">
        <v>62</v>
      </c>
      <c r="C35" s="45">
        <v>437</v>
      </c>
      <c r="D35" s="45" t="s">
        <v>30</v>
      </c>
      <c r="E35" s="27" t="s">
        <v>63</v>
      </c>
      <c r="F35" s="28" t="s">
        <v>1142</v>
      </c>
      <c r="G35" s="24" t="s">
        <v>612</v>
      </c>
      <c r="H35" s="178">
        <v>30.48</v>
      </c>
      <c r="S35" s="242" t="s">
        <v>932</v>
      </c>
      <c r="T35" s="26"/>
    </row>
    <row r="36" spans="1:20" x14ac:dyDescent="0.25">
      <c r="A36" s="49">
        <v>8200147</v>
      </c>
      <c r="B36" s="28" t="s">
        <v>64</v>
      </c>
      <c r="C36" s="45">
        <v>438</v>
      </c>
      <c r="D36" s="45" t="s">
        <v>30</v>
      </c>
      <c r="E36" s="27" t="s">
        <v>65</v>
      </c>
      <c r="F36" s="28" t="s">
        <v>1142</v>
      </c>
      <c r="G36" s="24" t="s">
        <v>612</v>
      </c>
      <c r="H36" s="178">
        <v>30.48</v>
      </c>
      <c r="S36" s="242" t="s">
        <v>933</v>
      </c>
      <c r="T36" s="26"/>
    </row>
    <row r="37" spans="1:20" x14ac:dyDescent="0.25">
      <c r="A37" s="49">
        <v>8200148</v>
      </c>
      <c r="B37" s="28" t="s">
        <v>66</v>
      </c>
      <c r="C37" s="45">
        <v>439</v>
      </c>
      <c r="D37" s="45" t="s">
        <v>30</v>
      </c>
      <c r="E37" s="27" t="s">
        <v>67</v>
      </c>
      <c r="F37" s="28" t="s">
        <v>1142</v>
      </c>
      <c r="G37" s="24" t="s">
        <v>612</v>
      </c>
      <c r="H37" s="178">
        <v>30.48</v>
      </c>
      <c r="S37" s="57" t="s">
        <v>934</v>
      </c>
      <c r="T37" s="26"/>
    </row>
    <row r="38" spans="1:20" x14ac:dyDescent="0.25">
      <c r="A38" s="49">
        <v>8200149</v>
      </c>
      <c r="B38" s="28" t="s">
        <v>68</v>
      </c>
      <c r="C38" s="45">
        <v>440</v>
      </c>
      <c r="D38" s="45" t="s">
        <v>30</v>
      </c>
      <c r="E38" s="27" t="s">
        <v>69</v>
      </c>
      <c r="F38" s="28" t="s">
        <v>1142</v>
      </c>
      <c r="G38" s="24" t="s">
        <v>612</v>
      </c>
      <c r="H38" s="178">
        <v>30.48</v>
      </c>
      <c r="S38" s="57" t="s">
        <v>935</v>
      </c>
      <c r="T38" s="26"/>
    </row>
    <row r="39" spans="1:20" x14ac:dyDescent="0.25">
      <c r="A39" s="49">
        <v>8200150</v>
      </c>
      <c r="B39" s="28" t="s">
        <v>70</v>
      </c>
      <c r="C39" s="45">
        <v>441</v>
      </c>
      <c r="D39" s="45" t="s">
        <v>30</v>
      </c>
      <c r="E39" s="27" t="s">
        <v>71</v>
      </c>
      <c r="F39" s="28" t="s">
        <v>1142</v>
      </c>
      <c r="G39" s="24" t="s">
        <v>612</v>
      </c>
      <c r="H39" s="178">
        <v>30.48</v>
      </c>
      <c r="S39" s="57"/>
      <c r="T39" s="26"/>
    </row>
    <row r="40" spans="1:20" x14ac:dyDescent="0.25">
      <c r="A40" s="49">
        <v>8200151</v>
      </c>
      <c r="B40" s="28" t="s">
        <v>72</v>
      </c>
      <c r="C40" s="45">
        <v>442</v>
      </c>
      <c r="D40" s="45" t="s">
        <v>30</v>
      </c>
      <c r="E40" s="27" t="s">
        <v>73</v>
      </c>
      <c r="F40" s="28" t="s">
        <v>1142</v>
      </c>
      <c r="G40" s="24" t="s">
        <v>612</v>
      </c>
      <c r="H40" s="178">
        <v>30.48</v>
      </c>
      <c r="S40" s="57" t="s">
        <v>936</v>
      </c>
      <c r="T40" s="26"/>
    </row>
    <row r="41" spans="1:20" x14ac:dyDescent="0.25">
      <c r="A41" s="49">
        <v>8200152</v>
      </c>
      <c r="B41" s="28" t="s">
        <v>74</v>
      </c>
      <c r="C41" s="45">
        <v>443</v>
      </c>
      <c r="D41" s="45" t="s">
        <v>30</v>
      </c>
      <c r="E41" s="27" t="s">
        <v>75</v>
      </c>
      <c r="F41" s="28" t="s">
        <v>1142</v>
      </c>
      <c r="G41" s="24" t="s">
        <v>612</v>
      </c>
      <c r="H41" s="178">
        <v>30.48</v>
      </c>
      <c r="S41" s="57" t="s">
        <v>937</v>
      </c>
      <c r="T41" s="26"/>
    </row>
    <row r="42" spans="1:20" x14ac:dyDescent="0.25">
      <c r="A42" s="49">
        <v>8200153</v>
      </c>
      <c r="B42" s="28" t="s">
        <v>76</v>
      </c>
      <c r="C42" s="45">
        <v>444</v>
      </c>
      <c r="D42" s="45" t="s">
        <v>30</v>
      </c>
      <c r="E42" s="27" t="s">
        <v>77</v>
      </c>
      <c r="F42" s="28" t="s">
        <v>1142</v>
      </c>
      <c r="G42" s="24" t="s">
        <v>612</v>
      </c>
      <c r="H42" s="178">
        <v>30.48</v>
      </c>
      <c r="S42" s="57" t="s">
        <v>938</v>
      </c>
      <c r="T42" s="26"/>
    </row>
    <row r="43" spans="1:20" x14ac:dyDescent="0.25">
      <c r="A43" s="49">
        <v>8200154</v>
      </c>
      <c r="B43" s="28" t="s">
        <v>78</v>
      </c>
      <c r="C43" s="45">
        <v>445</v>
      </c>
      <c r="D43" s="45" t="s">
        <v>30</v>
      </c>
      <c r="E43" s="27" t="s">
        <v>79</v>
      </c>
      <c r="F43" s="28" t="s">
        <v>1142</v>
      </c>
      <c r="G43" s="24" t="s">
        <v>612</v>
      </c>
      <c r="H43" s="178">
        <v>30.48</v>
      </c>
      <c r="S43" s="57" t="s">
        <v>939</v>
      </c>
      <c r="T43" s="26"/>
    </row>
    <row r="44" spans="1:20" x14ac:dyDescent="0.25">
      <c r="A44" s="49">
        <v>8200155</v>
      </c>
      <c r="B44" s="28" t="s">
        <v>80</v>
      </c>
      <c r="C44" s="45">
        <v>446</v>
      </c>
      <c r="D44" s="45" t="s">
        <v>30</v>
      </c>
      <c r="E44" s="27" t="s">
        <v>81</v>
      </c>
      <c r="F44" s="28" t="s">
        <v>1142</v>
      </c>
      <c r="G44" s="24" t="s">
        <v>612</v>
      </c>
      <c r="H44" s="178">
        <v>30.48</v>
      </c>
      <c r="S44" s="57" t="s">
        <v>940</v>
      </c>
      <c r="T44" s="26"/>
    </row>
    <row r="45" spans="1:20" x14ac:dyDescent="0.25">
      <c r="A45" s="49">
        <v>8200521</v>
      </c>
      <c r="B45" s="28" t="s">
        <v>82</v>
      </c>
      <c r="C45" s="45">
        <v>448</v>
      </c>
      <c r="D45" s="45" t="s">
        <v>17</v>
      </c>
      <c r="E45" s="27" t="s">
        <v>83</v>
      </c>
      <c r="F45" s="28" t="s">
        <v>1142</v>
      </c>
      <c r="G45" s="24" t="s">
        <v>614</v>
      </c>
      <c r="H45" s="24">
        <v>5</v>
      </c>
      <c r="S45" s="57" t="s">
        <v>941</v>
      </c>
      <c r="T45" s="26"/>
    </row>
    <row r="46" spans="1:20" x14ac:dyDescent="0.25">
      <c r="A46" s="49">
        <v>8200522</v>
      </c>
      <c r="B46" s="28" t="s">
        <v>84</v>
      </c>
      <c r="C46" s="45">
        <v>449</v>
      </c>
      <c r="D46" s="45" t="s">
        <v>17</v>
      </c>
      <c r="E46" s="27" t="s">
        <v>85</v>
      </c>
      <c r="F46" s="28" t="s">
        <v>1142</v>
      </c>
      <c r="G46" s="24" t="s">
        <v>614</v>
      </c>
      <c r="H46" s="24">
        <v>5</v>
      </c>
      <c r="S46" s="57" t="s">
        <v>942</v>
      </c>
      <c r="T46" s="26"/>
    </row>
    <row r="47" spans="1:20" x14ac:dyDescent="0.25">
      <c r="A47" s="49">
        <v>8200523</v>
      </c>
      <c r="B47" s="28" t="s">
        <v>86</v>
      </c>
      <c r="C47" s="45">
        <v>450</v>
      </c>
      <c r="D47" s="45" t="s">
        <v>17</v>
      </c>
      <c r="E47" s="27" t="s">
        <v>87</v>
      </c>
      <c r="F47" s="28" t="s">
        <v>1142</v>
      </c>
      <c r="G47" s="24" t="s">
        <v>614</v>
      </c>
      <c r="H47" s="24">
        <v>5</v>
      </c>
      <c r="S47" s="57" t="s">
        <v>990</v>
      </c>
      <c r="T47" s="26"/>
    </row>
    <row r="48" spans="1:20" x14ac:dyDescent="0.25">
      <c r="A48" s="49">
        <v>8200524</v>
      </c>
      <c r="B48" s="28" t="s">
        <v>88</v>
      </c>
      <c r="C48" s="45">
        <v>451</v>
      </c>
      <c r="D48" s="45" t="s">
        <v>17</v>
      </c>
      <c r="E48" s="27" t="s">
        <v>89</v>
      </c>
      <c r="F48" s="28" t="s">
        <v>1142</v>
      </c>
      <c r="G48" s="24" t="s">
        <v>614</v>
      </c>
      <c r="H48" s="24">
        <v>5</v>
      </c>
      <c r="S48" s="57" t="s">
        <v>943</v>
      </c>
      <c r="T48" s="26"/>
    </row>
    <row r="49" spans="1:20" x14ac:dyDescent="0.25">
      <c r="A49" s="49">
        <v>8200525</v>
      </c>
      <c r="B49" s="28" t="s">
        <v>90</v>
      </c>
      <c r="C49" s="45">
        <v>452</v>
      </c>
      <c r="D49" s="45" t="s">
        <v>17</v>
      </c>
      <c r="E49" s="27" t="s">
        <v>91</v>
      </c>
      <c r="F49" s="28" t="s">
        <v>1142</v>
      </c>
      <c r="G49" s="24" t="s">
        <v>614</v>
      </c>
      <c r="H49" s="24">
        <v>5</v>
      </c>
      <c r="S49" s="57" t="s">
        <v>944</v>
      </c>
      <c r="T49" s="26"/>
    </row>
    <row r="50" spans="1:20" x14ac:dyDescent="0.25">
      <c r="A50" s="49">
        <v>8200526</v>
      </c>
      <c r="B50" s="28" t="s">
        <v>92</v>
      </c>
      <c r="C50" s="45">
        <v>453</v>
      </c>
      <c r="D50" s="45" t="s">
        <v>17</v>
      </c>
      <c r="E50" s="27" t="s">
        <v>93</v>
      </c>
      <c r="F50" s="28" t="s">
        <v>1142</v>
      </c>
      <c r="G50" s="24" t="s">
        <v>614</v>
      </c>
      <c r="H50" s="24">
        <v>5</v>
      </c>
      <c r="S50" s="57" t="s">
        <v>945</v>
      </c>
      <c r="T50" s="26"/>
    </row>
    <row r="51" spans="1:20" x14ac:dyDescent="0.25">
      <c r="A51" s="49">
        <v>8200527</v>
      </c>
      <c r="B51" s="28" t="s">
        <v>94</v>
      </c>
      <c r="C51" s="45">
        <v>454</v>
      </c>
      <c r="D51" s="45" t="s">
        <v>17</v>
      </c>
      <c r="E51" s="27" t="s">
        <v>95</v>
      </c>
      <c r="F51" s="28" t="s">
        <v>1142</v>
      </c>
      <c r="G51" s="24" t="s">
        <v>614</v>
      </c>
      <c r="H51" s="24">
        <v>5</v>
      </c>
      <c r="S51" s="57" t="s">
        <v>946</v>
      </c>
      <c r="T51" s="26"/>
    </row>
    <row r="52" spans="1:20" x14ac:dyDescent="0.25">
      <c r="A52" s="49">
        <v>8200528</v>
      </c>
      <c r="B52" s="28" t="s">
        <v>96</v>
      </c>
      <c r="C52" s="45">
        <v>455</v>
      </c>
      <c r="D52" s="45" t="s">
        <v>17</v>
      </c>
      <c r="E52" s="27" t="s">
        <v>97</v>
      </c>
      <c r="F52" s="28" t="s">
        <v>1142</v>
      </c>
      <c r="G52" s="24" t="s">
        <v>614</v>
      </c>
      <c r="H52" s="24">
        <v>5</v>
      </c>
      <c r="S52" s="57" t="s">
        <v>947</v>
      </c>
      <c r="T52" s="26"/>
    </row>
    <row r="53" spans="1:20" x14ac:dyDescent="0.25">
      <c r="A53" s="49">
        <v>8200529</v>
      </c>
      <c r="B53" s="28" t="s">
        <v>98</v>
      </c>
      <c r="C53" s="45">
        <v>456</v>
      </c>
      <c r="D53" s="45" t="s">
        <v>17</v>
      </c>
      <c r="E53" s="27" t="s">
        <v>99</v>
      </c>
      <c r="F53" s="28" t="s">
        <v>1142</v>
      </c>
      <c r="G53" s="24" t="s">
        <v>614</v>
      </c>
      <c r="H53" s="24">
        <v>5</v>
      </c>
      <c r="S53" s="57" t="s">
        <v>948</v>
      </c>
      <c r="T53" s="26"/>
    </row>
    <row r="54" spans="1:20" x14ac:dyDescent="0.25">
      <c r="A54" s="49">
        <v>8200530</v>
      </c>
      <c r="B54" s="28" t="s">
        <v>100</v>
      </c>
      <c r="C54" s="45">
        <v>457</v>
      </c>
      <c r="D54" s="45" t="s">
        <v>17</v>
      </c>
      <c r="E54" s="27" t="s">
        <v>101</v>
      </c>
      <c r="F54" s="28" t="s">
        <v>1142</v>
      </c>
      <c r="G54" s="24" t="s">
        <v>614</v>
      </c>
      <c r="H54" s="24">
        <v>5</v>
      </c>
      <c r="S54" s="57" t="s">
        <v>949</v>
      </c>
      <c r="T54" s="26"/>
    </row>
    <row r="55" spans="1:20" x14ac:dyDescent="0.25">
      <c r="A55" s="49">
        <v>8200531</v>
      </c>
      <c r="B55" s="28" t="s">
        <v>102</v>
      </c>
      <c r="C55" s="45">
        <v>458</v>
      </c>
      <c r="D55" s="45" t="s">
        <v>17</v>
      </c>
      <c r="E55" s="27" t="s">
        <v>103</v>
      </c>
      <c r="F55" s="28" t="s">
        <v>1142</v>
      </c>
      <c r="G55" s="24" t="s">
        <v>614</v>
      </c>
      <c r="H55" s="24">
        <v>5</v>
      </c>
      <c r="S55" s="57" t="s">
        <v>950</v>
      </c>
      <c r="T55" s="26"/>
    </row>
    <row r="56" spans="1:20" x14ac:dyDescent="0.25">
      <c r="A56" s="49">
        <v>8200532</v>
      </c>
      <c r="B56" s="28" t="s">
        <v>104</v>
      </c>
      <c r="C56" s="45">
        <v>459</v>
      </c>
      <c r="D56" s="45" t="s">
        <v>17</v>
      </c>
      <c r="E56" s="27" t="s">
        <v>105</v>
      </c>
      <c r="F56" s="28" t="s">
        <v>1142</v>
      </c>
      <c r="G56" s="24" t="s">
        <v>614</v>
      </c>
      <c r="H56" s="24">
        <v>5</v>
      </c>
      <c r="S56" s="57" t="s">
        <v>951</v>
      </c>
      <c r="T56" s="26"/>
    </row>
    <row r="57" spans="1:20" x14ac:dyDescent="0.25">
      <c r="A57" s="49">
        <v>8200533</v>
      </c>
      <c r="B57" s="28" t="s">
        <v>106</v>
      </c>
      <c r="C57" s="45">
        <v>460</v>
      </c>
      <c r="D57" s="45" t="s">
        <v>17</v>
      </c>
      <c r="E57" s="27" t="s">
        <v>107</v>
      </c>
      <c r="F57" s="28" t="s">
        <v>1142</v>
      </c>
      <c r="G57" s="24" t="s">
        <v>614</v>
      </c>
      <c r="H57" s="24">
        <v>5</v>
      </c>
      <c r="S57" s="57" t="s">
        <v>952</v>
      </c>
      <c r="T57" s="26"/>
    </row>
    <row r="58" spans="1:20" x14ac:dyDescent="0.25">
      <c r="A58" s="49">
        <v>8200534</v>
      </c>
      <c r="B58" s="28" t="s">
        <v>108</v>
      </c>
      <c r="C58" s="45">
        <v>461</v>
      </c>
      <c r="D58" s="45" t="s">
        <v>17</v>
      </c>
      <c r="E58" s="27" t="s">
        <v>109</v>
      </c>
      <c r="F58" s="28" t="s">
        <v>1142</v>
      </c>
      <c r="G58" s="24" t="s">
        <v>614</v>
      </c>
      <c r="H58" s="24">
        <v>5</v>
      </c>
      <c r="S58" s="57" t="s">
        <v>862</v>
      </c>
      <c r="T58" s="26"/>
    </row>
    <row r="59" spans="1:20" x14ac:dyDescent="0.25">
      <c r="A59" s="49">
        <v>8200535</v>
      </c>
      <c r="B59" s="28" t="s">
        <v>110</v>
      </c>
      <c r="C59" s="45">
        <v>462</v>
      </c>
      <c r="D59" s="45" t="s">
        <v>17</v>
      </c>
      <c r="E59" s="27" t="s">
        <v>111</v>
      </c>
      <c r="F59" s="28" t="s">
        <v>1142</v>
      </c>
      <c r="G59" s="24" t="s">
        <v>614</v>
      </c>
      <c r="H59" s="24">
        <v>5</v>
      </c>
      <c r="S59" s="57" t="s">
        <v>953</v>
      </c>
      <c r="T59" s="26"/>
    </row>
    <row r="60" spans="1:20" x14ac:dyDescent="0.25">
      <c r="A60" s="49">
        <v>8200536</v>
      </c>
      <c r="B60" s="28" t="s">
        <v>112</v>
      </c>
      <c r="C60" s="45">
        <v>463</v>
      </c>
      <c r="D60" s="45" t="s">
        <v>17</v>
      </c>
      <c r="E60" s="27" t="s">
        <v>113</v>
      </c>
      <c r="F60" s="28" t="s">
        <v>1142</v>
      </c>
      <c r="G60" s="24" t="s">
        <v>614</v>
      </c>
      <c r="H60" s="24">
        <v>5</v>
      </c>
      <c r="S60" s="57" t="s">
        <v>954</v>
      </c>
      <c r="T60" s="26"/>
    </row>
    <row r="61" spans="1:20" x14ac:dyDescent="0.25">
      <c r="A61" s="49">
        <v>8200537</v>
      </c>
      <c r="B61" s="28" t="s">
        <v>114</v>
      </c>
      <c r="C61" s="45">
        <v>464</v>
      </c>
      <c r="D61" s="45" t="s">
        <v>17</v>
      </c>
      <c r="E61" s="27" t="s">
        <v>115</v>
      </c>
      <c r="F61" s="28" t="s">
        <v>1142</v>
      </c>
      <c r="G61" s="24" t="s">
        <v>614</v>
      </c>
      <c r="H61" s="24">
        <v>5</v>
      </c>
      <c r="S61" s="57" t="s">
        <v>955</v>
      </c>
      <c r="T61" s="26"/>
    </row>
    <row r="62" spans="1:20" x14ac:dyDescent="0.25">
      <c r="A62" s="49">
        <v>8200538</v>
      </c>
      <c r="B62" s="28" t="s">
        <v>116</v>
      </c>
      <c r="C62" s="45">
        <v>465</v>
      </c>
      <c r="D62" s="45" t="s">
        <v>17</v>
      </c>
      <c r="E62" s="27" t="s">
        <v>117</v>
      </c>
      <c r="F62" s="28" t="s">
        <v>1142</v>
      </c>
      <c r="G62" s="24" t="s">
        <v>614</v>
      </c>
      <c r="H62" s="24">
        <v>5</v>
      </c>
      <c r="S62" s="57" t="s">
        <v>956</v>
      </c>
      <c r="T62" s="26"/>
    </row>
    <row r="63" spans="1:20" x14ac:dyDescent="0.25">
      <c r="A63" s="49">
        <v>8200539</v>
      </c>
      <c r="B63" s="28" t="s">
        <v>118</v>
      </c>
      <c r="C63" s="45">
        <v>447</v>
      </c>
      <c r="D63" s="45" t="s">
        <v>30</v>
      </c>
      <c r="E63" s="27" t="s">
        <v>119</v>
      </c>
      <c r="F63" s="28" t="s">
        <v>1142</v>
      </c>
      <c r="G63" s="24" t="s">
        <v>614</v>
      </c>
      <c r="H63" s="24">
        <v>5</v>
      </c>
      <c r="S63" s="57" t="s">
        <v>957</v>
      </c>
      <c r="T63" s="26"/>
    </row>
    <row r="64" spans="1:20" x14ac:dyDescent="0.25">
      <c r="A64" s="49">
        <v>8201891</v>
      </c>
      <c r="C64" s="45">
        <v>739</v>
      </c>
      <c r="D64" s="45" t="s">
        <v>17</v>
      </c>
      <c r="E64" s="27" t="s">
        <v>120</v>
      </c>
      <c r="F64" s="28" t="s">
        <v>1142</v>
      </c>
      <c r="G64" s="24" t="s">
        <v>614</v>
      </c>
      <c r="H64" s="24">
        <v>6</v>
      </c>
      <c r="S64" s="57" t="s">
        <v>1076</v>
      </c>
      <c r="T64" s="26"/>
    </row>
    <row r="65" spans="1:20" x14ac:dyDescent="0.25">
      <c r="A65" s="49">
        <v>8204952</v>
      </c>
      <c r="C65" s="45">
        <v>830</v>
      </c>
      <c r="D65" s="45" t="s">
        <v>17</v>
      </c>
      <c r="E65" s="27" t="s">
        <v>121</v>
      </c>
      <c r="F65" s="28" t="s">
        <v>1142</v>
      </c>
      <c r="G65" s="24" t="s">
        <v>614</v>
      </c>
      <c r="H65" s="24">
        <v>6</v>
      </c>
      <c r="S65" s="57" t="s">
        <v>958</v>
      </c>
      <c r="T65" s="26"/>
    </row>
    <row r="66" spans="1:20" x14ac:dyDescent="0.25">
      <c r="A66" s="49">
        <v>8204989</v>
      </c>
      <c r="C66" s="45">
        <v>856</v>
      </c>
      <c r="D66" s="45" t="s">
        <v>17</v>
      </c>
      <c r="E66" s="27" t="s">
        <v>122</v>
      </c>
      <c r="F66" s="28" t="s">
        <v>1142</v>
      </c>
      <c r="G66" s="24" t="s">
        <v>614</v>
      </c>
      <c r="H66" s="24">
        <v>6</v>
      </c>
      <c r="S66" s="57" t="s">
        <v>959</v>
      </c>
      <c r="T66" s="26"/>
    </row>
    <row r="67" spans="1:20" x14ac:dyDescent="0.25">
      <c r="A67" s="49">
        <v>8204990</v>
      </c>
      <c r="C67" s="45">
        <v>857</v>
      </c>
      <c r="D67" s="45" t="s">
        <v>17</v>
      </c>
      <c r="E67" s="27" t="s">
        <v>123</v>
      </c>
      <c r="F67" s="28" t="s">
        <v>1142</v>
      </c>
      <c r="G67" s="24" t="s">
        <v>614</v>
      </c>
      <c r="H67" s="24">
        <v>6</v>
      </c>
      <c r="S67" s="57" t="s">
        <v>960</v>
      </c>
      <c r="T67" s="26"/>
    </row>
    <row r="68" spans="1:20" x14ac:dyDescent="0.25">
      <c r="A68" s="49">
        <v>8204991</v>
      </c>
      <c r="C68" s="45">
        <v>858</v>
      </c>
      <c r="D68" s="45" t="s">
        <v>17</v>
      </c>
      <c r="E68" s="27" t="s">
        <v>124</v>
      </c>
      <c r="F68" s="28" t="s">
        <v>1142</v>
      </c>
      <c r="G68" s="24" t="s">
        <v>614</v>
      </c>
      <c r="H68" s="24">
        <v>6</v>
      </c>
      <c r="S68" s="57" t="s">
        <v>1151</v>
      </c>
      <c r="T68" s="26"/>
    </row>
    <row r="69" spans="1:20" x14ac:dyDescent="0.25">
      <c r="A69" s="49">
        <v>8204992</v>
      </c>
      <c r="C69" s="45">
        <v>859</v>
      </c>
      <c r="D69" s="45" t="s">
        <v>17</v>
      </c>
      <c r="E69" s="27" t="s">
        <v>125</v>
      </c>
      <c r="F69" s="28" t="s">
        <v>1142</v>
      </c>
      <c r="G69" s="24" t="s">
        <v>614</v>
      </c>
      <c r="H69" s="24">
        <v>6</v>
      </c>
      <c r="S69" s="57" t="s">
        <v>961</v>
      </c>
      <c r="T69" s="26"/>
    </row>
    <row r="70" spans="1:20" x14ac:dyDescent="0.25">
      <c r="A70" s="49">
        <v>8204993</v>
      </c>
      <c r="C70" s="45">
        <v>860</v>
      </c>
      <c r="D70" s="45" t="s">
        <v>17</v>
      </c>
      <c r="E70" s="27" t="s">
        <v>126</v>
      </c>
      <c r="F70" s="28" t="s">
        <v>1142</v>
      </c>
      <c r="G70" s="24" t="s">
        <v>614</v>
      </c>
      <c r="H70" s="24">
        <v>6</v>
      </c>
      <c r="S70" s="57" t="s">
        <v>1099</v>
      </c>
      <c r="T70" s="26"/>
    </row>
    <row r="71" spans="1:20" x14ac:dyDescent="0.25">
      <c r="A71" s="49">
        <v>8204994</v>
      </c>
      <c r="C71" s="45">
        <v>861</v>
      </c>
      <c r="D71" s="45" t="s">
        <v>17</v>
      </c>
      <c r="E71" s="27" t="s">
        <v>127</v>
      </c>
      <c r="F71" s="28" t="s">
        <v>1142</v>
      </c>
      <c r="G71" s="24" t="s">
        <v>614</v>
      </c>
      <c r="H71" s="24">
        <v>6</v>
      </c>
      <c r="S71" s="57" t="s">
        <v>962</v>
      </c>
      <c r="T71" s="26"/>
    </row>
    <row r="72" spans="1:20" x14ac:dyDescent="0.25">
      <c r="A72" s="49">
        <v>8204995</v>
      </c>
      <c r="C72" s="45">
        <v>862</v>
      </c>
      <c r="D72" s="45" t="s">
        <v>17</v>
      </c>
      <c r="E72" s="27" t="s">
        <v>128</v>
      </c>
      <c r="F72" s="28" t="s">
        <v>1142</v>
      </c>
      <c r="G72" s="24" t="s">
        <v>614</v>
      </c>
      <c r="H72" s="24">
        <v>6</v>
      </c>
      <c r="S72" s="57" t="s">
        <v>963</v>
      </c>
      <c r="T72" s="26"/>
    </row>
    <row r="73" spans="1:20" x14ac:dyDescent="0.25">
      <c r="A73" s="49">
        <v>8204996</v>
      </c>
      <c r="C73" s="45">
        <v>863</v>
      </c>
      <c r="D73" s="45" t="s">
        <v>17</v>
      </c>
      <c r="E73" s="27" t="s">
        <v>129</v>
      </c>
      <c r="F73" s="28" t="s">
        <v>1142</v>
      </c>
      <c r="G73" s="24" t="s">
        <v>614</v>
      </c>
      <c r="H73" s="24">
        <v>6</v>
      </c>
      <c r="S73" s="57" t="s">
        <v>964</v>
      </c>
      <c r="T73" s="26"/>
    </row>
    <row r="74" spans="1:20" x14ac:dyDescent="0.25">
      <c r="A74" s="49">
        <v>8204997</v>
      </c>
      <c r="C74" s="45">
        <v>864</v>
      </c>
      <c r="D74" s="45" t="s">
        <v>17</v>
      </c>
      <c r="E74" s="27" t="s">
        <v>130</v>
      </c>
      <c r="F74" s="28" t="s">
        <v>1142</v>
      </c>
      <c r="G74" s="24" t="s">
        <v>614</v>
      </c>
      <c r="H74" s="24">
        <v>6</v>
      </c>
      <c r="S74" s="57" t="s">
        <v>965</v>
      </c>
      <c r="T74" s="26"/>
    </row>
    <row r="75" spans="1:20" x14ac:dyDescent="0.25">
      <c r="A75" s="49">
        <v>8204998</v>
      </c>
      <c r="C75" s="45">
        <v>865</v>
      </c>
      <c r="D75" s="45" t="s">
        <v>17</v>
      </c>
      <c r="E75" s="27" t="s">
        <v>131</v>
      </c>
      <c r="F75" s="28" t="s">
        <v>1142</v>
      </c>
      <c r="G75" s="24" t="s">
        <v>614</v>
      </c>
      <c r="H75" s="24">
        <v>6</v>
      </c>
      <c r="S75" s="57" t="s">
        <v>966</v>
      </c>
      <c r="T75" s="26"/>
    </row>
    <row r="76" spans="1:20" x14ac:dyDescent="0.25">
      <c r="A76" s="49">
        <v>8204999</v>
      </c>
      <c r="C76" s="45">
        <v>866</v>
      </c>
      <c r="D76" s="45" t="s">
        <v>17</v>
      </c>
      <c r="E76" s="27" t="s">
        <v>132</v>
      </c>
      <c r="F76" s="28" t="s">
        <v>1142</v>
      </c>
      <c r="G76" s="24" t="s">
        <v>614</v>
      </c>
      <c r="H76" s="24">
        <v>6</v>
      </c>
      <c r="S76" s="57" t="s">
        <v>967</v>
      </c>
      <c r="T76" s="26"/>
    </row>
    <row r="77" spans="1:20" x14ac:dyDescent="0.25">
      <c r="A77" s="49">
        <v>8205000</v>
      </c>
      <c r="C77" s="45">
        <v>867</v>
      </c>
      <c r="D77" s="45" t="s">
        <v>17</v>
      </c>
      <c r="E77" s="27" t="s">
        <v>133</v>
      </c>
      <c r="F77" s="28" t="s">
        <v>1142</v>
      </c>
      <c r="G77" s="24" t="s">
        <v>614</v>
      </c>
      <c r="H77" s="24">
        <v>6</v>
      </c>
      <c r="S77" s="57" t="s">
        <v>968</v>
      </c>
      <c r="T77" s="26"/>
    </row>
    <row r="78" spans="1:20" x14ac:dyDescent="0.25">
      <c r="A78" s="49">
        <v>8205001</v>
      </c>
      <c r="C78" s="45">
        <v>868</v>
      </c>
      <c r="D78" s="45" t="s">
        <v>17</v>
      </c>
      <c r="E78" s="27" t="s">
        <v>134</v>
      </c>
      <c r="F78" s="28" t="s">
        <v>1142</v>
      </c>
      <c r="G78" s="24" t="s">
        <v>614</v>
      </c>
      <c r="H78" s="24">
        <v>6</v>
      </c>
      <c r="S78" s="57" t="s">
        <v>855</v>
      </c>
      <c r="T78" s="26"/>
    </row>
    <row r="79" spans="1:20" x14ac:dyDescent="0.25">
      <c r="A79" s="49">
        <v>8205002</v>
      </c>
      <c r="C79" s="45">
        <v>869</v>
      </c>
      <c r="D79" s="45" t="s">
        <v>17</v>
      </c>
      <c r="E79" s="27" t="s">
        <v>135</v>
      </c>
      <c r="F79" s="28" t="s">
        <v>1142</v>
      </c>
      <c r="G79" s="24" t="s">
        <v>614</v>
      </c>
      <c r="H79" s="24">
        <v>6</v>
      </c>
      <c r="S79" s="57" t="s">
        <v>969</v>
      </c>
      <c r="T79" s="26"/>
    </row>
    <row r="80" spans="1:20" x14ac:dyDescent="0.25">
      <c r="A80" s="49">
        <v>8205003</v>
      </c>
      <c r="C80" s="45">
        <v>870</v>
      </c>
      <c r="D80" s="45" t="s">
        <v>17</v>
      </c>
      <c r="E80" s="27" t="s">
        <v>136</v>
      </c>
      <c r="F80" s="28" t="s">
        <v>1142</v>
      </c>
      <c r="G80" s="24" t="s">
        <v>614</v>
      </c>
      <c r="H80" s="24">
        <v>6</v>
      </c>
      <c r="S80" s="57" t="s">
        <v>970</v>
      </c>
      <c r="T80" s="26"/>
    </row>
    <row r="81" spans="1:20" x14ac:dyDescent="0.25">
      <c r="A81" s="49">
        <v>8205004</v>
      </c>
      <c r="C81" s="45">
        <v>871</v>
      </c>
      <c r="D81" s="45" t="s">
        <v>17</v>
      </c>
      <c r="E81" s="27" t="s">
        <v>137</v>
      </c>
      <c r="F81" s="28" t="s">
        <v>1142</v>
      </c>
      <c r="G81" s="24" t="s">
        <v>614</v>
      </c>
      <c r="H81" s="24">
        <v>6</v>
      </c>
      <c r="S81" s="57" t="s">
        <v>971</v>
      </c>
      <c r="T81" s="26"/>
    </row>
    <row r="82" spans="1:20" x14ac:dyDescent="0.25">
      <c r="A82" s="49">
        <v>8205005</v>
      </c>
      <c r="C82" s="45">
        <v>872</v>
      </c>
      <c r="D82" s="45" t="s">
        <v>17</v>
      </c>
      <c r="E82" s="27" t="s">
        <v>138</v>
      </c>
      <c r="F82" s="28" t="s">
        <v>1142</v>
      </c>
      <c r="G82" s="24" t="s">
        <v>614</v>
      </c>
      <c r="H82" s="24">
        <v>6</v>
      </c>
      <c r="S82" s="57" t="s">
        <v>972</v>
      </c>
      <c r="T82" s="26"/>
    </row>
    <row r="83" spans="1:20" x14ac:dyDescent="0.25">
      <c r="A83" s="49">
        <v>8200570</v>
      </c>
      <c r="B83" s="28" t="s">
        <v>139</v>
      </c>
      <c r="C83" s="45">
        <v>466</v>
      </c>
      <c r="D83" s="45" t="s">
        <v>30</v>
      </c>
      <c r="E83" s="27" t="s">
        <v>140</v>
      </c>
      <c r="F83" s="28" t="s">
        <v>1142</v>
      </c>
      <c r="G83" s="24" t="s">
        <v>612</v>
      </c>
      <c r="H83" s="178">
        <v>30.48</v>
      </c>
      <c r="S83" s="57" t="s">
        <v>973</v>
      </c>
      <c r="T83" s="26"/>
    </row>
    <row r="84" spans="1:20" x14ac:dyDescent="0.25">
      <c r="A84" s="49">
        <v>8200800</v>
      </c>
      <c r="B84" s="28" t="s">
        <v>141</v>
      </c>
      <c r="C84" s="45">
        <v>437</v>
      </c>
      <c r="D84" s="45" t="s">
        <v>30</v>
      </c>
      <c r="E84" s="27" t="s">
        <v>142</v>
      </c>
      <c r="F84" s="28" t="s">
        <v>1142</v>
      </c>
      <c r="G84" s="24" t="s">
        <v>612</v>
      </c>
      <c r="H84" s="178">
        <v>30.48</v>
      </c>
      <c r="S84" s="57" t="s">
        <v>974</v>
      </c>
      <c r="T84" s="26"/>
    </row>
    <row r="85" spans="1:20" x14ac:dyDescent="0.25">
      <c r="A85" s="49">
        <v>8201010</v>
      </c>
      <c r="C85" s="45">
        <v>490</v>
      </c>
      <c r="D85" s="45" t="s">
        <v>30</v>
      </c>
      <c r="E85" s="27" t="s">
        <v>143</v>
      </c>
      <c r="F85" s="28" t="s">
        <v>1142</v>
      </c>
      <c r="G85" s="24" t="s">
        <v>612</v>
      </c>
      <c r="H85" s="178">
        <v>30.48</v>
      </c>
      <c r="S85" s="57" t="s">
        <v>860</v>
      </c>
      <c r="T85" s="26"/>
    </row>
    <row r="86" spans="1:20" x14ac:dyDescent="0.25">
      <c r="A86" s="49">
        <v>8202170</v>
      </c>
      <c r="C86" s="45">
        <v>492</v>
      </c>
      <c r="D86" s="45" t="s">
        <v>30</v>
      </c>
      <c r="E86" s="27" t="s">
        <v>144</v>
      </c>
      <c r="F86" s="28" t="s">
        <v>1142</v>
      </c>
      <c r="G86" s="24" t="s">
        <v>612</v>
      </c>
      <c r="H86" s="178">
        <v>30.48</v>
      </c>
      <c r="S86" s="57" t="s">
        <v>975</v>
      </c>
      <c r="T86" s="26"/>
    </row>
    <row r="87" spans="1:20" x14ac:dyDescent="0.25">
      <c r="A87" s="49">
        <v>8202171</v>
      </c>
      <c r="C87" s="45">
        <v>493</v>
      </c>
      <c r="D87" s="45" t="s">
        <v>30</v>
      </c>
      <c r="E87" s="27" t="s">
        <v>145</v>
      </c>
      <c r="F87" s="28" t="s">
        <v>1142</v>
      </c>
      <c r="G87" s="24" t="s">
        <v>612</v>
      </c>
      <c r="H87" s="178">
        <v>30.48</v>
      </c>
      <c r="S87" s="57" t="s">
        <v>976</v>
      </c>
      <c r="T87" s="26"/>
    </row>
    <row r="88" spans="1:20" x14ac:dyDescent="0.25">
      <c r="A88" s="49">
        <v>8202260</v>
      </c>
      <c r="C88" s="45">
        <v>494</v>
      </c>
      <c r="D88" s="45" t="s">
        <v>30</v>
      </c>
      <c r="E88" s="27" t="s">
        <v>146</v>
      </c>
      <c r="F88" s="28" t="s">
        <v>1142</v>
      </c>
      <c r="G88" s="24" t="s">
        <v>615</v>
      </c>
      <c r="H88" s="178">
        <v>30.48</v>
      </c>
      <c r="S88" s="57" t="s">
        <v>977</v>
      </c>
      <c r="T88" s="26"/>
    </row>
    <row r="89" spans="1:20" x14ac:dyDescent="0.25">
      <c r="A89" s="49">
        <v>8202261</v>
      </c>
      <c r="C89" s="45">
        <v>495</v>
      </c>
      <c r="D89" s="45" t="s">
        <v>30</v>
      </c>
      <c r="E89" s="27" t="s">
        <v>147</v>
      </c>
      <c r="F89" s="28" t="s">
        <v>1142</v>
      </c>
      <c r="G89" s="24" t="s">
        <v>612</v>
      </c>
      <c r="H89" s="178">
        <v>30.48</v>
      </c>
      <c r="S89" s="57" t="s">
        <v>978</v>
      </c>
      <c r="T89" s="26"/>
    </row>
    <row r="90" spans="1:20" x14ac:dyDescent="0.25">
      <c r="A90" s="49">
        <v>8202280</v>
      </c>
      <c r="C90" s="45">
        <v>752</v>
      </c>
      <c r="D90" s="45" t="s">
        <v>30</v>
      </c>
      <c r="E90" s="27" t="s">
        <v>148</v>
      </c>
      <c r="F90" s="28" t="s">
        <v>1142</v>
      </c>
      <c r="G90" s="24" t="s">
        <v>612</v>
      </c>
      <c r="H90" s="178">
        <v>30.48</v>
      </c>
      <c r="S90" s="57" t="s">
        <v>979</v>
      </c>
      <c r="T90" s="26"/>
    </row>
    <row r="91" spans="1:20" x14ac:dyDescent="0.25">
      <c r="A91" s="49">
        <v>8202310</v>
      </c>
      <c r="C91" s="45">
        <v>753</v>
      </c>
      <c r="D91" s="45" t="s">
        <v>30</v>
      </c>
      <c r="E91" s="27" t="s">
        <v>149</v>
      </c>
      <c r="F91" s="28" t="s">
        <v>1142</v>
      </c>
      <c r="G91" s="24" t="s">
        <v>612</v>
      </c>
      <c r="H91" s="178">
        <v>30.48</v>
      </c>
      <c r="S91" s="57" t="s">
        <v>980</v>
      </c>
      <c r="T91" s="26"/>
    </row>
    <row r="92" spans="1:20" x14ac:dyDescent="0.25">
      <c r="A92" s="49">
        <v>8202330</v>
      </c>
      <c r="C92" s="45">
        <v>754</v>
      </c>
      <c r="D92" s="45" t="s">
        <v>30</v>
      </c>
      <c r="E92" s="27" t="s">
        <v>150</v>
      </c>
      <c r="F92" s="28" t="s">
        <v>1142</v>
      </c>
      <c r="G92" s="24" t="s">
        <v>612</v>
      </c>
      <c r="H92" s="178">
        <v>30.48</v>
      </c>
      <c r="S92" s="57" t="s">
        <v>981</v>
      </c>
      <c r="T92" s="26"/>
    </row>
    <row r="93" spans="1:20" x14ac:dyDescent="0.25">
      <c r="A93" s="49">
        <v>8200000</v>
      </c>
      <c r="C93" s="45"/>
      <c r="D93" s="45" t="s">
        <v>30</v>
      </c>
      <c r="E93" s="27" t="s">
        <v>151</v>
      </c>
      <c r="F93" s="28" t="s">
        <v>1142</v>
      </c>
      <c r="G93" s="24" t="s">
        <v>612</v>
      </c>
      <c r="H93" s="178">
        <v>30.48</v>
      </c>
      <c r="S93" s="57" t="s">
        <v>982</v>
      </c>
      <c r="T93" s="26"/>
    </row>
    <row r="94" spans="1:20" x14ac:dyDescent="0.25">
      <c r="A94" s="49">
        <v>8201700</v>
      </c>
      <c r="C94" s="45">
        <v>701</v>
      </c>
      <c r="D94" s="45" t="s">
        <v>30</v>
      </c>
      <c r="E94" s="27" t="s">
        <v>152</v>
      </c>
      <c r="F94" s="28" t="s">
        <v>1142</v>
      </c>
      <c r="G94" s="24" t="s">
        <v>612</v>
      </c>
      <c r="H94" s="178">
        <v>30.48</v>
      </c>
      <c r="S94" s="57" t="s">
        <v>983</v>
      </c>
      <c r="T94" s="26"/>
    </row>
    <row r="95" spans="1:20" x14ac:dyDescent="0.25">
      <c r="A95" s="49">
        <v>8201450</v>
      </c>
      <c r="C95" s="45">
        <v>702</v>
      </c>
      <c r="D95" s="45" t="s">
        <v>30</v>
      </c>
      <c r="E95" s="27" t="s">
        <v>153</v>
      </c>
      <c r="F95" s="28" t="s">
        <v>1142</v>
      </c>
      <c r="G95" s="24" t="s">
        <v>612</v>
      </c>
      <c r="H95" s="178">
        <v>30.48</v>
      </c>
      <c r="S95" s="57" t="s">
        <v>984</v>
      </c>
      <c r="T95" s="26"/>
    </row>
    <row r="96" spans="1:20" x14ac:dyDescent="0.25">
      <c r="A96" s="49">
        <v>8201451</v>
      </c>
      <c r="C96" s="45">
        <v>703</v>
      </c>
      <c r="D96" s="45" t="s">
        <v>30</v>
      </c>
      <c r="E96" s="27" t="s">
        <v>154</v>
      </c>
      <c r="F96" s="28" t="s">
        <v>1142</v>
      </c>
      <c r="G96" s="24" t="s">
        <v>612</v>
      </c>
      <c r="H96" s="178">
        <v>30.48</v>
      </c>
      <c r="S96" s="57" t="s">
        <v>985</v>
      </c>
      <c r="T96" s="26"/>
    </row>
    <row r="97" spans="1:20" x14ac:dyDescent="0.25">
      <c r="A97" s="49">
        <v>8201974</v>
      </c>
      <c r="C97" s="45">
        <v>726</v>
      </c>
      <c r="D97" s="45" t="s">
        <v>30</v>
      </c>
      <c r="E97" s="27" t="s">
        <v>155</v>
      </c>
      <c r="F97" s="28" t="s">
        <v>1142</v>
      </c>
      <c r="G97" s="24" t="s">
        <v>612</v>
      </c>
      <c r="H97" s="178">
        <v>30.48</v>
      </c>
      <c r="S97" s="57" t="s">
        <v>986</v>
      </c>
      <c r="T97" s="26"/>
    </row>
    <row r="98" spans="1:20" x14ac:dyDescent="0.25">
      <c r="A98" s="49">
        <v>8201975</v>
      </c>
      <c r="C98" s="45">
        <v>727</v>
      </c>
      <c r="D98" s="45" t="s">
        <v>30</v>
      </c>
      <c r="E98" s="27" t="s">
        <v>156</v>
      </c>
      <c r="F98" s="28" t="s">
        <v>1142</v>
      </c>
      <c r="G98" s="24" t="s">
        <v>612</v>
      </c>
      <c r="H98" s="178">
        <v>30.48</v>
      </c>
      <c r="S98" s="57" t="s">
        <v>987</v>
      </c>
      <c r="T98" s="26"/>
    </row>
    <row r="99" spans="1:20" x14ac:dyDescent="0.25">
      <c r="A99" s="49">
        <v>8201870</v>
      </c>
      <c r="C99" s="45">
        <v>714</v>
      </c>
      <c r="D99" s="45" t="s">
        <v>30</v>
      </c>
      <c r="E99" s="27" t="s">
        <v>157</v>
      </c>
      <c r="F99" s="28" t="s">
        <v>1142</v>
      </c>
      <c r="G99" s="24" t="s">
        <v>612</v>
      </c>
      <c r="H99" s="178">
        <v>30.48</v>
      </c>
      <c r="S99" s="57" t="s">
        <v>988</v>
      </c>
      <c r="T99" s="26"/>
    </row>
    <row r="100" spans="1:20" x14ac:dyDescent="0.25">
      <c r="A100" s="49">
        <v>8201871</v>
      </c>
      <c r="C100" s="45">
        <v>715</v>
      </c>
      <c r="D100" s="45" t="s">
        <v>30</v>
      </c>
      <c r="E100" s="27" t="s">
        <v>158</v>
      </c>
      <c r="F100" s="28" t="s">
        <v>1142</v>
      </c>
      <c r="G100" s="24" t="s">
        <v>612</v>
      </c>
      <c r="H100" s="178">
        <v>30.48</v>
      </c>
      <c r="S100" s="57" t="s">
        <v>989</v>
      </c>
      <c r="T100" s="26"/>
    </row>
    <row r="101" spans="1:20" x14ac:dyDescent="0.25">
      <c r="A101" s="49">
        <v>8201881</v>
      </c>
      <c r="C101" s="45">
        <v>716</v>
      </c>
      <c r="D101" s="45" t="s">
        <v>30</v>
      </c>
      <c r="E101" s="27" t="s">
        <v>159</v>
      </c>
      <c r="F101" s="28" t="s">
        <v>1142</v>
      </c>
      <c r="G101" s="24" t="s">
        <v>612</v>
      </c>
      <c r="H101" s="178">
        <v>30.48</v>
      </c>
      <c r="S101" s="57" t="s">
        <v>991</v>
      </c>
      <c r="T101" s="26"/>
    </row>
    <row r="102" spans="1:20" x14ac:dyDescent="0.25">
      <c r="A102" s="49">
        <v>8201882</v>
      </c>
      <c r="C102" s="45">
        <v>717</v>
      </c>
      <c r="D102" s="45" t="s">
        <v>30</v>
      </c>
      <c r="E102" s="27" t="s">
        <v>160</v>
      </c>
      <c r="F102" s="28" t="s">
        <v>1142</v>
      </c>
      <c r="G102" s="24" t="s">
        <v>612</v>
      </c>
      <c r="H102" s="178">
        <v>30.48</v>
      </c>
      <c r="S102" s="57" t="s">
        <v>992</v>
      </c>
      <c r="T102" s="26"/>
    </row>
    <row r="103" spans="1:20" x14ac:dyDescent="0.25">
      <c r="A103" s="49">
        <v>8202610</v>
      </c>
      <c r="C103" s="45">
        <v>755</v>
      </c>
      <c r="D103" s="45" t="s">
        <v>30</v>
      </c>
      <c r="E103" s="27" t="s">
        <v>161</v>
      </c>
      <c r="F103" s="28" t="s">
        <v>1142</v>
      </c>
      <c r="G103" s="24" t="s">
        <v>612</v>
      </c>
      <c r="H103" s="24">
        <v>2500</v>
      </c>
      <c r="S103" s="57" t="s">
        <v>993</v>
      </c>
      <c r="T103" s="26"/>
    </row>
    <row r="104" spans="1:20" x14ac:dyDescent="0.25">
      <c r="A104" s="49">
        <v>8202620</v>
      </c>
      <c r="C104" s="45">
        <v>756</v>
      </c>
      <c r="D104" s="45" t="s">
        <v>30</v>
      </c>
      <c r="E104" s="27" t="s">
        <v>162</v>
      </c>
      <c r="F104" s="28" t="s">
        <v>1142</v>
      </c>
      <c r="G104" s="24" t="s">
        <v>612</v>
      </c>
      <c r="H104" s="24">
        <v>2500</v>
      </c>
      <c r="S104" s="57" t="s">
        <v>994</v>
      </c>
      <c r="T104" s="26"/>
    </row>
    <row r="105" spans="1:20" x14ac:dyDescent="0.25">
      <c r="A105" s="49">
        <v>8202611</v>
      </c>
      <c r="C105" s="45">
        <v>757</v>
      </c>
      <c r="D105" s="45" t="s">
        <v>30</v>
      </c>
      <c r="E105" s="27" t="s">
        <v>163</v>
      </c>
      <c r="F105" s="28" t="s">
        <v>1142</v>
      </c>
      <c r="G105" s="24" t="s">
        <v>612</v>
      </c>
      <c r="H105" s="24">
        <v>2500</v>
      </c>
      <c r="S105" s="57" t="s">
        <v>995</v>
      </c>
      <c r="T105" s="26"/>
    </row>
    <row r="106" spans="1:20" x14ac:dyDescent="0.25">
      <c r="A106" s="49">
        <v>8202621</v>
      </c>
      <c r="C106" s="45">
        <v>758</v>
      </c>
      <c r="D106" s="45" t="s">
        <v>30</v>
      </c>
      <c r="E106" s="27" t="s">
        <v>164</v>
      </c>
      <c r="F106" s="28" t="s">
        <v>1142</v>
      </c>
      <c r="G106" s="24" t="s">
        <v>612</v>
      </c>
      <c r="H106" s="24">
        <v>2500</v>
      </c>
      <c r="S106" s="57" t="s">
        <v>996</v>
      </c>
      <c r="T106" s="26"/>
    </row>
    <row r="107" spans="1:20" x14ac:dyDescent="0.25">
      <c r="A107" s="49">
        <v>8202640</v>
      </c>
      <c r="C107" s="45">
        <v>759</v>
      </c>
      <c r="D107" s="45" t="s">
        <v>30</v>
      </c>
      <c r="E107" s="27" t="s">
        <v>165</v>
      </c>
      <c r="F107" s="28" t="s">
        <v>1142</v>
      </c>
      <c r="G107" s="24" t="s">
        <v>612</v>
      </c>
      <c r="H107" s="24">
        <v>2500</v>
      </c>
      <c r="S107" s="57" t="s">
        <v>997</v>
      </c>
      <c r="T107" s="26"/>
    </row>
    <row r="108" spans="1:20" x14ac:dyDescent="0.25">
      <c r="A108" s="49">
        <v>8202641</v>
      </c>
      <c r="C108" s="45">
        <v>760</v>
      </c>
      <c r="D108" s="45" t="s">
        <v>30</v>
      </c>
      <c r="E108" s="27" t="s">
        <v>166</v>
      </c>
      <c r="F108" s="28" t="s">
        <v>1142</v>
      </c>
      <c r="G108" s="24" t="s">
        <v>612</v>
      </c>
      <c r="H108" s="24">
        <v>2500</v>
      </c>
      <c r="S108" s="57" t="s">
        <v>998</v>
      </c>
      <c r="T108" s="26"/>
    </row>
    <row r="109" spans="1:20" x14ac:dyDescent="0.25">
      <c r="A109" s="49">
        <v>8202642</v>
      </c>
      <c r="C109" s="45">
        <v>761</v>
      </c>
      <c r="D109" s="45" t="s">
        <v>30</v>
      </c>
      <c r="E109" s="27" t="s">
        <v>167</v>
      </c>
      <c r="F109" s="28" t="s">
        <v>1142</v>
      </c>
      <c r="G109" s="24" t="s">
        <v>612</v>
      </c>
      <c r="H109" s="24">
        <v>2500</v>
      </c>
      <c r="S109" s="57" t="s">
        <v>999</v>
      </c>
      <c r="T109" s="26"/>
    </row>
    <row r="110" spans="1:20" x14ac:dyDescent="0.25">
      <c r="A110" s="49">
        <v>8202643</v>
      </c>
      <c r="C110" s="45">
        <v>762</v>
      </c>
      <c r="D110" s="45" t="s">
        <v>30</v>
      </c>
      <c r="E110" s="27" t="s">
        <v>168</v>
      </c>
      <c r="F110" s="28" t="s">
        <v>1142</v>
      </c>
      <c r="G110" s="24" t="s">
        <v>612</v>
      </c>
      <c r="H110" s="24">
        <v>2500</v>
      </c>
      <c r="S110" s="57" t="s">
        <v>1000</v>
      </c>
      <c r="T110" s="26"/>
    </row>
    <row r="111" spans="1:20" x14ac:dyDescent="0.25">
      <c r="A111" s="49">
        <v>8202660</v>
      </c>
      <c r="C111" s="45">
        <v>763</v>
      </c>
      <c r="D111" s="45" t="s">
        <v>30</v>
      </c>
      <c r="E111" s="27" t="s">
        <v>169</v>
      </c>
      <c r="F111" s="28" t="s">
        <v>1142</v>
      </c>
      <c r="G111" s="24" t="s">
        <v>612</v>
      </c>
      <c r="H111" s="24">
        <v>2500</v>
      </c>
      <c r="S111" s="57" t="s">
        <v>1001</v>
      </c>
      <c r="T111" s="26"/>
    </row>
    <row r="112" spans="1:20" x14ac:dyDescent="0.25">
      <c r="A112" s="49">
        <v>8202661</v>
      </c>
      <c r="C112" s="45">
        <v>764</v>
      </c>
      <c r="D112" s="45" t="s">
        <v>30</v>
      </c>
      <c r="E112" s="27" t="s">
        <v>170</v>
      </c>
      <c r="F112" s="28" t="s">
        <v>1142</v>
      </c>
      <c r="G112" s="24" t="s">
        <v>612</v>
      </c>
      <c r="H112" s="24">
        <v>2500</v>
      </c>
      <c r="S112" s="57" t="s">
        <v>1002</v>
      </c>
      <c r="T112" s="26"/>
    </row>
    <row r="113" spans="1:20" x14ac:dyDescent="0.25">
      <c r="A113" s="49">
        <v>8202750</v>
      </c>
      <c r="C113" s="45">
        <v>766</v>
      </c>
      <c r="D113" s="45" t="s">
        <v>30</v>
      </c>
      <c r="E113" s="27" t="s">
        <v>171</v>
      </c>
      <c r="F113" s="28" t="s">
        <v>1142</v>
      </c>
      <c r="G113" s="24" t="s">
        <v>612</v>
      </c>
      <c r="H113" s="24">
        <v>1000</v>
      </c>
      <c r="S113" s="57" t="s">
        <v>1003</v>
      </c>
      <c r="T113" s="26"/>
    </row>
    <row r="114" spans="1:20" x14ac:dyDescent="0.25">
      <c r="A114" s="49">
        <v>8202751</v>
      </c>
      <c r="C114" s="45">
        <v>767</v>
      </c>
      <c r="D114" s="45" t="s">
        <v>30</v>
      </c>
      <c r="E114" s="27" t="s">
        <v>172</v>
      </c>
      <c r="F114" s="28" t="s">
        <v>1142</v>
      </c>
      <c r="G114" s="24" t="s">
        <v>612</v>
      </c>
      <c r="H114" s="24">
        <v>1000</v>
      </c>
      <c r="S114" s="57" t="s">
        <v>1091</v>
      </c>
      <c r="T114" s="26"/>
    </row>
    <row r="115" spans="1:20" x14ac:dyDescent="0.25">
      <c r="A115" s="49">
        <v>8202752</v>
      </c>
      <c r="C115" s="45">
        <v>768</v>
      </c>
      <c r="D115" s="45" t="s">
        <v>30</v>
      </c>
      <c r="E115" s="27" t="s">
        <v>173</v>
      </c>
      <c r="F115" s="28" t="s">
        <v>1142</v>
      </c>
      <c r="G115" s="24" t="s">
        <v>612</v>
      </c>
      <c r="H115" s="24">
        <v>1000</v>
      </c>
      <c r="S115" s="57" t="s">
        <v>1004</v>
      </c>
      <c r="T115" s="26"/>
    </row>
    <row r="116" spans="1:20" x14ac:dyDescent="0.25">
      <c r="A116" s="49">
        <v>8202753</v>
      </c>
      <c r="C116" s="45">
        <v>769</v>
      </c>
      <c r="D116" s="45" t="s">
        <v>30</v>
      </c>
      <c r="E116" s="27" t="s">
        <v>174</v>
      </c>
      <c r="F116" s="28" t="s">
        <v>1142</v>
      </c>
      <c r="G116" s="24" t="s">
        <v>612</v>
      </c>
      <c r="H116" s="24">
        <v>1000</v>
      </c>
      <c r="S116" s="57" t="s">
        <v>1005</v>
      </c>
      <c r="T116" s="26"/>
    </row>
    <row r="117" spans="1:20" x14ac:dyDescent="0.25">
      <c r="A117" s="49">
        <v>8202754</v>
      </c>
      <c r="C117" s="45">
        <v>770</v>
      </c>
      <c r="D117" s="45" t="s">
        <v>30</v>
      </c>
      <c r="E117" s="27" t="s">
        <v>175</v>
      </c>
      <c r="F117" s="28" t="s">
        <v>1142</v>
      </c>
      <c r="G117" s="24" t="s">
        <v>612</v>
      </c>
      <c r="H117" s="24">
        <v>1000</v>
      </c>
      <c r="S117" s="57" t="s">
        <v>1006</v>
      </c>
      <c r="T117" s="26"/>
    </row>
    <row r="118" spans="1:20" x14ac:dyDescent="0.25">
      <c r="A118" s="49">
        <v>8202755</v>
      </c>
      <c r="C118" s="45">
        <v>771</v>
      </c>
      <c r="D118" s="45" t="s">
        <v>30</v>
      </c>
      <c r="E118" s="27" t="s">
        <v>176</v>
      </c>
      <c r="F118" s="28" t="s">
        <v>1142</v>
      </c>
      <c r="G118" s="24" t="s">
        <v>612</v>
      </c>
      <c r="H118" s="24">
        <v>1000</v>
      </c>
      <c r="S118" s="57" t="s">
        <v>1007</v>
      </c>
      <c r="T118" s="26"/>
    </row>
    <row r="119" spans="1:20" x14ac:dyDescent="0.25">
      <c r="A119" s="49">
        <v>8202756</v>
      </c>
      <c r="C119" s="45">
        <v>772</v>
      </c>
      <c r="D119" s="45" t="s">
        <v>30</v>
      </c>
      <c r="E119" s="27" t="s">
        <v>177</v>
      </c>
      <c r="F119" s="28" t="s">
        <v>1142</v>
      </c>
      <c r="G119" s="24" t="s">
        <v>612</v>
      </c>
      <c r="H119" s="24">
        <v>1000</v>
      </c>
      <c r="S119" s="57" t="s">
        <v>1008</v>
      </c>
      <c r="T119" s="26"/>
    </row>
    <row r="120" spans="1:20" x14ac:dyDescent="0.25">
      <c r="A120" s="49">
        <v>8202757</v>
      </c>
      <c r="C120" s="45">
        <v>773</v>
      </c>
      <c r="D120" s="45" t="s">
        <v>30</v>
      </c>
      <c r="E120" s="27" t="s">
        <v>178</v>
      </c>
      <c r="F120" s="28" t="s">
        <v>1142</v>
      </c>
      <c r="G120" s="24" t="s">
        <v>612</v>
      </c>
      <c r="H120" s="24">
        <v>1000</v>
      </c>
      <c r="S120" s="57" t="s">
        <v>1009</v>
      </c>
      <c r="T120" s="26"/>
    </row>
    <row r="121" spans="1:20" x14ac:dyDescent="0.25">
      <c r="A121" s="49">
        <v>8202758</v>
      </c>
      <c r="C121" s="45">
        <v>774</v>
      </c>
      <c r="D121" s="45" t="s">
        <v>30</v>
      </c>
      <c r="E121" s="27" t="s">
        <v>179</v>
      </c>
      <c r="F121" s="28" t="s">
        <v>1142</v>
      </c>
      <c r="G121" s="24" t="s">
        <v>612</v>
      </c>
      <c r="H121" s="24">
        <v>1000</v>
      </c>
      <c r="S121" s="57" t="s">
        <v>1010</v>
      </c>
      <c r="T121" s="26"/>
    </row>
    <row r="122" spans="1:20" x14ac:dyDescent="0.25">
      <c r="A122" s="49">
        <v>8202759</v>
      </c>
      <c r="C122" s="45">
        <v>775</v>
      </c>
      <c r="D122" s="45" t="s">
        <v>30</v>
      </c>
      <c r="E122" s="27" t="s">
        <v>180</v>
      </c>
      <c r="F122" s="28" t="s">
        <v>1142</v>
      </c>
      <c r="G122" s="24" t="s">
        <v>612</v>
      </c>
      <c r="H122" s="24">
        <v>1000</v>
      </c>
      <c r="S122" s="57" t="s">
        <v>1011</v>
      </c>
      <c r="T122" s="26"/>
    </row>
    <row r="123" spans="1:20" x14ac:dyDescent="0.25">
      <c r="A123" s="49">
        <v>8202760</v>
      </c>
      <c r="C123" s="45">
        <v>776</v>
      </c>
      <c r="D123" s="45" t="s">
        <v>30</v>
      </c>
      <c r="E123" s="27" t="s">
        <v>181</v>
      </c>
      <c r="F123" s="28" t="s">
        <v>1142</v>
      </c>
      <c r="G123" s="24" t="s">
        <v>612</v>
      </c>
      <c r="H123" s="24">
        <v>1000</v>
      </c>
      <c r="S123" s="57" t="s">
        <v>1012</v>
      </c>
      <c r="T123" s="26"/>
    </row>
    <row r="124" spans="1:20" x14ac:dyDescent="0.25">
      <c r="A124" s="49">
        <v>8202761</v>
      </c>
      <c r="C124" s="45">
        <v>777</v>
      </c>
      <c r="D124" s="45" t="s">
        <v>30</v>
      </c>
      <c r="E124" s="27" t="s">
        <v>182</v>
      </c>
      <c r="F124" s="28" t="s">
        <v>1142</v>
      </c>
      <c r="G124" s="24" t="s">
        <v>612</v>
      </c>
      <c r="H124" s="24">
        <v>1000</v>
      </c>
      <c r="S124" s="57" t="s">
        <v>1013</v>
      </c>
      <c r="T124" s="26"/>
    </row>
    <row r="125" spans="1:20" x14ac:dyDescent="0.25">
      <c r="A125" s="49">
        <v>8202842</v>
      </c>
      <c r="C125" s="45">
        <v>496</v>
      </c>
      <c r="D125" s="45" t="s">
        <v>30</v>
      </c>
      <c r="E125" s="27" t="s">
        <v>183</v>
      </c>
      <c r="F125" s="28" t="s">
        <v>1142</v>
      </c>
      <c r="G125" s="24" t="s">
        <v>612</v>
      </c>
      <c r="H125" s="178">
        <v>30.48</v>
      </c>
      <c r="S125" s="57" t="s">
        <v>1014</v>
      </c>
      <c r="T125" s="26"/>
    </row>
    <row r="126" spans="1:20" x14ac:dyDescent="0.25">
      <c r="A126" s="49">
        <v>8202840</v>
      </c>
      <c r="C126" s="45">
        <v>497</v>
      </c>
      <c r="D126" s="45" t="s">
        <v>30</v>
      </c>
      <c r="E126" s="27" t="s">
        <v>184</v>
      </c>
      <c r="F126" s="28" t="s">
        <v>1142</v>
      </c>
      <c r="G126" s="24" t="s">
        <v>615</v>
      </c>
      <c r="H126" s="178">
        <v>30.48</v>
      </c>
      <c r="S126" s="57" t="s">
        <v>1015</v>
      </c>
      <c r="T126" s="26"/>
    </row>
    <row r="127" spans="1:20" x14ac:dyDescent="0.25">
      <c r="A127" s="49">
        <v>8202841</v>
      </c>
      <c r="C127" s="45">
        <v>498</v>
      </c>
      <c r="D127" s="45" t="s">
        <v>30</v>
      </c>
      <c r="E127" s="27" t="s">
        <v>185</v>
      </c>
      <c r="F127" s="28" t="s">
        <v>1142</v>
      </c>
      <c r="G127" s="24" t="s">
        <v>612</v>
      </c>
      <c r="H127" s="178">
        <v>30.48</v>
      </c>
      <c r="S127" s="57" t="s">
        <v>1016</v>
      </c>
      <c r="T127" s="26"/>
    </row>
    <row r="128" spans="1:20" x14ac:dyDescent="0.25">
      <c r="A128" s="49">
        <v>8203010</v>
      </c>
      <c r="C128" s="45">
        <v>795</v>
      </c>
      <c r="D128" s="45" t="s">
        <v>30</v>
      </c>
      <c r="E128" s="27" t="s">
        <v>186</v>
      </c>
      <c r="F128" s="28" t="s">
        <v>1142</v>
      </c>
      <c r="G128" s="24" t="s">
        <v>612</v>
      </c>
      <c r="H128" s="178">
        <v>30.48</v>
      </c>
      <c r="S128" s="57" t="s">
        <v>1017</v>
      </c>
      <c r="T128" s="26"/>
    </row>
    <row r="129" spans="1:20" x14ac:dyDescent="0.25">
      <c r="A129" s="49">
        <v>8203011</v>
      </c>
      <c r="C129" s="45">
        <v>796</v>
      </c>
      <c r="D129" s="45" t="s">
        <v>30</v>
      </c>
      <c r="E129" s="27" t="s">
        <v>187</v>
      </c>
      <c r="F129" s="28" t="s">
        <v>1142</v>
      </c>
      <c r="G129" s="24" t="s">
        <v>612</v>
      </c>
      <c r="H129" s="178">
        <v>30.48</v>
      </c>
      <c r="S129" s="57" t="s">
        <v>1018</v>
      </c>
      <c r="T129" s="26"/>
    </row>
    <row r="130" spans="1:20" x14ac:dyDescent="0.25">
      <c r="A130" s="49">
        <v>8204140</v>
      </c>
      <c r="C130" s="45">
        <v>803</v>
      </c>
      <c r="D130" s="45" t="s">
        <v>30</v>
      </c>
      <c r="E130" s="27" t="s">
        <v>188</v>
      </c>
      <c r="F130" s="28" t="s">
        <v>1142</v>
      </c>
      <c r="G130" s="24" t="s">
        <v>612</v>
      </c>
      <c r="H130" s="178">
        <v>30.48</v>
      </c>
      <c r="S130" s="57" t="s">
        <v>1019</v>
      </c>
      <c r="T130" s="26"/>
    </row>
    <row r="131" spans="1:20" x14ac:dyDescent="0.25">
      <c r="A131" s="49">
        <v>8204150</v>
      </c>
      <c r="C131" s="45">
        <v>801</v>
      </c>
      <c r="D131" s="45" t="s">
        <v>30</v>
      </c>
      <c r="E131" s="27" t="s">
        <v>189</v>
      </c>
      <c r="F131" s="28" t="s">
        <v>1142</v>
      </c>
      <c r="G131" s="24" t="s">
        <v>612</v>
      </c>
      <c r="H131" s="178">
        <v>30.48</v>
      </c>
      <c r="S131" s="57" t="s">
        <v>1020</v>
      </c>
      <c r="T131" s="26"/>
    </row>
    <row r="132" spans="1:20" x14ac:dyDescent="0.25">
      <c r="A132" s="49">
        <v>8204480</v>
      </c>
      <c r="C132" s="45">
        <v>806</v>
      </c>
      <c r="D132" s="45" t="s">
        <v>30</v>
      </c>
      <c r="E132" s="253" t="s">
        <v>190</v>
      </c>
      <c r="F132" s="28" t="s">
        <v>1142</v>
      </c>
      <c r="G132" s="24" t="s">
        <v>612</v>
      </c>
      <c r="H132" s="178">
        <v>30.48</v>
      </c>
      <c r="S132" s="57" t="s">
        <v>1021</v>
      </c>
      <c r="T132" s="26"/>
    </row>
    <row r="133" spans="1:20" x14ac:dyDescent="0.25">
      <c r="A133" s="49">
        <v>8204580</v>
      </c>
      <c r="C133" s="45">
        <v>815</v>
      </c>
      <c r="D133" s="45" t="s">
        <v>30</v>
      </c>
      <c r="E133" s="253" t="s">
        <v>191</v>
      </c>
      <c r="F133" s="28" t="s">
        <v>1142</v>
      </c>
      <c r="G133" s="24" t="s">
        <v>612</v>
      </c>
      <c r="H133" s="178">
        <v>30.48</v>
      </c>
      <c r="S133" s="57" t="s">
        <v>1046</v>
      </c>
      <c r="T133" s="26"/>
    </row>
    <row r="134" spans="1:20" x14ac:dyDescent="0.25">
      <c r="A134" s="49">
        <v>8204581</v>
      </c>
      <c r="C134" s="45">
        <v>816</v>
      </c>
      <c r="D134" s="45" t="s">
        <v>30</v>
      </c>
      <c r="E134" s="253" t="s">
        <v>192</v>
      </c>
      <c r="F134" s="28" t="s">
        <v>1142</v>
      </c>
      <c r="G134" s="24" t="s">
        <v>612</v>
      </c>
      <c r="H134" s="178">
        <v>30.48</v>
      </c>
      <c r="S134" s="57" t="s">
        <v>1118</v>
      </c>
      <c r="T134" s="26"/>
    </row>
    <row r="135" spans="1:20" x14ac:dyDescent="0.25">
      <c r="A135" s="49">
        <v>8204582</v>
      </c>
      <c r="C135" s="45">
        <v>817</v>
      </c>
      <c r="D135" s="45" t="s">
        <v>30</v>
      </c>
      <c r="E135" s="253" t="s">
        <v>193</v>
      </c>
      <c r="F135" s="28" t="s">
        <v>1142</v>
      </c>
      <c r="G135" s="24" t="s">
        <v>612</v>
      </c>
      <c r="H135" s="178">
        <v>30.48</v>
      </c>
      <c r="S135" s="57" t="s">
        <v>1022</v>
      </c>
      <c r="T135" s="26"/>
    </row>
    <row r="136" spans="1:20" x14ac:dyDescent="0.25">
      <c r="A136" s="49">
        <v>8204583</v>
      </c>
      <c r="C136" s="45">
        <v>818</v>
      </c>
      <c r="D136" s="45" t="s">
        <v>30</v>
      </c>
      <c r="E136" s="253" t="s">
        <v>194</v>
      </c>
      <c r="F136" s="28" t="s">
        <v>1142</v>
      </c>
      <c r="G136" s="24" t="s">
        <v>612</v>
      </c>
      <c r="H136" s="178">
        <v>30.48</v>
      </c>
      <c r="S136" s="57" t="s">
        <v>1023</v>
      </c>
      <c r="T136" s="26"/>
    </row>
    <row r="137" spans="1:20" x14ac:dyDescent="0.25">
      <c r="A137" s="49">
        <v>8204584</v>
      </c>
      <c r="C137" s="45">
        <v>819</v>
      </c>
      <c r="D137" s="45" t="s">
        <v>30</v>
      </c>
      <c r="E137" s="253" t="s">
        <v>195</v>
      </c>
      <c r="F137" s="28" t="s">
        <v>1142</v>
      </c>
      <c r="G137" s="24" t="s">
        <v>612</v>
      </c>
      <c r="H137" s="178">
        <v>30.48</v>
      </c>
      <c r="S137" s="57" t="s">
        <v>1024</v>
      </c>
      <c r="T137" s="26"/>
    </row>
    <row r="138" spans="1:20" x14ac:dyDescent="0.25">
      <c r="A138" s="49">
        <v>8204586</v>
      </c>
      <c r="C138" s="45">
        <v>820</v>
      </c>
      <c r="D138" s="45" t="s">
        <v>30</v>
      </c>
      <c r="E138" s="253" t="s">
        <v>196</v>
      </c>
      <c r="F138" s="28" t="s">
        <v>1142</v>
      </c>
      <c r="G138" s="24" t="s">
        <v>612</v>
      </c>
      <c r="H138" s="178">
        <v>30.48</v>
      </c>
      <c r="S138" s="57" t="s">
        <v>1025</v>
      </c>
      <c r="T138" s="26"/>
    </row>
    <row r="139" spans="1:20" x14ac:dyDescent="0.25">
      <c r="A139" s="49">
        <v>8204590</v>
      </c>
      <c r="C139" s="45">
        <v>821</v>
      </c>
      <c r="D139" s="45" t="s">
        <v>30</v>
      </c>
      <c r="E139" s="253" t="s">
        <v>197</v>
      </c>
      <c r="F139" s="28" t="s">
        <v>1142</v>
      </c>
      <c r="G139" s="24" t="s">
        <v>612</v>
      </c>
      <c r="H139" s="178">
        <v>30.48</v>
      </c>
      <c r="S139" s="57" t="s">
        <v>1026</v>
      </c>
      <c r="T139" s="26"/>
    </row>
    <row r="140" spans="1:20" x14ac:dyDescent="0.25">
      <c r="A140" s="49">
        <v>8201314</v>
      </c>
      <c r="C140" s="45">
        <v>824</v>
      </c>
      <c r="D140" s="45" t="s">
        <v>30</v>
      </c>
      <c r="E140" s="253" t="s">
        <v>198</v>
      </c>
      <c r="F140" s="28" t="s">
        <v>1142</v>
      </c>
      <c r="G140" s="24" t="s">
        <v>612</v>
      </c>
      <c r="H140" s="178">
        <v>30.48</v>
      </c>
      <c r="S140" s="57" t="s">
        <v>1027</v>
      </c>
      <c r="T140" s="26"/>
    </row>
    <row r="141" spans="1:20" x14ac:dyDescent="0.25">
      <c r="A141" s="49">
        <v>8204530</v>
      </c>
      <c r="C141" s="45">
        <v>827</v>
      </c>
      <c r="D141" s="45" t="s">
        <v>30</v>
      </c>
      <c r="E141" s="253" t="s">
        <v>199</v>
      </c>
      <c r="F141" s="28" t="s">
        <v>1142</v>
      </c>
      <c r="G141" s="24" t="s">
        <v>612</v>
      </c>
      <c r="H141" s="178">
        <v>30.48</v>
      </c>
      <c r="S141" s="57" t="s">
        <v>1028</v>
      </c>
      <c r="T141" s="26"/>
    </row>
    <row r="142" spans="1:20" x14ac:dyDescent="0.25">
      <c r="A142" s="49">
        <v>8204620</v>
      </c>
      <c r="C142" s="45">
        <v>826</v>
      </c>
      <c r="D142" s="45" t="s">
        <v>30</v>
      </c>
      <c r="E142" s="253" t="s">
        <v>200</v>
      </c>
      <c r="F142" s="28" t="s">
        <v>1142</v>
      </c>
      <c r="G142" s="24" t="s">
        <v>612</v>
      </c>
      <c r="H142" s="178">
        <v>30.48</v>
      </c>
      <c r="S142" s="57" t="s">
        <v>1029</v>
      </c>
      <c r="T142" s="26"/>
    </row>
    <row r="143" spans="1:20" x14ac:dyDescent="0.25">
      <c r="A143" s="49">
        <v>8204960</v>
      </c>
      <c r="C143" s="45">
        <v>837</v>
      </c>
      <c r="D143" s="45" t="s">
        <v>30</v>
      </c>
      <c r="E143" s="27" t="s">
        <v>201</v>
      </c>
      <c r="F143" s="28" t="s">
        <v>1142</v>
      </c>
      <c r="G143" s="24" t="s">
        <v>612</v>
      </c>
      <c r="H143" s="178">
        <v>30.48</v>
      </c>
      <c r="S143" s="57" t="s">
        <v>1030</v>
      </c>
      <c r="T143" s="26"/>
    </row>
    <row r="144" spans="1:20" x14ac:dyDescent="0.25">
      <c r="A144" s="49">
        <v>8204961</v>
      </c>
      <c r="C144" s="45">
        <v>838</v>
      </c>
      <c r="D144" s="45" t="s">
        <v>30</v>
      </c>
      <c r="E144" s="27" t="s">
        <v>202</v>
      </c>
      <c r="F144" s="28" t="s">
        <v>1142</v>
      </c>
      <c r="G144" s="24" t="s">
        <v>612</v>
      </c>
      <c r="H144" s="178">
        <v>30.48</v>
      </c>
      <c r="S144" s="57" t="s">
        <v>1047</v>
      </c>
      <c r="T144" s="26"/>
    </row>
    <row r="145" spans="1:20" x14ac:dyDescent="0.25">
      <c r="A145" s="49">
        <v>8204962</v>
      </c>
      <c r="C145" s="45">
        <v>839</v>
      </c>
      <c r="D145" s="45" t="s">
        <v>30</v>
      </c>
      <c r="E145" s="27" t="s">
        <v>203</v>
      </c>
      <c r="F145" s="28" t="s">
        <v>1142</v>
      </c>
      <c r="G145" s="24" t="s">
        <v>612</v>
      </c>
      <c r="H145" s="178">
        <v>30.48</v>
      </c>
      <c r="S145" s="57" t="s">
        <v>1031</v>
      </c>
      <c r="T145" s="26"/>
    </row>
    <row r="146" spans="1:20" x14ac:dyDescent="0.25">
      <c r="A146" s="49">
        <v>8204963</v>
      </c>
      <c r="C146" s="45">
        <v>840</v>
      </c>
      <c r="D146" s="45" t="s">
        <v>30</v>
      </c>
      <c r="E146" s="27" t="s">
        <v>204</v>
      </c>
      <c r="F146" s="28" t="s">
        <v>1142</v>
      </c>
      <c r="G146" s="24" t="s">
        <v>612</v>
      </c>
      <c r="H146" s="178">
        <v>30.48</v>
      </c>
      <c r="S146" s="57" t="s">
        <v>1032</v>
      </c>
      <c r="T146" s="26"/>
    </row>
    <row r="147" spans="1:20" x14ac:dyDescent="0.25">
      <c r="A147" s="49">
        <v>8204964</v>
      </c>
      <c r="C147" s="45">
        <v>841</v>
      </c>
      <c r="D147" s="45" t="s">
        <v>30</v>
      </c>
      <c r="E147" s="27" t="s">
        <v>205</v>
      </c>
      <c r="F147" s="28" t="s">
        <v>1142</v>
      </c>
      <c r="G147" s="24" t="s">
        <v>612</v>
      </c>
      <c r="H147" s="178">
        <v>30.48</v>
      </c>
      <c r="S147" s="57" t="s">
        <v>1033</v>
      </c>
      <c r="T147" s="26"/>
    </row>
    <row r="148" spans="1:20" x14ac:dyDescent="0.25">
      <c r="A148" s="49">
        <v>8204965</v>
      </c>
      <c r="C148" s="45">
        <v>842</v>
      </c>
      <c r="D148" s="45" t="s">
        <v>30</v>
      </c>
      <c r="E148" s="27" t="s">
        <v>206</v>
      </c>
      <c r="F148" s="28" t="s">
        <v>1142</v>
      </c>
      <c r="G148" s="24" t="s">
        <v>612</v>
      </c>
      <c r="H148" s="178">
        <v>30.48</v>
      </c>
      <c r="S148" s="57" t="s">
        <v>1034</v>
      </c>
      <c r="T148" s="26"/>
    </row>
    <row r="149" spans="1:20" x14ac:dyDescent="0.25">
      <c r="A149" s="49">
        <v>8204966</v>
      </c>
      <c r="C149" s="45">
        <v>888</v>
      </c>
      <c r="D149" s="45" t="s">
        <v>30</v>
      </c>
      <c r="E149" s="27" t="s">
        <v>207</v>
      </c>
      <c r="F149" s="28" t="s">
        <v>1142</v>
      </c>
      <c r="G149" s="24" t="s">
        <v>612</v>
      </c>
      <c r="H149" s="178">
        <v>30.48</v>
      </c>
      <c r="S149" s="57" t="s">
        <v>1035</v>
      </c>
      <c r="T149" s="26"/>
    </row>
    <row r="150" spans="1:20" x14ac:dyDescent="0.25">
      <c r="A150" s="49">
        <v>8204967</v>
      </c>
      <c r="C150" s="45">
        <v>843</v>
      </c>
      <c r="D150" s="45" t="s">
        <v>30</v>
      </c>
      <c r="E150" s="27" t="s">
        <v>208</v>
      </c>
      <c r="F150" s="28" t="s">
        <v>1142</v>
      </c>
      <c r="G150" s="24" t="s">
        <v>612</v>
      </c>
      <c r="H150" s="178">
        <v>30.48</v>
      </c>
      <c r="S150" s="57" t="s">
        <v>1112</v>
      </c>
      <c r="T150" s="26"/>
    </row>
    <row r="151" spans="1:20" x14ac:dyDescent="0.25">
      <c r="A151" s="49">
        <v>8204968</v>
      </c>
      <c r="C151" s="45">
        <v>844</v>
      </c>
      <c r="D151" s="45" t="s">
        <v>30</v>
      </c>
      <c r="E151" s="27" t="s">
        <v>209</v>
      </c>
      <c r="F151" s="28" t="s">
        <v>1142</v>
      </c>
      <c r="G151" s="24" t="s">
        <v>612</v>
      </c>
      <c r="H151" s="178">
        <v>30.48</v>
      </c>
      <c r="S151" s="57" t="s">
        <v>1124</v>
      </c>
      <c r="T151" s="26"/>
    </row>
    <row r="152" spans="1:20" x14ac:dyDescent="0.25">
      <c r="A152" s="49">
        <v>8204969</v>
      </c>
      <c r="C152" s="45">
        <v>845</v>
      </c>
      <c r="D152" s="45" t="s">
        <v>30</v>
      </c>
      <c r="E152" s="27" t="s">
        <v>210</v>
      </c>
      <c r="F152" s="28" t="s">
        <v>1142</v>
      </c>
      <c r="G152" s="24" t="s">
        <v>612</v>
      </c>
      <c r="H152" s="178">
        <v>30.48</v>
      </c>
      <c r="S152" s="57" t="s">
        <v>1133</v>
      </c>
      <c r="T152" s="26"/>
    </row>
    <row r="153" spans="1:20" x14ac:dyDescent="0.25">
      <c r="A153" s="49">
        <v>8204970</v>
      </c>
      <c r="C153" s="45">
        <v>846</v>
      </c>
      <c r="D153" s="45" t="s">
        <v>30</v>
      </c>
      <c r="E153" s="27" t="s">
        <v>211</v>
      </c>
      <c r="F153" s="28" t="s">
        <v>1142</v>
      </c>
      <c r="G153" s="24" t="s">
        <v>612</v>
      </c>
      <c r="H153" s="178">
        <v>30.48</v>
      </c>
      <c r="S153" s="57" t="s">
        <v>1036</v>
      </c>
      <c r="T153" s="26"/>
    </row>
    <row r="154" spans="1:20" x14ac:dyDescent="0.25">
      <c r="A154" s="49">
        <v>8204971</v>
      </c>
      <c r="C154" s="45">
        <v>847</v>
      </c>
      <c r="D154" s="45" t="s">
        <v>30</v>
      </c>
      <c r="E154" s="27" t="s">
        <v>212</v>
      </c>
      <c r="F154" s="28" t="s">
        <v>1142</v>
      </c>
      <c r="G154" s="24" t="s">
        <v>612</v>
      </c>
      <c r="H154" s="178">
        <v>30.48</v>
      </c>
      <c r="S154" s="57" t="s">
        <v>1037</v>
      </c>
      <c r="T154" s="26"/>
    </row>
    <row r="155" spans="1:20" x14ac:dyDescent="0.25">
      <c r="A155" s="49">
        <v>8204972</v>
      </c>
      <c r="C155" s="45">
        <v>835</v>
      </c>
      <c r="D155" s="45" t="s">
        <v>30</v>
      </c>
      <c r="E155" s="27" t="s">
        <v>213</v>
      </c>
      <c r="F155" s="28" t="s">
        <v>1142</v>
      </c>
      <c r="G155" s="24" t="s">
        <v>612</v>
      </c>
      <c r="H155" s="178">
        <v>30.48</v>
      </c>
      <c r="S155" s="57" t="s">
        <v>1038</v>
      </c>
      <c r="T155" s="26"/>
    </row>
    <row r="156" spans="1:20" x14ac:dyDescent="0.25">
      <c r="A156" s="49">
        <v>8204973</v>
      </c>
      <c r="C156" s="45">
        <v>848</v>
      </c>
      <c r="D156" s="45" t="s">
        <v>30</v>
      </c>
      <c r="E156" s="27" t="s">
        <v>214</v>
      </c>
      <c r="F156" s="28" t="s">
        <v>1142</v>
      </c>
      <c r="G156" s="24" t="s">
        <v>612</v>
      </c>
      <c r="H156" s="178">
        <v>30.48</v>
      </c>
      <c r="S156" s="57" t="s">
        <v>1039</v>
      </c>
      <c r="T156" s="26"/>
    </row>
    <row r="157" spans="1:20" x14ac:dyDescent="0.25">
      <c r="A157" s="49">
        <v>8204974</v>
      </c>
      <c r="C157" s="45">
        <v>849</v>
      </c>
      <c r="D157" s="45" t="s">
        <v>30</v>
      </c>
      <c r="E157" s="27" t="s">
        <v>215</v>
      </c>
      <c r="F157" s="28" t="s">
        <v>1142</v>
      </c>
      <c r="G157" s="24" t="s">
        <v>612</v>
      </c>
      <c r="H157" s="178">
        <v>30.48</v>
      </c>
      <c r="S157" s="57" t="s">
        <v>1040</v>
      </c>
      <c r="T157" s="26"/>
    </row>
    <row r="158" spans="1:20" x14ac:dyDescent="0.25">
      <c r="A158" s="49">
        <v>8204976</v>
      </c>
      <c r="C158" s="45">
        <v>836</v>
      </c>
      <c r="D158" s="45" t="s">
        <v>30</v>
      </c>
      <c r="E158" s="27" t="s">
        <v>216</v>
      </c>
      <c r="F158" s="28" t="s">
        <v>1142</v>
      </c>
      <c r="G158" s="24" t="s">
        <v>612</v>
      </c>
      <c r="H158" s="178">
        <v>30.48</v>
      </c>
      <c r="S158" s="57" t="s">
        <v>1041</v>
      </c>
      <c r="T158" s="26"/>
    </row>
    <row r="159" spans="1:20" x14ac:dyDescent="0.25">
      <c r="A159" s="49">
        <v>8204977</v>
      </c>
      <c r="C159" s="45">
        <v>850</v>
      </c>
      <c r="D159" s="45" t="s">
        <v>30</v>
      </c>
      <c r="E159" s="27" t="s">
        <v>217</v>
      </c>
      <c r="F159" s="28" t="s">
        <v>1142</v>
      </c>
      <c r="G159" s="24" t="s">
        <v>612</v>
      </c>
      <c r="H159" s="178">
        <v>30.48</v>
      </c>
      <c r="S159" s="57" t="s">
        <v>1042</v>
      </c>
      <c r="T159" s="26"/>
    </row>
    <row r="160" spans="1:20" x14ac:dyDescent="0.25">
      <c r="A160" s="49">
        <v>8204978</v>
      </c>
      <c r="C160" s="45">
        <v>851</v>
      </c>
      <c r="D160" s="45" t="s">
        <v>30</v>
      </c>
      <c r="E160" s="27" t="s">
        <v>218</v>
      </c>
      <c r="F160" s="28" t="s">
        <v>1142</v>
      </c>
      <c r="G160" s="24" t="s">
        <v>612</v>
      </c>
      <c r="H160" s="178">
        <v>30.48</v>
      </c>
      <c r="S160" s="57" t="s">
        <v>1043</v>
      </c>
      <c r="T160" s="26"/>
    </row>
    <row r="161" spans="1:20" x14ac:dyDescent="0.25">
      <c r="A161" s="49">
        <v>8204979</v>
      </c>
      <c r="C161" s="45">
        <v>852</v>
      </c>
      <c r="D161" s="45" t="s">
        <v>30</v>
      </c>
      <c r="E161" s="27" t="s">
        <v>219</v>
      </c>
      <c r="F161" s="28" t="s">
        <v>1142</v>
      </c>
      <c r="G161" s="24" t="s">
        <v>612</v>
      </c>
      <c r="H161" s="178">
        <v>30.48</v>
      </c>
      <c r="S161" s="57" t="s">
        <v>1059</v>
      </c>
      <c r="T161" s="26"/>
    </row>
    <row r="162" spans="1:20" x14ac:dyDescent="0.25">
      <c r="A162" s="49">
        <v>8204980</v>
      </c>
      <c r="C162" s="45">
        <v>853</v>
      </c>
      <c r="D162" s="45" t="s">
        <v>30</v>
      </c>
      <c r="E162" s="27" t="s">
        <v>220</v>
      </c>
      <c r="F162" s="28" t="s">
        <v>1142</v>
      </c>
      <c r="G162" s="24" t="s">
        <v>612</v>
      </c>
      <c r="H162" s="178">
        <v>30.48</v>
      </c>
      <c r="S162" s="57" t="s">
        <v>1044</v>
      </c>
      <c r="T162" s="26"/>
    </row>
    <row r="163" spans="1:20" x14ac:dyDescent="0.25">
      <c r="A163" s="49">
        <v>8204981</v>
      </c>
      <c r="C163" s="45">
        <v>854</v>
      </c>
      <c r="D163" s="45" t="s">
        <v>30</v>
      </c>
      <c r="E163" s="27" t="s">
        <v>221</v>
      </c>
      <c r="F163" s="28" t="s">
        <v>1142</v>
      </c>
      <c r="G163" s="24" t="s">
        <v>612</v>
      </c>
      <c r="H163" s="178">
        <v>30.48</v>
      </c>
      <c r="S163" s="57" t="s">
        <v>1045</v>
      </c>
      <c r="T163" s="26"/>
    </row>
    <row r="164" spans="1:20" x14ac:dyDescent="0.25">
      <c r="A164" s="49">
        <v>8204982</v>
      </c>
      <c r="C164" s="45">
        <v>855</v>
      </c>
      <c r="D164" s="45" t="s">
        <v>30</v>
      </c>
      <c r="E164" s="27" t="s">
        <v>222</v>
      </c>
      <c r="F164" s="28" t="s">
        <v>1142</v>
      </c>
      <c r="G164" s="24" t="s">
        <v>612</v>
      </c>
      <c r="H164" s="178">
        <v>30.48</v>
      </c>
      <c r="S164" s="57" t="s">
        <v>1048</v>
      </c>
      <c r="T164" s="26"/>
    </row>
    <row r="165" spans="1:20" x14ac:dyDescent="0.25">
      <c r="A165" s="49">
        <v>8205014</v>
      </c>
      <c r="C165" s="45">
        <v>873</v>
      </c>
      <c r="D165" s="45" t="s">
        <v>30</v>
      </c>
      <c r="E165" s="27" t="s">
        <v>223</v>
      </c>
      <c r="F165" s="28" t="s">
        <v>1142</v>
      </c>
      <c r="G165" s="24" t="s">
        <v>612</v>
      </c>
      <c r="H165" s="178">
        <v>30.48</v>
      </c>
      <c r="S165" s="57" t="s">
        <v>1049</v>
      </c>
      <c r="T165" s="26"/>
    </row>
    <row r="166" spans="1:20" x14ac:dyDescent="0.25">
      <c r="A166" s="49">
        <v>8205015</v>
      </c>
      <c r="C166" s="45">
        <v>874</v>
      </c>
      <c r="D166" s="45" t="s">
        <v>30</v>
      </c>
      <c r="E166" s="27" t="s">
        <v>224</v>
      </c>
      <c r="F166" s="28" t="s">
        <v>1142</v>
      </c>
      <c r="G166" s="24" t="s">
        <v>612</v>
      </c>
      <c r="H166" s="178">
        <v>30.48</v>
      </c>
      <c r="S166" s="57" t="s">
        <v>1050</v>
      </c>
      <c r="T166" s="26"/>
    </row>
    <row r="167" spans="1:20" x14ac:dyDescent="0.25">
      <c r="A167" s="49">
        <v>8205016</v>
      </c>
      <c r="C167" s="45">
        <v>875</v>
      </c>
      <c r="D167" s="45" t="s">
        <v>30</v>
      </c>
      <c r="E167" s="27" t="s">
        <v>225</v>
      </c>
      <c r="F167" s="28" t="s">
        <v>1142</v>
      </c>
      <c r="G167" s="24" t="s">
        <v>612</v>
      </c>
      <c r="H167" s="178">
        <v>30.48</v>
      </c>
      <c r="S167" s="57" t="s">
        <v>1051</v>
      </c>
      <c r="T167" s="26"/>
    </row>
    <row r="168" spans="1:20" x14ac:dyDescent="0.25">
      <c r="A168" s="49">
        <v>8205017</v>
      </c>
      <c r="C168" s="45">
        <v>876</v>
      </c>
      <c r="D168" s="45" t="s">
        <v>30</v>
      </c>
      <c r="E168" s="27" t="s">
        <v>226</v>
      </c>
      <c r="F168" s="28" t="s">
        <v>1142</v>
      </c>
      <c r="G168" s="24" t="s">
        <v>612</v>
      </c>
      <c r="H168" s="178">
        <v>30.48</v>
      </c>
      <c r="S168" s="57" t="s">
        <v>1052</v>
      </c>
      <c r="T168" s="26"/>
    </row>
    <row r="169" spans="1:20" x14ac:dyDescent="0.25">
      <c r="A169" s="49">
        <v>8205020</v>
      </c>
      <c r="C169" s="45">
        <v>877</v>
      </c>
      <c r="D169" s="45" t="s">
        <v>30</v>
      </c>
      <c r="E169" s="27" t="s">
        <v>227</v>
      </c>
      <c r="F169" s="28" t="s">
        <v>1142</v>
      </c>
      <c r="G169" s="24" t="s">
        <v>612</v>
      </c>
      <c r="H169" s="178">
        <v>30.48</v>
      </c>
      <c r="S169" s="57" t="s">
        <v>1053</v>
      </c>
      <c r="T169" s="26"/>
    </row>
    <row r="170" spans="1:20" x14ac:dyDescent="0.25">
      <c r="A170" s="49">
        <v>8205060</v>
      </c>
      <c r="C170" s="45">
        <v>831</v>
      </c>
      <c r="D170" s="45" t="s">
        <v>30</v>
      </c>
      <c r="E170" s="253" t="s">
        <v>228</v>
      </c>
      <c r="F170" s="28" t="s">
        <v>1142</v>
      </c>
      <c r="G170" s="24" t="s">
        <v>612</v>
      </c>
      <c r="H170" s="178">
        <v>30.48</v>
      </c>
      <c r="S170" s="57" t="s">
        <v>1054</v>
      </c>
      <c r="T170" s="26"/>
    </row>
    <row r="171" spans="1:20" x14ac:dyDescent="0.25">
      <c r="A171" s="49">
        <v>8205061</v>
      </c>
      <c r="C171" s="45">
        <v>832</v>
      </c>
      <c r="D171" s="45" t="s">
        <v>30</v>
      </c>
      <c r="E171" s="253" t="s">
        <v>229</v>
      </c>
      <c r="F171" s="28" t="s">
        <v>1142</v>
      </c>
      <c r="G171" s="24" t="s">
        <v>612</v>
      </c>
      <c r="H171" s="178">
        <v>30.48</v>
      </c>
      <c r="S171" s="57" t="s">
        <v>1055</v>
      </c>
      <c r="T171" s="26"/>
    </row>
    <row r="172" spans="1:20" x14ac:dyDescent="0.25">
      <c r="A172" s="49">
        <v>8205062</v>
      </c>
      <c r="C172" s="45">
        <v>833</v>
      </c>
      <c r="D172" s="45" t="s">
        <v>30</v>
      </c>
      <c r="E172" s="253" t="s">
        <v>230</v>
      </c>
      <c r="F172" s="28" t="s">
        <v>1142</v>
      </c>
      <c r="G172" s="24" t="s">
        <v>612</v>
      </c>
      <c r="H172" s="178">
        <v>30.48</v>
      </c>
      <c r="S172" s="57" t="s">
        <v>1056</v>
      </c>
      <c r="T172" s="26"/>
    </row>
    <row r="173" spans="1:20" x14ac:dyDescent="0.25">
      <c r="A173" s="49">
        <v>8205063</v>
      </c>
      <c r="C173" s="45">
        <v>834</v>
      </c>
      <c r="D173" s="45" t="s">
        <v>30</v>
      </c>
      <c r="E173" s="253" t="s">
        <v>231</v>
      </c>
      <c r="F173" s="28" t="s">
        <v>1142</v>
      </c>
      <c r="G173" s="24" t="s">
        <v>612</v>
      </c>
      <c r="H173" s="178">
        <v>30.48</v>
      </c>
      <c r="S173" s="57" t="s">
        <v>1057</v>
      </c>
      <c r="T173" s="26"/>
    </row>
    <row r="174" spans="1:20" x14ac:dyDescent="0.25">
      <c r="A174" s="49">
        <v>8205230</v>
      </c>
      <c r="C174" s="45">
        <v>891</v>
      </c>
      <c r="D174" s="45" t="s">
        <v>17</v>
      </c>
      <c r="E174" s="253" t="s">
        <v>232</v>
      </c>
      <c r="F174" s="28" t="s">
        <v>1142</v>
      </c>
      <c r="G174" s="24" t="s">
        <v>612</v>
      </c>
      <c r="H174" s="178">
        <v>30.48</v>
      </c>
      <c r="S174" s="57" t="s">
        <v>1058</v>
      </c>
      <c r="T174" s="26"/>
    </row>
    <row r="175" spans="1:20" x14ac:dyDescent="0.25">
      <c r="A175" s="49">
        <v>8205240</v>
      </c>
      <c r="C175" s="45">
        <v>892</v>
      </c>
      <c r="D175" s="45" t="s">
        <v>17</v>
      </c>
      <c r="E175" s="253" t="s">
        <v>233</v>
      </c>
      <c r="F175" s="28" t="s">
        <v>1142</v>
      </c>
      <c r="G175" s="24" t="s">
        <v>612</v>
      </c>
      <c r="H175" s="178">
        <v>30.48</v>
      </c>
      <c r="S175" s="57" t="s">
        <v>1060</v>
      </c>
      <c r="T175" s="26"/>
    </row>
    <row r="176" spans="1:20" x14ac:dyDescent="0.25">
      <c r="A176" s="49">
        <v>8205241</v>
      </c>
      <c r="C176" s="45">
        <v>893</v>
      </c>
      <c r="D176" s="45" t="s">
        <v>17</v>
      </c>
      <c r="E176" s="253" t="s">
        <v>234</v>
      </c>
      <c r="F176" s="28" t="s">
        <v>1142</v>
      </c>
      <c r="G176" s="24" t="s">
        <v>612</v>
      </c>
      <c r="H176" s="178">
        <v>30.48</v>
      </c>
      <c r="S176" s="57" t="s">
        <v>1061</v>
      </c>
      <c r="T176" s="26"/>
    </row>
    <row r="177" spans="1:27" x14ac:dyDescent="0.25">
      <c r="A177" s="49">
        <v>8203580</v>
      </c>
      <c r="C177" s="45">
        <v>889</v>
      </c>
      <c r="D177" s="45" t="s">
        <v>30</v>
      </c>
      <c r="E177" s="253" t="s">
        <v>235</v>
      </c>
      <c r="F177" s="28" t="s">
        <v>1142</v>
      </c>
      <c r="G177" s="24" t="s">
        <v>612</v>
      </c>
      <c r="H177" s="178">
        <v>30.48</v>
      </c>
      <c r="S177" s="57" t="s">
        <v>1062</v>
      </c>
      <c r="T177" s="26"/>
    </row>
    <row r="178" spans="1:27" x14ac:dyDescent="0.25">
      <c r="A178" s="49">
        <v>8203582</v>
      </c>
      <c r="C178" s="45">
        <v>890</v>
      </c>
      <c r="D178" s="45" t="s">
        <v>30</v>
      </c>
      <c r="E178" s="253" t="s">
        <v>236</v>
      </c>
      <c r="F178" s="28" t="s">
        <v>1142</v>
      </c>
      <c r="G178" s="24" t="s">
        <v>612</v>
      </c>
      <c r="H178" s="178">
        <v>30.48</v>
      </c>
      <c r="S178" s="57" t="s">
        <v>1063</v>
      </c>
      <c r="T178" s="26"/>
    </row>
    <row r="179" spans="1:27" x14ac:dyDescent="0.25">
      <c r="A179" s="49">
        <v>8205261</v>
      </c>
      <c r="C179" s="45">
        <v>901</v>
      </c>
      <c r="D179" s="45" t="s">
        <v>30</v>
      </c>
      <c r="E179" s="27" t="s">
        <v>237</v>
      </c>
      <c r="F179" s="28" t="s">
        <v>1142</v>
      </c>
      <c r="G179" s="24" t="s">
        <v>612</v>
      </c>
      <c r="H179" s="178">
        <v>30.48</v>
      </c>
      <c r="S179" s="57" t="s">
        <v>1064</v>
      </c>
      <c r="T179" s="26"/>
    </row>
    <row r="180" spans="1:27" x14ac:dyDescent="0.25">
      <c r="A180" s="49">
        <v>8205262</v>
      </c>
      <c r="C180" s="45">
        <v>902</v>
      </c>
      <c r="D180" s="45" t="s">
        <v>30</v>
      </c>
      <c r="E180" s="27" t="s">
        <v>238</v>
      </c>
      <c r="F180" s="28" t="s">
        <v>1142</v>
      </c>
      <c r="G180" s="24" t="s">
        <v>612</v>
      </c>
      <c r="H180" s="178">
        <v>30.48</v>
      </c>
      <c r="S180" s="57" t="s">
        <v>1065</v>
      </c>
      <c r="T180" s="26"/>
    </row>
    <row r="181" spans="1:27" x14ac:dyDescent="0.25">
      <c r="A181" s="49">
        <v>8205263</v>
      </c>
      <c r="C181" s="45">
        <v>903</v>
      </c>
      <c r="D181" s="45" t="s">
        <v>30</v>
      </c>
      <c r="E181" s="27" t="s">
        <v>239</v>
      </c>
      <c r="F181" s="28" t="s">
        <v>1142</v>
      </c>
      <c r="G181" s="24" t="s">
        <v>612</v>
      </c>
      <c r="H181" s="178">
        <v>30.48</v>
      </c>
      <c r="S181" s="57" t="s">
        <v>1066</v>
      </c>
      <c r="T181" s="26"/>
    </row>
    <row r="182" spans="1:27" x14ac:dyDescent="0.25">
      <c r="A182" s="49">
        <v>8205510</v>
      </c>
      <c r="C182" s="45">
        <v>895</v>
      </c>
      <c r="D182" s="45" t="s">
        <v>30</v>
      </c>
      <c r="E182" s="253" t="s">
        <v>240</v>
      </c>
      <c r="F182" s="28" t="s">
        <v>1142</v>
      </c>
      <c r="G182" s="24" t="s">
        <v>612</v>
      </c>
      <c r="H182" s="178">
        <v>30.48</v>
      </c>
      <c r="S182" s="57" t="s">
        <v>1067</v>
      </c>
      <c r="T182" s="26"/>
    </row>
    <row r="183" spans="1:27" x14ac:dyDescent="0.25">
      <c r="A183" s="49">
        <v>8205260</v>
      </c>
      <c r="C183" s="45"/>
      <c r="D183" s="45" t="s">
        <v>30</v>
      </c>
      <c r="E183" s="27" t="s">
        <v>241</v>
      </c>
      <c r="F183" s="28" t="s">
        <v>1142</v>
      </c>
      <c r="G183" s="24" t="s">
        <v>612</v>
      </c>
      <c r="H183" s="178">
        <v>30.48</v>
      </c>
      <c r="S183" s="57" t="s">
        <v>1068</v>
      </c>
      <c r="T183" s="26"/>
    </row>
    <row r="184" spans="1:27" x14ac:dyDescent="0.25">
      <c r="A184" s="49">
        <v>8205264</v>
      </c>
      <c r="C184" s="45"/>
      <c r="D184" s="45" t="s">
        <v>30</v>
      </c>
      <c r="E184" s="27" t="s">
        <v>242</v>
      </c>
      <c r="F184" s="28" t="s">
        <v>1142</v>
      </c>
      <c r="G184" s="24" t="s">
        <v>612</v>
      </c>
      <c r="H184" s="178">
        <v>30.48</v>
      </c>
      <c r="S184" s="57" t="s">
        <v>1070</v>
      </c>
      <c r="T184" s="26"/>
    </row>
    <row r="185" spans="1:27" x14ac:dyDescent="0.25">
      <c r="A185" s="49">
        <v>8205266</v>
      </c>
      <c r="C185" s="45"/>
      <c r="D185" s="45" t="s">
        <v>30</v>
      </c>
      <c r="E185" s="27" t="s">
        <v>243</v>
      </c>
      <c r="F185" s="28" t="s">
        <v>1142</v>
      </c>
      <c r="G185" s="24" t="s">
        <v>612</v>
      </c>
      <c r="H185" s="178">
        <v>30.48</v>
      </c>
      <c r="S185" s="57" t="s">
        <v>1069</v>
      </c>
      <c r="T185" s="26"/>
    </row>
    <row r="186" spans="1:27" x14ac:dyDescent="0.25">
      <c r="A186" s="49">
        <v>8205268</v>
      </c>
      <c r="C186" s="45"/>
      <c r="D186" s="45" t="s">
        <v>30</v>
      </c>
      <c r="E186" s="27" t="s">
        <v>244</v>
      </c>
      <c r="F186" s="28" t="s">
        <v>1142</v>
      </c>
      <c r="G186" s="24" t="s">
        <v>612</v>
      </c>
      <c r="H186" s="178">
        <v>30.48</v>
      </c>
      <c r="S186" s="57" t="s">
        <v>1071</v>
      </c>
      <c r="T186" s="26"/>
    </row>
    <row r="187" spans="1:27" x14ac:dyDescent="0.25">
      <c r="A187" s="49">
        <v>8205269</v>
      </c>
      <c r="C187" s="45"/>
      <c r="D187" s="45" t="s">
        <v>30</v>
      </c>
      <c r="E187" s="257" t="s">
        <v>863</v>
      </c>
      <c r="F187" s="28" t="s">
        <v>1142</v>
      </c>
      <c r="G187" s="24" t="s">
        <v>612</v>
      </c>
      <c r="H187" s="178">
        <v>34.479999999999997</v>
      </c>
      <c r="S187" s="57" t="s">
        <v>1077</v>
      </c>
      <c r="T187" s="26"/>
      <c r="AA187" s="258"/>
    </row>
    <row r="188" spans="1:27" x14ac:dyDescent="0.25">
      <c r="A188" s="49">
        <v>8205270</v>
      </c>
      <c r="C188" s="45"/>
      <c r="D188" s="45" t="s">
        <v>30</v>
      </c>
      <c r="E188" s="257" t="s">
        <v>866</v>
      </c>
      <c r="F188" s="28" t="s">
        <v>1142</v>
      </c>
      <c r="G188" s="24" t="s">
        <v>612</v>
      </c>
      <c r="H188" s="178">
        <v>35.479999999999997</v>
      </c>
      <c r="S188" s="57" t="s">
        <v>1072</v>
      </c>
      <c r="T188" s="26"/>
      <c r="AA188" s="258"/>
    </row>
    <row r="189" spans="1:27" x14ac:dyDescent="0.25">
      <c r="A189" s="49">
        <v>8205271</v>
      </c>
      <c r="C189" s="45"/>
      <c r="D189" s="45" t="s">
        <v>30</v>
      </c>
      <c r="E189" s="27" t="s">
        <v>245</v>
      </c>
      <c r="F189" s="28" t="s">
        <v>1142</v>
      </c>
      <c r="G189" s="24" t="s">
        <v>612</v>
      </c>
      <c r="H189" s="178">
        <v>30.48</v>
      </c>
      <c r="S189" s="57" t="s">
        <v>1073</v>
      </c>
      <c r="T189" s="26"/>
      <c r="AA189" s="258"/>
    </row>
    <row r="190" spans="1:27" x14ac:dyDescent="0.25">
      <c r="A190" s="49">
        <v>8205272</v>
      </c>
      <c r="C190" s="45"/>
      <c r="D190" s="45" t="s">
        <v>30</v>
      </c>
      <c r="E190" s="257" t="s">
        <v>864</v>
      </c>
      <c r="F190" s="28" t="s">
        <v>1142</v>
      </c>
      <c r="G190" s="24" t="s">
        <v>612</v>
      </c>
      <c r="H190" s="178">
        <v>36.479999999999997</v>
      </c>
      <c r="S190" s="57" t="s">
        <v>1074</v>
      </c>
      <c r="T190" s="26"/>
      <c r="AA190" s="258"/>
    </row>
    <row r="191" spans="1:27" x14ac:dyDescent="0.25">
      <c r="A191" s="49">
        <v>8205273</v>
      </c>
      <c r="C191" s="45"/>
      <c r="D191" s="45" t="s">
        <v>30</v>
      </c>
      <c r="E191" s="257" t="s">
        <v>865</v>
      </c>
      <c r="F191" s="28" t="s">
        <v>1142</v>
      </c>
      <c r="G191" s="24" t="s">
        <v>612</v>
      </c>
      <c r="H191" s="178">
        <v>37.479999999999997</v>
      </c>
      <c r="S191" s="57" t="s">
        <v>1075</v>
      </c>
      <c r="T191" s="26"/>
      <c r="AA191" s="258"/>
    </row>
    <row r="192" spans="1:27" x14ac:dyDescent="0.25">
      <c r="A192" s="49">
        <v>8205274</v>
      </c>
      <c r="C192" s="45"/>
      <c r="D192" s="45" t="s">
        <v>30</v>
      </c>
      <c r="E192" s="27" t="s">
        <v>246</v>
      </c>
      <c r="F192" s="28" t="s">
        <v>1142</v>
      </c>
      <c r="G192" s="24" t="s">
        <v>612</v>
      </c>
      <c r="H192" s="178">
        <v>30.48</v>
      </c>
      <c r="S192" s="57" t="s">
        <v>1078</v>
      </c>
      <c r="T192" s="26"/>
      <c r="AA192" s="258"/>
    </row>
    <row r="193" spans="1:27" x14ac:dyDescent="0.25">
      <c r="A193" s="49">
        <v>8205275</v>
      </c>
      <c r="C193" s="45"/>
      <c r="D193" s="45" t="s">
        <v>30</v>
      </c>
      <c r="E193" s="257" t="s">
        <v>867</v>
      </c>
      <c r="F193" s="28" t="s">
        <v>1142</v>
      </c>
      <c r="G193" s="24" t="s">
        <v>612</v>
      </c>
      <c r="H193" s="178">
        <v>38.479999999999997</v>
      </c>
      <c r="S193" s="57" t="s">
        <v>1079</v>
      </c>
      <c r="T193" s="26"/>
      <c r="AA193" s="258"/>
    </row>
    <row r="194" spans="1:27" x14ac:dyDescent="0.25">
      <c r="A194" s="49">
        <v>8205276</v>
      </c>
      <c r="C194" s="45"/>
      <c r="D194" s="45" t="s">
        <v>30</v>
      </c>
      <c r="E194" s="257" t="s">
        <v>868</v>
      </c>
      <c r="F194" s="28" t="s">
        <v>1142</v>
      </c>
      <c r="G194" s="24" t="s">
        <v>612</v>
      </c>
      <c r="H194" s="178">
        <v>39.479999999999997</v>
      </c>
      <c r="S194" s="57" t="s">
        <v>1080</v>
      </c>
      <c r="T194" s="26"/>
      <c r="AA194" s="258"/>
    </row>
    <row r="195" spans="1:27" x14ac:dyDescent="0.25">
      <c r="A195" s="49">
        <v>8205760</v>
      </c>
      <c r="C195" s="45" t="s">
        <v>247</v>
      </c>
      <c r="D195" s="45" t="s">
        <v>30</v>
      </c>
      <c r="E195" s="253" t="s">
        <v>248</v>
      </c>
      <c r="F195" s="28" t="s">
        <v>1142</v>
      </c>
      <c r="G195" s="24" t="s">
        <v>612</v>
      </c>
      <c r="H195" s="178">
        <v>30.48</v>
      </c>
      <c r="S195" s="57" t="s">
        <v>1081</v>
      </c>
      <c r="T195" s="26"/>
      <c r="AA195" s="258"/>
    </row>
    <row r="196" spans="1:27" x14ac:dyDescent="0.25">
      <c r="A196" s="49">
        <v>8205761</v>
      </c>
      <c r="C196" s="45" t="s">
        <v>247</v>
      </c>
      <c r="D196" s="45" t="s">
        <v>30</v>
      </c>
      <c r="E196" s="27" t="s">
        <v>249</v>
      </c>
      <c r="F196" s="28" t="s">
        <v>1142</v>
      </c>
      <c r="G196" s="24" t="s">
        <v>612</v>
      </c>
      <c r="H196" s="178">
        <v>30.48</v>
      </c>
      <c r="S196" s="57" t="s">
        <v>1082</v>
      </c>
      <c r="T196" s="26"/>
      <c r="AA196" s="258"/>
    </row>
    <row r="197" spans="1:27" x14ac:dyDescent="0.25">
      <c r="A197" s="49">
        <v>8205762</v>
      </c>
      <c r="C197" s="45" t="s">
        <v>247</v>
      </c>
      <c r="D197" s="45" t="s">
        <v>30</v>
      </c>
      <c r="E197" s="27" t="s">
        <v>250</v>
      </c>
      <c r="F197" s="28" t="s">
        <v>1142</v>
      </c>
      <c r="G197" s="24" t="s">
        <v>612</v>
      </c>
      <c r="H197" s="178">
        <v>30.48</v>
      </c>
      <c r="S197" s="57" t="s">
        <v>1083</v>
      </c>
      <c r="T197" s="26"/>
      <c r="AA197" s="258"/>
    </row>
    <row r="198" spans="1:27" x14ac:dyDescent="0.25">
      <c r="A198" s="49">
        <v>8205265</v>
      </c>
      <c r="C198" s="45"/>
      <c r="D198" s="45" t="s">
        <v>30</v>
      </c>
      <c r="E198" s="27" t="s">
        <v>251</v>
      </c>
      <c r="F198" s="28" t="s">
        <v>1142</v>
      </c>
      <c r="G198" s="24" t="s">
        <v>612</v>
      </c>
      <c r="H198" s="178">
        <v>30.48</v>
      </c>
      <c r="S198" s="57" t="s">
        <v>1084</v>
      </c>
      <c r="T198" s="26"/>
      <c r="AA198" s="258"/>
    </row>
    <row r="199" spans="1:27" x14ac:dyDescent="0.25">
      <c r="A199" s="49">
        <v>8205910</v>
      </c>
      <c r="C199" s="45" t="s">
        <v>247</v>
      </c>
      <c r="D199" s="45" t="s">
        <v>30</v>
      </c>
      <c r="E199" s="27" t="s">
        <v>252</v>
      </c>
      <c r="F199" s="28" t="s">
        <v>1142</v>
      </c>
      <c r="G199" s="24" t="s">
        <v>612</v>
      </c>
      <c r="H199" s="178">
        <v>30.48</v>
      </c>
      <c r="S199" s="57" t="s">
        <v>1085</v>
      </c>
      <c r="T199" s="26"/>
      <c r="AA199" s="258"/>
    </row>
    <row r="200" spans="1:27" x14ac:dyDescent="0.25">
      <c r="A200" s="49">
        <v>8205911</v>
      </c>
      <c r="C200" s="45" t="s">
        <v>247</v>
      </c>
      <c r="D200" s="45" t="s">
        <v>30</v>
      </c>
      <c r="E200" s="27" t="s">
        <v>253</v>
      </c>
      <c r="F200" s="28" t="s">
        <v>1142</v>
      </c>
      <c r="G200" s="24" t="s">
        <v>612</v>
      </c>
      <c r="H200" s="178">
        <v>30.48</v>
      </c>
      <c r="S200" s="57" t="s">
        <v>1086</v>
      </c>
      <c r="T200" s="26"/>
      <c r="AA200" s="258"/>
    </row>
    <row r="201" spans="1:27" x14ac:dyDescent="0.25">
      <c r="A201" s="49">
        <v>8205912</v>
      </c>
      <c r="C201" s="45" t="s">
        <v>247</v>
      </c>
      <c r="D201" s="45" t="s">
        <v>30</v>
      </c>
      <c r="E201" s="27" t="s">
        <v>869</v>
      </c>
      <c r="F201" s="28" t="s">
        <v>1142</v>
      </c>
      <c r="G201" s="24" t="s">
        <v>612</v>
      </c>
      <c r="H201" s="178">
        <v>30.48</v>
      </c>
      <c r="S201" s="57" t="s">
        <v>1087</v>
      </c>
      <c r="T201" s="26"/>
      <c r="AA201" s="258"/>
    </row>
    <row r="202" spans="1:27" x14ac:dyDescent="0.25">
      <c r="A202" s="49">
        <v>8206000</v>
      </c>
      <c r="C202" s="45"/>
      <c r="D202" s="45" t="s">
        <v>30</v>
      </c>
      <c r="E202" s="257" t="s">
        <v>870</v>
      </c>
      <c r="F202" s="28" t="s">
        <v>1142</v>
      </c>
      <c r="G202" s="24" t="s">
        <v>612</v>
      </c>
      <c r="H202" s="178">
        <v>40.479999999999997</v>
      </c>
      <c r="S202" s="57" t="s">
        <v>1088</v>
      </c>
      <c r="T202" s="26"/>
      <c r="AA202" s="258"/>
    </row>
    <row r="203" spans="1:27" x14ac:dyDescent="0.25">
      <c r="A203" s="49">
        <v>8206001</v>
      </c>
      <c r="C203" s="45"/>
      <c r="D203" s="45" t="s">
        <v>30</v>
      </c>
      <c r="E203" s="257" t="s">
        <v>871</v>
      </c>
      <c r="F203" s="28" t="s">
        <v>1142</v>
      </c>
      <c r="G203" s="24" t="s">
        <v>612</v>
      </c>
      <c r="H203" s="178">
        <v>41.48</v>
      </c>
      <c r="S203" s="57" t="s">
        <v>1089</v>
      </c>
      <c r="T203" s="26"/>
      <c r="AA203" s="258"/>
    </row>
    <row r="204" spans="1:27" x14ac:dyDescent="0.25">
      <c r="A204" s="49">
        <v>8206002</v>
      </c>
      <c r="C204" s="45"/>
      <c r="D204" s="45" t="s">
        <v>30</v>
      </c>
      <c r="E204" s="257" t="s">
        <v>872</v>
      </c>
      <c r="F204" s="28" t="s">
        <v>1142</v>
      </c>
      <c r="G204" s="24" t="s">
        <v>612</v>
      </c>
      <c r="H204" s="178">
        <v>42.48</v>
      </c>
      <c r="S204" s="57" t="s">
        <v>1090</v>
      </c>
      <c r="T204" s="26"/>
      <c r="AA204" s="258"/>
    </row>
    <row r="205" spans="1:27" x14ac:dyDescent="0.25">
      <c r="A205" s="49">
        <v>8206003</v>
      </c>
      <c r="C205" s="45"/>
      <c r="D205" s="45" t="s">
        <v>30</v>
      </c>
      <c r="E205" s="257" t="s">
        <v>873</v>
      </c>
      <c r="F205" s="28" t="s">
        <v>1142</v>
      </c>
      <c r="G205" s="24" t="s">
        <v>612</v>
      </c>
      <c r="H205" s="178">
        <v>43.48</v>
      </c>
      <c r="S205" s="57" t="s">
        <v>1092</v>
      </c>
      <c r="T205" s="26"/>
      <c r="AA205" s="258"/>
    </row>
    <row r="206" spans="1:27" x14ac:dyDescent="0.25">
      <c r="A206" s="49">
        <v>8206004</v>
      </c>
      <c r="C206" s="45"/>
      <c r="D206" s="45" t="s">
        <v>30</v>
      </c>
      <c r="E206" s="257" t="s">
        <v>874</v>
      </c>
      <c r="F206" s="28" t="s">
        <v>1142</v>
      </c>
      <c r="G206" s="24" t="s">
        <v>612</v>
      </c>
      <c r="H206" s="178">
        <v>44.48</v>
      </c>
      <c r="S206" s="57" t="s">
        <v>1093</v>
      </c>
      <c r="T206" s="26"/>
      <c r="AA206" s="258"/>
    </row>
    <row r="207" spans="1:27" x14ac:dyDescent="0.25">
      <c r="A207" s="49">
        <v>8206005</v>
      </c>
      <c r="C207" s="45"/>
      <c r="D207" s="45" t="s">
        <v>30</v>
      </c>
      <c r="E207" s="257" t="s">
        <v>875</v>
      </c>
      <c r="F207" s="28" t="s">
        <v>1142</v>
      </c>
      <c r="G207" s="24" t="s">
        <v>612</v>
      </c>
      <c r="H207" s="178">
        <v>45.48</v>
      </c>
      <c r="S207" s="57" t="s">
        <v>1094</v>
      </c>
      <c r="T207" s="26"/>
      <c r="AA207" s="258"/>
    </row>
    <row r="208" spans="1:27" x14ac:dyDescent="0.25">
      <c r="A208" s="49">
        <v>8206006</v>
      </c>
      <c r="C208" s="45"/>
      <c r="D208" s="45" t="s">
        <v>30</v>
      </c>
      <c r="E208" s="257" t="s">
        <v>876</v>
      </c>
      <c r="F208" s="28" t="s">
        <v>1142</v>
      </c>
      <c r="G208" s="24" t="s">
        <v>612</v>
      </c>
      <c r="H208" s="178">
        <v>46.48</v>
      </c>
      <c r="S208" s="57" t="s">
        <v>1095</v>
      </c>
      <c r="T208" s="26"/>
      <c r="AA208" s="258"/>
    </row>
    <row r="209" spans="1:27" x14ac:dyDescent="0.25">
      <c r="A209" s="49">
        <v>8206007</v>
      </c>
      <c r="C209" s="45"/>
      <c r="D209" s="45" t="s">
        <v>30</v>
      </c>
      <c r="E209" s="257" t="s">
        <v>877</v>
      </c>
      <c r="F209" s="28" t="s">
        <v>1142</v>
      </c>
      <c r="G209" s="24" t="s">
        <v>612</v>
      </c>
      <c r="H209" s="178">
        <v>47.48</v>
      </c>
      <c r="S209" s="57" t="s">
        <v>1096</v>
      </c>
      <c r="T209" s="26"/>
      <c r="AA209" s="258"/>
    </row>
    <row r="210" spans="1:27" x14ac:dyDescent="0.25">
      <c r="A210" s="49">
        <v>8200094</v>
      </c>
      <c r="B210" s="28" t="s">
        <v>256</v>
      </c>
      <c r="C210" s="45">
        <v>469</v>
      </c>
      <c r="D210" s="45" t="s">
        <v>30</v>
      </c>
      <c r="E210" s="27" t="s">
        <v>257</v>
      </c>
      <c r="F210" s="28" t="s">
        <v>1140</v>
      </c>
      <c r="G210" s="24" t="s">
        <v>612</v>
      </c>
      <c r="H210" s="178">
        <v>30.48</v>
      </c>
      <c r="S210" s="57" t="s">
        <v>1097</v>
      </c>
      <c r="T210" s="26"/>
      <c r="AA210" s="258"/>
    </row>
    <row r="211" spans="1:27" x14ac:dyDescent="0.25">
      <c r="A211" s="49">
        <v>8200095</v>
      </c>
      <c r="B211" s="28" t="s">
        <v>258</v>
      </c>
      <c r="C211" s="45">
        <v>473</v>
      </c>
      <c r="D211" s="45" t="s">
        <v>30</v>
      </c>
      <c r="E211" s="27" t="s">
        <v>259</v>
      </c>
      <c r="F211" s="28" t="s">
        <v>1140</v>
      </c>
      <c r="G211" s="24" t="s">
        <v>612</v>
      </c>
      <c r="H211" s="178">
        <v>30.48</v>
      </c>
      <c r="S211" s="57" t="s">
        <v>1098</v>
      </c>
      <c r="T211" s="26"/>
      <c r="AA211" s="258"/>
    </row>
    <row r="212" spans="1:27" x14ac:dyDescent="0.25">
      <c r="A212" s="49">
        <v>8200096</v>
      </c>
      <c r="B212" s="28" t="s">
        <v>260</v>
      </c>
      <c r="C212" s="45">
        <v>470</v>
      </c>
      <c r="D212" s="45" t="s">
        <v>30</v>
      </c>
      <c r="E212" s="27" t="s">
        <v>261</v>
      </c>
      <c r="F212" s="28" t="s">
        <v>1140</v>
      </c>
      <c r="G212" s="24" t="s">
        <v>612</v>
      </c>
      <c r="H212" s="178">
        <v>30.48</v>
      </c>
      <c r="S212" s="57" t="s">
        <v>1100</v>
      </c>
      <c r="T212" s="26"/>
      <c r="AA212" s="258"/>
    </row>
    <row r="213" spans="1:27" x14ac:dyDescent="0.25">
      <c r="A213" s="49">
        <v>8200099</v>
      </c>
      <c r="B213" s="28" t="s">
        <v>262</v>
      </c>
      <c r="C213" s="45">
        <v>474</v>
      </c>
      <c r="D213" s="45" t="s">
        <v>30</v>
      </c>
      <c r="E213" s="27" t="s">
        <v>263</v>
      </c>
      <c r="F213" s="28" t="s">
        <v>1140</v>
      </c>
      <c r="G213" s="24" t="s">
        <v>612</v>
      </c>
      <c r="H213" s="178">
        <v>30.48</v>
      </c>
      <c r="S213" s="57" t="s">
        <v>1101</v>
      </c>
      <c r="T213" s="26"/>
      <c r="AA213" s="258"/>
    </row>
    <row r="214" spans="1:27" x14ac:dyDescent="0.25">
      <c r="A214" s="49">
        <v>8201101</v>
      </c>
      <c r="C214" s="45">
        <v>491</v>
      </c>
      <c r="D214" s="45" t="s">
        <v>30</v>
      </c>
      <c r="E214" s="27" t="s">
        <v>264</v>
      </c>
      <c r="F214" s="28" t="s">
        <v>1140</v>
      </c>
      <c r="G214" s="24" t="s">
        <v>612</v>
      </c>
      <c r="H214" s="178">
        <v>30.48</v>
      </c>
      <c r="S214" s="57" t="s">
        <v>1102</v>
      </c>
      <c r="T214" s="26"/>
      <c r="AA214" s="258"/>
    </row>
    <row r="215" spans="1:27" x14ac:dyDescent="0.25">
      <c r="A215" s="49">
        <v>8202270</v>
      </c>
      <c r="C215" s="45">
        <v>750</v>
      </c>
      <c r="D215" s="45" t="s">
        <v>30</v>
      </c>
      <c r="E215" s="27" t="s">
        <v>265</v>
      </c>
      <c r="F215" s="28" t="s">
        <v>1140</v>
      </c>
      <c r="G215" s="24" t="s">
        <v>612</v>
      </c>
      <c r="H215" s="178">
        <v>30.48</v>
      </c>
      <c r="S215" s="57" t="s">
        <v>1103</v>
      </c>
      <c r="T215" s="26"/>
      <c r="AA215" s="258"/>
    </row>
    <row r="216" spans="1:27" x14ac:dyDescent="0.25">
      <c r="A216" s="49">
        <v>8202271</v>
      </c>
      <c r="C216" s="45">
        <v>751</v>
      </c>
      <c r="D216" s="45" t="s">
        <v>30</v>
      </c>
      <c r="E216" s="27" t="s">
        <v>266</v>
      </c>
      <c r="F216" s="28" t="s">
        <v>1140</v>
      </c>
      <c r="G216" s="24" t="s">
        <v>612</v>
      </c>
      <c r="H216" s="178">
        <v>30.48</v>
      </c>
      <c r="S216" s="57" t="s">
        <v>1104</v>
      </c>
      <c r="T216" s="26"/>
      <c r="AA216" s="258"/>
    </row>
    <row r="217" spans="1:27" x14ac:dyDescent="0.25">
      <c r="A217" s="49">
        <v>8204520</v>
      </c>
      <c r="C217" s="45">
        <v>807</v>
      </c>
      <c r="D217" s="45" t="s">
        <v>30</v>
      </c>
      <c r="E217" s="27" t="s">
        <v>267</v>
      </c>
      <c r="F217" s="28" t="s">
        <v>1140</v>
      </c>
      <c r="G217" s="24" t="s">
        <v>612</v>
      </c>
      <c r="H217" s="178">
        <v>30.48</v>
      </c>
      <c r="S217" s="57" t="s">
        <v>1105</v>
      </c>
      <c r="T217" s="26"/>
      <c r="AA217" s="258"/>
    </row>
    <row r="218" spans="1:27" x14ac:dyDescent="0.25">
      <c r="A218" s="49">
        <v>8204521</v>
      </c>
      <c r="C218" s="45">
        <v>808</v>
      </c>
      <c r="D218" s="45" t="s">
        <v>30</v>
      </c>
      <c r="E218" s="27" t="s">
        <v>268</v>
      </c>
      <c r="F218" s="28" t="s">
        <v>1140</v>
      </c>
      <c r="G218" s="24" t="s">
        <v>612</v>
      </c>
      <c r="H218" s="178">
        <v>30.48</v>
      </c>
      <c r="S218" s="57" t="s">
        <v>1106</v>
      </c>
      <c r="T218" s="26"/>
      <c r="AA218" s="258"/>
    </row>
    <row r="219" spans="1:27" x14ac:dyDescent="0.25">
      <c r="A219" s="49">
        <v>8204540</v>
      </c>
      <c r="C219" s="45">
        <v>811</v>
      </c>
      <c r="D219" s="45" t="s">
        <v>30</v>
      </c>
      <c r="E219" s="27" t="s">
        <v>269</v>
      </c>
      <c r="F219" s="28" t="s">
        <v>1140</v>
      </c>
      <c r="G219" s="24" t="s">
        <v>612</v>
      </c>
      <c r="H219" s="178">
        <v>30.48</v>
      </c>
      <c r="S219" s="57" t="s">
        <v>1108</v>
      </c>
      <c r="T219" s="26"/>
      <c r="AA219" s="258"/>
    </row>
    <row r="220" spans="1:27" x14ac:dyDescent="0.25">
      <c r="A220" s="49">
        <v>8204541</v>
      </c>
      <c r="C220" s="45">
        <v>812</v>
      </c>
      <c r="D220" s="45" t="s">
        <v>30</v>
      </c>
      <c r="E220" s="27" t="s">
        <v>270</v>
      </c>
      <c r="F220" s="28" t="s">
        <v>1140</v>
      </c>
      <c r="G220" s="24" t="s">
        <v>612</v>
      </c>
      <c r="H220" s="178">
        <v>30.48</v>
      </c>
      <c r="S220" s="57" t="s">
        <v>1109</v>
      </c>
      <c r="T220" s="26"/>
      <c r="AA220" s="258"/>
    </row>
    <row r="221" spans="1:27" x14ac:dyDescent="0.25">
      <c r="A221" s="49">
        <v>8201921</v>
      </c>
      <c r="C221" s="45">
        <v>814</v>
      </c>
      <c r="D221" s="45" t="s">
        <v>30</v>
      </c>
      <c r="E221" s="27" t="s">
        <v>271</v>
      </c>
      <c r="F221" s="28" t="s">
        <v>1140</v>
      </c>
      <c r="G221" s="24" t="s">
        <v>612</v>
      </c>
      <c r="H221" s="178">
        <v>30.48</v>
      </c>
      <c r="S221" s="57" t="s">
        <v>1110</v>
      </c>
      <c r="T221" s="26"/>
      <c r="AA221" s="258"/>
    </row>
    <row r="222" spans="1:27" x14ac:dyDescent="0.25">
      <c r="A222" s="49">
        <v>8204585</v>
      </c>
      <c r="C222" s="45">
        <v>822</v>
      </c>
      <c r="D222" s="45" t="s">
        <v>30</v>
      </c>
      <c r="E222" s="27" t="s">
        <v>272</v>
      </c>
      <c r="F222" s="28" t="s">
        <v>1140</v>
      </c>
      <c r="G222" s="24" t="s">
        <v>612</v>
      </c>
      <c r="H222" s="178">
        <v>30.48</v>
      </c>
      <c r="S222" s="57" t="s">
        <v>1111</v>
      </c>
      <c r="T222" s="26"/>
      <c r="AA222" s="258"/>
    </row>
    <row r="223" spans="1:27" x14ac:dyDescent="0.25">
      <c r="A223" s="49">
        <v>8204800</v>
      </c>
      <c r="C223" s="45">
        <v>825</v>
      </c>
      <c r="D223" s="45" t="s">
        <v>30</v>
      </c>
      <c r="E223" s="27" t="s">
        <v>273</v>
      </c>
      <c r="F223" s="28" t="s">
        <v>1140</v>
      </c>
      <c r="G223" s="24" t="s">
        <v>612</v>
      </c>
      <c r="H223" s="178">
        <v>30.48</v>
      </c>
      <c r="S223" s="57" t="s">
        <v>1113</v>
      </c>
      <c r="T223" s="26"/>
    </row>
    <row r="224" spans="1:27" x14ac:dyDescent="0.25">
      <c r="A224" s="49">
        <v>8203090</v>
      </c>
      <c r="C224" s="45">
        <v>829</v>
      </c>
      <c r="D224" s="45" t="s">
        <v>30</v>
      </c>
      <c r="E224" s="27" t="s">
        <v>274</v>
      </c>
      <c r="F224" s="28" t="s">
        <v>1140</v>
      </c>
      <c r="G224" s="24" t="s">
        <v>612</v>
      </c>
      <c r="H224" s="178">
        <v>30.48</v>
      </c>
      <c r="S224" s="57" t="s">
        <v>1115</v>
      </c>
      <c r="T224" s="26"/>
    </row>
    <row r="225" spans="1:20" x14ac:dyDescent="0.25">
      <c r="A225" s="49">
        <v>8205006</v>
      </c>
      <c r="C225" s="45">
        <v>878</v>
      </c>
      <c r="D225" s="45" t="s">
        <v>30</v>
      </c>
      <c r="E225" s="27" t="s">
        <v>275</v>
      </c>
      <c r="F225" s="28" t="s">
        <v>1140</v>
      </c>
      <c r="G225" s="24" t="s">
        <v>612</v>
      </c>
      <c r="H225" s="178">
        <v>30.48</v>
      </c>
      <c r="S225" s="57" t="s">
        <v>1116</v>
      </c>
      <c r="T225" s="26"/>
    </row>
    <row r="226" spans="1:20" x14ac:dyDescent="0.25">
      <c r="A226" s="49">
        <v>8205007</v>
      </c>
      <c r="C226" s="45">
        <v>879</v>
      </c>
      <c r="D226" s="45" t="s">
        <v>30</v>
      </c>
      <c r="E226" s="27" t="s">
        <v>276</v>
      </c>
      <c r="F226" s="28" t="s">
        <v>1140</v>
      </c>
      <c r="G226" s="24" t="s">
        <v>612</v>
      </c>
      <c r="H226" s="178">
        <v>30.48</v>
      </c>
      <c r="S226" s="57" t="s">
        <v>1117</v>
      </c>
      <c r="T226" s="26"/>
    </row>
    <row r="227" spans="1:20" x14ac:dyDescent="0.25">
      <c r="A227" s="49">
        <v>8205008</v>
      </c>
      <c r="C227" s="45">
        <v>880</v>
      </c>
      <c r="D227" s="45" t="s">
        <v>30</v>
      </c>
      <c r="E227" s="27" t="s">
        <v>277</v>
      </c>
      <c r="F227" s="28" t="s">
        <v>1140</v>
      </c>
      <c r="G227" s="24" t="s">
        <v>612</v>
      </c>
      <c r="H227" s="178">
        <v>30.48</v>
      </c>
      <c r="S227" s="57" t="s">
        <v>1119</v>
      </c>
      <c r="T227" s="26"/>
    </row>
    <row r="228" spans="1:20" x14ac:dyDescent="0.25">
      <c r="A228" s="49">
        <v>8205009</v>
      </c>
      <c r="C228" s="45">
        <v>881</v>
      </c>
      <c r="D228" s="45" t="s">
        <v>30</v>
      </c>
      <c r="E228" s="27" t="s">
        <v>278</v>
      </c>
      <c r="F228" s="28" t="s">
        <v>1140</v>
      </c>
      <c r="G228" s="24" t="s">
        <v>612</v>
      </c>
      <c r="H228" s="178">
        <v>30.48</v>
      </c>
      <c r="S228" s="57" t="s">
        <v>1120</v>
      </c>
      <c r="T228" s="26"/>
    </row>
    <row r="229" spans="1:20" x14ac:dyDescent="0.25">
      <c r="A229" s="49">
        <v>8205010</v>
      </c>
      <c r="C229" s="45">
        <v>882</v>
      </c>
      <c r="D229" s="45" t="s">
        <v>30</v>
      </c>
      <c r="E229" s="27" t="s">
        <v>279</v>
      </c>
      <c r="F229" s="28" t="s">
        <v>1140</v>
      </c>
      <c r="G229" s="24" t="s">
        <v>612</v>
      </c>
      <c r="H229" s="178">
        <v>30.48</v>
      </c>
      <c r="S229" s="57" t="s">
        <v>1121</v>
      </c>
      <c r="T229" s="26"/>
    </row>
    <row r="230" spans="1:20" x14ac:dyDescent="0.25">
      <c r="A230" s="49">
        <v>8205011</v>
      </c>
      <c r="C230" s="45">
        <v>883</v>
      </c>
      <c r="D230" s="45" t="s">
        <v>30</v>
      </c>
      <c r="E230" s="27" t="s">
        <v>280</v>
      </c>
      <c r="F230" s="28" t="s">
        <v>1140</v>
      </c>
      <c r="G230" s="24" t="s">
        <v>612</v>
      </c>
      <c r="H230" s="178">
        <v>30.48</v>
      </c>
      <c r="S230" s="57" t="s">
        <v>1122</v>
      </c>
      <c r="T230" s="26"/>
    </row>
    <row r="231" spans="1:20" x14ac:dyDescent="0.25">
      <c r="A231" s="49">
        <v>8205012</v>
      </c>
      <c r="C231" s="45">
        <v>884</v>
      </c>
      <c r="D231" s="45" t="s">
        <v>30</v>
      </c>
      <c r="E231" s="27" t="s">
        <v>281</v>
      </c>
      <c r="F231" s="28" t="s">
        <v>1140</v>
      </c>
      <c r="G231" s="24" t="s">
        <v>612</v>
      </c>
      <c r="H231" s="178">
        <v>30.48</v>
      </c>
      <c r="S231" s="57" t="s">
        <v>1123</v>
      </c>
      <c r="T231" s="26"/>
    </row>
    <row r="232" spans="1:20" x14ac:dyDescent="0.25">
      <c r="A232" s="49">
        <v>8205013</v>
      </c>
      <c r="C232" s="45">
        <v>885</v>
      </c>
      <c r="D232" s="45" t="s">
        <v>30</v>
      </c>
      <c r="E232" s="27" t="s">
        <v>282</v>
      </c>
      <c r="F232" s="28" t="s">
        <v>1140</v>
      </c>
      <c r="G232" s="24" t="s">
        <v>612</v>
      </c>
      <c r="H232" s="178">
        <v>30.48</v>
      </c>
      <c r="S232" s="57" t="s">
        <v>1125</v>
      </c>
      <c r="T232" s="26"/>
    </row>
    <row r="233" spans="1:20" x14ac:dyDescent="0.25">
      <c r="A233" s="49">
        <v>8201442</v>
      </c>
      <c r="C233" s="45">
        <v>710</v>
      </c>
      <c r="D233" s="45" t="s">
        <v>30</v>
      </c>
      <c r="E233" s="27" t="s">
        <v>283</v>
      </c>
      <c r="F233" s="28" t="s">
        <v>1140</v>
      </c>
      <c r="G233" s="24" t="s">
        <v>612</v>
      </c>
      <c r="H233" s="178">
        <v>30.48</v>
      </c>
      <c r="S233" s="57" t="s">
        <v>1126</v>
      </c>
      <c r="T233" s="26"/>
    </row>
    <row r="234" spans="1:20" x14ac:dyDescent="0.25">
      <c r="A234" s="49">
        <v>8201443</v>
      </c>
      <c r="C234" s="45">
        <v>711</v>
      </c>
      <c r="D234" s="45" t="s">
        <v>30</v>
      </c>
      <c r="E234" s="27" t="s">
        <v>284</v>
      </c>
      <c r="F234" s="28" t="s">
        <v>1140</v>
      </c>
      <c r="G234" s="24" t="s">
        <v>612</v>
      </c>
      <c r="H234" s="178">
        <v>30.48</v>
      </c>
      <c r="S234" s="57" t="s">
        <v>1127</v>
      </c>
      <c r="T234" s="26"/>
    </row>
    <row r="235" spans="1:20" x14ac:dyDescent="0.25">
      <c r="A235" s="49">
        <v>8201444</v>
      </c>
      <c r="C235" s="45">
        <v>712</v>
      </c>
      <c r="D235" s="45" t="s">
        <v>30</v>
      </c>
      <c r="E235" s="27" t="s">
        <v>285</v>
      </c>
      <c r="F235" s="28" t="s">
        <v>1140</v>
      </c>
      <c r="G235" s="24" t="s">
        <v>612</v>
      </c>
      <c r="H235" s="178">
        <v>30.48</v>
      </c>
      <c r="S235" s="57" t="s">
        <v>1128</v>
      </c>
      <c r="T235" s="26"/>
    </row>
    <row r="236" spans="1:20" x14ac:dyDescent="0.25">
      <c r="A236" s="49">
        <v>8201445</v>
      </c>
      <c r="C236" s="45">
        <v>713</v>
      </c>
      <c r="D236" s="45" t="s">
        <v>30</v>
      </c>
      <c r="E236" s="27" t="s">
        <v>286</v>
      </c>
      <c r="F236" s="28" t="s">
        <v>1140</v>
      </c>
      <c r="G236" s="24" t="s">
        <v>612</v>
      </c>
      <c r="H236" s="178">
        <v>30.48</v>
      </c>
      <c r="S236" s="57" t="s">
        <v>1129</v>
      </c>
      <c r="T236" s="26"/>
    </row>
    <row r="237" spans="1:20" x14ac:dyDescent="0.25">
      <c r="A237" s="49">
        <v>8201884</v>
      </c>
      <c r="C237" s="45">
        <v>718</v>
      </c>
      <c r="D237" s="45" t="s">
        <v>30</v>
      </c>
      <c r="E237" s="27" t="s">
        <v>287</v>
      </c>
      <c r="F237" s="28" t="s">
        <v>1140</v>
      </c>
      <c r="G237" s="24" t="s">
        <v>612</v>
      </c>
      <c r="H237" s="178">
        <v>30.48</v>
      </c>
      <c r="S237" s="57" t="s">
        <v>1152</v>
      </c>
      <c r="T237" s="26"/>
    </row>
    <row r="238" spans="1:20" x14ac:dyDescent="0.25">
      <c r="A238" s="49">
        <v>8201885</v>
      </c>
      <c r="C238" s="45">
        <v>719</v>
      </c>
      <c r="D238" s="45" t="s">
        <v>30</v>
      </c>
      <c r="E238" s="27" t="s">
        <v>288</v>
      </c>
      <c r="F238" s="28" t="s">
        <v>1140</v>
      </c>
      <c r="G238" s="24" t="s">
        <v>612</v>
      </c>
      <c r="H238" s="178">
        <v>30.48</v>
      </c>
      <c r="S238" s="57" t="s">
        <v>1130</v>
      </c>
      <c r="T238" s="26"/>
    </row>
    <row r="239" spans="1:20" x14ac:dyDescent="0.25">
      <c r="A239" s="49">
        <v>8204170</v>
      </c>
      <c r="C239" s="45">
        <v>802</v>
      </c>
      <c r="D239" s="45" t="s">
        <v>30</v>
      </c>
      <c r="E239" s="27" t="s">
        <v>289</v>
      </c>
      <c r="F239" s="28" t="s">
        <v>1140</v>
      </c>
      <c r="G239" s="24" t="s">
        <v>612</v>
      </c>
      <c r="H239" s="178">
        <v>30.48</v>
      </c>
      <c r="S239" s="57" t="s">
        <v>1131</v>
      </c>
      <c r="T239" s="26"/>
    </row>
    <row r="240" spans="1:20" x14ac:dyDescent="0.25">
      <c r="A240" s="49">
        <v>8204771</v>
      </c>
      <c r="C240" s="45">
        <v>823</v>
      </c>
      <c r="D240" s="45" t="s">
        <v>30</v>
      </c>
      <c r="E240" s="27" t="s">
        <v>729</v>
      </c>
      <c r="F240" s="28" t="s">
        <v>1140</v>
      </c>
      <c r="G240" s="24" t="s">
        <v>612</v>
      </c>
      <c r="H240" s="178">
        <v>30.48</v>
      </c>
      <c r="S240" s="57" t="s">
        <v>1132</v>
      </c>
      <c r="T240" s="26"/>
    </row>
    <row r="241" spans="1:20" x14ac:dyDescent="0.25">
      <c r="A241" s="49">
        <v>8204772</v>
      </c>
      <c r="C241" s="45"/>
      <c r="D241" s="45" t="s">
        <v>30</v>
      </c>
      <c r="E241" s="27" t="s">
        <v>730</v>
      </c>
      <c r="F241" s="28" t="s">
        <v>1140</v>
      </c>
      <c r="G241" s="24" t="s">
        <v>612</v>
      </c>
      <c r="H241" s="178">
        <v>30.48</v>
      </c>
      <c r="S241" s="57" t="s">
        <v>1134</v>
      </c>
      <c r="T241" s="26"/>
    </row>
    <row r="242" spans="1:20" x14ac:dyDescent="0.25">
      <c r="A242" s="49">
        <v>8204770</v>
      </c>
      <c r="C242" s="45"/>
      <c r="D242" s="45" t="s">
        <v>30</v>
      </c>
      <c r="E242" s="27" t="s">
        <v>731</v>
      </c>
      <c r="F242" s="28" t="s">
        <v>1140</v>
      </c>
      <c r="G242" s="24" t="s">
        <v>612</v>
      </c>
      <c r="H242" s="178">
        <v>30.48</v>
      </c>
      <c r="S242" s="57" t="s">
        <v>1135</v>
      </c>
      <c r="T242" s="26"/>
    </row>
    <row r="243" spans="1:20" x14ac:dyDescent="0.25">
      <c r="A243" s="49">
        <v>8200160</v>
      </c>
      <c r="B243" s="28" t="s">
        <v>292</v>
      </c>
      <c r="C243" s="45">
        <v>475</v>
      </c>
      <c r="D243" s="45" t="s">
        <v>293</v>
      </c>
      <c r="E243" s="27" t="s">
        <v>294</v>
      </c>
      <c r="F243" s="28" t="s">
        <v>1141</v>
      </c>
      <c r="G243" s="46" t="s">
        <v>612</v>
      </c>
      <c r="H243" s="24">
        <v>1000</v>
      </c>
      <c r="S243" s="57" t="s">
        <v>1136</v>
      </c>
      <c r="T243" s="26"/>
    </row>
    <row r="244" spans="1:20" x14ac:dyDescent="0.25">
      <c r="A244" s="49">
        <v>8200161</v>
      </c>
      <c r="B244" s="28" t="s">
        <v>295</v>
      </c>
      <c r="C244" s="45">
        <v>485</v>
      </c>
      <c r="D244" s="45" t="s">
        <v>293</v>
      </c>
      <c r="E244" s="27" t="s">
        <v>296</v>
      </c>
      <c r="F244" s="28" t="s">
        <v>1141</v>
      </c>
      <c r="G244" s="46" t="s">
        <v>612</v>
      </c>
      <c r="H244" s="24">
        <v>500</v>
      </c>
      <c r="S244" s="57" t="s">
        <v>1137</v>
      </c>
      <c r="T244" s="26"/>
    </row>
    <row r="245" spans="1:20" x14ac:dyDescent="0.25">
      <c r="A245" s="49">
        <v>8200163</v>
      </c>
      <c r="B245" s="28" t="s">
        <v>297</v>
      </c>
      <c r="C245" s="45">
        <v>477</v>
      </c>
      <c r="D245" s="45" t="s">
        <v>293</v>
      </c>
      <c r="E245" s="27" t="s">
        <v>298</v>
      </c>
      <c r="F245" s="28" t="s">
        <v>1141</v>
      </c>
      <c r="G245" s="24" t="s">
        <v>612</v>
      </c>
      <c r="H245" s="24">
        <v>504</v>
      </c>
      <c r="S245" s="57" t="s">
        <v>1138</v>
      </c>
      <c r="T245" s="26"/>
    </row>
    <row r="246" spans="1:20" x14ac:dyDescent="0.25">
      <c r="A246" s="49">
        <v>8200164</v>
      </c>
      <c r="B246" s="28" t="s">
        <v>299</v>
      </c>
      <c r="C246" s="45">
        <v>478</v>
      </c>
      <c r="D246" s="45" t="s">
        <v>293</v>
      </c>
      <c r="E246" s="27" t="s">
        <v>300</v>
      </c>
      <c r="F246" s="28" t="s">
        <v>1141</v>
      </c>
      <c r="G246" s="24" t="s">
        <v>612</v>
      </c>
      <c r="H246" s="24">
        <v>96</v>
      </c>
    </row>
    <row r="247" spans="1:20" x14ac:dyDescent="0.25">
      <c r="A247" s="49">
        <v>8200165</v>
      </c>
      <c r="B247" s="28" t="s">
        <v>301</v>
      </c>
      <c r="C247" s="45">
        <v>479</v>
      </c>
      <c r="D247" s="45" t="s">
        <v>293</v>
      </c>
      <c r="E247" s="27" t="s">
        <v>302</v>
      </c>
      <c r="F247" s="28" t="s">
        <v>1141</v>
      </c>
      <c r="G247" s="24" t="s">
        <v>612</v>
      </c>
      <c r="H247" s="24">
        <v>80</v>
      </c>
    </row>
    <row r="248" spans="1:20" x14ac:dyDescent="0.25">
      <c r="A248" s="49">
        <v>8200166</v>
      </c>
      <c r="B248" s="28" t="s">
        <v>303</v>
      </c>
      <c r="C248" s="45">
        <v>480</v>
      </c>
      <c r="D248" s="45" t="s">
        <v>293</v>
      </c>
      <c r="E248" s="27" t="s">
        <v>304</v>
      </c>
      <c r="F248" s="28" t="s">
        <v>1141</v>
      </c>
      <c r="G248" s="24" t="s">
        <v>612</v>
      </c>
      <c r="H248" s="24">
        <v>64</v>
      </c>
    </row>
    <row r="249" spans="1:20" x14ac:dyDescent="0.25">
      <c r="A249" s="49">
        <v>8200541</v>
      </c>
      <c r="B249" s="28" t="s">
        <v>305</v>
      </c>
      <c r="C249" s="45">
        <v>482</v>
      </c>
      <c r="D249" s="45" t="s">
        <v>30</v>
      </c>
      <c r="E249" s="27" t="s">
        <v>306</v>
      </c>
      <c r="F249" s="28" t="s">
        <v>1141</v>
      </c>
      <c r="G249" s="24" t="s">
        <v>612</v>
      </c>
      <c r="H249" s="24">
        <v>56</v>
      </c>
    </row>
    <row r="250" spans="1:20" x14ac:dyDescent="0.25">
      <c r="A250" s="49">
        <v>8200911</v>
      </c>
      <c r="B250" s="28" t="s">
        <v>307</v>
      </c>
      <c r="C250" s="45">
        <v>486</v>
      </c>
      <c r="D250" s="45" t="s">
        <v>293</v>
      </c>
      <c r="E250" s="27" t="s">
        <v>622</v>
      </c>
      <c r="F250" s="28" t="s">
        <v>1141</v>
      </c>
      <c r="G250" s="24" t="s">
        <v>612</v>
      </c>
      <c r="H250" s="24">
        <v>216</v>
      </c>
    </row>
    <row r="251" spans="1:20" x14ac:dyDescent="0.25">
      <c r="A251" s="49">
        <v>8200912</v>
      </c>
      <c r="B251" s="28" t="s">
        <v>308</v>
      </c>
      <c r="C251" s="45">
        <v>484</v>
      </c>
      <c r="D251" s="45" t="s">
        <v>293</v>
      </c>
      <c r="E251" s="27" t="s">
        <v>309</v>
      </c>
      <c r="F251" s="28" t="s">
        <v>1141</v>
      </c>
      <c r="G251" s="24" t="s">
        <v>612</v>
      </c>
      <c r="H251" s="24">
        <v>1200</v>
      </c>
    </row>
    <row r="252" spans="1:20" x14ac:dyDescent="0.25">
      <c r="A252" s="49">
        <v>8200913</v>
      </c>
      <c r="B252" s="28" t="s">
        <v>310</v>
      </c>
      <c r="C252" s="45">
        <v>483</v>
      </c>
      <c r="D252" s="45" t="s">
        <v>293</v>
      </c>
      <c r="E252" s="27" t="s">
        <v>311</v>
      </c>
      <c r="F252" s="28" t="s">
        <v>1141</v>
      </c>
      <c r="G252" s="24" t="s">
        <v>612</v>
      </c>
      <c r="H252" s="24">
        <v>224</v>
      </c>
    </row>
    <row r="253" spans="1:20" x14ac:dyDescent="0.25">
      <c r="A253" s="49">
        <v>8200980</v>
      </c>
      <c r="C253" s="45">
        <v>487</v>
      </c>
      <c r="D253" s="45" t="s">
        <v>293</v>
      </c>
      <c r="E253" s="27" t="s">
        <v>312</v>
      </c>
      <c r="F253" s="28" t="s">
        <v>1141</v>
      </c>
      <c r="G253" s="24" t="s">
        <v>612</v>
      </c>
      <c r="H253" s="24">
        <v>48</v>
      </c>
    </row>
    <row r="254" spans="1:20" x14ac:dyDescent="0.25">
      <c r="A254" s="49">
        <v>8200981</v>
      </c>
      <c r="C254" s="45">
        <v>488</v>
      </c>
      <c r="D254" s="45" t="s">
        <v>293</v>
      </c>
      <c r="E254" s="27" t="s">
        <v>313</v>
      </c>
      <c r="F254" s="28" t="s">
        <v>1141</v>
      </c>
      <c r="G254" s="24" t="s">
        <v>612</v>
      </c>
      <c r="H254" s="24">
        <v>128</v>
      </c>
    </row>
    <row r="255" spans="1:20" x14ac:dyDescent="0.25">
      <c r="A255" s="49">
        <v>8200982</v>
      </c>
      <c r="C255" s="45">
        <v>489</v>
      </c>
      <c r="D255" s="45" t="s">
        <v>293</v>
      </c>
      <c r="E255" s="27" t="s">
        <v>314</v>
      </c>
      <c r="F255" s="28" t="s">
        <v>1141</v>
      </c>
      <c r="G255" s="24" t="s">
        <v>612</v>
      </c>
      <c r="H255" s="24">
        <v>56</v>
      </c>
    </row>
    <row r="256" spans="1:20" x14ac:dyDescent="0.25">
      <c r="A256" s="49">
        <v>8201690</v>
      </c>
      <c r="C256" s="45">
        <v>704</v>
      </c>
      <c r="D256" s="45" t="s">
        <v>30</v>
      </c>
      <c r="E256" s="27" t="s">
        <v>315</v>
      </c>
      <c r="F256" s="28" t="s">
        <v>1141</v>
      </c>
      <c r="G256" s="24" t="s">
        <v>612</v>
      </c>
      <c r="H256" s="24">
        <v>64</v>
      </c>
    </row>
    <row r="257" spans="1:8" x14ac:dyDescent="0.25">
      <c r="A257" s="49">
        <v>8201440</v>
      </c>
      <c r="C257" s="45">
        <v>705</v>
      </c>
      <c r="D257" s="45" t="s">
        <v>17</v>
      </c>
      <c r="E257" s="27" t="s">
        <v>317</v>
      </c>
      <c r="F257" s="28" t="s">
        <v>1141</v>
      </c>
      <c r="G257" s="24" t="s">
        <v>612</v>
      </c>
      <c r="H257" s="24">
        <v>80</v>
      </c>
    </row>
    <row r="258" spans="1:8" x14ac:dyDescent="0.25">
      <c r="A258" s="49">
        <v>8201441</v>
      </c>
      <c r="C258" s="45">
        <v>706</v>
      </c>
      <c r="D258" s="45" t="s">
        <v>17</v>
      </c>
      <c r="E258" s="27" t="s">
        <v>318</v>
      </c>
      <c r="F258" s="28" t="s">
        <v>1141</v>
      </c>
      <c r="G258" s="24" t="s">
        <v>612</v>
      </c>
      <c r="H258" s="24">
        <v>900</v>
      </c>
    </row>
    <row r="259" spans="1:8" x14ac:dyDescent="0.25">
      <c r="A259" s="49">
        <v>8201452</v>
      </c>
      <c r="C259" s="45">
        <v>707</v>
      </c>
      <c r="D259" s="45" t="s">
        <v>319</v>
      </c>
      <c r="E259" s="27" t="s">
        <v>320</v>
      </c>
      <c r="F259" s="28" t="s">
        <v>1141</v>
      </c>
      <c r="G259" s="24" t="s">
        <v>612</v>
      </c>
      <c r="H259" s="24">
        <v>200</v>
      </c>
    </row>
    <row r="260" spans="1:8" x14ac:dyDescent="0.25">
      <c r="A260" s="49">
        <v>8201453</v>
      </c>
      <c r="C260" s="45">
        <v>708</v>
      </c>
      <c r="D260" s="45" t="s">
        <v>319</v>
      </c>
      <c r="E260" s="27" t="s">
        <v>321</v>
      </c>
      <c r="F260" s="28" t="s">
        <v>1141</v>
      </c>
      <c r="G260" s="24" t="s">
        <v>612</v>
      </c>
      <c r="H260" s="24">
        <v>200</v>
      </c>
    </row>
    <row r="261" spans="1:8" x14ac:dyDescent="0.25">
      <c r="A261" s="49">
        <v>8201454</v>
      </c>
      <c r="C261" s="45">
        <v>709</v>
      </c>
      <c r="D261" s="45" t="s">
        <v>17</v>
      </c>
      <c r="E261" s="27" t="s">
        <v>322</v>
      </c>
      <c r="F261" s="28" t="s">
        <v>1141</v>
      </c>
      <c r="G261" s="24" t="s">
        <v>616</v>
      </c>
      <c r="H261" s="24">
        <v>1</v>
      </c>
    </row>
    <row r="262" spans="1:8" x14ac:dyDescent="0.25">
      <c r="A262" s="49">
        <v>8201970</v>
      </c>
      <c r="C262" s="45">
        <v>728</v>
      </c>
      <c r="D262" s="45" t="s">
        <v>17</v>
      </c>
      <c r="E262" s="27" t="s">
        <v>323</v>
      </c>
      <c r="F262" s="28" t="s">
        <v>1141</v>
      </c>
      <c r="G262" s="24" t="s">
        <v>616</v>
      </c>
      <c r="H262" s="24">
        <v>1</v>
      </c>
    </row>
    <row r="263" spans="1:8" x14ac:dyDescent="0.25">
      <c r="A263" s="49">
        <v>8201971</v>
      </c>
      <c r="C263" s="45">
        <v>729</v>
      </c>
      <c r="D263" s="45" t="s">
        <v>17</v>
      </c>
      <c r="E263" s="27" t="s">
        <v>324</v>
      </c>
      <c r="F263" s="28" t="s">
        <v>1141</v>
      </c>
      <c r="G263" s="24" t="s">
        <v>612</v>
      </c>
      <c r="H263" s="24">
        <v>250</v>
      </c>
    </row>
    <row r="264" spans="1:8" x14ac:dyDescent="0.25">
      <c r="A264" s="49">
        <v>8201972</v>
      </c>
      <c r="C264" s="45">
        <v>730</v>
      </c>
      <c r="D264" s="45" t="s">
        <v>30</v>
      </c>
      <c r="E264" s="27" t="s">
        <v>325</v>
      </c>
      <c r="F264" s="28" t="s">
        <v>1141</v>
      </c>
      <c r="G264" s="24" t="s">
        <v>616</v>
      </c>
      <c r="H264" s="24">
        <v>1</v>
      </c>
    </row>
    <row r="265" spans="1:8" x14ac:dyDescent="0.25">
      <c r="A265" s="49">
        <v>8201973</v>
      </c>
      <c r="C265" s="45">
        <v>731</v>
      </c>
      <c r="D265" s="45" t="s">
        <v>17</v>
      </c>
      <c r="E265" s="27" t="s">
        <v>326</v>
      </c>
      <c r="F265" s="28" t="s">
        <v>1141</v>
      </c>
      <c r="G265" s="24" t="s">
        <v>616</v>
      </c>
      <c r="H265" s="24">
        <v>1</v>
      </c>
    </row>
    <row r="266" spans="1:8" x14ac:dyDescent="0.25">
      <c r="A266" s="49">
        <v>8202913</v>
      </c>
      <c r="C266" s="45">
        <v>778</v>
      </c>
      <c r="D266" s="45" t="s">
        <v>17</v>
      </c>
      <c r="E266" s="27" t="s">
        <v>327</v>
      </c>
      <c r="F266" s="28" t="s">
        <v>1141</v>
      </c>
      <c r="G266" s="24" t="s">
        <v>613</v>
      </c>
      <c r="H266" s="24">
        <v>1800</v>
      </c>
    </row>
    <row r="267" spans="1:8" x14ac:dyDescent="0.25">
      <c r="A267" s="49">
        <v>8202921</v>
      </c>
      <c r="C267" s="45">
        <v>798</v>
      </c>
      <c r="D267" s="45" t="s">
        <v>17</v>
      </c>
      <c r="E267" s="27" t="s">
        <v>328</v>
      </c>
      <c r="F267" s="28" t="s">
        <v>1141</v>
      </c>
      <c r="G267" s="24" t="s">
        <v>616</v>
      </c>
      <c r="H267" s="24">
        <v>1</v>
      </c>
    </row>
    <row r="268" spans="1:8" x14ac:dyDescent="0.25">
      <c r="A268" s="49">
        <v>8201630</v>
      </c>
      <c r="C268" s="45">
        <v>720</v>
      </c>
      <c r="D268" s="45" t="s">
        <v>329</v>
      </c>
      <c r="E268" s="27" t="s">
        <v>330</v>
      </c>
      <c r="F268" s="28" t="s">
        <v>1141</v>
      </c>
      <c r="G268" s="24" t="s">
        <v>612</v>
      </c>
      <c r="H268" s="24">
        <v>240</v>
      </c>
    </row>
    <row r="269" spans="1:8" x14ac:dyDescent="0.25">
      <c r="A269" s="49">
        <v>8201872</v>
      </c>
      <c r="C269" s="45">
        <v>721</v>
      </c>
      <c r="D269" s="45" t="s">
        <v>17</v>
      </c>
      <c r="E269" s="27" t="s">
        <v>331</v>
      </c>
      <c r="F269" s="28" t="s">
        <v>1141</v>
      </c>
      <c r="G269" s="24" t="s">
        <v>612</v>
      </c>
      <c r="H269" s="24">
        <v>300</v>
      </c>
    </row>
    <row r="270" spans="1:8" x14ac:dyDescent="0.25">
      <c r="A270" s="49">
        <v>8201873</v>
      </c>
      <c r="C270" s="45">
        <v>722</v>
      </c>
      <c r="D270" s="45" t="s">
        <v>17</v>
      </c>
      <c r="E270" s="27" t="s">
        <v>332</v>
      </c>
      <c r="F270" s="28" t="s">
        <v>1141</v>
      </c>
      <c r="G270" s="24" t="s">
        <v>612</v>
      </c>
      <c r="H270" s="24">
        <v>8</v>
      </c>
    </row>
    <row r="271" spans="1:8" x14ac:dyDescent="0.25">
      <c r="A271" s="49">
        <v>8201874</v>
      </c>
      <c r="C271" s="45">
        <v>723</v>
      </c>
      <c r="D271" s="45" t="s">
        <v>17</v>
      </c>
      <c r="E271" s="27" t="s">
        <v>333</v>
      </c>
      <c r="F271" s="28" t="s">
        <v>1141</v>
      </c>
      <c r="G271" s="24" t="s">
        <v>612</v>
      </c>
      <c r="H271" s="24">
        <v>240</v>
      </c>
    </row>
    <row r="272" spans="1:8" x14ac:dyDescent="0.25">
      <c r="A272" s="49">
        <v>8201875</v>
      </c>
      <c r="C272" s="45">
        <v>724</v>
      </c>
      <c r="D272" s="45" t="s">
        <v>17</v>
      </c>
      <c r="E272" s="27" t="s">
        <v>334</v>
      </c>
      <c r="F272" s="28" t="s">
        <v>1141</v>
      </c>
      <c r="G272" s="24" t="s">
        <v>612</v>
      </c>
      <c r="H272" s="24">
        <v>144</v>
      </c>
    </row>
    <row r="273" spans="1:8" x14ac:dyDescent="0.25">
      <c r="A273" s="49">
        <v>8201876</v>
      </c>
      <c r="C273" s="45">
        <v>725</v>
      </c>
      <c r="D273" s="45" t="s">
        <v>17</v>
      </c>
      <c r="E273" s="27" t="s">
        <v>335</v>
      </c>
      <c r="F273" s="28" t="s">
        <v>1141</v>
      </c>
      <c r="G273" s="24" t="s">
        <v>612</v>
      </c>
      <c r="H273" s="24">
        <v>64</v>
      </c>
    </row>
    <row r="274" spans="1:8" x14ac:dyDescent="0.25">
      <c r="A274" s="49">
        <v>8201990</v>
      </c>
      <c r="C274" s="45">
        <v>732</v>
      </c>
      <c r="D274" s="45" t="s">
        <v>17</v>
      </c>
      <c r="E274" s="27" t="s">
        <v>336</v>
      </c>
      <c r="F274" s="28" t="s">
        <v>1141</v>
      </c>
      <c r="G274" s="24" t="s">
        <v>612</v>
      </c>
      <c r="H274" s="24">
        <v>56</v>
      </c>
    </row>
    <row r="275" spans="1:8" x14ac:dyDescent="0.25">
      <c r="A275" s="49">
        <v>8201991</v>
      </c>
      <c r="C275" s="45">
        <v>733</v>
      </c>
      <c r="D275" s="45" t="s">
        <v>17</v>
      </c>
      <c r="E275" s="27" t="s">
        <v>337</v>
      </c>
      <c r="F275" s="28" t="s">
        <v>1141</v>
      </c>
      <c r="G275" s="24" t="s">
        <v>612</v>
      </c>
      <c r="H275" s="24">
        <v>224</v>
      </c>
    </row>
    <row r="276" spans="1:8" x14ac:dyDescent="0.25">
      <c r="A276" s="49">
        <v>8201992</v>
      </c>
      <c r="C276" s="45">
        <v>734</v>
      </c>
      <c r="D276" s="45" t="s">
        <v>17</v>
      </c>
      <c r="E276" s="27" t="s">
        <v>338</v>
      </c>
      <c r="F276" s="28" t="s">
        <v>1141</v>
      </c>
      <c r="G276" s="24" t="s">
        <v>612</v>
      </c>
      <c r="H276" s="24">
        <v>48</v>
      </c>
    </row>
    <row r="277" spans="1:8" x14ac:dyDescent="0.25">
      <c r="A277" s="49">
        <v>8201993</v>
      </c>
      <c r="C277" s="45">
        <v>735</v>
      </c>
      <c r="D277" s="45" t="s">
        <v>17</v>
      </c>
      <c r="E277" s="27" t="s">
        <v>339</v>
      </c>
      <c r="F277" s="28" t="s">
        <v>1141</v>
      </c>
      <c r="G277" s="24" t="s">
        <v>612</v>
      </c>
      <c r="H277" s="24">
        <v>76</v>
      </c>
    </row>
    <row r="278" spans="1:8" x14ac:dyDescent="0.25">
      <c r="A278" s="49">
        <v>8201994</v>
      </c>
      <c r="C278" s="45">
        <v>736</v>
      </c>
      <c r="D278" s="45" t="s">
        <v>17</v>
      </c>
      <c r="E278" s="27" t="s">
        <v>340</v>
      </c>
      <c r="F278" s="28" t="s">
        <v>1141</v>
      </c>
      <c r="G278" s="24" t="s">
        <v>612</v>
      </c>
      <c r="H278" s="24">
        <v>100</v>
      </c>
    </row>
    <row r="279" spans="1:8" x14ac:dyDescent="0.25">
      <c r="A279" s="49">
        <v>8201995</v>
      </c>
      <c r="C279" s="45">
        <v>737</v>
      </c>
      <c r="D279" s="45" t="s">
        <v>17</v>
      </c>
      <c r="E279" s="27" t="s">
        <v>341</v>
      </c>
      <c r="F279" s="28" t="s">
        <v>1141</v>
      </c>
      <c r="G279" s="24" t="s">
        <v>612</v>
      </c>
      <c r="H279" s="24">
        <v>60</v>
      </c>
    </row>
    <row r="280" spans="1:8" x14ac:dyDescent="0.25">
      <c r="A280" s="49">
        <v>8201996</v>
      </c>
      <c r="C280" s="45">
        <v>738</v>
      </c>
      <c r="D280" s="45" t="s">
        <v>17</v>
      </c>
      <c r="E280" s="27" t="s">
        <v>342</v>
      </c>
      <c r="F280" s="28" t="s">
        <v>1141</v>
      </c>
      <c r="G280" s="24" t="s">
        <v>612</v>
      </c>
      <c r="H280" s="24">
        <v>48</v>
      </c>
    </row>
    <row r="281" spans="1:8" x14ac:dyDescent="0.25">
      <c r="A281" s="49">
        <v>8201997</v>
      </c>
      <c r="C281" s="45">
        <v>740</v>
      </c>
      <c r="D281" s="45" t="s">
        <v>329</v>
      </c>
      <c r="E281" s="27" t="s">
        <v>343</v>
      </c>
      <c r="F281" s="28" t="s">
        <v>1141</v>
      </c>
      <c r="G281" s="24" t="s">
        <v>612</v>
      </c>
      <c r="H281" s="24">
        <v>56</v>
      </c>
    </row>
    <row r="282" spans="1:8" x14ac:dyDescent="0.25">
      <c r="A282" s="49">
        <v>8201998</v>
      </c>
      <c r="C282" s="45">
        <v>741</v>
      </c>
      <c r="D282" s="45" t="s">
        <v>329</v>
      </c>
      <c r="E282" s="27" t="s">
        <v>344</v>
      </c>
      <c r="F282" s="28" t="s">
        <v>1141</v>
      </c>
      <c r="G282" s="24" t="s">
        <v>612</v>
      </c>
      <c r="H282" s="24">
        <v>88</v>
      </c>
    </row>
    <row r="283" spans="1:8" x14ac:dyDescent="0.25">
      <c r="A283" s="49">
        <v>8202030</v>
      </c>
      <c r="C283" s="45">
        <v>742</v>
      </c>
      <c r="D283" s="45" t="s">
        <v>30</v>
      </c>
      <c r="E283" s="27" t="s">
        <v>345</v>
      </c>
      <c r="F283" s="28" t="s">
        <v>1141</v>
      </c>
      <c r="G283" s="24" t="s">
        <v>612</v>
      </c>
      <c r="H283" s="24">
        <v>8</v>
      </c>
    </row>
    <row r="284" spans="1:8" x14ac:dyDescent="0.25">
      <c r="A284" s="49">
        <v>8202880</v>
      </c>
      <c r="C284" s="45">
        <v>779</v>
      </c>
      <c r="D284" s="45" t="s">
        <v>17</v>
      </c>
      <c r="E284" s="27" t="s">
        <v>346</v>
      </c>
      <c r="F284" s="28" t="s">
        <v>1141</v>
      </c>
      <c r="G284" s="24" t="s">
        <v>612</v>
      </c>
      <c r="H284" s="24">
        <v>6</v>
      </c>
    </row>
    <row r="285" spans="1:8" x14ac:dyDescent="0.25">
      <c r="A285" s="49">
        <v>8202881</v>
      </c>
      <c r="C285" s="45">
        <v>780</v>
      </c>
      <c r="D285" s="45" t="s">
        <v>17</v>
      </c>
      <c r="E285" s="27" t="s">
        <v>347</v>
      </c>
      <c r="F285" s="28" t="s">
        <v>1141</v>
      </c>
      <c r="G285" s="24" t="s">
        <v>612</v>
      </c>
      <c r="H285" s="24">
        <v>1524</v>
      </c>
    </row>
    <row r="286" spans="1:8" x14ac:dyDescent="0.25">
      <c r="A286" s="49">
        <v>8202882</v>
      </c>
      <c r="C286" s="45">
        <v>781</v>
      </c>
      <c r="D286" s="45" t="s">
        <v>17</v>
      </c>
      <c r="E286" s="27" t="s">
        <v>348</v>
      </c>
      <c r="F286" s="28" t="s">
        <v>1141</v>
      </c>
      <c r="G286" s="24" t="s">
        <v>612</v>
      </c>
      <c r="H286" s="24">
        <v>504</v>
      </c>
    </row>
    <row r="287" spans="1:8" x14ac:dyDescent="0.25">
      <c r="A287" s="49">
        <v>8202910</v>
      </c>
      <c r="C287" s="45">
        <v>782</v>
      </c>
      <c r="D287" s="45" t="s">
        <v>17</v>
      </c>
      <c r="E287" s="27" t="s">
        <v>349</v>
      </c>
      <c r="F287" s="28" t="s">
        <v>1141</v>
      </c>
      <c r="G287" s="24" t="s">
        <v>612</v>
      </c>
      <c r="H287" s="24">
        <v>216</v>
      </c>
    </row>
    <row r="288" spans="1:8" x14ac:dyDescent="0.25">
      <c r="A288" s="49">
        <v>8202844</v>
      </c>
      <c r="C288" s="45">
        <v>783</v>
      </c>
      <c r="D288" s="45" t="s">
        <v>17</v>
      </c>
      <c r="E288" s="27" t="s">
        <v>350</v>
      </c>
      <c r="F288" s="28" t="s">
        <v>1141</v>
      </c>
      <c r="G288" s="24" t="s">
        <v>612</v>
      </c>
      <c r="H288" s="24">
        <v>224</v>
      </c>
    </row>
    <row r="289" spans="1:8" x14ac:dyDescent="0.25">
      <c r="A289" s="49">
        <v>8202848</v>
      </c>
      <c r="C289" s="45">
        <v>784</v>
      </c>
      <c r="D289" s="45" t="s">
        <v>17</v>
      </c>
      <c r="E289" s="27" t="s">
        <v>351</v>
      </c>
      <c r="F289" s="28" t="s">
        <v>1141</v>
      </c>
      <c r="G289" s="24" t="s">
        <v>612</v>
      </c>
      <c r="H289" s="24">
        <v>224</v>
      </c>
    </row>
    <row r="290" spans="1:8" x14ac:dyDescent="0.25">
      <c r="A290" s="49">
        <v>8203040</v>
      </c>
      <c r="C290" s="45">
        <v>785</v>
      </c>
      <c r="D290" s="45" t="s">
        <v>17</v>
      </c>
      <c r="E290" s="27" t="s">
        <v>352</v>
      </c>
      <c r="F290" s="28" t="s">
        <v>1141</v>
      </c>
      <c r="G290" s="24" t="s">
        <v>612</v>
      </c>
      <c r="H290" s="24">
        <v>1020</v>
      </c>
    </row>
    <row r="291" spans="1:8" x14ac:dyDescent="0.25">
      <c r="A291" s="49">
        <v>8203041</v>
      </c>
      <c r="C291" s="45">
        <v>786</v>
      </c>
      <c r="D291" s="45" t="s">
        <v>17</v>
      </c>
      <c r="E291" s="27" t="s">
        <v>353</v>
      </c>
      <c r="F291" s="28" t="s">
        <v>1141</v>
      </c>
      <c r="G291" s="24" t="s">
        <v>612</v>
      </c>
      <c r="H291" s="24">
        <v>2574</v>
      </c>
    </row>
    <row r="292" spans="1:8" x14ac:dyDescent="0.25">
      <c r="A292" s="49">
        <v>8203120</v>
      </c>
      <c r="C292" s="45">
        <v>787</v>
      </c>
      <c r="D292" s="45" t="s">
        <v>17</v>
      </c>
      <c r="E292" s="27" t="s">
        <v>354</v>
      </c>
      <c r="F292" s="28" t="s">
        <v>1141</v>
      </c>
      <c r="G292" s="24" t="s">
        <v>612</v>
      </c>
      <c r="H292" s="24">
        <v>1728</v>
      </c>
    </row>
    <row r="293" spans="1:8" x14ac:dyDescent="0.25">
      <c r="A293" s="49">
        <v>8203121</v>
      </c>
      <c r="C293" s="45">
        <v>789</v>
      </c>
      <c r="D293" s="45" t="s">
        <v>17</v>
      </c>
      <c r="E293" s="27" t="s">
        <v>355</v>
      </c>
      <c r="F293" s="28" t="s">
        <v>1141</v>
      </c>
      <c r="G293" s="24" t="s">
        <v>612</v>
      </c>
      <c r="H293" s="24">
        <v>2178</v>
      </c>
    </row>
    <row r="294" spans="1:8" x14ac:dyDescent="0.25">
      <c r="A294" s="49">
        <v>8203122</v>
      </c>
      <c r="C294" s="45">
        <v>790</v>
      </c>
      <c r="D294" s="45" t="s">
        <v>17</v>
      </c>
      <c r="E294" s="27" t="s">
        <v>356</v>
      </c>
      <c r="F294" s="28" t="s">
        <v>1141</v>
      </c>
      <c r="G294" s="24" t="s">
        <v>617</v>
      </c>
      <c r="H294" s="24">
        <v>2</v>
      </c>
    </row>
    <row r="295" spans="1:8" x14ac:dyDescent="0.25">
      <c r="A295" s="49">
        <v>8203123</v>
      </c>
      <c r="C295" s="45">
        <v>791</v>
      </c>
      <c r="D295" s="45" t="s">
        <v>17</v>
      </c>
      <c r="E295" s="27" t="s">
        <v>357</v>
      </c>
      <c r="F295" s="28" t="s">
        <v>1141</v>
      </c>
      <c r="G295" s="24" t="s">
        <v>612</v>
      </c>
      <c r="H295" s="24">
        <v>42</v>
      </c>
    </row>
    <row r="296" spans="1:8" x14ac:dyDescent="0.25">
      <c r="A296" s="49">
        <v>8203124</v>
      </c>
      <c r="C296" s="45">
        <v>792</v>
      </c>
      <c r="D296" s="45" t="s">
        <v>17</v>
      </c>
      <c r="E296" s="27" t="s">
        <v>358</v>
      </c>
      <c r="F296" s="28" t="s">
        <v>1141</v>
      </c>
      <c r="G296" s="24" t="s">
        <v>612</v>
      </c>
      <c r="H296" s="24">
        <v>56</v>
      </c>
    </row>
    <row r="297" spans="1:8" x14ac:dyDescent="0.25">
      <c r="A297" s="49">
        <v>8203125</v>
      </c>
      <c r="C297" s="45">
        <v>793</v>
      </c>
      <c r="D297" s="45" t="s">
        <v>17</v>
      </c>
      <c r="E297" s="27" t="s">
        <v>359</v>
      </c>
      <c r="F297" s="28" t="s">
        <v>1141</v>
      </c>
      <c r="G297" s="24" t="s">
        <v>612</v>
      </c>
      <c r="H297" s="24">
        <v>91</v>
      </c>
    </row>
    <row r="298" spans="1:8" x14ac:dyDescent="0.25">
      <c r="A298" s="49">
        <v>8203126</v>
      </c>
      <c r="C298" s="45">
        <v>794</v>
      </c>
      <c r="D298" s="45" t="s">
        <v>17</v>
      </c>
      <c r="E298" s="27" t="s">
        <v>360</v>
      </c>
      <c r="F298" s="28" t="s">
        <v>1141</v>
      </c>
      <c r="G298" s="24" t="s">
        <v>612</v>
      </c>
      <c r="H298" s="24">
        <v>119</v>
      </c>
    </row>
    <row r="299" spans="1:8" x14ac:dyDescent="0.25">
      <c r="A299" s="49">
        <v>8203015</v>
      </c>
      <c r="C299" s="45">
        <v>797</v>
      </c>
      <c r="D299" s="45" t="s">
        <v>30</v>
      </c>
      <c r="E299" s="27" t="s">
        <v>361</v>
      </c>
      <c r="F299" s="28" t="s">
        <v>1141</v>
      </c>
      <c r="G299" s="24" t="s">
        <v>612</v>
      </c>
      <c r="H299" s="24">
        <v>70</v>
      </c>
    </row>
    <row r="300" spans="1:8" x14ac:dyDescent="0.25">
      <c r="A300" s="49">
        <v>8204950</v>
      </c>
      <c r="C300" s="45">
        <v>886</v>
      </c>
      <c r="D300" s="45" t="s">
        <v>30</v>
      </c>
      <c r="E300" s="27" t="s">
        <v>362</v>
      </c>
      <c r="F300" s="28" t="s">
        <v>1141</v>
      </c>
      <c r="G300" s="24" t="s">
        <v>612</v>
      </c>
      <c r="H300" s="24">
        <v>49</v>
      </c>
    </row>
    <row r="301" spans="1:8" x14ac:dyDescent="0.25">
      <c r="A301" s="49">
        <v>8204951</v>
      </c>
      <c r="C301" s="45">
        <v>887</v>
      </c>
      <c r="D301" s="45" t="s">
        <v>30</v>
      </c>
      <c r="E301" s="27" t="s">
        <v>363</v>
      </c>
      <c r="F301" s="28" t="s">
        <v>1141</v>
      </c>
      <c r="G301" s="24" t="s">
        <v>618</v>
      </c>
      <c r="H301" s="178">
        <v>30.48</v>
      </c>
    </row>
    <row r="302" spans="1:8" x14ac:dyDescent="0.25">
      <c r="A302" s="49">
        <v>8204500</v>
      </c>
      <c r="C302" s="45">
        <v>804</v>
      </c>
      <c r="D302" s="45" t="s">
        <v>17</v>
      </c>
      <c r="E302" s="27" t="s">
        <v>364</v>
      </c>
      <c r="F302" s="28" t="s">
        <v>1141</v>
      </c>
      <c r="G302" s="24" t="s">
        <v>612</v>
      </c>
      <c r="H302" s="24">
        <v>2500</v>
      </c>
    </row>
    <row r="303" spans="1:8" x14ac:dyDescent="0.25">
      <c r="A303" s="49">
        <v>8204587</v>
      </c>
      <c r="C303" s="45">
        <v>809</v>
      </c>
      <c r="D303" s="45" t="s">
        <v>17</v>
      </c>
      <c r="E303" s="27" t="s">
        <v>366</v>
      </c>
      <c r="F303" s="28" t="s">
        <v>1141</v>
      </c>
      <c r="G303" s="24" t="s">
        <v>612</v>
      </c>
      <c r="H303" s="24">
        <v>560</v>
      </c>
    </row>
    <row r="304" spans="1:8" x14ac:dyDescent="0.25">
      <c r="A304" s="49">
        <v>8205750</v>
      </c>
      <c r="C304" s="45"/>
      <c r="D304" s="45" t="s">
        <v>17</v>
      </c>
      <c r="E304" s="257" t="s">
        <v>879</v>
      </c>
      <c r="F304" s="28" t="s">
        <v>1141</v>
      </c>
      <c r="G304" s="24" t="s">
        <v>612</v>
      </c>
      <c r="H304" s="24">
        <v>1</v>
      </c>
    </row>
    <row r="305" spans="1:8" x14ac:dyDescent="0.25">
      <c r="A305" s="49">
        <v>8204588</v>
      </c>
      <c r="C305" s="45">
        <v>810</v>
      </c>
      <c r="D305" s="45" t="s">
        <v>17</v>
      </c>
      <c r="E305" s="27" t="s">
        <v>367</v>
      </c>
      <c r="F305" s="28" t="s">
        <v>1141</v>
      </c>
      <c r="G305" s="24" t="s">
        <v>612</v>
      </c>
      <c r="H305" s="24">
        <v>4068</v>
      </c>
    </row>
    <row r="306" spans="1:8" x14ac:dyDescent="0.25">
      <c r="A306" s="49">
        <v>8204790</v>
      </c>
      <c r="C306" s="45">
        <v>896</v>
      </c>
      <c r="D306" s="45" t="s">
        <v>17</v>
      </c>
      <c r="E306" s="27" t="s">
        <v>368</v>
      </c>
      <c r="F306" s="28" t="s">
        <v>1141</v>
      </c>
      <c r="G306" s="24" t="s">
        <v>616</v>
      </c>
      <c r="H306" s="24">
        <v>25</v>
      </c>
    </row>
    <row r="307" spans="1:8" x14ac:dyDescent="0.25">
      <c r="A307" s="49">
        <v>8204791</v>
      </c>
      <c r="C307" s="45">
        <v>897</v>
      </c>
      <c r="D307" s="45" t="s">
        <v>17</v>
      </c>
      <c r="E307" s="27" t="s">
        <v>369</v>
      </c>
      <c r="F307" s="28" t="s">
        <v>1141</v>
      </c>
      <c r="G307" s="24" t="s">
        <v>616</v>
      </c>
      <c r="H307" s="24">
        <v>156</v>
      </c>
    </row>
    <row r="308" spans="1:8" x14ac:dyDescent="0.25">
      <c r="A308" s="49">
        <v>8204792</v>
      </c>
      <c r="C308" s="45">
        <v>898</v>
      </c>
      <c r="D308" s="45" t="s">
        <v>17</v>
      </c>
      <c r="E308" s="27" t="s">
        <v>370</v>
      </c>
      <c r="F308" s="28" t="s">
        <v>1141</v>
      </c>
      <c r="G308" s="24" t="s">
        <v>616</v>
      </c>
      <c r="H308" s="24">
        <v>31</v>
      </c>
    </row>
    <row r="309" spans="1:8" x14ac:dyDescent="0.25">
      <c r="A309" s="49">
        <v>8205151</v>
      </c>
      <c r="C309" s="45">
        <v>899</v>
      </c>
      <c r="D309" s="45" t="s">
        <v>17</v>
      </c>
      <c r="E309" s="27" t="s">
        <v>371</v>
      </c>
      <c r="F309" s="28" t="s">
        <v>1141</v>
      </c>
      <c r="G309" s="24" t="s">
        <v>612</v>
      </c>
      <c r="H309" s="24">
        <v>12</v>
      </c>
    </row>
    <row r="310" spans="1:8" x14ac:dyDescent="0.25">
      <c r="A310" s="49">
        <v>8205390</v>
      </c>
      <c r="C310" s="45">
        <v>900</v>
      </c>
      <c r="D310" s="45" t="s">
        <v>17</v>
      </c>
      <c r="E310" s="27" t="s">
        <v>372</v>
      </c>
      <c r="F310" s="28" t="s">
        <v>1141</v>
      </c>
      <c r="G310" s="24" t="s">
        <v>612</v>
      </c>
      <c r="H310" s="24">
        <v>45</v>
      </c>
    </row>
    <row r="311" spans="1:8" x14ac:dyDescent="0.25">
      <c r="A311" s="49">
        <v>2406440</v>
      </c>
      <c r="C311" s="45"/>
      <c r="D311" s="45" t="s">
        <v>17</v>
      </c>
      <c r="E311" s="257" t="s">
        <v>375</v>
      </c>
      <c r="F311" s="28" t="s">
        <v>1143</v>
      </c>
      <c r="G311" s="48" t="s">
        <v>725</v>
      </c>
      <c r="H311" s="48" t="s">
        <v>725</v>
      </c>
    </row>
    <row r="312" spans="1:8" x14ac:dyDescent="0.25">
      <c r="A312" s="49">
        <v>2406442</v>
      </c>
      <c r="C312" s="45"/>
      <c r="D312" s="45" t="s">
        <v>17</v>
      </c>
      <c r="E312" s="257" t="s">
        <v>376</v>
      </c>
      <c r="F312" s="28" t="s">
        <v>1143</v>
      </c>
      <c r="G312" s="48" t="s">
        <v>725</v>
      </c>
      <c r="H312" s="48" t="s">
        <v>725</v>
      </c>
    </row>
    <row r="313" spans="1:8" x14ac:dyDescent="0.25">
      <c r="A313" s="49">
        <v>2415941</v>
      </c>
      <c r="C313" s="45"/>
      <c r="D313" s="45" t="s">
        <v>17</v>
      </c>
      <c r="E313" s="257" t="s">
        <v>377</v>
      </c>
      <c r="F313" s="28" t="s">
        <v>1143</v>
      </c>
      <c r="G313" s="48" t="s">
        <v>725</v>
      </c>
      <c r="H313" s="48" t="s">
        <v>725</v>
      </c>
    </row>
    <row r="314" spans="1:8" x14ac:dyDescent="0.25">
      <c r="A314" s="49">
        <v>2806031</v>
      </c>
      <c r="C314" s="45"/>
      <c r="D314" s="45" t="s">
        <v>17</v>
      </c>
      <c r="E314" s="257" t="s">
        <v>378</v>
      </c>
      <c r="F314" s="28" t="s">
        <v>1143</v>
      </c>
      <c r="G314" s="48" t="s">
        <v>725</v>
      </c>
      <c r="H314" s="48" t="s">
        <v>725</v>
      </c>
    </row>
    <row r="315" spans="1:8" x14ac:dyDescent="0.25">
      <c r="A315" s="49">
        <v>3400245</v>
      </c>
      <c r="C315" s="45"/>
      <c r="D315" s="45"/>
      <c r="E315" s="257" t="s">
        <v>379</v>
      </c>
      <c r="F315" s="28" t="s">
        <v>1143</v>
      </c>
      <c r="G315" s="48" t="s">
        <v>725</v>
      </c>
      <c r="H315" s="48" t="s">
        <v>725</v>
      </c>
    </row>
    <row r="316" spans="1:8" x14ac:dyDescent="0.25">
      <c r="A316" s="49">
        <v>3400585</v>
      </c>
      <c r="C316" s="45"/>
      <c r="D316" s="45" t="s">
        <v>17</v>
      </c>
      <c r="E316" s="27" t="s">
        <v>380</v>
      </c>
      <c r="F316" s="28" t="s">
        <v>1143</v>
      </c>
      <c r="G316" s="48" t="s">
        <v>725</v>
      </c>
      <c r="H316" s="48" t="s">
        <v>725</v>
      </c>
    </row>
    <row r="317" spans="1:8" x14ac:dyDescent="0.25">
      <c r="A317" s="49">
        <v>3400594</v>
      </c>
      <c r="C317" s="45">
        <v>8203480</v>
      </c>
      <c r="D317" s="45" t="s">
        <v>17</v>
      </c>
      <c r="E317" s="27" t="s">
        <v>381</v>
      </c>
      <c r="F317" s="28" t="s">
        <v>1143</v>
      </c>
      <c r="G317" s="48" t="s">
        <v>725</v>
      </c>
      <c r="H317" s="48" t="s">
        <v>725</v>
      </c>
    </row>
    <row r="318" spans="1:8" x14ac:dyDescent="0.25">
      <c r="A318" s="49">
        <v>3402542</v>
      </c>
      <c r="C318" s="45"/>
      <c r="D318" s="45"/>
      <c r="E318" s="27" t="s">
        <v>382</v>
      </c>
      <c r="F318" s="28" t="s">
        <v>1143</v>
      </c>
      <c r="G318" s="48" t="s">
        <v>725</v>
      </c>
      <c r="H318" s="48" t="s">
        <v>725</v>
      </c>
    </row>
    <row r="319" spans="1:8" x14ac:dyDescent="0.25">
      <c r="A319" s="49">
        <v>3405606</v>
      </c>
      <c r="C319" s="45"/>
      <c r="D319" s="45"/>
      <c r="E319" s="27" t="s">
        <v>383</v>
      </c>
      <c r="F319" s="28" t="s">
        <v>1143</v>
      </c>
      <c r="G319" s="48" t="s">
        <v>725</v>
      </c>
      <c r="H319" s="48" t="s">
        <v>725</v>
      </c>
    </row>
    <row r="320" spans="1:8" x14ac:dyDescent="0.25">
      <c r="A320" s="49">
        <v>8203251</v>
      </c>
      <c r="C320" s="45"/>
      <c r="D320" s="45" t="s">
        <v>17</v>
      </c>
      <c r="E320" s="257" t="s">
        <v>385</v>
      </c>
      <c r="F320" s="28" t="s">
        <v>1143</v>
      </c>
      <c r="G320" s="48" t="s">
        <v>725</v>
      </c>
      <c r="H320" s="48" t="s">
        <v>725</v>
      </c>
    </row>
    <row r="321" spans="1:8" x14ac:dyDescent="0.25">
      <c r="A321" s="49">
        <v>3410327</v>
      </c>
      <c r="C321" s="45"/>
      <c r="D321" s="45"/>
      <c r="E321" s="257" t="s">
        <v>386</v>
      </c>
      <c r="F321" s="28" t="s">
        <v>1143</v>
      </c>
      <c r="G321" s="48" t="s">
        <v>725</v>
      </c>
      <c r="H321" s="48" t="s">
        <v>725</v>
      </c>
    </row>
    <row r="322" spans="1:8" x14ac:dyDescent="0.25">
      <c r="A322" s="49">
        <v>3401138</v>
      </c>
      <c r="C322" s="45"/>
      <c r="D322" s="45"/>
      <c r="E322" s="257" t="s">
        <v>387</v>
      </c>
      <c r="F322" s="28" t="s">
        <v>1143</v>
      </c>
      <c r="G322" s="48" t="s">
        <v>725</v>
      </c>
      <c r="H322" s="48" t="s">
        <v>725</v>
      </c>
    </row>
    <row r="323" spans="1:8" x14ac:dyDescent="0.25">
      <c r="A323" s="49">
        <v>3411267</v>
      </c>
      <c r="C323" s="45"/>
      <c r="D323" s="45" t="s">
        <v>17</v>
      </c>
      <c r="E323" s="257" t="s">
        <v>388</v>
      </c>
      <c r="F323" s="28" t="s">
        <v>1143</v>
      </c>
      <c r="G323" s="48" t="s">
        <v>725</v>
      </c>
      <c r="H323" s="48" t="s">
        <v>725</v>
      </c>
    </row>
    <row r="324" spans="1:8" x14ac:dyDescent="0.25">
      <c r="A324" s="49">
        <v>3411310</v>
      </c>
      <c r="C324" s="45"/>
      <c r="D324" s="45" t="s">
        <v>17</v>
      </c>
      <c r="E324" s="257" t="s">
        <v>389</v>
      </c>
      <c r="F324" s="28" t="s">
        <v>1143</v>
      </c>
      <c r="G324" s="48" t="s">
        <v>725</v>
      </c>
      <c r="H324" s="48" t="s">
        <v>725</v>
      </c>
    </row>
    <row r="325" spans="1:8" x14ac:dyDescent="0.25">
      <c r="A325" s="49">
        <v>3411510</v>
      </c>
      <c r="C325" s="45"/>
      <c r="D325" s="45" t="s">
        <v>17</v>
      </c>
      <c r="E325" s="257" t="s">
        <v>390</v>
      </c>
      <c r="F325" s="28" t="s">
        <v>1143</v>
      </c>
      <c r="G325" s="48" t="s">
        <v>725</v>
      </c>
      <c r="H325" s="48" t="s">
        <v>725</v>
      </c>
    </row>
    <row r="326" spans="1:8" x14ac:dyDescent="0.25">
      <c r="A326" s="49">
        <v>3414331</v>
      </c>
      <c r="C326" s="45"/>
      <c r="D326" s="45"/>
      <c r="E326" s="257" t="s">
        <v>391</v>
      </c>
      <c r="F326" s="28" t="s">
        <v>1143</v>
      </c>
      <c r="G326" s="48" t="s">
        <v>725</v>
      </c>
      <c r="H326" s="48" t="s">
        <v>725</v>
      </c>
    </row>
    <row r="327" spans="1:8" x14ac:dyDescent="0.25">
      <c r="A327" s="49">
        <v>3414920</v>
      </c>
      <c r="C327" s="45"/>
      <c r="D327" s="45"/>
      <c r="E327" s="257" t="s">
        <v>392</v>
      </c>
      <c r="F327" s="28" t="s">
        <v>1143</v>
      </c>
      <c r="G327" s="48" t="s">
        <v>725</v>
      </c>
      <c r="H327" s="48" t="s">
        <v>725</v>
      </c>
    </row>
    <row r="328" spans="1:8" x14ac:dyDescent="0.25">
      <c r="A328" s="49">
        <v>3415650</v>
      </c>
      <c r="C328" s="45"/>
      <c r="D328" s="45"/>
      <c r="E328" s="257" t="s">
        <v>393</v>
      </c>
      <c r="F328" s="28" t="s">
        <v>1143</v>
      </c>
      <c r="G328" s="48" t="s">
        <v>725</v>
      </c>
      <c r="H328" s="48" t="s">
        <v>725</v>
      </c>
    </row>
    <row r="329" spans="1:8" x14ac:dyDescent="0.25">
      <c r="A329" s="49">
        <v>3416710</v>
      </c>
      <c r="C329" s="45"/>
      <c r="D329" s="45"/>
      <c r="E329" s="257" t="s">
        <v>394</v>
      </c>
      <c r="F329" s="28" t="s">
        <v>1143</v>
      </c>
      <c r="G329" s="48" t="s">
        <v>725</v>
      </c>
      <c r="H329" s="48" t="s">
        <v>725</v>
      </c>
    </row>
    <row r="330" spans="1:8" x14ac:dyDescent="0.25">
      <c r="A330" s="49">
        <v>3416760</v>
      </c>
      <c r="C330" s="45"/>
      <c r="D330" s="45"/>
      <c r="E330" s="257" t="s">
        <v>395</v>
      </c>
      <c r="F330" s="28" t="s">
        <v>1143</v>
      </c>
      <c r="G330" s="48" t="s">
        <v>725</v>
      </c>
      <c r="H330" s="48" t="s">
        <v>725</v>
      </c>
    </row>
    <row r="331" spans="1:8" x14ac:dyDescent="0.25">
      <c r="A331" s="49">
        <v>3416761</v>
      </c>
      <c r="C331" s="45"/>
      <c r="D331" s="45"/>
      <c r="E331" s="257" t="s">
        <v>396</v>
      </c>
      <c r="F331" s="28" t="s">
        <v>1143</v>
      </c>
      <c r="G331" s="48" t="s">
        <v>725</v>
      </c>
      <c r="H331" s="48" t="s">
        <v>725</v>
      </c>
    </row>
    <row r="332" spans="1:8" x14ac:dyDescent="0.25">
      <c r="A332" s="49">
        <v>3416762</v>
      </c>
      <c r="C332" s="45"/>
      <c r="D332" s="45"/>
      <c r="E332" s="257" t="s">
        <v>397</v>
      </c>
      <c r="F332" s="28" t="s">
        <v>1143</v>
      </c>
      <c r="G332" s="48" t="s">
        <v>725</v>
      </c>
      <c r="H332" s="48" t="s">
        <v>725</v>
      </c>
    </row>
    <row r="333" spans="1:8" x14ac:dyDescent="0.25">
      <c r="A333" s="49">
        <v>3416763</v>
      </c>
      <c r="C333" s="45"/>
      <c r="D333" s="45"/>
      <c r="E333" s="257" t="s">
        <v>398</v>
      </c>
      <c r="F333" s="28" t="s">
        <v>1143</v>
      </c>
      <c r="G333" s="48" t="s">
        <v>725</v>
      </c>
      <c r="H333" s="48" t="s">
        <v>725</v>
      </c>
    </row>
    <row r="334" spans="1:8" x14ac:dyDescent="0.25">
      <c r="A334" s="49">
        <v>4205901</v>
      </c>
      <c r="C334" s="45"/>
      <c r="D334" s="45" t="s">
        <v>17</v>
      </c>
      <c r="E334" s="257" t="s">
        <v>399</v>
      </c>
      <c r="F334" s="28" t="s">
        <v>1143</v>
      </c>
      <c r="G334" s="48" t="s">
        <v>725</v>
      </c>
      <c r="H334" s="48" t="s">
        <v>725</v>
      </c>
    </row>
    <row r="335" spans="1:8" x14ac:dyDescent="0.25">
      <c r="A335" s="49">
        <v>5002217</v>
      </c>
      <c r="C335" s="45"/>
      <c r="D335" s="45" t="s">
        <v>17</v>
      </c>
      <c r="E335" s="257" t="s">
        <v>400</v>
      </c>
      <c r="F335" s="28" t="s">
        <v>1143</v>
      </c>
      <c r="G335" s="48" t="s">
        <v>725</v>
      </c>
      <c r="H335" s="48" t="s">
        <v>725</v>
      </c>
    </row>
    <row r="336" spans="1:8" x14ac:dyDescent="0.25">
      <c r="A336" s="49">
        <v>8202481</v>
      </c>
      <c r="C336" s="45"/>
      <c r="D336" s="45" t="s">
        <v>17</v>
      </c>
      <c r="E336" s="257" t="s">
        <v>401</v>
      </c>
      <c r="F336" s="28" t="s">
        <v>1143</v>
      </c>
      <c r="G336" s="48" t="s">
        <v>725</v>
      </c>
      <c r="H336" s="48" t="s">
        <v>725</v>
      </c>
    </row>
    <row r="337" spans="1:8" x14ac:dyDescent="0.25">
      <c r="A337" s="49">
        <v>8202480</v>
      </c>
      <c r="C337" s="45" t="s">
        <v>402</v>
      </c>
      <c r="D337" s="45" t="s">
        <v>17</v>
      </c>
      <c r="E337" s="257" t="s">
        <v>887</v>
      </c>
      <c r="F337" s="28" t="s">
        <v>1143</v>
      </c>
      <c r="G337" s="48" t="s">
        <v>725</v>
      </c>
      <c r="H337" s="48" t="s">
        <v>725</v>
      </c>
    </row>
    <row r="338" spans="1:8" x14ac:dyDescent="0.25">
      <c r="A338" s="49">
        <v>8025620</v>
      </c>
      <c r="C338" s="45"/>
      <c r="D338" s="45" t="s">
        <v>17</v>
      </c>
      <c r="E338" s="257" t="s">
        <v>403</v>
      </c>
      <c r="F338" s="28" t="s">
        <v>1143</v>
      </c>
      <c r="G338" s="48" t="s">
        <v>725</v>
      </c>
      <c r="H338" s="48" t="s">
        <v>725</v>
      </c>
    </row>
    <row r="339" spans="1:8" x14ac:dyDescent="0.25">
      <c r="A339" s="49">
        <v>8200001</v>
      </c>
      <c r="C339" s="45"/>
      <c r="D339" s="45" t="s">
        <v>17</v>
      </c>
      <c r="E339" s="27" t="s">
        <v>404</v>
      </c>
      <c r="F339" s="28" t="s">
        <v>1143</v>
      </c>
      <c r="G339" s="48" t="s">
        <v>725</v>
      </c>
      <c r="H339" s="48" t="s">
        <v>725</v>
      </c>
    </row>
    <row r="340" spans="1:8" x14ac:dyDescent="0.25">
      <c r="A340" s="49">
        <v>8200026</v>
      </c>
      <c r="D340" s="45" t="s">
        <v>17</v>
      </c>
      <c r="E340" s="27" t="s">
        <v>405</v>
      </c>
      <c r="F340" s="28" t="s">
        <v>1143</v>
      </c>
      <c r="G340" s="48" t="s">
        <v>725</v>
      </c>
      <c r="H340" s="48" t="s">
        <v>725</v>
      </c>
    </row>
    <row r="341" spans="1:8" x14ac:dyDescent="0.25">
      <c r="A341" s="49">
        <v>8200029</v>
      </c>
      <c r="D341" s="45" t="s">
        <v>17</v>
      </c>
      <c r="E341" s="27" t="s">
        <v>406</v>
      </c>
      <c r="F341" s="28" t="s">
        <v>1143</v>
      </c>
      <c r="G341" s="48" t="s">
        <v>725</v>
      </c>
      <c r="H341" s="48" t="s">
        <v>725</v>
      </c>
    </row>
    <row r="342" spans="1:8" x14ac:dyDescent="0.25">
      <c r="A342" s="49">
        <v>8201240</v>
      </c>
      <c r="C342" s="45" t="s">
        <v>407</v>
      </c>
      <c r="D342" s="45" t="s">
        <v>408</v>
      </c>
      <c r="E342" s="27" t="s">
        <v>409</v>
      </c>
      <c r="F342" s="28" t="s">
        <v>1143</v>
      </c>
      <c r="G342" s="48" t="s">
        <v>725</v>
      </c>
      <c r="H342" s="48" t="s">
        <v>725</v>
      </c>
    </row>
    <row r="343" spans="1:8" x14ac:dyDescent="0.25">
      <c r="A343" s="49">
        <v>8200194</v>
      </c>
      <c r="D343" s="45" t="s">
        <v>17</v>
      </c>
      <c r="E343" s="27" t="s">
        <v>410</v>
      </c>
      <c r="F343" s="28" t="s">
        <v>1143</v>
      </c>
      <c r="G343" s="48" t="s">
        <v>725</v>
      </c>
      <c r="H343" s="48" t="s">
        <v>725</v>
      </c>
    </row>
    <row r="344" spans="1:8" x14ac:dyDescent="0.25">
      <c r="A344" s="49">
        <v>8200195</v>
      </c>
      <c r="D344" s="45" t="s">
        <v>17</v>
      </c>
      <c r="E344" s="27" t="s">
        <v>411</v>
      </c>
      <c r="F344" s="28" t="s">
        <v>1143</v>
      </c>
      <c r="G344" s="48" t="s">
        <v>725</v>
      </c>
      <c r="H344" s="48" t="s">
        <v>725</v>
      </c>
    </row>
    <row r="345" spans="1:8" x14ac:dyDescent="0.25">
      <c r="A345" s="49">
        <v>8200197</v>
      </c>
      <c r="D345" s="45" t="s">
        <v>17</v>
      </c>
      <c r="E345" s="27" t="s">
        <v>412</v>
      </c>
      <c r="F345" s="28" t="s">
        <v>1143</v>
      </c>
      <c r="G345" s="48" t="s">
        <v>725</v>
      </c>
      <c r="H345" s="48" t="s">
        <v>725</v>
      </c>
    </row>
    <row r="346" spans="1:8" x14ac:dyDescent="0.25">
      <c r="A346" s="49">
        <v>8200198</v>
      </c>
      <c r="D346" s="45" t="s">
        <v>17</v>
      </c>
      <c r="E346" s="27" t="s">
        <v>413</v>
      </c>
      <c r="F346" s="28" t="s">
        <v>1143</v>
      </c>
      <c r="G346" s="48" t="s">
        <v>725</v>
      </c>
      <c r="H346" s="48" t="s">
        <v>725</v>
      </c>
    </row>
    <row r="347" spans="1:8" x14ac:dyDescent="0.25">
      <c r="A347" s="49">
        <v>8200199</v>
      </c>
      <c r="D347" s="45" t="s">
        <v>414</v>
      </c>
      <c r="E347" s="27" t="s">
        <v>415</v>
      </c>
      <c r="F347" s="28" t="s">
        <v>1143</v>
      </c>
      <c r="G347" s="48" t="s">
        <v>725</v>
      </c>
      <c r="H347" s="48" t="s">
        <v>725</v>
      </c>
    </row>
    <row r="348" spans="1:8" x14ac:dyDescent="0.25">
      <c r="A348" s="49">
        <v>8200390</v>
      </c>
      <c r="D348" s="45" t="s">
        <v>17</v>
      </c>
      <c r="E348" s="27" t="s">
        <v>416</v>
      </c>
      <c r="F348" s="28" t="s">
        <v>1143</v>
      </c>
      <c r="G348" s="48" t="s">
        <v>725</v>
      </c>
      <c r="H348" s="48" t="s">
        <v>725</v>
      </c>
    </row>
    <row r="349" spans="1:8" x14ac:dyDescent="0.25">
      <c r="A349" s="49">
        <v>8200451</v>
      </c>
      <c r="D349" s="45" t="s">
        <v>17</v>
      </c>
      <c r="E349" s="27" t="s">
        <v>418</v>
      </c>
      <c r="F349" s="28" t="s">
        <v>1143</v>
      </c>
      <c r="G349" s="48" t="s">
        <v>725</v>
      </c>
      <c r="H349" s="48" t="s">
        <v>725</v>
      </c>
    </row>
    <row r="350" spans="1:8" x14ac:dyDescent="0.25">
      <c r="A350" s="49">
        <v>8200480</v>
      </c>
      <c r="D350" s="45" t="s">
        <v>17</v>
      </c>
      <c r="E350" s="27" t="s">
        <v>419</v>
      </c>
      <c r="F350" s="28" t="s">
        <v>1143</v>
      </c>
      <c r="G350" s="48" t="s">
        <v>725</v>
      </c>
      <c r="H350" s="48" t="s">
        <v>725</v>
      </c>
    </row>
    <row r="351" spans="1:8" x14ac:dyDescent="0.25">
      <c r="A351" s="49">
        <v>8200590</v>
      </c>
      <c r="C351" s="45"/>
      <c r="D351" s="45" t="s">
        <v>17</v>
      </c>
      <c r="E351" s="27" t="s">
        <v>420</v>
      </c>
      <c r="F351" s="28" t="s">
        <v>1143</v>
      </c>
      <c r="G351" s="48" t="s">
        <v>725</v>
      </c>
      <c r="H351" s="48" t="s">
        <v>725</v>
      </c>
    </row>
    <row r="352" spans="1:8" x14ac:dyDescent="0.25">
      <c r="A352" s="49">
        <v>8200591</v>
      </c>
      <c r="C352" s="45"/>
      <c r="D352" s="45" t="s">
        <v>421</v>
      </c>
      <c r="E352" s="27" t="s">
        <v>422</v>
      </c>
      <c r="F352" s="28" t="s">
        <v>1143</v>
      </c>
      <c r="G352" s="48" t="s">
        <v>725</v>
      </c>
      <c r="H352" s="48" t="s">
        <v>725</v>
      </c>
    </row>
    <row r="353" spans="1:8" x14ac:dyDescent="0.25">
      <c r="A353" s="49">
        <v>8200730</v>
      </c>
      <c r="C353" s="45"/>
      <c r="D353" s="45" t="s">
        <v>17</v>
      </c>
      <c r="E353" s="27" t="s">
        <v>423</v>
      </c>
      <c r="F353" s="28" t="s">
        <v>1143</v>
      </c>
      <c r="G353" s="48" t="s">
        <v>725</v>
      </c>
      <c r="H353" s="48" t="s">
        <v>725</v>
      </c>
    </row>
    <row r="354" spans="1:8" x14ac:dyDescent="0.25">
      <c r="A354" s="49">
        <v>8200830</v>
      </c>
      <c r="B354" s="257"/>
      <c r="C354" s="257"/>
      <c r="D354" s="45" t="s">
        <v>17</v>
      </c>
      <c r="E354" s="257" t="s">
        <v>424</v>
      </c>
      <c r="F354" s="28" t="s">
        <v>1143</v>
      </c>
      <c r="G354" s="48" t="s">
        <v>725</v>
      </c>
      <c r="H354" s="48" t="s">
        <v>725</v>
      </c>
    </row>
    <row r="355" spans="1:8" x14ac:dyDescent="0.25">
      <c r="A355" s="49">
        <v>8200831</v>
      </c>
      <c r="B355" s="257"/>
      <c r="C355" s="257"/>
      <c r="D355" s="45" t="s">
        <v>17</v>
      </c>
      <c r="E355" s="257" t="s">
        <v>425</v>
      </c>
      <c r="F355" s="28" t="s">
        <v>1143</v>
      </c>
      <c r="G355" s="48" t="s">
        <v>725</v>
      </c>
      <c r="H355" s="48" t="s">
        <v>725</v>
      </c>
    </row>
    <row r="356" spans="1:8" x14ac:dyDescent="0.25">
      <c r="A356" s="49">
        <v>8200832</v>
      </c>
      <c r="B356" s="257"/>
      <c r="C356" s="257"/>
      <c r="D356" s="45" t="s">
        <v>17</v>
      </c>
      <c r="E356" s="257" t="s">
        <v>426</v>
      </c>
      <c r="F356" s="28" t="s">
        <v>1143</v>
      </c>
      <c r="G356" s="48" t="s">
        <v>725</v>
      </c>
      <c r="H356" s="48" t="s">
        <v>725</v>
      </c>
    </row>
    <row r="357" spans="1:8" x14ac:dyDescent="0.25">
      <c r="A357" s="49">
        <v>8200833</v>
      </c>
      <c r="B357" s="257"/>
      <c r="C357" s="257"/>
      <c r="D357" s="45" t="s">
        <v>17</v>
      </c>
      <c r="E357" s="257" t="s">
        <v>427</v>
      </c>
      <c r="F357" s="28" t="s">
        <v>1143</v>
      </c>
      <c r="G357" s="48" t="s">
        <v>725</v>
      </c>
      <c r="H357" s="48" t="s">
        <v>725</v>
      </c>
    </row>
    <row r="358" spans="1:8" x14ac:dyDescent="0.25">
      <c r="A358" s="49">
        <v>8200841</v>
      </c>
      <c r="C358" s="45"/>
      <c r="D358" s="45" t="s">
        <v>17</v>
      </c>
      <c r="E358" s="27" t="s">
        <v>428</v>
      </c>
      <c r="F358" s="28" t="s">
        <v>1143</v>
      </c>
      <c r="G358" s="48" t="s">
        <v>725</v>
      </c>
      <c r="H358" s="48" t="s">
        <v>725</v>
      </c>
    </row>
    <row r="359" spans="1:8" x14ac:dyDescent="0.25">
      <c r="A359" s="49">
        <v>8200842</v>
      </c>
      <c r="C359" s="45"/>
      <c r="D359" s="45" t="s">
        <v>17</v>
      </c>
      <c r="E359" s="27" t="s">
        <v>429</v>
      </c>
      <c r="F359" s="28" t="s">
        <v>1143</v>
      </c>
      <c r="G359" s="48" t="s">
        <v>725</v>
      </c>
      <c r="H359" s="48" t="s">
        <v>725</v>
      </c>
    </row>
    <row r="360" spans="1:8" x14ac:dyDescent="0.25">
      <c r="A360" s="49">
        <v>8200844</v>
      </c>
      <c r="C360" s="45"/>
      <c r="D360" s="45" t="s">
        <v>17</v>
      </c>
      <c r="E360" s="27" t="s">
        <v>430</v>
      </c>
      <c r="F360" s="28" t="s">
        <v>1143</v>
      </c>
      <c r="G360" s="48" t="s">
        <v>725</v>
      </c>
      <c r="H360" s="48" t="s">
        <v>725</v>
      </c>
    </row>
    <row r="361" spans="1:8" x14ac:dyDescent="0.25">
      <c r="A361" s="49">
        <v>8200845</v>
      </c>
      <c r="C361" s="45"/>
      <c r="D361" s="45" t="s">
        <v>17</v>
      </c>
      <c r="E361" s="27" t="s">
        <v>431</v>
      </c>
      <c r="F361" s="28" t="s">
        <v>1143</v>
      </c>
      <c r="G361" s="48" t="s">
        <v>725</v>
      </c>
      <c r="H361" s="48" t="s">
        <v>725</v>
      </c>
    </row>
    <row r="362" spans="1:8" x14ac:dyDescent="0.25">
      <c r="A362" s="49">
        <v>8200846</v>
      </c>
      <c r="C362" s="45"/>
      <c r="D362" s="45" t="s">
        <v>17</v>
      </c>
      <c r="E362" s="27" t="s">
        <v>432</v>
      </c>
      <c r="F362" s="28" t="s">
        <v>1143</v>
      </c>
      <c r="G362" s="48" t="s">
        <v>725</v>
      </c>
      <c r="H362" s="48" t="s">
        <v>725</v>
      </c>
    </row>
    <row r="363" spans="1:8" x14ac:dyDescent="0.25">
      <c r="A363" s="49">
        <v>8200847</v>
      </c>
      <c r="C363" s="45"/>
      <c r="D363" s="45" t="s">
        <v>17</v>
      </c>
      <c r="E363" s="257" t="s">
        <v>433</v>
      </c>
      <c r="F363" s="28" t="s">
        <v>1143</v>
      </c>
      <c r="G363" s="48" t="s">
        <v>725</v>
      </c>
      <c r="H363" s="48" t="s">
        <v>725</v>
      </c>
    </row>
    <row r="364" spans="1:8" x14ac:dyDescent="0.25">
      <c r="A364" s="49">
        <v>8200848</v>
      </c>
      <c r="C364" s="45"/>
      <c r="D364" s="45" t="s">
        <v>17</v>
      </c>
      <c r="E364" s="27" t="s">
        <v>434</v>
      </c>
      <c r="F364" s="28" t="s">
        <v>1143</v>
      </c>
      <c r="G364" s="48" t="s">
        <v>725</v>
      </c>
      <c r="H364" s="48" t="s">
        <v>725</v>
      </c>
    </row>
    <row r="365" spans="1:8" x14ac:dyDescent="0.25">
      <c r="A365" s="49">
        <v>8200850</v>
      </c>
      <c r="C365" s="45"/>
      <c r="D365" s="45" t="s">
        <v>17</v>
      </c>
      <c r="E365" s="27" t="s">
        <v>435</v>
      </c>
      <c r="F365" s="28" t="s">
        <v>1143</v>
      </c>
      <c r="G365" s="48" t="s">
        <v>725</v>
      </c>
      <c r="H365" s="48" t="s">
        <v>725</v>
      </c>
    </row>
    <row r="366" spans="1:8" x14ac:dyDescent="0.25">
      <c r="A366" s="49">
        <v>8200852</v>
      </c>
      <c r="C366" s="45"/>
      <c r="D366" s="45" t="s">
        <v>17</v>
      </c>
      <c r="E366" s="257" t="s">
        <v>436</v>
      </c>
      <c r="F366" s="28" t="s">
        <v>1143</v>
      </c>
      <c r="G366" s="48" t="s">
        <v>725</v>
      </c>
      <c r="H366" s="48" t="s">
        <v>725</v>
      </c>
    </row>
    <row r="367" spans="1:8" x14ac:dyDescent="0.25">
      <c r="A367" s="49">
        <v>8200853</v>
      </c>
      <c r="C367" s="45"/>
      <c r="D367" s="45" t="s">
        <v>17</v>
      </c>
      <c r="E367" s="257" t="s">
        <v>437</v>
      </c>
      <c r="F367" s="28" t="s">
        <v>1143</v>
      </c>
      <c r="G367" s="48" t="s">
        <v>725</v>
      </c>
      <c r="H367" s="48" t="s">
        <v>725</v>
      </c>
    </row>
    <row r="368" spans="1:8" x14ac:dyDescent="0.25">
      <c r="A368" s="49">
        <v>8200854</v>
      </c>
      <c r="C368" s="45"/>
      <c r="D368" s="45" t="s">
        <v>17</v>
      </c>
      <c r="E368" s="257" t="s">
        <v>438</v>
      </c>
      <c r="F368" s="28" t="s">
        <v>1143</v>
      </c>
      <c r="G368" s="48" t="s">
        <v>725</v>
      </c>
      <c r="H368" s="48" t="s">
        <v>725</v>
      </c>
    </row>
    <row r="369" spans="1:8" x14ac:dyDescent="0.25">
      <c r="A369" s="49">
        <v>8200855</v>
      </c>
      <c r="C369" s="45"/>
      <c r="D369" s="45" t="s">
        <v>17</v>
      </c>
      <c r="E369" s="257" t="s">
        <v>439</v>
      </c>
      <c r="F369" s="28" t="s">
        <v>1143</v>
      </c>
      <c r="G369" s="48" t="s">
        <v>725</v>
      </c>
      <c r="H369" s="48" t="s">
        <v>725</v>
      </c>
    </row>
    <row r="370" spans="1:8" x14ac:dyDescent="0.25">
      <c r="A370" s="49">
        <v>8200856</v>
      </c>
      <c r="C370" s="45"/>
      <c r="D370" s="45" t="s">
        <v>17</v>
      </c>
      <c r="E370" s="257" t="s">
        <v>440</v>
      </c>
      <c r="F370" s="28" t="s">
        <v>1143</v>
      </c>
      <c r="G370" s="48" t="s">
        <v>725</v>
      </c>
      <c r="H370" s="48" t="s">
        <v>725</v>
      </c>
    </row>
    <row r="371" spans="1:8" x14ac:dyDescent="0.25">
      <c r="A371" s="49">
        <v>8200857</v>
      </c>
      <c r="C371" s="45"/>
      <c r="D371" s="45" t="s">
        <v>17</v>
      </c>
      <c r="E371" s="257" t="s">
        <v>441</v>
      </c>
      <c r="F371" s="28" t="s">
        <v>1143</v>
      </c>
      <c r="G371" s="48" t="s">
        <v>725</v>
      </c>
      <c r="H371" s="48" t="s">
        <v>725</v>
      </c>
    </row>
    <row r="372" spans="1:8" x14ac:dyDescent="0.25">
      <c r="A372" s="49">
        <v>8200862</v>
      </c>
      <c r="C372" s="45"/>
      <c r="D372" s="45" t="s">
        <v>17</v>
      </c>
      <c r="E372" s="257" t="s">
        <v>442</v>
      </c>
      <c r="F372" s="28" t="s">
        <v>1143</v>
      </c>
      <c r="G372" s="48" t="s">
        <v>725</v>
      </c>
      <c r="H372" s="48" t="s">
        <v>725</v>
      </c>
    </row>
    <row r="373" spans="1:8" x14ac:dyDescent="0.25">
      <c r="A373" s="49">
        <v>8200863</v>
      </c>
      <c r="C373" s="45"/>
      <c r="D373" s="45" t="s">
        <v>17</v>
      </c>
      <c r="E373" s="257" t="s">
        <v>443</v>
      </c>
      <c r="F373" s="28" t="s">
        <v>1143</v>
      </c>
      <c r="G373" s="48" t="s">
        <v>725</v>
      </c>
      <c r="H373" s="48" t="s">
        <v>725</v>
      </c>
    </row>
    <row r="374" spans="1:8" x14ac:dyDescent="0.25">
      <c r="A374" s="49">
        <v>8200864</v>
      </c>
      <c r="C374" s="45"/>
      <c r="D374" s="45" t="s">
        <v>17</v>
      </c>
      <c r="E374" s="257" t="s">
        <v>444</v>
      </c>
      <c r="F374" s="28" t="s">
        <v>1143</v>
      </c>
      <c r="G374" s="48" t="s">
        <v>725</v>
      </c>
      <c r="H374" s="48" t="s">
        <v>725</v>
      </c>
    </row>
    <row r="375" spans="1:8" x14ac:dyDescent="0.25">
      <c r="A375" s="49">
        <v>8200865</v>
      </c>
      <c r="C375" s="45"/>
      <c r="D375" s="45" t="s">
        <v>17</v>
      </c>
      <c r="E375" s="257" t="s">
        <v>445</v>
      </c>
      <c r="F375" s="28" t="s">
        <v>1143</v>
      </c>
      <c r="G375" s="48" t="s">
        <v>725</v>
      </c>
      <c r="H375" s="48" t="s">
        <v>725</v>
      </c>
    </row>
    <row r="376" spans="1:8" ht="30" x14ac:dyDescent="0.25">
      <c r="A376" s="49">
        <v>8200866</v>
      </c>
      <c r="C376" s="45"/>
      <c r="D376" s="45" t="s">
        <v>17</v>
      </c>
      <c r="E376" s="257" t="s">
        <v>446</v>
      </c>
      <c r="F376" s="28" t="s">
        <v>1143</v>
      </c>
      <c r="G376" s="48" t="s">
        <v>725</v>
      </c>
      <c r="H376" s="48" t="s">
        <v>725</v>
      </c>
    </row>
    <row r="377" spans="1:8" ht="30" x14ac:dyDescent="0.25">
      <c r="A377" s="49">
        <v>8200868</v>
      </c>
      <c r="C377" s="45"/>
      <c r="D377" s="45" t="s">
        <v>17</v>
      </c>
      <c r="E377" s="257" t="s">
        <v>447</v>
      </c>
      <c r="F377" s="28" t="s">
        <v>1143</v>
      </c>
      <c r="G377" s="48" t="s">
        <v>725</v>
      </c>
      <c r="H377" s="48" t="s">
        <v>725</v>
      </c>
    </row>
    <row r="378" spans="1:8" x14ac:dyDescent="0.25">
      <c r="A378" s="49">
        <v>8200881</v>
      </c>
      <c r="B378" s="257"/>
      <c r="C378" s="257"/>
      <c r="D378" s="45" t="s">
        <v>17</v>
      </c>
      <c r="E378" s="257" t="s">
        <v>448</v>
      </c>
      <c r="F378" s="28" t="s">
        <v>1143</v>
      </c>
      <c r="G378" s="48" t="s">
        <v>725</v>
      </c>
      <c r="H378" s="48" t="s">
        <v>725</v>
      </c>
    </row>
    <row r="379" spans="1:8" x14ac:dyDescent="0.25">
      <c r="A379" s="49">
        <v>8200882</v>
      </c>
      <c r="B379" s="257"/>
      <c r="C379" s="257"/>
      <c r="D379" s="45" t="s">
        <v>17</v>
      </c>
      <c r="E379" s="257" t="s">
        <v>449</v>
      </c>
      <c r="F379" s="28" t="s">
        <v>1143</v>
      </c>
      <c r="G379" s="48" t="s">
        <v>725</v>
      </c>
      <c r="H379" s="48" t="s">
        <v>725</v>
      </c>
    </row>
    <row r="380" spans="1:8" x14ac:dyDescent="0.25">
      <c r="A380" s="49">
        <v>8200883</v>
      </c>
      <c r="B380" s="257"/>
      <c r="C380" s="257"/>
      <c r="D380" s="45" t="s">
        <v>17</v>
      </c>
      <c r="E380" s="257" t="s">
        <v>450</v>
      </c>
      <c r="F380" s="28" t="s">
        <v>1143</v>
      </c>
      <c r="G380" s="48" t="s">
        <v>725</v>
      </c>
      <c r="H380" s="48" t="s">
        <v>725</v>
      </c>
    </row>
    <row r="381" spans="1:8" x14ac:dyDescent="0.25">
      <c r="A381" s="49">
        <v>8200884</v>
      </c>
      <c r="B381" s="257"/>
      <c r="C381" s="257"/>
      <c r="D381" s="45" t="s">
        <v>17</v>
      </c>
      <c r="E381" s="257" t="s">
        <v>451</v>
      </c>
      <c r="F381" s="28" t="s">
        <v>1143</v>
      </c>
      <c r="G381" s="48" t="s">
        <v>725</v>
      </c>
      <c r="H381" s="48" t="s">
        <v>725</v>
      </c>
    </row>
    <row r="382" spans="1:8" x14ac:dyDescent="0.25">
      <c r="A382" s="49">
        <v>8200890</v>
      </c>
      <c r="C382" s="45"/>
      <c r="D382" s="45" t="s">
        <v>17</v>
      </c>
      <c r="E382" s="257" t="s">
        <v>452</v>
      </c>
      <c r="F382" s="28" t="s">
        <v>1143</v>
      </c>
      <c r="G382" s="48" t="s">
        <v>725</v>
      </c>
      <c r="H382" s="48" t="s">
        <v>725</v>
      </c>
    </row>
    <row r="383" spans="1:8" x14ac:dyDescent="0.25">
      <c r="A383" s="49">
        <v>8200892</v>
      </c>
      <c r="C383" s="45"/>
      <c r="D383" s="45" t="s">
        <v>17</v>
      </c>
      <c r="E383" s="257" t="s">
        <v>453</v>
      </c>
      <c r="F383" s="28" t="s">
        <v>1143</v>
      </c>
      <c r="G383" s="48" t="s">
        <v>725</v>
      </c>
      <c r="H383" s="48" t="s">
        <v>725</v>
      </c>
    </row>
    <row r="384" spans="1:8" x14ac:dyDescent="0.25">
      <c r="A384" s="49">
        <v>8200893</v>
      </c>
      <c r="C384" s="45"/>
      <c r="D384" s="45" t="s">
        <v>17</v>
      </c>
      <c r="E384" s="257" t="s">
        <v>454</v>
      </c>
      <c r="F384" s="28" t="s">
        <v>1143</v>
      </c>
      <c r="G384" s="48" t="s">
        <v>725</v>
      </c>
      <c r="H384" s="48" t="s">
        <v>725</v>
      </c>
    </row>
    <row r="385" spans="1:8" x14ac:dyDescent="0.25">
      <c r="A385" s="49">
        <v>8200894</v>
      </c>
      <c r="C385" s="45"/>
      <c r="D385" s="45" t="s">
        <v>17</v>
      </c>
      <c r="E385" s="257" t="s">
        <v>455</v>
      </c>
      <c r="F385" s="28" t="s">
        <v>1143</v>
      </c>
      <c r="G385" s="48" t="s">
        <v>725</v>
      </c>
      <c r="H385" s="48" t="s">
        <v>725</v>
      </c>
    </row>
    <row r="386" spans="1:8" x14ac:dyDescent="0.25">
      <c r="A386" s="49">
        <v>8200920</v>
      </c>
      <c r="C386" s="45"/>
      <c r="D386" s="45" t="s">
        <v>17</v>
      </c>
      <c r="E386" s="257" t="s">
        <v>456</v>
      </c>
      <c r="F386" s="28" t="s">
        <v>1143</v>
      </c>
      <c r="G386" s="48" t="s">
        <v>725</v>
      </c>
      <c r="H386" s="48" t="s">
        <v>725</v>
      </c>
    </row>
    <row r="387" spans="1:8" x14ac:dyDescent="0.25">
      <c r="A387" s="49">
        <v>8200931</v>
      </c>
      <c r="C387" s="45"/>
      <c r="D387" s="45" t="s">
        <v>17</v>
      </c>
      <c r="E387" s="257" t="s">
        <v>457</v>
      </c>
      <c r="F387" s="28" t="s">
        <v>1143</v>
      </c>
      <c r="G387" s="48" t="s">
        <v>725</v>
      </c>
      <c r="H387" s="48" t="s">
        <v>725</v>
      </c>
    </row>
    <row r="388" spans="1:8" x14ac:dyDescent="0.25">
      <c r="A388" s="49">
        <v>8200932</v>
      </c>
      <c r="C388" s="45"/>
      <c r="D388" s="45" t="s">
        <v>17</v>
      </c>
      <c r="E388" s="257" t="s">
        <v>458</v>
      </c>
      <c r="F388" s="28" t="s">
        <v>1143</v>
      </c>
      <c r="G388" s="48" t="s">
        <v>725</v>
      </c>
      <c r="H388" s="48" t="s">
        <v>725</v>
      </c>
    </row>
    <row r="389" spans="1:8" x14ac:dyDescent="0.25">
      <c r="A389" s="49">
        <v>8200933</v>
      </c>
      <c r="C389" s="45"/>
      <c r="D389" s="45" t="s">
        <v>17</v>
      </c>
      <c r="E389" s="257" t="s">
        <v>459</v>
      </c>
      <c r="F389" s="28" t="s">
        <v>1143</v>
      </c>
      <c r="G389" s="48" t="s">
        <v>725</v>
      </c>
      <c r="H389" s="48" t="s">
        <v>725</v>
      </c>
    </row>
    <row r="390" spans="1:8" x14ac:dyDescent="0.25">
      <c r="A390" s="49">
        <v>8200934</v>
      </c>
      <c r="C390" s="45"/>
      <c r="D390" s="45" t="s">
        <v>17</v>
      </c>
      <c r="E390" s="257" t="s">
        <v>460</v>
      </c>
      <c r="F390" s="28" t="s">
        <v>1143</v>
      </c>
      <c r="G390" s="48" t="s">
        <v>725</v>
      </c>
      <c r="H390" s="48" t="s">
        <v>725</v>
      </c>
    </row>
    <row r="391" spans="1:8" x14ac:dyDescent="0.25">
      <c r="A391" s="49">
        <v>8200935</v>
      </c>
      <c r="C391" s="45"/>
      <c r="D391" s="45" t="s">
        <v>17</v>
      </c>
      <c r="E391" s="257" t="s">
        <v>461</v>
      </c>
      <c r="F391" s="28" t="s">
        <v>1143</v>
      </c>
      <c r="G391" s="48" t="s">
        <v>725</v>
      </c>
      <c r="H391" s="48" t="s">
        <v>725</v>
      </c>
    </row>
    <row r="392" spans="1:8" x14ac:dyDescent="0.25">
      <c r="A392" s="49">
        <v>8200936</v>
      </c>
      <c r="C392" s="45"/>
      <c r="D392" s="45" t="s">
        <v>17</v>
      </c>
      <c r="E392" s="257" t="s">
        <v>462</v>
      </c>
      <c r="F392" s="28" t="s">
        <v>1143</v>
      </c>
      <c r="G392" s="48" t="s">
        <v>725</v>
      </c>
      <c r="H392" s="48" t="s">
        <v>725</v>
      </c>
    </row>
    <row r="393" spans="1:8" x14ac:dyDescent="0.25">
      <c r="A393" s="49">
        <v>8200937</v>
      </c>
      <c r="C393" s="45"/>
      <c r="D393" s="45" t="s">
        <v>17</v>
      </c>
      <c r="E393" s="257" t="s">
        <v>463</v>
      </c>
      <c r="F393" s="28" t="s">
        <v>1143</v>
      </c>
      <c r="G393" s="48" t="s">
        <v>725</v>
      </c>
      <c r="H393" s="48" t="s">
        <v>725</v>
      </c>
    </row>
    <row r="394" spans="1:8" x14ac:dyDescent="0.25">
      <c r="A394" s="49">
        <v>8200938</v>
      </c>
      <c r="C394" s="45"/>
      <c r="D394" s="45" t="s">
        <v>17</v>
      </c>
      <c r="E394" s="257" t="s">
        <v>464</v>
      </c>
      <c r="F394" s="28" t="s">
        <v>1143</v>
      </c>
      <c r="G394" s="48" t="s">
        <v>725</v>
      </c>
      <c r="H394" s="48" t="s">
        <v>725</v>
      </c>
    </row>
    <row r="395" spans="1:8" x14ac:dyDescent="0.25">
      <c r="A395" s="49">
        <v>8200940</v>
      </c>
      <c r="C395" s="45"/>
      <c r="D395" s="45" t="s">
        <v>17</v>
      </c>
      <c r="E395" s="27" t="s">
        <v>465</v>
      </c>
      <c r="F395" s="28" t="s">
        <v>1143</v>
      </c>
      <c r="G395" s="48" t="s">
        <v>725</v>
      </c>
      <c r="H395" s="48" t="s">
        <v>725</v>
      </c>
    </row>
    <row r="396" spans="1:8" x14ac:dyDescent="0.25">
      <c r="A396" s="49">
        <v>8200941</v>
      </c>
      <c r="C396" s="45"/>
      <c r="D396" s="45" t="s">
        <v>466</v>
      </c>
      <c r="E396" s="27" t="s">
        <v>467</v>
      </c>
      <c r="F396" s="28" t="s">
        <v>1143</v>
      </c>
      <c r="G396" s="48" t="s">
        <v>725</v>
      </c>
      <c r="H396" s="48" t="s">
        <v>725</v>
      </c>
    </row>
    <row r="397" spans="1:8" x14ac:dyDescent="0.25">
      <c r="A397" s="49">
        <v>8200960</v>
      </c>
      <c r="C397" s="45"/>
      <c r="D397" s="45" t="s">
        <v>17</v>
      </c>
      <c r="E397" s="257" t="s">
        <v>468</v>
      </c>
      <c r="F397" s="28" t="s">
        <v>1143</v>
      </c>
      <c r="G397" s="48" t="s">
        <v>725</v>
      </c>
      <c r="H397" s="48" t="s">
        <v>725</v>
      </c>
    </row>
    <row r="398" spans="1:8" x14ac:dyDescent="0.25">
      <c r="A398" s="49">
        <v>8200990</v>
      </c>
      <c r="C398" s="45"/>
      <c r="D398" s="45" t="s">
        <v>17</v>
      </c>
      <c r="E398" s="257" t="s">
        <v>469</v>
      </c>
      <c r="F398" s="28" t="s">
        <v>1143</v>
      </c>
      <c r="G398" s="48" t="s">
        <v>725</v>
      </c>
      <c r="H398" s="48" t="s">
        <v>725</v>
      </c>
    </row>
    <row r="399" spans="1:8" x14ac:dyDescent="0.25">
      <c r="A399" s="49">
        <v>8201004</v>
      </c>
      <c r="C399" s="45"/>
      <c r="D399" s="45" t="s">
        <v>17</v>
      </c>
      <c r="E399" s="257" t="s">
        <v>470</v>
      </c>
      <c r="F399" s="28" t="s">
        <v>1143</v>
      </c>
      <c r="G399" s="48" t="s">
        <v>725</v>
      </c>
      <c r="H399" s="48" t="s">
        <v>725</v>
      </c>
    </row>
    <row r="400" spans="1:8" x14ac:dyDescent="0.25">
      <c r="A400" s="49">
        <v>8201005</v>
      </c>
      <c r="C400" s="45"/>
      <c r="D400" s="45" t="s">
        <v>17</v>
      </c>
      <c r="E400" s="257" t="s">
        <v>471</v>
      </c>
      <c r="F400" s="28" t="s">
        <v>1143</v>
      </c>
      <c r="G400" s="48" t="s">
        <v>725</v>
      </c>
      <c r="H400" s="48" t="s">
        <v>725</v>
      </c>
    </row>
    <row r="401" spans="1:8" x14ac:dyDescent="0.25">
      <c r="A401" s="49">
        <v>8201006</v>
      </c>
      <c r="C401" s="45"/>
      <c r="D401" s="45" t="s">
        <v>17</v>
      </c>
      <c r="E401" s="257" t="s">
        <v>472</v>
      </c>
      <c r="F401" s="28" t="s">
        <v>1143</v>
      </c>
      <c r="G401" s="48" t="s">
        <v>725</v>
      </c>
      <c r="H401" s="48" t="s">
        <v>725</v>
      </c>
    </row>
    <row r="402" spans="1:8" x14ac:dyDescent="0.25">
      <c r="A402" s="49">
        <v>8201007</v>
      </c>
      <c r="C402" s="45"/>
      <c r="D402" s="45" t="s">
        <v>17</v>
      </c>
      <c r="E402" s="257" t="s">
        <v>473</v>
      </c>
      <c r="F402" s="28" t="s">
        <v>1143</v>
      </c>
      <c r="G402" s="48" t="s">
        <v>725</v>
      </c>
      <c r="H402" s="48" t="s">
        <v>725</v>
      </c>
    </row>
    <row r="403" spans="1:8" x14ac:dyDescent="0.25">
      <c r="A403" s="49">
        <v>8201008</v>
      </c>
      <c r="C403" s="45"/>
      <c r="D403" s="45" t="s">
        <v>17</v>
      </c>
      <c r="E403" s="257" t="s">
        <v>474</v>
      </c>
      <c r="F403" s="28" t="s">
        <v>1143</v>
      </c>
      <c r="G403" s="48" t="s">
        <v>725</v>
      </c>
      <c r="H403" s="48" t="s">
        <v>725</v>
      </c>
    </row>
    <row r="404" spans="1:8" x14ac:dyDescent="0.25">
      <c r="A404" s="49">
        <v>8201090</v>
      </c>
      <c r="C404" s="45"/>
      <c r="D404" s="45" t="s">
        <v>475</v>
      </c>
      <c r="E404" s="257" t="s">
        <v>476</v>
      </c>
      <c r="F404" s="28" t="s">
        <v>1143</v>
      </c>
      <c r="G404" s="48" t="s">
        <v>725</v>
      </c>
      <c r="H404" s="48" t="s">
        <v>725</v>
      </c>
    </row>
    <row r="405" spans="1:8" ht="30" x14ac:dyDescent="0.25">
      <c r="A405" s="49">
        <v>8201131</v>
      </c>
      <c r="C405" s="45"/>
      <c r="D405" s="45" t="s">
        <v>17</v>
      </c>
      <c r="E405" s="257" t="s">
        <v>477</v>
      </c>
      <c r="F405" s="28" t="s">
        <v>1143</v>
      </c>
      <c r="G405" s="48" t="s">
        <v>725</v>
      </c>
      <c r="H405" s="48" t="s">
        <v>725</v>
      </c>
    </row>
    <row r="406" spans="1:8" x14ac:dyDescent="0.25">
      <c r="A406" s="49">
        <v>8201132</v>
      </c>
      <c r="C406" s="45"/>
      <c r="D406" s="45" t="s">
        <v>17</v>
      </c>
      <c r="E406" s="257" t="s">
        <v>478</v>
      </c>
      <c r="F406" s="28" t="s">
        <v>1143</v>
      </c>
      <c r="G406" s="48" t="s">
        <v>725</v>
      </c>
      <c r="H406" s="48" t="s">
        <v>725</v>
      </c>
    </row>
    <row r="407" spans="1:8" x14ac:dyDescent="0.25">
      <c r="A407" s="49">
        <v>7009830</v>
      </c>
      <c r="C407" s="45"/>
      <c r="D407" s="45" t="s">
        <v>17</v>
      </c>
      <c r="E407" s="257" t="s">
        <v>479</v>
      </c>
      <c r="F407" s="28" t="s">
        <v>1143</v>
      </c>
      <c r="G407" s="48" t="s">
        <v>725</v>
      </c>
      <c r="H407" s="48" t="s">
        <v>725</v>
      </c>
    </row>
    <row r="408" spans="1:8" x14ac:dyDescent="0.25">
      <c r="A408" s="49">
        <v>3420700</v>
      </c>
      <c r="D408" s="45" t="s">
        <v>17</v>
      </c>
      <c r="E408" s="27" t="s">
        <v>480</v>
      </c>
      <c r="F408" s="28" t="s">
        <v>1143</v>
      </c>
      <c r="G408" s="48" t="s">
        <v>725</v>
      </c>
      <c r="H408" s="48" t="s">
        <v>725</v>
      </c>
    </row>
    <row r="409" spans="1:8" x14ac:dyDescent="0.25">
      <c r="A409" s="49">
        <v>2402920</v>
      </c>
      <c r="B409" s="50"/>
      <c r="D409" s="45" t="s">
        <v>17</v>
      </c>
      <c r="E409" s="27" t="s">
        <v>481</v>
      </c>
      <c r="F409" s="28" t="s">
        <v>1143</v>
      </c>
      <c r="G409" s="48" t="s">
        <v>725</v>
      </c>
      <c r="H409" s="48" t="s">
        <v>725</v>
      </c>
    </row>
    <row r="410" spans="1:8" x14ac:dyDescent="0.25">
      <c r="A410" s="49">
        <v>8201170</v>
      </c>
      <c r="B410" s="50"/>
      <c r="D410" s="45" t="s">
        <v>17</v>
      </c>
      <c r="E410" s="27" t="s">
        <v>482</v>
      </c>
      <c r="F410" s="28" t="s">
        <v>1143</v>
      </c>
      <c r="G410" s="48" t="s">
        <v>725</v>
      </c>
      <c r="H410" s="48" t="s">
        <v>725</v>
      </c>
    </row>
    <row r="411" spans="1:8" x14ac:dyDescent="0.25">
      <c r="A411" s="49">
        <v>4620972</v>
      </c>
      <c r="D411" s="45" t="s">
        <v>17</v>
      </c>
      <c r="E411" s="27" t="s">
        <v>483</v>
      </c>
      <c r="F411" s="28" t="s">
        <v>1143</v>
      </c>
      <c r="G411" s="48" t="s">
        <v>725</v>
      </c>
      <c r="H411" s="48" t="s">
        <v>725</v>
      </c>
    </row>
    <row r="412" spans="1:8" x14ac:dyDescent="0.25">
      <c r="A412" s="49">
        <v>2407521</v>
      </c>
      <c r="D412" s="45" t="s">
        <v>17</v>
      </c>
      <c r="E412" s="27" t="s">
        <v>484</v>
      </c>
      <c r="F412" s="28" t="s">
        <v>1143</v>
      </c>
      <c r="G412" s="48" t="s">
        <v>725</v>
      </c>
      <c r="H412" s="48" t="s">
        <v>725</v>
      </c>
    </row>
    <row r="413" spans="1:8" x14ac:dyDescent="0.25">
      <c r="A413" s="49">
        <v>2409728</v>
      </c>
      <c r="D413" s="45" t="s">
        <v>17</v>
      </c>
      <c r="E413" s="27" t="s">
        <v>485</v>
      </c>
      <c r="F413" s="28" t="s">
        <v>1143</v>
      </c>
      <c r="G413" s="48" t="s">
        <v>725</v>
      </c>
      <c r="H413" s="48" t="s">
        <v>725</v>
      </c>
    </row>
    <row r="414" spans="1:8" x14ac:dyDescent="0.25">
      <c r="A414" s="49">
        <v>8019390</v>
      </c>
      <c r="D414" s="45" t="s">
        <v>17</v>
      </c>
      <c r="E414" s="257" t="s">
        <v>486</v>
      </c>
      <c r="F414" s="28" t="s">
        <v>1143</v>
      </c>
      <c r="G414" s="48" t="s">
        <v>725</v>
      </c>
      <c r="H414" s="48" t="s">
        <v>725</v>
      </c>
    </row>
    <row r="415" spans="1:8" x14ac:dyDescent="0.25">
      <c r="A415" s="49">
        <v>8201640</v>
      </c>
      <c r="D415" s="45" t="s">
        <v>17</v>
      </c>
      <c r="E415" s="257" t="s">
        <v>487</v>
      </c>
      <c r="F415" s="28" t="s">
        <v>1143</v>
      </c>
      <c r="G415" s="48" t="s">
        <v>725</v>
      </c>
      <c r="H415" s="48" t="s">
        <v>725</v>
      </c>
    </row>
    <row r="416" spans="1:8" x14ac:dyDescent="0.25">
      <c r="A416" s="49">
        <v>8201820</v>
      </c>
      <c r="D416" s="45" t="s">
        <v>17</v>
      </c>
      <c r="E416" s="27" t="s">
        <v>488</v>
      </c>
      <c r="F416" s="28" t="s">
        <v>1143</v>
      </c>
      <c r="G416" s="48" t="s">
        <v>725</v>
      </c>
      <c r="H416" s="48" t="s">
        <v>725</v>
      </c>
    </row>
    <row r="417" spans="1:8" x14ac:dyDescent="0.25">
      <c r="A417" s="49">
        <v>8201040</v>
      </c>
      <c r="D417" s="45" t="s">
        <v>17</v>
      </c>
      <c r="E417" s="27" t="s">
        <v>489</v>
      </c>
      <c r="F417" s="28" t="s">
        <v>1143</v>
      </c>
      <c r="G417" s="48" t="s">
        <v>725</v>
      </c>
      <c r="H417" s="48" t="s">
        <v>725</v>
      </c>
    </row>
    <row r="418" spans="1:8" x14ac:dyDescent="0.25">
      <c r="A418" s="49">
        <v>8201780</v>
      </c>
      <c r="D418" s="45" t="s">
        <v>17</v>
      </c>
      <c r="E418" s="27" t="s">
        <v>490</v>
      </c>
      <c r="F418" s="28" t="s">
        <v>1143</v>
      </c>
      <c r="G418" s="48" t="s">
        <v>725</v>
      </c>
      <c r="H418" s="48" t="s">
        <v>725</v>
      </c>
    </row>
    <row r="419" spans="1:8" x14ac:dyDescent="0.25">
      <c r="A419" s="49">
        <v>8201878</v>
      </c>
      <c r="C419" s="45"/>
      <c r="D419" s="45" t="s">
        <v>475</v>
      </c>
      <c r="E419" s="257" t="s">
        <v>491</v>
      </c>
      <c r="F419" s="28" t="s">
        <v>1143</v>
      </c>
      <c r="G419" s="48" t="s">
        <v>725</v>
      </c>
      <c r="H419" s="48" t="s">
        <v>725</v>
      </c>
    </row>
    <row r="420" spans="1:8" x14ac:dyDescent="0.25">
      <c r="A420" s="49">
        <v>8201890</v>
      </c>
      <c r="C420" s="45"/>
      <c r="D420" s="45" t="s">
        <v>17</v>
      </c>
      <c r="E420" s="257" t="s">
        <v>492</v>
      </c>
      <c r="F420" s="28" t="s">
        <v>1143</v>
      </c>
      <c r="G420" s="48" t="s">
        <v>725</v>
      </c>
      <c r="H420" s="48" t="s">
        <v>725</v>
      </c>
    </row>
    <row r="421" spans="1:8" x14ac:dyDescent="0.25">
      <c r="A421" s="49">
        <v>8202000</v>
      </c>
      <c r="C421" s="45"/>
      <c r="D421" s="45" t="s">
        <v>17</v>
      </c>
      <c r="E421" s="27" t="s">
        <v>493</v>
      </c>
      <c r="F421" s="28" t="s">
        <v>1143</v>
      </c>
      <c r="G421" s="48" t="s">
        <v>725</v>
      </c>
      <c r="H421" s="48" t="s">
        <v>725</v>
      </c>
    </row>
    <row r="422" spans="1:8" x14ac:dyDescent="0.25">
      <c r="A422" s="49">
        <v>3429442</v>
      </c>
      <c r="C422" s="45"/>
      <c r="D422" s="45" t="s">
        <v>17</v>
      </c>
      <c r="E422" s="257" t="s">
        <v>494</v>
      </c>
      <c r="F422" s="28" t="s">
        <v>1143</v>
      </c>
      <c r="G422" s="48" t="s">
        <v>725</v>
      </c>
      <c r="H422" s="48" t="s">
        <v>725</v>
      </c>
    </row>
    <row r="423" spans="1:8" x14ac:dyDescent="0.25">
      <c r="A423" s="49">
        <v>8202471</v>
      </c>
      <c r="C423" s="45"/>
      <c r="D423" s="45" t="s">
        <v>17</v>
      </c>
      <c r="E423" s="27" t="s">
        <v>495</v>
      </c>
      <c r="F423" s="28" t="s">
        <v>1143</v>
      </c>
      <c r="G423" s="48" t="s">
        <v>725</v>
      </c>
      <c r="H423" s="48" t="s">
        <v>725</v>
      </c>
    </row>
    <row r="424" spans="1:8" x14ac:dyDescent="0.25">
      <c r="A424" s="49">
        <v>8202231</v>
      </c>
      <c r="C424" s="45"/>
      <c r="D424" s="45" t="s">
        <v>17</v>
      </c>
      <c r="E424" s="27" t="s">
        <v>496</v>
      </c>
      <c r="F424" s="28" t="s">
        <v>1143</v>
      </c>
      <c r="G424" s="48" t="s">
        <v>725</v>
      </c>
      <c r="H424" s="48" t="s">
        <v>725</v>
      </c>
    </row>
    <row r="425" spans="1:8" x14ac:dyDescent="0.25">
      <c r="A425" s="49">
        <v>8202232</v>
      </c>
      <c r="C425" s="45"/>
      <c r="D425" s="45" t="s">
        <v>17</v>
      </c>
      <c r="E425" s="27" t="s">
        <v>497</v>
      </c>
      <c r="F425" s="28" t="s">
        <v>1143</v>
      </c>
      <c r="G425" s="48" t="s">
        <v>725</v>
      </c>
      <c r="H425" s="48" t="s">
        <v>725</v>
      </c>
    </row>
    <row r="426" spans="1:8" x14ac:dyDescent="0.25">
      <c r="A426" s="49">
        <v>8202233</v>
      </c>
      <c r="C426" s="45"/>
      <c r="D426" s="45" t="s">
        <v>17</v>
      </c>
      <c r="E426" s="27" t="s">
        <v>498</v>
      </c>
      <c r="F426" s="28" t="s">
        <v>1143</v>
      </c>
      <c r="G426" s="48" t="s">
        <v>725</v>
      </c>
      <c r="H426" s="48" t="s">
        <v>725</v>
      </c>
    </row>
    <row r="427" spans="1:8" x14ac:dyDescent="0.25">
      <c r="A427" s="49">
        <v>8202234</v>
      </c>
      <c r="C427" s="45"/>
      <c r="D427" s="45" t="s">
        <v>17</v>
      </c>
      <c r="E427" s="27" t="s">
        <v>499</v>
      </c>
      <c r="F427" s="28" t="s">
        <v>1143</v>
      </c>
      <c r="G427" s="48" t="s">
        <v>725</v>
      </c>
      <c r="H427" s="48" t="s">
        <v>725</v>
      </c>
    </row>
    <row r="428" spans="1:8" x14ac:dyDescent="0.25">
      <c r="A428" s="49">
        <v>8203182</v>
      </c>
      <c r="C428" s="28">
        <v>5833160</v>
      </c>
      <c r="D428" s="45" t="s">
        <v>17</v>
      </c>
      <c r="E428" s="27" t="s">
        <v>500</v>
      </c>
      <c r="F428" s="28" t="s">
        <v>1143</v>
      </c>
      <c r="G428" s="48" t="s">
        <v>725</v>
      </c>
      <c r="H428" s="48" t="s">
        <v>725</v>
      </c>
    </row>
    <row r="429" spans="1:8" x14ac:dyDescent="0.25">
      <c r="A429" s="49">
        <v>8203181</v>
      </c>
      <c r="C429" s="28">
        <v>5833161</v>
      </c>
      <c r="D429" s="45" t="s">
        <v>17</v>
      </c>
      <c r="E429" s="27" t="s">
        <v>501</v>
      </c>
      <c r="F429" s="28" t="s">
        <v>1143</v>
      </c>
      <c r="G429" s="48" t="s">
        <v>725</v>
      </c>
      <c r="H429" s="48" t="s">
        <v>725</v>
      </c>
    </row>
    <row r="430" spans="1:8" x14ac:dyDescent="0.25">
      <c r="A430" s="49">
        <v>8203183</v>
      </c>
      <c r="C430" s="28">
        <v>3433220</v>
      </c>
      <c r="D430" s="45" t="s">
        <v>17</v>
      </c>
      <c r="E430" s="27" t="s">
        <v>502</v>
      </c>
      <c r="F430" s="28" t="s">
        <v>1143</v>
      </c>
      <c r="G430" s="48" t="s">
        <v>725</v>
      </c>
      <c r="H430" s="48" t="s">
        <v>725</v>
      </c>
    </row>
    <row r="431" spans="1:8" x14ac:dyDescent="0.25">
      <c r="A431" s="49">
        <v>8203180</v>
      </c>
      <c r="C431" s="28">
        <v>3433221</v>
      </c>
      <c r="D431" s="45" t="s">
        <v>17</v>
      </c>
      <c r="E431" s="27" t="s">
        <v>503</v>
      </c>
      <c r="F431" s="28" t="s">
        <v>1143</v>
      </c>
      <c r="G431" s="48" t="s">
        <v>725</v>
      </c>
      <c r="H431" s="48" t="s">
        <v>725</v>
      </c>
    </row>
    <row r="432" spans="1:8" x14ac:dyDescent="0.25">
      <c r="A432" s="49">
        <v>8203170</v>
      </c>
      <c r="C432" s="28">
        <v>3433231</v>
      </c>
      <c r="D432" s="45" t="s">
        <v>17</v>
      </c>
      <c r="E432" s="27" t="s">
        <v>504</v>
      </c>
      <c r="F432" s="28" t="s">
        <v>1143</v>
      </c>
      <c r="G432" s="48" t="s">
        <v>725</v>
      </c>
      <c r="H432" s="48" t="s">
        <v>725</v>
      </c>
    </row>
    <row r="433" spans="1:8" x14ac:dyDescent="0.25">
      <c r="A433" s="49">
        <v>8202490</v>
      </c>
      <c r="C433" s="45"/>
      <c r="D433" s="45" t="s">
        <v>17</v>
      </c>
      <c r="E433" s="257" t="s">
        <v>505</v>
      </c>
      <c r="F433" s="28" t="s">
        <v>1143</v>
      </c>
      <c r="G433" s="48" t="s">
        <v>725</v>
      </c>
      <c r="H433" s="48" t="s">
        <v>725</v>
      </c>
    </row>
    <row r="434" spans="1:8" x14ac:dyDescent="0.25">
      <c r="A434" s="49">
        <v>8202491</v>
      </c>
      <c r="C434" s="45"/>
      <c r="D434" s="45" t="s">
        <v>17</v>
      </c>
      <c r="E434" s="257" t="s">
        <v>506</v>
      </c>
      <c r="F434" s="28" t="s">
        <v>1143</v>
      </c>
      <c r="G434" s="48" t="s">
        <v>725</v>
      </c>
      <c r="H434" s="48" t="s">
        <v>725</v>
      </c>
    </row>
    <row r="435" spans="1:8" x14ac:dyDescent="0.25">
      <c r="A435" s="49">
        <v>8202460</v>
      </c>
      <c r="C435" s="45"/>
      <c r="D435" s="45" t="s">
        <v>17</v>
      </c>
      <c r="E435" s="257" t="s">
        <v>507</v>
      </c>
      <c r="F435" s="28" t="s">
        <v>1143</v>
      </c>
      <c r="G435" s="48" t="s">
        <v>725</v>
      </c>
      <c r="H435" s="48" t="s">
        <v>725</v>
      </c>
    </row>
    <row r="436" spans="1:8" x14ac:dyDescent="0.25">
      <c r="A436" s="49">
        <v>8202470</v>
      </c>
      <c r="C436" s="45"/>
      <c r="D436" s="45" t="s">
        <v>17</v>
      </c>
      <c r="E436" s="257" t="s">
        <v>508</v>
      </c>
      <c r="F436" s="28" t="s">
        <v>1143</v>
      </c>
      <c r="G436" s="48" t="s">
        <v>725</v>
      </c>
      <c r="H436" s="48" t="s">
        <v>725</v>
      </c>
    </row>
    <row r="437" spans="1:8" x14ac:dyDescent="0.25">
      <c r="A437" s="49">
        <v>8202472</v>
      </c>
      <c r="C437" s="45"/>
      <c r="D437" s="45" t="s">
        <v>17</v>
      </c>
      <c r="E437" s="257" t="s">
        <v>509</v>
      </c>
      <c r="F437" s="28" t="s">
        <v>1143</v>
      </c>
      <c r="G437" s="48" t="s">
        <v>725</v>
      </c>
      <c r="H437" s="48" t="s">
        <v>725</v>
      </c>
    </row>
    <row r="438" spans="1:8" x14ac:dyDescent="0.25">
      <c r="A438" s="49">
        <v>8202473</v>
      </c>
      <c r="C438" s="45"/>
      <c r="D438" s="45" t="s">
        <v>17</v>
      </c>
      <c r="E438" s="257" t="s">
        <v>510</v>
      </c>
      <c r="F438" s="28" t="s">
        <v>1143</v>
      </c>
      <c r="G438" s="48" t="s">
        <v>725</v>
      </c>
      <c r="H438" s="48" t="s">
        <v>725</v>
      </c>
    </row>
    <row r="439" spans="1:8" x14ac:dyDescent="0.25">
      <c r="A439" s="49">
        <v>8201520</v>
      </c>
      <c r="C439" s="45"/>
      <c r="D439" s="45" t="s">
        <v>17</v>
      </c>
      <c r="E439" s="257" t="s">
        <v>511</v>
      </c>
      <c r="F439" s="28" t="s">
        <v>1143</v>
      </c>
      <c r="G439" s="48" t="s">
        <v>725</v>
      </c>
      <c r="H439" s="48" t="s">
        <v>725</v>
      </c>
    </row>
    <row r="440" spans="1:8" x14ac:dyDescent="0.25">
      <c r="A440" s="49">
        <v>3437070</v>
      </c>
      <c r="C440" s="45"/>
      <c r="D440" s="45" t="s">
        <v>17</v>
      </c>
      <c r="E440" s="257" t="s">
        <v>512</v>
      </c>
      <c r="F440" s="28" t="s">
        <v>1143</v>
      </c>
      <c r="G440" s="48" t="s">
        <v>725</v>
      </c>
      <c r="H440" s="48" t="s">
        <v>725</v>
      </c>
    </row>
    <row r="441" spans="1:8" x14ac:dyDescent="0.25">
      <c r="A441" s="49">
        <v>8203012</v>
      </c>
      <c r="C441" s="45"/>
      <c r="D441" s="45" t="s">
        <v>17</v>
      </c>
      <c r="E441" s="257" t="s">
        <v>513</v>
      </c>
      <c r="F441" s="28" t="s">
        <v>1143</v>
      </c>
      <c r="G441" s="48" t="s">
        <v>725</v>
      </c>
      <c r="H441" s="48" t="s">
        <v>725</v>
      </c>
    </row>
    <row r="442" spans="1:8" x14ac:dyDescent="0.25">
      <c r="A442" s="49">
        <v>8203013</v>
      </c>
      <c r="C442" s="45"/>
      <c r="D442" s="45" t="s">
        <v>17</v>
      </c>
      <c r="E442" s="257" t="s">
        <v>514</v>
      </c>
      <c r="F442" s="28" t="s">
        <v>1143</v>
      </c>
      <c r="G442" s="48" t="s">
        <v>725</v>
      </c>
      <c r="H442" s="48" t="s">
        <v>725</v>
      </c>
    </row>
    <row r="443" spans="1:8" x14ac:dyDescent="0.25">
      <c r="A443" s="49">
        <v>8203014</v>
      </c>
      <c r="C443" s="45"/>
      <c r="D443" s="45" t="s">
        <v>17</v>
      </c>
      <c r="E443" s="257" t="s">
        <v>515</v>
      </c>
      <c r="F443" s="28" t="s">
        <v>1143</v>
      </c>
      <c r="G443" s="48" t="s">
        <v>725</v>
      </c>
      <c r="H443" s="48" t="s">
        <v>725</v>
      </c>
    </row>
    <row r="444" spans="1:8" x14ac:dyDescent="0.25">
      <c r="A444" s="49">
        <v>8203260</v>
      </c>
      <c r="C444" s="28">
        <v>3438360</v>
      </c>
      <c r="D444" s="45" t="s">
        <v>17</v>
      </c>
      <c r="E444" s="257" t="s">
        <v>516</v>
      </c>
      <c r="F444" s="28" t="s">
        <v>1143</v>
      </c>
      <c r="G444" s="48" t="s">
        <v>725</v>
      </c>
      <c r="H444" s="48" t="s">
        <v>725</v>
      </c>
    </row>
    <row r="445" spans="1:8" x14ac:dyDescent="0.25">
      <c r="A445" s="49">
        <v>3438190</v>
      </c>
      <c r="C445" s="45"/>
      <c r="D445" s="45" t="s">
        <v>17</v>
      </c>
      <c r="E445" s="257" t="s">
        <v>517</v>
      </c>
      <c r="F445" s="28" t="s">
        <v>1143</v>
      </c>
      <c r="G445" s="48" t="s">
        <v>725</v>
      </c>
      <c r="H445" s="48" t="s">
        <v>725</v>
      </c>
    </row>
    <row r="446" spans="1:8" x14ac:dyDescent="0.25">
      <c r="A446" s="49">
        <v>3438191</v>
      </c>
      <c r="C446" s="45"/>
      <c r="D446" s="45" t="s">
        <v>17</v>
      </c>
      <c r="E446" s="257" t="s">
        <v>516</v>
      </c>
      <c r="F446" s="28" t="s">
        <v>1143</v>
      </c>
      <c r="G446" s="48" t="s">
        <v>725</v>
      </c>
      <c r="H446" s="48" t="s">
        <v>725</v>
      </c>
    </row>
    <row r="447" spans="1:8" x14ac:dyDescent="0.25">
      <c r="A447" s="49">
        <v>3432911</v>
      </c>
      <c r="C447" s="45"/>
      <c r="D447" s="45" t="s">
        <v>17</v>
      </c>
      <c r="E447" s="257" t="s">
        <v>518</v>
      </c>
      <c r="F447" s="28" t="s">
        <v>1143</v>
      </c>
      <c r="G447" s="48" t="s">
        <v>725</v>
      </c>
      <c r="H447" s="48" t="s">
        <v>725</v>
      </c>
    </row>
    <row r="448" spans="1:8" x14ac:dyDescent="0.25">
      <c r="A448" s="49">
        <v>8203990</v>
      </c>
      <c r="C448" s="45"/>
      <c r="D448" s="45" t="s">
        <v>17</v>
      </c>
      <c r="E448" s="257" t="s">
        <v>519</v>
      </c>
      <c r="F448" s="28" t="s">
        <v>1143</v>
      </c>
      <c r="G448" s="48" t="s">
        <v>725</v>
      </c>
      <c r="H448" s="48" t="s">
        <v>725</v>
      </c>
    </row>
    <row r="449" spans="1:8" x14ac:dyDescent="0.25">
      <c r="A449" s="49">
        <v>8203940</v>
      </c>
      <c r="C449" s="45"/>
      <c r="D449" s="45" t="s">
        <v>17</v>
      </c>
      <c r="E449" s="257" t="s">
        <v>520</v>
      </c>
      <c r="F449" s="28" t="s">
        <v>1143</v>
      </c>
      <c r="G449" s="48" t="s">
        <v>725</v>
      </c>
      <c r="H449" s="48" t="s">
        <v>725</v>
      </c>
    </row>
    <row r="450" spans="1:8" x14ac:dyDescent="0.25">
      <c r="A450" s="49">
        <v>8201522</v>
      </c>
      <c r="C450" s="45"/>
      <c r="D450" s="45" t="s">
        <v>17</v>
      </c>
      <c r="E450" s="257" t="s">
        <v>521</v>
      </c>
      <c r="F450" s="28" t="s">
        <v>1143</v>
      </c>
      <c r="G450" s="48" t="s">
        <v>725</v>
      </c>
      <c r="H450" s="48" t="s">
        <v>725</v>
      </c>
    </row>
    <row r="451" spans="1:8" x14ac:dyDescent="0.25">
      <c r="A451" s="49">
        <v>8203900</v>
      </c>
      <c r="C451" s="45"/>
      <c r="D451" s="45" t="s">
        <v>17</v>
      </c>
      <c r="E451" s="257" t="s">
        <v>522</v>
      </c>
      <c r="F451" s="28" t="s">
        <v>1153</v>
      </c>
      <c r="G451" s="48" t="s">
        <v>725</v>
      </c>
      <c r="H451" s="48" t="s">
        <v>725</v>
      </c>
    </row>
    <row r="452" spans="1:8" x14ac:dyDescent="0.25">
      <c r="A452" s="49">
        <v>8204470</v>
      </c>
      <c r="C452" s="45"/>
      <c r="D452" s="45" t="s">
        <v>17</v>
      </c>
      <c r="E452" s="257" t="s">
        <v>523</v>
      </c>
      <c r="F452" s="28" t="s">
        <v>1153</v>
      </c>
      <c r="G452" s="48" t="s">
        <v>725</v>
      </c>
      <c r="H452" s="48" t="s">
        <v>725</v>
      </c>
    </row>
    <row r="453" spans="1:8" x14ac:dyDescent="0.25">
      <c r="A453" s="49">
        <v>7840311</v>
      </c>
      <c r="C453" s="45"/>
      <c r="D453" s="45" t="s">
        <v>414</v>
      </c>
      <c r="E453" s="257" t="s">
        <v>524</v>
      </c>
      <c r="F453" s="28" t="s">
        <v>1143</v>
      </c>
      <c r="G453" s="48" t="s">
        <v>725</v>
      </c>
      <c r="H453" s="48" t="s">
        <v>725</v>
      </c>
    </row>
    <row r="454" spans="1:8" x14ac:dyDescent="0.25">
      <c r="A454" s="49">
        <v>7840312</v>
      </c>
      <c r="C454" s="45"/>
      <c r="D454" s="45" t="s">
        <v>414</v>
      </c>
      <c r="E454" s="257" t="s">
        <v>525</v>
      </c>
      <c r="F454" s="28" t="s">
        <v>1143</v>
      </c>
      <c r="G454" s="48" t="s">
        <v>725</v>
      </c>
      <c r="H454" s="48" t="s">
        <v>725</v>
      </c>
    </row>
    <row r="455" spans="1:8" x14ac:dyDescent="0.25">
      <c r="A455" s="49">
        <v>8204821</v>
      </c>
      <c r="C455" s="45"/>
      <c r="D455" s="45" t="s">
        <v>526</v>
      </c>
      <c r="E455" s="257" t="s">
        <v>527</v>
      </c>
      <c r="F455" s="28" t="s">
        <v>1143</v>
      </c>
      <c r="G455" s="48" t="s">
        <v>725</v>
      </c>
      <c r="H455" s="48" t="s">
        <v>725</v>
      </c>
    </row>
    <row r="456" spans="1:8" x14ac:dyDescent="0.25">
      <c r="A456" s="49">
        <v>8204822</v>
      </c>
      <c r="C456" s="45"/>
      <c r="D456" s="45" t="s">
        <v>526</v>
      </c>
      <c r="E456" s="257" t="s">
        <v>528</v>
      </c>
      <c r="F456" s="28" t="s">
        <v>1143</v>
      </c>
      <c r="G456" s="48" t="s">
        <v>725</v>
      </c>
      <c r="H456" s="48" t="s">
        <v>725</v>
      </c>
    </row>
    <row r="457" spans="1:8" x14ac:dyDescent="0.25">
      <c r="A457" s="49">
        <v>8204823</v>
      </c>
      <c r="C457" s="45"/>
      <c r="D457" s="45" t="s">
        <v>526</v>
      </c>
      <c r="E457" s="257" t="s">
        <v>529</v>
      </c>
      <c r="F457" s="28" t="s">
        <v>1143</v>
      </c>
      <c r="G457" s="48" t="s">
        <v>725</v>
      </c>
      <c r="H457" s="48" t="s">
        <v>725</v>
      </c>
    </row>
    <row r="458" spans="1:8" x14ac:dyDescent="0.25">
      <c r="A458" s="49">
        <v>8201521</v>
      </c>
      <c r="C458" s="45"/>
      <c r="D458" s="45" t="s">
        <v>530</v>
      </c>
      <c r="E458" s="257" t="s">
        <v>531</v>
      </c>
      <c r="F458" s="28" t="s">
        <v>1143</v>
      </c>
      <c r="G458" s="48" t="s">
        <v>725</v>
      </c>
      <c r="H458" s="48" t="s">
        <v>725</v>
      </c>
    </row>
    <row r="459" spans="1:8" x14ac:dyDescent="0.25">
      <c r="A459" s="49">
        <v>8201502</v>
      </c>
      <c r="C459" s="45"/>
      <c r="D459" s="45" t="s">
        <v>530</v>
      </c>
      <c r="E459" s="257" t="s">
        <v>532</v>
      </c>
      <c r="F459" s="28" t="s">
        <v>1143</v>
      </c>
      <c r="G459" s="48" t="s">
        <v>725</v>
      </c>
      <c r="H459" s="48" t="s">
        <v>725</v>
      </c>
    </row>
    <row r="460" spans="1:8" x14ac:dyDescent="0.25">
      <c r="A460" s="49">
        <v>8202220</v>
      </c>
      <c r="C460" s="45"/>
      <c r="D460" s="45" t="s">
        <v>530</v>
      </c>
      <c r="E460" s="257" t="s">
        <v>533</v>
      </c>
      <c r="F460" s="28" t="s">
        <v>1143</v>
      </c>
      <c r="G460" s="48" t="s">
        <v>725</v>
      </c>
      <c r="H460" s="48" t="s">
        <v>725</v>
      </c>
    </row>
    <row r="461" spans="1:8" x14ac:dyDescent="0.25">
      <c r="A461" s="49">
        <v>8205110</v>
      </c>
      <c r="C461" s="45"/>
      <c r="D461" s="45" t="s">
        <v>4</v>
      </c>
      <c r="E461" s="257" t="s">
        <v>534</v>
      </c>
      <c r="F461" s="28" t="s">
        <v>1143</v>
      </c>
      <c r="G461" s="48" t="s">
        <v>725</v>
      </c>
      <c r="H461" s="48" t="s">
        <v>725</v>
      </c>
    </row>
    <row r="462" spans="1:8" x14ac:dyDescent="0.25">
      <c r="A462" s="49">
        <v>8205101</v>
      </c>
      <c r="C462" s="45"/>
      <c r="D462" s="45" t="s">
        <v>17</v>
      </c>
      <c r="E462" s="257" t="s">
        <v>535</v>
      </c>
      <c r="F462" s="28" t="s">
        <v>1143</v>
      </c>
      <c r="G462" s="48" t="s">
        <v>725</v>
      </c>
      <c r="H462" s="48" t="s">
        <v>725</v>
      </c>
    </row>
    <row r="463" spans="1:8" x14ac:dyDescent="0.25">
      <c r="A463" s="49">
        <v>3415801</v>
      </c>
      <c r="C463" s="45"/>
      <c r="D463" s="45" t="s">
        <v>17</v>
      </c>
      <c r="E463" s="257" t="s">
        <v>536</v>
      </c>
      <c r="F463" s="28" t="s">
        <v>1143</v>
      </c>
      <c r="G463" s="48" t="s">
        <v>725</v>
      </c>
      <c r="H463" s="48" t="s">
        <v>725</v>
      </c>
    </row>
    <row r="464" spans="1:8" x14ac:dyDescent="0.25">
      <c r="A464" s="49">
        <v>8204806</v>
      </c>
      <c r="C464" s="45"/>
      <c r="D464" s="45" t="s">
        <v>526</v>
      </c>
      <c r="E464" s="257" t="s">
        <v>537</v>
      </c>
      <c r="F464" s="28" t="s">
        <v>1143</v>
      </c>
      <c r="G464" s="48" t="s">
        <v>725</v>
      </c>
      <c r="H464" s="48" t="s">
        <v>725</v>
      </c>
    </row>
    <row r="465" spans="1:8" x14ac:dyDescent="0.25">
      <c r="A465" s="49">
        <v>8204807</v>
      </c>
      <c r="C465" s="45"/>
      <c r="D465" s="45" t="s">
        <v>526</v>
      </c>
      <c r="E465" s="257" t="s">
        <v>538</v>
      </c>
      <c r="F465" s="28" t="s">
        <v>1143</v>
      </c>
      <c r="G465" s="48" t="s">
        <v>725</v>
      </c>
      <c r="H465" s="48" t="s">
        <v>725</v>
      </c>
    </row>
    <row r="466" spans="1:8" x14ac:dyDescent="0.25">
      <c r="A466" s="49">
        <v>8204808</v>
      </c>
      <c r="C466" s="45"/>
      <c r="D466" s="45" t="s">
        <v>526</v>
      </c>
      <c r="E466" s="257" t="s">
        <v>539</v>
      </c>
      <c r="F466" s="28" t="s">
        <v>1143</v>
      </c>
      <c r="G466" s="48" t="s">
        <v>725</v>
      </c>
      <c r="H466" s="48" t="s">
        <v>725</v>
      </c>
    </row>
    <row r="467" spans="1:8" x14ac:dyDescent="0.25">
      <c r="A467" s="49">
        <v>8204809</v>
      </c>
      <c r="C467" s="45"/>
      <c r="D467" s="45" t="s">
        <v>526</v>
      </c>
      <c r="E467" s="257" t="s">
        <v>540</v>
      </c>
      <c r="F467" s="28" t="s">
        <v>1143</v>
      </c>
      <c r="G467" s="48" t="s">
        <v>725</v>
      </c>
      <c r="H467" s="48" t="s">
        <v>725</v>
      </c>
    </row>
    <row r="468" spans="1:8" x14ac:dyDescent="0.25">
      <c r="A468" s="49">
        <v>8204810</v>
      </c>
      <c r="C468" s="45"/>
      <c r="D468" s="45" t="s">
        <v>526</v>
      </c>
      <c r="E468" s="257" t="s">
        <v>541</v>
      </c>
      <c r="F468" s="28" t="s">
        <v>1143</v>
      </c>
      <c r="G468" s="48" t="s">
        <v>725</v>
      </c>
      <c r="H468" s="48" t="s">
        <v>725</v>
      </c>
    </row>
    <row r="469" spans="1:8" x14ac:dyDescent="0.25">
      <c r="A469" s="49">
        <v>8204811</v>
      </c>
      <c r="C469" s="45"/>
      <c r="D469" s="45" t="s">
        <v>526</v>
      </c>
      <c r="E469" s="257" t="s">
        <v>542</v>
      </c>
      <c r="F469" s="28" t="s">
        <v>1143</v>
      </c>
      <c r="G469" s="48" t="s">
        <v>725</v>
      </c>
      <c r="H469" s="48" t="s">
        <v>725</v>
      </c>
    </row>
    <row r="470" spans="1:8" x14ac:dyDescent="0.25">
      <c r="A470" s="49">
        <v>8204812</v>
      </c>
      <c r="C470" s="45"/>
      <c r="D470" s="45" t="s">
        <v>526</v>
      </c>
      <c r="E470" s="257" t="s">
        <v>543</v>
      </c>
      <c r="F470" s="28" t="s">
        <v>1143</v>
      </c>
      <c r="G470" s="48" t="s">
        <v>725</v>
      </c>
      <c r="H470" s="48" t="s">
        <v>725</v>
      </c>
    </row>
    <row r="471" spans="1:8" x14ac:dyDescent="0.25">
      <c r="A471" s="49">
        <v>8204813</v>
      </c>
      <c r="C471" s="45"/>
      <c r="D471" s="45" t="s">
        <v>526</v>
      </c>
      <c r="E471" s="257" t="s">
        <v>544</v>
      </c>
      <c r="F471" s="28" t="s">
        <v>1143</v>
      </c>
      <c r="G471" s="48" t="s">
        <v>725</v>
      </c>
      <c r="H471" s="48" t="s">
        <v>725</v>
      </c>
    </row>
    <row r="472" spans="1:8" x14ac:dyDescent="0.25">
      <c r="A472" s="49">
        <v>8204814</v>
      </c>
      <c r="C472" s="45"/>
      <c r="D472" s="45" t="s">
        <v>526</v>
      </c>
      <c r="E472" s="257" t="s">
        <v>545</v>
      </c>
      <c r="F472" s="28" t="s">
        <v>1143</v>
      </c>
      <c r="G472" s="48" t="s">
        <v>725</v>
      </c>
      <c r="H472" s="48" t="s">
        <v>725</v>
      </c>
    </row>
    <row r="473" spans="1:8" x14ac:dyDescent="0.25">
      <c r="A473" s="49">
        <v>8204815</v>
      </c>
      <c r="C473" s="45"/>
      <c r="D473" s="45" t="s">
        <v>526</v>
      </c>
      <c r="E473" s="257" t="s">
        <v>546</v>
      </c>
      <c r="F473" s="28" t="s">
        <v>1143</v>
      </c>
      <c r="G473" s="48" t="s">
        <v>725</v>
      </c>
      <c r="H473" s="48" t="s">
        <v>725</v>
      </c>
    </row>
    <row r="474" spans="1:8" x14ac:dyDescent="0.25">
      <c r="A474" s="49">
        <v>8204816</v>
      </c>
      <c r="C474" s="45"/>
      <c r="D474" s="45" t="s">
        <v>526</v>
      </c>
      <c r="E474" s="257" t="s">
        <v>547</v>
      </c>
      <c r="F474" s="28" t="s">
        <v>1143</v>
      </c>
      <c r="G474" s="48" t="s">
        <v>725</v>
      </c>
      <c r="H474" s="48" t="s">
        <v>725</v>
      </c>
    </row>
    <row r="475" spans="1:8" x14ac:dyDescent="0.25">
      <c r="A475" s="49">
        <v>8204817</v>
      </c>
      <c r="C475" s="45"/>
      <c r="D475" s="45" t="s">
        <v>526</v>
      </c>
      <c r="E475" s="257" t="s">
        <v>548</v>
      </c>
      <c r="F475" s="28" t="s">
        <v>1143</v>
      </c>
      <c r="G475" s="48" t="s">
        <v>725</v>
      </c>
      <c r="H475" s="48" t="s">
        <v>725</v>
      </c>
    </row>
    <row r="476" spans="1:8" x14ac:dyDescent="0.25">
      <c r="A476" s="49">
        <v>8204818</v>
      </c>
      <c r="C476" s="45"/>
      <c r="D476" s="45" t="s">
        <v>526</v>
      </c>
      <c r="E476" s="257" t="s">
        <v>549</v>
      </c>
      <c r="F476" s="28" t="s">
        <v>1143</v>
      </c>
      <c r="G476" s="48" t="s">
        <v>725</v>
      </c>
      <c r="H476" s="48" t="s">
        <v>725</v>
      </c>
    </row>
    <row r="477" spans="1:8" x14ac:dyDescent="0.25">
      <c r="A477" s="49">
        <v>8204819</v>
      </c>
      <c r="C477" s="45"/>
      <c r="D477" s="45" t="s">
        <v>526</v>
      </c>
      <c r="E477" s="257" t="s">
        <v>550</v>
      </c>
      <c r="F477" s="28" t="s">
        <v>1143</v>
      </c>
      <c r="G477" s="48" t="s">
        <v>725</v>
      </c>
      <c r="H477" s="48" t="s">
        <v>725</v>
      </c>
    </row>
    <row r="478" spans="1:8" x14ac:dyDescent="0.25">
      <c r="A478" s="49">
        <v>8204820</v>
      </c>
      <c r="C478" s="45"/>
      <c r="D478" s="45" t="s">
        <v>526</v>
      </c>
      <c r="E478" s="257" t="s">
        <v>551</v>
      </c>
      <c r="F478" s="28" t="s">
        <v>1143</v>
      </c>
      <c r="G478" s="48" t="s">
        <v>725</v>
      </c>
      <c r="H478" s="48" t="s">
        <v>725</v>
      </c>
    </row>
    <row r="479" spans="1:8" x14ac:dyDescent="0.25">
      <c r="A479" s="49">
        <v>8204824</v>
      </c>
      <c r="C479" s="45"/>
      <c r="D479" s="45" t="s">
        <v>526</v>
      </c>
      <c r="E479" s="257" t="s">
        <v>552</v>
      </c>
      <c r="F479" s="28" t="s">
        <v>1143</v>
      </c>
      <c r="G479" s="48" t="s">
        <v>725</v>
      </c>
      <c r="H479" s="48" t="s">
        <v>725</v>
      </c>
    </row>
    <row r="480" spans="1:8" x14ac:dyDescent="0.25">
      <c r="A480" s="49">
        <v>8204825</v>
      </c>
      <c r="C480" s="45"/>
      <c r="D480" s="45" t="s">
        <v>526</v>
      </c>
      <c r="E480" s="257" t="s">
        <v>553</v>
      </c>
      <c r="F480" s="28" t="s">
        <v>1143</v>
      </c>
      <c r="G480" s="48" t="s">
        <v>725</v>
      </c>
      <c r="H480" s="48" t="s">
        <v>725</v>
      </c>
    </row>
    <row r="481" spans="1:8" x14ac:dyDescent="0.25">
      <c r="A481" s="49">
        <v>8204826</v>
      </c>
      <c r="C481" s="45"/>
      <c r="D481" s="45" t="s">
        <v>526</v>
      </c>
      <c r="E481" s="257" t="s">
        <v>554</v>
      </c>
      <c r="F481" s="28" t="s">
        <v>1143</v>
      </c>
      <c r="G481" s="48" t="s">
        <v>725</v>
      </c>
      <c r="H481" s="48" t="s">
        <v>725</v>
      </c>
    </row>
    <row r="482" spans="1:8" x14ac:dyDescent="0.25">
      <c r="A482" s="49">
        <v>8204827</v>
      </c>
      <c r="C482" s="45"/>
      <c r="D482" s="45" t="s">
        <v>526</v>
      </c>
      <c r="E482" s="257" t="s">
        <v>555</v>
      </c>
      <c r="F482" s="28" t="s">
        <v>1143</v>
      </c>
      <c r="G482" s="48" t="s">
        <v>725</v>
      </c>
      <c r="H482" s="48" t="s">
        <v>725</v>
      </c>
    </row>
    <row r="483" spans="1:8" x14ac:dyDescent="0.25">
      <c r="A483" s="49">
        <v>8204828</v>
      </c>
      <c r="C483" s="45"/>
      <c r="D483" s="45" t="s">
        <v>526</v>
      </c>
      <c r="E483" s="257" t="s">
        <v>556</v>
      </c>
      <c r="F483" s="28" t="s">
        <v>1143</v>
      </c>
      <c r="G483" s="48" t="s">
        <v>725</v>
      </c>
      <c r="H483" s="48" t="s">
        <v>725</v>
      </c>
    </row>
    <row r="484" spans="1:8" x14ac:dyDescent="0.25">
      <c r="A484" s="49">
        <v>8204801</v>
      </c>
      <c r="C484" s="45"/>
      <c r="D484" s="45" t="s">
        <v>526</v>
      </c>
      <c r="E484" s="257" t="s">
        <v>557</v>
      </c>
      <c r="F484" s="28" t="s">
        <v>1143</v>
      </c>
      <c r="G484" s="48" t="s">
        <v>725</v>
      </c>
      <c r="H484" s="48" t="s">
        <v>725</v>
      </c>
    </row>
    <row r="485" spans="1:8" x14ac:dyDescent="0.25">
      <c r="A485" s="49">
        <v>8204802</v>
      </c>
      <c r="C485" s="45"/>
      <c r="D485" s="45" t="s">
        <v>526</v>
      </c>
      <c r="E485" s="257" t="s">
        <v>558</v>
      </c>
      <c r="F485" s="28" t="s">
        <v>1143</v>
      </c>
      <c r="G485" s="48" t="s">
        <v>725</v>
      </c>
      <c r="H485" s="48" t="s">
        <v>725</v>
      </c>
    </row>
    <row r="486" spans="1:8" x14ac:dyDescent="0.25">
      <c r="A486" s="49">
        <v>8204803</v>
      </c>
      <c r="C486" s="45"/>
      <c r="D486" s="45" t="s">
        <v>526</v>
      </c>
      <c r="E486" s="257" t="s">
        <v>559</v>
      </c>
      <c r="F486" s="28" t="s">
        <v>1143</v>
      </c>
      <c r="G486" s="48" t="s">
        <v>725</v>
      </c>
      <c r="H486" s="48" t="s">
        <v>725</v>
      </c>
    </row>
    <row r="487" spans="1:8" x14ac:dyDescent="0.25">
      <c r="A487" s="49">
        <v>8204804</v>
      </c>
      <c r="C487" s="45"/>
      <c r="D487" s="45" t="s">
        <v>526</v>
      </c>
      <c r="E487" s="257" t="s">
        <v>560</v>
      </c>
      <c r="F487" s="28" t="s">
        <v>1143</v>
      </c>
      <c r="G487" s="48" t="s">
        <v>725</v>
      </c>
      <c r="H487" s="48" t="s">
        <v>725</v>
      </c>
    </row>
    <row r="488" spans="1:8" x14ac:dyDescent="0.25">
      <c r="A488" s="49">
        <v>8204805</v>
      </c>
      <c r="C488" s="45"/>
      <c r="D488" s="45" t="s">
        <v>526</v>
      </c>
      <c r="E488" s="257" t="s">
        <v>561</v>
      </c>
      <c r="F488" s="28" t="s">
        <v>1143</v>
      </c>
      <c r="G488" s="48" t="s">
        <v>725</v>
      </c>
      <c r="H488" s="48" t="s">
        <v>725</v>
      </c>
    </row>
    <row r="489" spans="1:8" x14ac:dyDescent="0.25">
      <c r="A489" s="49">
        <v>8201523</v>
      </c>
      <c r="C489" s="45"/>
      <c r="D489" s="45" t="s">
        <v>526</v>
      </c>
      <c r="E489" s="257" t="s">
        <v>562</v>
      </c>
      <c r="F489" s="28" t="s">
        <v>1143</v>
      </c>
      <c r="G489" s="48" t="s">
        <v>725</v>
      </c>
      <c r="H489" s="48" t="s">
        <v>725</v>
      </c>
    </row>
    <row r="490" spans="1:8" x14ac:dyDescent="0.25">
      <c r="A490" s="49">
        <v>8201524</v>
      </c>
      <c r="C490" s="45"/>
      <c r="D490" s="45" t="s">
        <v>526</v>
      </c>
      <c r="E490" s="257" t="s">
        <v>563</v>
      </c>
      <c r="F490" s="28" t="s">
        <v>1143</v>
      </c>
      <c r="G490" s="48" t="s">
        <v>725</v>
      </c>
      <c r="H490" s="48" t="s">
        <v>725</v>
      </c>
    </row>
    <row r="491" spans="1:8" x14ac:dyDescent="0.25">
      <c r="A491" s="49">
        <v>8204780</v>
      </c>
      <c r="C491" s="45"/>
      <c r="D491" s="45" t="s">
        <v>526</v>
      </c>
      <c r="E491" s="257" t="s">
        <v>564</v>
      </c>
      <c r="F491" s="28" t="s">
        <v>1143</v>
      </c>
      <c r="G491" s="48" t="s">
        <v>725</v>
      </c>
      <c r="H491" s="48" t="s">
        <v>725</v>
      </c>
    </row>
    <row r="492" spans="1:8" x14ac:dyDescent="0.25">
      <c r="A492" s="49">
        <v>8204860</v>
      </c>
      <c r="C492" s="45"/>
      <c r="D492" s="45" t="s">
        <v>17</v>
      </c>
      <c r="E492" s="257" t="s">
        <v>565</v>
      </c>
      <c r="F492" s="28" t="s">
        <v>1143</v>
      </c>
      <c r="G492" s="48" t="s">
        <v>725</v>
      </c>
      <c r="H492" s="48" t="s">
        <v>725</v>
      </c>
    </row>
    <row r="493" spans="1:8" x14ac:dyDescent="0.25">
      <c r="A493" s="49">
        <v>8205870</v>
      </c>
      <c r="C493" s="45"/>
      <c r="D493" s="45" t="s">
        <v>17</v>
      </c>
      <c r="E493" s="257" t="s">
        <v>566</v>
      </c>
      <c r="F493" s="28" t="s">
        <v>1143</v>
      </c>
      <c r="G493" s="48" t="s">
        <v>725</v>
      </c>
      <c r="H493" s="48" t="s">
        <v>725</v>
      </c>
    </row>
    <row r="494" spans="1:8" x14ac:dyDescent="0.25">
      <c r="A494" s="49">
        <v>8205871</v>
      </c>
      <c r="C494" s="45"/>
      <c r="D494" s="45" t="s">
        <v>17</v>
      </c>
      <c r="E494" s="257" t="s">
        <v>567</v>
      </c>
      <c r="F494" s="28" t="s">
        <v>1143</v>
      </c>
      <c r="G494" s="48" t="s">
        <v>725</v>
      </c>
      <c r="H494" s="48" t="s">
        <v>725</v>
      </c>
    </row>
    <row r="495" spans="1:8" x14ac:dyDescent="0.25">
      <c r="A495" s="49">
        <v>2611090</v>
      </c>
      <c r="D495" s="45" t="s">
        <v>17</v>
      </c>
      <c r="E495" s="27" t="s">
        <v>569</v>
      </c>
      <c r="F495" s="28" t="s">
        <v>1145</v>
      </c>
      <c r="G495" s="48" t="s">
        <v>725</v>
      </c>
      <c r="H495" s="48" t="s">
        <v>725</v>
      </c>
    </row>
    <row r="496" spans="1:8" x14ac:dyDescent="0.25">
      <c r="A496" s="49">
        <v>8200187</v>
      </c>
      <c r="D496" s="45" t="s">
        <v>17</v>
      </c>
      <c r="E496" s="27" t="s">
        <v>570</v>
      </c>
      <c r="F496" s="28" t="s">
        <v>1145</v>
      </c>
      <c r="G496" s="48" t="s">
        <v>725</v>
      </c>
      <c r="H496" s="48" t="s">
        <v>725</v>
      </c>
    </row>
    <row r="497" spans="1:8" x14ac:dyDescent="0.25">
      <c r="A497" s="49">
        <v>8202010</v>
      </c>
      <c r="C497" s="45"/>
      <c r="D497" s="45" t="s">
        <v>17</v>
      </c>
      <c r="E497" s="27" t="s">
        <v>880</v>
      </c>
      <c r="F497" s="28" t="s">
        <v>1145</v>
      </c>
      <c r="G497" s="48" t="s">
        <v>725</v>
      </c>
      <c r="H497" s="48" t="s">
        <v>725</v>
      </c>
    </row>
    <row r="498" spans="1:8" x14ac:dyDescent="0.25">
      <c r="A498" s="49">
        <v>8200188</v>
      </c>
      <c r="D498" s="45" t="s">
        <v>17</v>
      </c>
      <c r="E498" s="27" t="s">
        <v>571</v>
      </c>
      <c r="F498" s="28" t="s">
        <v>1145</v>
      </c>
      <c r="G498" s="48" t="s">
        <v>725</v>
      </c>
      <c r="H498" s="48" t="s">
        <v>725</v>
      </c>
    </row>
    <row r="499" spans="1:8" x14ac:dyDescent="0.25">
      <c r="A499" s="49">
        <v>8200189</v>
      </c>
      <c r="D499" s="45" t="s">
        <v>17</v>
      </c>
      <c r="E499" s="27" t="s">
        <v>572</v>
      </c>
      <c r="F499" s="28" t="s">
        <v>1145</v>
      </c>
      <c r="G499" s="48" t="s">
        <v>725</v>
      </c>
      <c r="H499" s="48" t="s">
        <v>725</v>
      </c>
    </row>
    <row r="500" spans="1:8" x14ac:dyDescent="0.25">
      <c r="A500" s="49">
        <v>8200190</v>
      </c>
      <c r="D500" s="45" t="s">
        <v>573</v>
      </c>
      <c r="E500" s="27" t="s">
        <v>574</v>
      </c>
      <c r="F500" s="28" t="s">
        <v>1145</v>
      </c>
      <c r="G500" s="48" t="s">
        <v>725</v>
      </c>
      <c r="H500" s="48" t="s">
        <v>725</v>
      </c>
    </row>
    <row r="501" spans="1:8" x14ac:dyDescent="0.25">
      <c r="A501" s="49">
        <v>8200191</v>
      </c>
      <c r="D501" s="45" t="s">
        <v>17</v>
      </c>
      <c r="E501" s="27" t="s">
        <v>575</v>
      </c>
      <c r="F501" s="28" t="s">
        <v>1145</v>
      </c>
      <c r="G501" s="48" t="s">
        <v>725</v>
      </c>
      <c r="H501" s="48" t="s">
        <v>725</v>
      </c>
    </row>
    <row r="502" spans="1:8" x14ac:dyDescent="0.25">
      <c r="A502" s="49">
        <v>8200260</v>
      </c>
      <c r="D502" s="45" t="s">
        <v>17</v>
      </c>
      <c r="E502" s="27" t="s">
        <v>576</v>
      </c>
      <c r="F502" s="28" t="s">
        <v>1145</v>
      </c>
      <c r="G502" s="48" t="s">
        <v>725</v>
      </c>
      <c r="H502" s="48" t="s">
        <v>725</v>
      </c>
    </row>
    <row r="503" spans="1:8" x14ac:dyDescent="0.25">
      <c r="A503" s="49">
        <v>2614970</v>
      </c>
      <c r="C503" s="45"/>
      <c r="D503" s="45" t="s">
        <v>17</v>
      </c>
      <c r="E503" s="27" t="s">
        <v>577</v>
      </c>
      <c r="F503" s="28" t="s">
        <v>1145</v>
      </c>
      <c r="G503" s="48" t="s">
        <v>725</v>
      </c>
      <c r="H503" s="48" t="s">
        <v>725</v>
      </c>
    </row>
    <row r="504" spans="1:8" x14ac:dyDescent="0.25">
      <c r="A504" s="49">
        <v>8200320</v>
      </c>
      <c r="D504" s="45" t="s">
        <v>589</v>
      </c>
      <c r="E504" s="27" t="s">
        <v>578</v>
      </c>
      <c r="F504" s="28" t="s">
        <v>1145</v>
      </c>
      <c r="G504" s="48" t="s">
        <v>725</v>
      </c>
      <c r="H504" s="48" t="s">
        <v>725</v>
      </c>
    </row>
    <row r="505" spans="1:8" x14ac:dyDescent="0.25">
      <c r="A505" s="49">
        <v>8200330</v>
      </c>
      <c r="D505" s="45" t="s">
        <v>17</v>
      </c>
      <c r="E505" s="27" t="s">
        <v>579</v>
      </c>
      <c r="F505" s="28" t="s">
        <v>1145</v>
      </c>
      <c r="G505" s="48" t="s">
        <v>725</v>
      </c>
      <c r="H505" s="48" t="s">
        <v>725</v>
      </c>
    </row>
    <row r="506" spans="1:8" x14ac:dyDescent="0.25">
      <c r="A506" s="49">
        <v>8200610</v>
      </c>
      <c r="D506" s="45" t="s">
        <v>573</v>
      </c>
      <c r="E506" s="27" t="s">
        <v>580</v>
      </c>
      <c r="F506" s="28" t="s">
        <v>1145</v>
      </c>
      <c r="G506" s="48" t="s">
        <v>725</v>
      </c>
      <c r="H506" s="48" t="s">
        <v>725</v>
      </c>
    </row>
    <row r="507" spans="1:8" x14ac:dyDescent="0.25">
      <c r="A507" s="49">
        <v>8201030</v>
      </c>
      <c r="D507" s="45" t="s">
        <v>17</v>
      </c>
      <c r="E507" s="27" t="s">
        <v>581</v>
      </c>
      <c r="F507" s="28" t="s">
        <v>1145</v>
      </c>
      <c r="G507" s="48" t="s">
        <v>725</v>
      </c>
      <c r="H507" s="48" t="s">
        <v>725</v>
      </c>
    </row>
    <row r="508" spans="1:8" x14ac:dyDescent="0.25">
      <c r="A508" s="49">
        <v>8201110</v>
      </c>
      <c r="D508" s="45" t="s">
        <v>573</v>
      </c>
      <c r="E508" s="27" t="s">
        <v>582</v>
      </c>
      <c r="F508" s="28" t="s">
        <v>1145</v>
      </c>
      <c r="G508" s="48" t="s">
        <v>725</v>
      </c>
      <c r="H508" s="48" t="s">
        <v>725</v>
      </c>
    </row>
    <row r="509" spans="1:8" x14ac:dyDescent="0.25">
      <c r="A509" s="49">
        <v>8201111</v>
      </c>
      <c r="D509" s="45" t="s">
        <v>17</v>
      </c>
      <c r="E509" s="27" t="s">
        <v>583</v>
      </c>
      <c r="F509" s="28" t="s">
        <v>1145</v>
      </c>
      <c r="G509" s="48" t="s">
        <v>725</v>
      </c>
      <c r="H509" s="48" t="s">
        <v>725</v>
      </c>
    </row>
    <row r="510" spans="1:8" x14ac:dyDescent="0.25">
      <c r="A510" s="49">
        <v>8202010</v>
      </c>
      <c r="D510" s="45" t="s">
        <v>17</v>
      </c>
      <c r="E510" s="27" t="s">
        <v>584</v>
      </c>
      <c r="F510" s="28" t="s">
        <v>1145</v>
      </c>
      <c r="G510" s="48" t="s">
        <v>725</v>
      </c>
      <c r="H510" s="48" t="s">
        <v>725</v>
      </c>
    </row>
    <row r="511" spans="1:8" x14ac:dyDescent="0.25">
      <c r="A511" s="49">
        <v>8202012</v>
      </c>
      <c r="D511" s="45" t="s">
        <v>17</v>
      </c>
      <c r="E511" s="27" t="s">
        <v>585</v>
      </c>
      <c r="F511" s="28" t="s">
        <v>1145</v>
      </c>
      <c r="G511" s="48" t="s">
        <v>725</v>
      </c>
      <c r="H511" s="48" t="s">
        <v>725</v>
      </c>
    </row>
    <row r="512" spans="1:8" x14ac:dyDescent="0.25">
      <c r="A512" s="49">
        <v>8201790</v>
      </c>
      <c r="D512" s="45" t="s">
        <v>586</v>
      </c>
      <c r="E512" s="257" t="s">
        <v>587</v>
      </c>
      <c r="F512" s="28" t="s">
        <v>1145</v>
      </c>
      <c r="G512" s="48" t="s">
        <v>725</v>
      </c>
      <c r="H512" s="48" t="s">
        <v>725</v>
      </c>
    </row>
    <row r="513" spans="1:8" x14ac:dyDescent="0.25">
      <c r="A513" s="49">
        <v>5002394</v>
      </c>
      <c r="D513" s="45" t="s">
        <v>17</v>
      </c>
      <c r="E513" s="27" t="s">
        <v>588</v>
      </c>
      <c r="F513" s="28" t="s">
        <v>1145</v>
      </c>
      <c r="G513" s="48" t="s">
        <v>725</v>
      </c>
      <c r="H513" s="48" t="s">
        <v>725</v>
      </c>
    </row>
    <row r="514" spans="1:8" x14ac:dyDescent="0.25">
      <c r="A514" s="49">
        <v>8204260</v>
      </c>
      <c r="C514" s="45"/>
      <c r="D514" s="45" t="s">
        <v>589</v>
      </c>
      <c r="E514" s="257" t="s">
        <v>590</v>
      </c>
      <c r="F514" s="28" t="s">
        <v>1145</v>
      </c>
      <c r="G514" s="48" t="s">
        <v>725</v>
      </c>
      <c r="H514" s="48" t="s">
        <v>725</v>
      </c>
    </row>
    <row r="515" spans="1:8" x14ac:dyDescent="0.25">
      <c r="A515" s="49">
        <v>8204280</v>
      </c>
      <c r="D515" s="45" t="s">
        <v>4</v>
      </c>
      <c r="E515" s="27" t="s">
        <v>591</v>
      </c>
      <c r="F515" s="28" t="s">
        <v>1145</v>
      </c>
      <c r="G515" s="48" t="s">
        <v>725</v>
      </c>
      <c r="H515" s="48" t="s">
        <v>725</v>
      </c>
    </row>
    <row r="516" spans="1:8" x14ac:dyDescent="0.25">
      <c r="A516" s="51">
        <v>8200490</v>
      </c>
      <c r="D516" s="45" t="s">
        <v>17</v>
      </c>
      <c r="E516" s="50" t="s">
        <v>592</v>
      </c>
      <c r="F516" s="28" t="s">
        <v>1145</v>
      </c>
      <c r="G516" s="48" t="s">
        <v>725</v>
      </c>
      <c r="H516" s="48" t="s">
        <v>725</v>
      </c>
    </row>
    <row r="517" spans="1:8" x14ac:dyDescent="0.25">
      <c r="A517" s="49">
        <v>3406565</v>
      </c>
      <c r="C517" s="45"/>
      <c r="D517" s="45" t="s">
        <v>17</v>
      </c>
      <c r="E517" s="257" t="s">
        <v>593</v>
      </c>
      <c r="F517" s="28" t="s">
        <v>1145</v>
      </c>
      <c r="G517" s="48" t="s">
        <v>725</v>
      </c>
      <c r="H517" s="48" t="s">
        <v>725</v>
      </c>
    </row>
    <row r="518" spans="1:8" x14ac:dyDescent="0.25">
      <c r="A518" s="49">
        <v>8206270</v>
      </c>
      <c r="C518" s="45"/>
      <c r="D518" s="45" t="s">
        <v>30</v>
      </c>
      <c r="E518" s="257" t="s">
        <v>825</v>
      </c>
      <c r="F518" s="28" t="s">
        <v>1142</v>
      </c>
      <c r="G518" s="48" t="s">
        <v>826</v>
      </c>
      <c r="H518" s="48">
        <v>30.48</v>
      </c>
    </row>
    <row r="519" spans="1:8" x14ac:dyDescent="0.25">
      <c r="A519" s="49">
        <v>8206271</v>
      </c>
      <c r="C519" s="45"/>
      <c r="D519" s="45" t="s">
        <v>30</v>
      </c>
      <c r="E519" s="257" t="s">
        <v>827</v>
      </c>
      <c r="F519" s="28" t="s">
        <v>1142</v>
      </c>
      <c r="G519" s="48" t="s">
        <v>826</v>
      </c>
      <c r="H519" s="48">
        <v>30.48</v>
      </c>
    </row>
    <row r="520" spans="1:8" x14ac:dyDescent="0.25">
      <c r="A520" s="49">
        <v>8205267</v>
      </c>
      <c r="C520" s="45"/>
      <c r="D520" s="45" t="s">
        <v>30</v>
      </c>
      <c r="E520" s="257" t="s">
        <v>828</v>
      </c>
      <c r="F520" s="28" t="s">
        <v>1142</v>
      </c>
      <c r="G520" s="48" t="s">
        <v>826</v>
      </c>
      <c r="H520" s="48">
        <v>30.48</v>
      </c>
    </row>
    <row r="521" spans="1:8" x14ac:dyDescent="0.25">
      <c r="A521" s="49">
        <v>8206230</v>
      </c>
      <c r="C521" s="45"/>
      <c r="D521" s="45" t="s">
        <v>4</v>
      </c>
      <c r="E521" s="257" t="s">
        <v>829</v>
      </c>
      <c r="F521" s="28" t="s">
        <v>1144</v>
      </c>
      <c r="G521" s="48" t="s">
        <v>830</v>
      </c>
      <c r="H521" s="48">
        <v>9750</v>
      </c>
    </row>
    <row r="522" spans="1:8" x14ac:dyDescent="0.25">
      <c r="A522" s="49">
        <v>8206300</v>
      </c>
      <c r="C522" s="45"/>
      <c r="D522" s="45" t="s">
        <v>17</v>
      </c>
      <c r="E522" s="257" t="s">
        <v>850</v>
      </c>
      <c r="F522" s="28" t="s">
        <v>1145</v>
      </c>
      <c r="G522" s="48" t="s">
        <v>725</v>
      </c>
      <c r="H522" s="48" t="s">
        <v>725</v>
      </c>
    </row>
    <row r="523" spans="1:8" x14ac:dyDescent="0.25">
      <c r="A523" s="49">
        <v>8206301</v>
      </c>
      <c r="C523" s="45"/>
      <c r="D523" s="45" t="s">
        <v>17</v>
      </c>
      <c r="E523" s="257" t="s">
        <v>851</v>
      </c>
      <c r="F523" s="28" t="s">
        <v>1145</v>
      </c>
      <c r="G523" s="48" t="s">
        <v>725</v>
      </c>
      <c r="H523" s="48" t="s">
        <v>725</v>
      </c>
    </row>
    <row r="524" spans="1:8" x14ac:dyDescent="0.25">
      <c r="A524" s="49">
        <v>8206280</v>
      </c>
      <c r="C524" s="45"/>
      <c r="D524" s="45" t="s">
        <v>589</v>
      </c>
      <c r="E524" s="257" t="s">
        <v>852</v>
      </c>
      <c r="F524" s="28" t="s">
        <v>1145</v>
      </c>
      <c r="G524" s="48" t="s">
        <v>725</v>
      </c>
      <c r="H524" s="48" t="s">
        <v>725</v>
      </c>
    </row>
    <row r="525" spans="1:8" x14ac:dyDescent="0.25">
      <c r="A525" s="49">
        <v>8206370</v>
      </c>
      <c r="C525" s="45"/>
      <c r="D525" s="45" t="s">
        <v>30</v>
      </c>
      <c r="E525" s="257" t="s">
        <v>853</v>
      </c>
      <c r="F525" s="28" t="s">
        <v>1140</v>
      </c>
      <c r="G525" s="48" t="s">
        <v>612</v>
      </c>
      <c r="H525" s="48">
        <v>30.48</v>
      </c>
    </row>
    <row r="526" spans="1:8" x14ac:dyDescent="0.25">
      <c r="A526" s="49">
        <v>8205750</v>
      </c>
      <c r="C526" s="45"/>
      <c r="D526" s="45" t="s">
        <v>17</v>
      </c>
      <c r="E526" s="257" t="s">
        <v>878</v>
      </c>
      <c r="F526" s="28" t="s">
        <v>1141</v>
      </c>
      <c r="G526" s="48" t="s">
        <v>830</v>
      </c>
      <c r="H526" s="48">
        <v>6450</v>
      </c>
    </row>
    <row r="527" spans="1:8" x14ac:dyDescent="0.25">
      <c r="A527" s="49">
        <v>8205110</v>
      </c>
      <c r="C527" s="45"/>
      <c r="D527" s="45" t="s">
        <v>4</v>
      </c>
      <c r="E527" s="257" t="s">
        <v>594</v>
      </c>
      <c r="F527" s="28" t="s">
        <v>1145</v>
      </c>
      <c r="G527" s="48" t="s">
        <v>725</v>
      </c>
      <c r="H527" s="48" t="s">
        <v>725</v>
      </c>
    </row>
    <row r="528" spans="1:8" x14ac:dyDescent="0.25">
      <c r="A528" s="265">
        <v>8205961</v>
      </c>
      <c r="B528" s="55"/>
      <c r="C528" s="60"/>
      <c r="D528" s="60" t="s">
        <v>30</v>
      </c>
      <c r="E528" s="266" t="s">
        <v>1146</v>
      </c>
      <c r="F528" s="55" t="s">
        <v>1142</v>
      </c>
    </row>
    <row r="529" spans="1:8" x14ac:dyDescent="0.25">
      <c r="A529" s="265">
        <v>8201282</v>
      </c>
      <c r="B529" s="55"/>
      <c r="C529" s="60"/>
      <c r="D529" s="60" t="s">
        <v>30</v>
      </c>
      <c r="E529" s="266" t="s">
        <v>1154</v>
      </c>
      <c r="F529" s="55" t="s">
        <v>1142</v>
      </c>
      <c r="G529" s="24" t="s">
        <v>826</v>
      </c>
      <c r="H529" s="26">
        <v>30.48</v>
      </c>
    </row>
    <row r="530" spans="1:8" x14ac:dyDescent="0.25">
      <c r="A530" s="346">
        <v>8206720</v>
      </c>
      <c r="B530" s="347"/>
      <c r="C530" s="348"/>
      <c r="D530" s="348" t="s">
        <v>30</v>
      </c>
      <c r="E530" s="349" t="s">
        <v>1274</v>
      </c>
      <c r="F530" s="347" t="s">
        <v>1142</v>
      </c>
      <c r="G530" s="350">
        <v>1</v>
      </c>
      <c r="H530" s="350">
        <v>30.48</v>
      </c>
    </row>
    <row r="531" spans="1:8" x14ac:dyDescent="0.25">
      <c r="A531" s="25"/>
      <c r="B531" s="26"/>
      <c r="C531" s="26"/>
      <c r="D531" s="26"/>
      <c r="E531" s="26"/>
      <c r="F531" s="26"/>
    </row>
    <row r="532" spans="1:8" x14ac:dyDescent="0.25">
      <c r="A532" s="25"/>
      <c r="B532" s="26"/>
      <c r="C532" s="26"/>
      <c r="D532" s="26"/>
      <c r="E532" s="26"/>
      <c r="F532" s="26"/>
    </row>
    <row r="533" spans="1:8" x14ac:dyDescent="0.25">
      <c r="A533" s="25"/>
      <c r="B533" s="26"/>
      <c r="C533" s="26"/>
      <c r="D533" s="26"/>
      <c r="E533" s="26"/>
      <c r="F533" s="26"/>
    </row>
    <row r="534" spans="1:8" x14ac:dyDescent="0.25">
      <c r="A534" s="25"/>
      <c r="B534" s="26"/>
      <c r="C534" s="26"/>
      <c r="D534" s="26"/>
      <c r="E534" s="26"/>
      <c r="F534" s="26"/>
    </row>
    <row r="535" spans="1:8" x14ac:dyDescent="0.25">
      <c r="A535" s="25"/>
      <c r="B535" s="26"/>
      <c r="C535" s="26"/>
      <c r="D535" s="26"/>
      <c r="E535" s="26"/>
      <c r="F535" s="26"/>
    </row>
    <row r="536" spans="1:8" x14ac:dyDescent="0.25">
      <c r="A536" s="25"/>
      <c r="B536" s="26"/>
      <c r="C536" s="26"/>
      <c r="D536" s="26"/>
      <c r="E536" s="26"/>
      <c r="F536" s="26"/>
    </row>
    <row r="537" spans="1:8" x14ac:dyDescent="0.25">
      <c r="A537" s="25"/>
      <c r="B537" s="26"/>
      <c r="C537" s="26"/>
      <c r="D537" s="26"/>
      <c r="E537" s="26"/>
      <c r="F537" s="26"/>
    </row>
    <row r="538" spans="1:8" x14ac:dyDescent="0.25">
      <c r="A538" s="25"/>
      <c r="B538" s="26"/>
      <c r="C538" s="26"/>
      <c r="D538" s="26"/>
      <c r="E538" s="26"/>
      <c r="F538" s="26"/>
    </row>
    <row r="539" spans="1:8" x14ac:dyDescent="0.25">
      <c r="A539" s="25"/>
      <c r="B539" s="26"/>
      <c r="C539" s="26"/>
      <c r="D539" s="26"/>
      <c r="E539" s="26"/>
      <c r="F539" s="26"/>
    </row>
    <row r="540" spans="1:8" x14ac:dyDescent="0.25">
      <c r="A540" s="25"/>
      <c r="B540" s="26"/>
      <c r="C540" s="26"/>
      <c r="D540" s="26"/>
      <c r="E540" s="26"/>
      <c r="F540" s="26"/>
    </row>
    <row r="541" spans="1:8" x14ac:dyDescent="0.25">
      <c r="A541" s="25"/>
      <c r="B541" s="26"/>
      <c r="C541" s="26"/>
      <c r="D541" s="26"/>
      <c r="E541" s="26"/>
      <c r="F541" s="26"/>
    </row>
    <row r="542" spans="1:8" x14ac:dyDescent="0.25">
      <c r="A542" s="25"/>
      <c r="B542" s="26"/>
      <c r="C542" s="26"/>
      <c r="D542" s="26"/>
      <c r="E542" s="26"/>
      <c r="F542" s="26"/>
    </row>
    <row r="543" spans="1:8" x14ac:dyDescent="0.25">
      <c r="A543" s="25"/>
      <c r="B543" s="26"/>
      <c r="C543" s="26"/>
      <c r="D543" s="26"/>
      <c r="E543" s="26"/>
      <c r="F543" s="26"/>
    </row>
    <row r="544" spans="1:8" x14ac:dyDescent="0.25">
      <c r="A544" s="25"/>
      <c r="B544" s="26"/>
      <c r="C544" s="26"/>
      <c r="D544" s="26"/>
      <c r="E544" s="26"/>
      <c r="F544" s="26"/>
    </row>
    <row r="545" spans="1:6" x14ac:dyDescent="0.25">
      <c r="A545" s="25"/>
      <c r="B545" s="26"/>
      <c r="C545" s="26"/>
      <c r="D545" s="26"/>
      <c r="E545" s="26"/>
      <c r="F545" s="26"/>
    </row>
    <row r="546" spans="1:6" x14ac:dyDescent="0.25">
      <c r="A546" s="25"/>
      <c r="B546" s="26"/>
      <c r="C546" s="26"/>
      <c r="D546" s="26"/>
      <c r="E546" s="26"/>
      <c r="F546" s="26"/>
    </row>
    <row r="547" spans="1:6" x14ac:dyDescent="0.25">
      <c r="A547" s="25"/>
      <c r="B547" s="26"/>
      <c r="C547" s="26"/>
      <c r="D547" s="26"/>
      <c r="E547" s="26"/>
      <c r="F547" s="26"/>
    </row>
    <row r="548" spans="1:6" x14ac:dyDescent="0.25">
      <c r="A548" s="25"/>
      <c r="B548" s="26"/>
      <c r="C548" s="26"/>
      <c r="D548" s="26"/>
      <c r="E548" s="26"/>
      <c r="F548" s="26"/>
    </row>
    <row r="549" spans="1:6" x14ac:dyDescent="0.25">
      <c r="A549" s="25"/>
      <c r="B549" s="26"/>
      <c r="C549" s="26"/>
      <c r="D549" s="26"/>
      <c r="E549" s="26"/>
      <c r="F549" s="26"/>
    </row>
    <row r="550" spans="1:6" x14ac:dyDescent="0.25">
      <c r="A550" s="25"/>
      <c r="B550" s="26"/>
      <c r="C550" s="26"/>
      <c r="D550" s="26"/>
      <c r="E550" s="26"/>
      <c r="F550" s="26"/>
    </row>
    <row r="551" spans="1:6" x14ac:dyDescent="0.25">
      <c r="A551" s="25"/>
      <c r="B551" s="26"/>
      <c r="C551" s="26"/>
      <c r="D551" s="26"/>
      <c r="E551" s="26"/>
      <c r="F551" s="26"/>
    </row>
    <row r="552" spans="1:6" x14ac:dyDescent="0.25">
      <c r="A552" s="25"/>
      <c r="B552" s="26"/>
      <c r="C552" s="26"/>
      <c r="D552" s="26"/>
      <c r="E552" s="26"/>
      <c r="F552" s="26"/>
    </row>
    <row r="553" spans="1:6" x14ac:dyDescent="0.25">
      <c r="A553" s="25"/>
      <c r="B553" s="26"/>
      <c r="C553" s="26"/>
      <c r="D553" s="26"/>
      <c r="E553" s="26"/>
      <c r="F553" s="26"/>
    </row>
    <row r="554" spans="1:6" x14ac:dyDescent="0.25">
      <c r="A554" s="25"/>
      <c r="B554" s="26"/>
      <c r="C554" s="26"/>
      <c r="D554" s="26"/>
      <c r="E554" s="26"/>
      <c r="F554" s="26"/>
    </row>
    <row r="555" spans="1:6" x14ac:dyDescent="0.25">
      <c r="A555" s="25"/>
      <c r="B555" s="26"/>
      <c r="C555" s="26"/>
      <c r="D555" s="26"/>
      <c r="E555" s="26"/>
      <c r="F555" s="26"/>
    </row>
    <row r="556" spans="1:6" x14ac:dyDescent="0.25">
      <c r="A556" s="25"/>
      <c r="B556" s="26"/>
      <c r="C556" s="26"/>
      <c r="D556" s="26"/>
      <c r="E556" s="26"/>
      <c r="F556" s="26"/>
    </row>
    <row r="557" spans="1:6" x14ac:dyDescent="0.25">
      <c r="A557" s="25"/>
      <c r="B557" s="26"/>
      <c r="C557" s="26"/>
      <c r="D557" s="26"/>
      <c r="E557" s="26"/>
      <c r="F557" s="26"/>
    </row>
    <row r="558" spans="1:6" x14ac:dyDescent="0.25">
      <c r="A558" s="25"/>
      <c r="B558" s="26"/>
      <c r="C558" s="26"/>
      <c r="D558" s="26"/>
      <c r="E558" s="26"/>
      <c r="F558" s="26"/>
    </row>
    <row r="559" spans="1:6" x14ac:dyDescent="0.25">
      <c r="A559" s="25"/>
      <c r="B559" s="26"/>
      <c r="C559" s="26"/>
      <c r="D559" s="26"/>
      <c r="E559" s="26"/>
      <c r="F559" s="26"/>
    </row>
    <row r="560" spans="1:6" x14ac:dyDescent="0.25">
      <c r="A560" s="25"/>
      <c r="B560" s="26"/>
      <c r="C560" s="26"/>
      <c r="D560" s="26"/>
      <c r="E560" s="26"/>
      <c r="F560" s="26"/>
    </row>
    <row r="561" spans="1:6" x14ac:dyDescent="0.25">
      <c r="A561" s="25"/>
      <c r="B561" s="26"/>
      <c r="C561" s="26"/>
      <c r="D561" s="26"/>
      <c r="E561" s="26"/>
      <c r="F561" s="26"/>
    </row>
    <row r="562" spans="1:6" x14ac:dyDescent="0.25">
      <c r="A562" s="25"/>
      <c r="B562" s="26"/>
      <c r="C562" s="26"/>
      <c r="D562" s="26"/>
      <c r="E562" s="26"/>
      <c r="F562" s="26"/>
    </row>
    <row r="563" spans="1:6" x14ac:dyDescent="0.25">
      <c r="A563" s="25"/>
      <c r="B563" s="26"/>
      <c r="C563" s="26"/>
      <c r="D563" s="26"/>
      <c r="E563" s="26"/>
      <c r="F563" s="26"/>
    </row>
    <row r="564" spans="1:6" x14ac:dyDescent="0.25">
      <c r="A564" s="25"/>
      <c r="B564" s="26"/>
      <c r="C564" s="26"/>
      <c r="D564" s="26"/>
      <c r="E564" s="26"/>
      <c r="F564" s="26"/>
    </row>
    <row r="565" spans="1:6" x14ac:dyDescent="0.25">
      <c r="A565" s="25"/>
      <c r="B565" s="26"/>
      <c r="C565" s="26"/>
      <c r="D565" s="26"/>
      <c r="E565" s="26"/>
      <c r="F565" s="26"/>
    </row>
    <row r="566" spans="1:6" x14ac:dyDescent="0.25">
      <c r="A566" s="25"/>
      <c r="B566" s="26"/>
      <c r="C566" s="26"/>
      <c r="D566" s="26"/>
      <c r="E566" s="26"/>
      <c r="F566" s="26"/>
    </row>
    <row r="567" spans="1:6" x14ac:dyDescent="0.25">
      <c r="A567" s="25"/>
      <c r="B567" s="26"/>
      <c r="C567" s="26"/>
      <c r="D567" s="26"/>
      <c r="E567" s="26"/>
      <c r="F567" s="26"/>
    </row>
    <row r="568" spans="1:6" x14ac:dyDescent="0.25">
      <c r="A568" s="25"/>
      <c r="B568" s="26"/>
      <c r="C568" s="26"/>
      <c r="D568" s="26"/>
      <c r="E568" s="26"/>
      <c r="F568" s="26"/>
    </row>
    <row r="569" spans="1:6" x14ac:dyDescent="0.25">
      <c r="A569" s="25"/>
      <c r="B569" s="26"/>
      <c r="C569" s="26"/>
      <c r="D569" s="26"/>
      <c r="E569" s="26"/>
      <c r="F569" s="26"/>
    </row>
    <row r="570" spans="1:6" x14ac:dyDescent="0.25">
      <c r="A570" s="25"/>
      <c r="B570" s="26"/>
      <c r="C570" s="26"/>
      <c r="D570" s="26"/>
      <c r="E570" s="26"/>
      <c r="F570" s="26"/>
    </row>
    <row r="571" spans="1:6" x14ac:dyDescent="0.25">
      <c r="A571" s="25"/>
      <c r="B571" s="26"/>
      <c r="C571" s="26"/>
      <c r="D571" s="26"/>
      <c r="E571" s="26"/>
      <c r="F571" s="26"/>
    </row>
    <row r="572" spans="1:6" x14ac:dyDescent="0.25">
      <c r="A572" s="25"/>
      <c r="B572" s="26"/>
      <c r="C572" s="26"/>
      <c r="D572" s="26"/>
      <c r="E572" s="26"/>
      <c r="F572" s="26"/>
    </row>
    <row r="573" spans="1:6" x14ac:dyDescent="0.25">
      <c r="A573" s="25"/>
      <c r="B573" s="26"/>
      <c r="C573" s="26"/>
      <c r="D573" s="26"/>
      <c r="E573" s="26"/>
      <c r="F573" s="26"/>
    </row>
    <row r="574" spans="1:6" x14ac:dyDescent="0.25">
      <c r="A574" s="25"/>
      <c r="B574" s="26"/>
      <c r="C574" s="26"/>
      <c r="D574" s="26"/>
      <c r="E574" s="26"/>
      <c r="F574" s="26"/>
    </row>
    <row r="575" spans="1:6" x14ac:dyDescent="0.25">
      <c r="A575" s="25"/>
      <c r="B575" s="26"/>
      <c r="C575" s="26"/>
      <c r="D575" s="26"/>
      <c r="E575" s="26"/>
      <c r="F575" s="26"/>
    </row>
    <row r="576" spans="1:6" x14ac:dyDescent="0.25">
      <c r="A576" s="25"/>
      <c r="B576" s="26"/>
      <c r="C576" s="26"/>
      <c r="D576" s="26"/>
      <c r="E576" s="26"/>
      <c r="F576" s="26"/>
    </row>
    <row r="577" spans="1:6" x14ac:dyDescent="0.25">
      <c r="A577" s="25"/>
      <c r="B577" s="26"/>
      <c r="C577" s="26"/>
      <c r="D577" s="26"/>
      <c r="E577" s="26"/>
      <c r="F577" s="26"/>
    </row>
    <row r="578" spans="1:6" x14ac:dyDescent="0.25">
      <c r="A578" s="25"/>
      <c r="B578" s="26"/>
      <c r="C578" s="26"/>
      <c r="D578" s="26"/>
      <c r="E578" s="26"/>
      <c r="F578" s="26"/>
    </row>
    <row r="579" spans="1:6" x14ac:dyDescent="0.25">
      <c r="A579" s="25"/>
      <c r="B579" s="26"/>
      <c r="C579" s="26"/>
      <c r="D579" s="26"/>
      <c r="E579" s="26"/>
      <c r="F579" s="26"/>
    </row>
    <row r="580" spans="1:6" x14ac:dyDescent="0.25">
      <c r="A580" s="25"/>
      <c r="B580" s="26"/>
      <c r="C580" s="26"/>
      <c r="D580" s="26"/>
      <c r="E580" s="26"/>
      <c r="F580" s="26"/>
    </row>
    <row r="581" spans="1:6" x14ac:dyDescent="0.25">
      <c r="A581" s="25"/>
      <c r="B581" s="26"/>
      <c r="C581" s="26"/>
      <c r="D581" s="26"/>
      <c r="E581" s="26"/>
      <c r="F581" s="26"/>
    </row>
    <row r="582" spans="1:6" x14ac:dyDescent="0.25">
      <c r="A582" s="25"/>
      <c r="B582" s="26"/>
      <c r="C582" s="26"/>
      <c r="D582" s="26"/>
      <c r="E582" s="26"/>
      <c r="F582" s="26"/>
    </row>
    <row r="583" spans="1:6" x14ac:dyDescent="0.25">
      <c r="A583" s="25"/>
      <c r="B583" s="26"/>
      <c r="C583" s="26"/>
      <c r="D583" s="26"/>
      <c r="E583" s="26"/>
      <c r="F583" s="26"/>
    </row>
    <row r="584" spans="1:6" x14ac:dyDescent="0.25">
      <c r="A584" s="25"/>
      <c r="B584" s="26"/>
      <c r="C584" s="26"/>
      <c r="D584" s="26"/>
      <c r="E584" s="26"/>
      <c r="F584" s="26"/>
    </row>
    <row r="585" spans="1:6" x14ac:dyDescent="0.25">
      <c r="A585" s="25"/>
      <c r="B585" s="26"/>
      <c r="C585" s="26"/>
      <c r="D585" s="26"/>
      <c r="E585" s="26"/>
      <c r="F585" s="26"/>
    </row>
    <row r="586" spans="1:6" x14ac:dyDescent="0.25">
      <c r="A586" s="25"/>
      <c r="B586" s="26"/>
      <c r="C586" s="26"/>
      <c r="D586" s="26"/>
      <c r="E586" s="26"/>
      <c r="F586" s="26"/>
    </row>
    <row r="587" spans="1:6" x14ac:dyDescent="0.25">
      <c r="A587" s="25"/>
      <c r="B587" s="26"/>
      <c r="C587" s="26"/>
      <c r="D587" s="26"/>
      <c r="E587" s="26"/>
      <c r="F587" s="26"/>
    </row>
    <row r="588" spans="1:6" x14ac:dyDescent="0.25">
      <c r="A588" s="25"/>
      <c r="B588" s="26"/>
      <c r="C588" s="26"/>
      <c r="D588" s="26"/>
      <c r="E588" s="26"/>
      <c r="F588" s="26"/>
    </row>
    <row r="589" spans="1:6" x14ac:dyDescent="0.25">
      <c r="A589" s="25"/>
      <c r="B589" s="26"/>
      <c r="C589" s="26"/>
      <c r="D589" s="26"/>
      <c r="E589" s="26"/>
      <c r="F589" s="26"/>
    </row>
    <row r="590" spans="1:6" x14ac:dyDescent="0.25">
      <c r="A590" s="25"/>
      <c r="B590" s="26"/>
      <c r="C590" s="26"/>
      <c r="D590" s="26"/>
      <c r="E590" s="26"/>
      <c r="F590" s="26"/>
    </row>
    <row r="591" spans="1:6" x14ac:dyDescent="0.25">
      <c r="A591" s="25"/>
      <c r="B591" s="26"/>
      <c r="C591" s="26"/>
      <c r="D591" s="26"/>
      <c r="E591" s="26"/>
      <c r="F591" s="26"/>
    </row>
    <row r="592" spans="1:6" x14ac:dyDescent="0.25">
      <c r="A592" s="25"/>
      <c r="B592" s="26"/>
      <c r="C592" s="26"/>
      <c r="D592" s="26"/>
      <c r="E592" s="26"/>
      <c r="F592" s="26"/>
    </row>
    <row r="593" spans="1:6" x14ac:dyDescent="0.25">
      <c r="A593" s="25"/>
      <c r="B593" s="26"/>
      <c r="C593" s="26"/>
      <c r="D593" s="26"/>
      <c r="E593" s="26"/>
      <c r="F593" s="26"/>
    </row>
    <row r="594" spans="1:6" x14ac:dyDescent="0.25">
      <c r="A594" s="25"/>
      <c r="B594" s="26"/>
      <c r="C594" s="26"/>
      <c r="D594" s="26"/>
      <c r="E594" s="26"/>
      <c r="F594" s="26"/>
    </row>
    <row r="595" spans="1:6" x14ac:dyDescent="0.25">
      <c r="A595" s="25"/>
      <c r="B595" s="26"/>
      <c r="C595" s="26"/>
      <c r="D595" s="26"/>
      <c r="E595" s="26"/>
      <c r="F595" s="26"/>
    </row>
    <row r="596" spans="1:6" x14ac:dyDescent="0.25">
      <c r="A596" s="25"/>
      <c r="B596" s="26"/>
      <c r="C596" s="26"/>
      <c r="D596" s="26"/>
      <c r="E596" s="26"/>
      <c r="F596" s="26"/>
    </row>
    <row r="597" spans="1:6" x14ac:dyDescent="0.25">
      <c r="A597" s="25"/>
      <c r="B597" s="26"/>
      <c r="C597" s="26"/>
      <c r="D597" s="26"/>
      <c r="E597" s="26"/>
      <c r="F597" s="26"/>
    </row>
    <row r="598" spans="1:6" x14ac:dyDescent="0.25">
      <c r="A598" s="25"/>
      <c r="B598" s="26"/>
      <c r="C598" s="26"/>
      <c r="D598" s="26"/>
      <c r="E598" s="26"/>
      <c r="F598" s="26"/>
    </row>
    <row r="599" spans="1:6" x14ac:dyDescent="0.25">
      <c r="A599" s="25"/>
      <c r="B599" s="26"/>
      <c r="C599" s="26"/>
      <c r="D599" s="26"/>
      <c r="E599" s="26"/>
      <c r="F599" s="26"/>
    </row>
    <row r="600" spans="1:6" x14ac:dyDescent="0.25">
      <c r="A600" s="25"/>
      <c r="B600" s="26"/>
      <c r="C600" s="26"/>
      <c r="D600" s="26"/>
      <c r="E600" s="26"/>
      <c r="F600" s="26"/>
    </row>
    <row r="601" spans="1:6" x14ac:dyDescent="0.25">
      <c r="A601" s="25"/>
      <c r="B601" s="26"/>
      <c r="C601" s="26"/>
      <c r="D601" s="26"/>
      <c r="E601" s="26"/>
      <c r="F601" s="26"/>
    </row>
    <row r="602" spans="1:6" x14ac:dyDescent="0.25">
      <c r="A602" s="25"/>
      <c r="B602" s="26"/>
      <c r="C602" s="26"/>
      <c r="D602" s="26"/>
      <c r="E602" s="26"/>
      <c r="F602" s="26"/>
    </row>
    <row r="603" spans="1:6" x14ac:dyDescent="0.25">
      <c r="A603" s="25"/>
      <c r="B603" s="26"/>
      <c r="C603" s="26"/>
      <c r="D603" s="26"/>
      <c r="E603" s="26"/>
      <c r="F603" s="26"/>
    </row>
    <row r="604" spans="1:6" x14ac:dyDescent="0.25">
      <c r="A604" s="25"/>
      <c r="B604" s="26"/>
      <c r="C604" s="26"/>
      <c r="D604" s="26"/>
      <c r="E604" s="26"/>
      <c r="F604" s="26"/>
    </row>
    <row r="605" spans="1:6" x14ac:dyDescent="0.25">
      <c r="A605" s="25"/>
      <c r="B605" s="26"/>
      <c r="C605" s="26"/>
      <c r="D605" s="26"/>
      <c r="E605" s="26"/>
      <c r="F605" s="26"/>
    </row>
    <row r="606" spans="1:6" x14ac:dyDescent="0.25">
      <c r="A606" s="25"/>
      <c r="B606" s="26"/>
      <c r="C606" s="26"/>
      <c r="D606" s="26"/>
      <c r="E606" s="26"/>
      <c r="F606" s="26"/>
    </row>
    <row r="607" spans="1:6" x14ac:dyDescent="0.25">
      <c r="A607" s="25"/>
      <c r="B607" s="26"/>
      <c r="C607" s="26"/>
      <c r="D607" s="26"/>
      <c r="E607" s="26"/>
      <c r="F607" s="26"/>
    </row>
    <row r="608" spans="1:6" x14ac:dyDescent="0.25">
      <c r="A608" s="25"/>
      <c r="B608" s="26"/>
      <c r="C608" s="26"/>
      <c r="D608" s="26"/>
      <c r="E608" s="26"/>
      <c r="F608" s="26"/>
    </row>
    <row r="609" spans="1:6" x14ac:dyDescent="0.25">
      <c r="A609" s="25"/>
      <c r="B609" s="26"/>
      <c r="C609" s="26"/>
      <c r="D609" s="26"/>
      <c r="E609" s="26"/>
      <c r="F609" s="26"/>
    </row>
    <row r="610" spans="1:6" x14ac:dyDescent="0.25">
      <c r="A610" s="25"/>
      <c r="B610" s="26"/>
      <c r="C610" s="26"/>
      <c r="D610" s="26"/>
      <c r="E610" s="26"/>
      <c r="F610" s="26"/>
    </row>
    <row r="611" spans="1:6" x14ac:dyDescent="0.25">
      <c r="A611" s="25"/>
      <c r="B611" s="26"/>
      <c r="C611" s="26"/>
      <c r="D611" s="26"/>
      <c r="E611" s="26"/>
      <c r="F611" s="26"/>
    </row>
    <row r="612" spans="1:6" x14ac:dyDescent="0.25">
      <c r="A612" s="25"/>
      <c r="B612" s="26"/>
      <c r="C612" s="26"/>
      <c r="D612" s="26"/>
      <c r="E612" s="26"/>
      <c r="F612" s="26"/>
    </row>
    <row r="613" spans="1:6" x14ac:dyDescent="0.25">
      <c r="A613" s="25"/>
      <c r="B613" s="26"/>
      <c r="C613" s="26"/>
      <c r="D613" s="26"/>
      <c r="E613" s="26"/>
      <c r="F613" s="26"/>
    </row>
    <row r="614" spans="1:6" x14ac:dyDescent="0.25">
      <c r="A614" s="25"/>
      <c r="B614" s="26"/>
      <c r="C614" s="26"/>
      <c r="D614" s="26"/>
      <c r="E614" s="26"/>
      <c r="F614" s="26"/>
    </row>
    <row r="615" spans="1:6" x14ac:dyDescent="0.25">
      <c r="A615" s="25"/>
      <c r="B615" s="26"/>
      <c r="C615" s="26"/>
      <c r="D615" s="26"/>
      <c r="E615" s="26"/>
      <c r="F615" s="26"/>
    </row>
    <row r="616" spans="1:6" x14ac:dyDescent="0.25">
      <c r="A616" s="25"/>
      <c r="B616" s="26"/>
      <c r="C616" s="26"/>
      <c r="D616" s="26"/>
      <c r="E616" s="26"/>
      <c r="F616" s="26"/>
    </row>
    <row r="617" spans="1:6" x14ac:dyDescent="0.25">
      <c r="A617" s="25"/>
      <c r="B617" s="26"/>
      <c r="C617" s="26"/>
      <c r="D617" s="26"/>
      <c r="E617" s="26"/>
      <c r="F617" s="26"/>
    </row>
    <row r="618" spans="1:6" x14ac:dyDescent="0.25">
      <c r="A618" s="25"/>
      <c r="B618" s="26"/>
      <c r="C618" s="26"/>
      <c r="D618" s="26"/>
      <c r="E618" s="26"/>
      <c r="F618" s="26"/>
    </row>
    <row r="619" spans="1:6" x14ac:dyDescent="0.25">
      <c r="A619" s="25"/>
      <c r="B619" s="26"/>
      <c r="C619" s="26"/>
      <c r="D619" s="26"/>
      <c r="E619" s="26"/>
      <c r="F619" s="26"/>
    </row>
    <row r="620" spans="1:6" x14ac:dyDescent="0.25">
      <c r="A620" s="25"/>
      <c r="B620" s="26"/>
      <c r="C620" s="26"/>
      <c r="D620" s="26"/>
      <c r="E620" s="26"/>
      <c r="F620" s="26"/>
    </row>
    <row r="621" spans="1:6" x14ac:dyDescent="0.25">
      <c r="A621" s="25"/>
      <c r="B621" s="26"/>
      <c r="C621" s="26"/>
      <c r="D621" s="26"/>
      <c r="E621" s="26"/>
      <c r="F621" s="26"/>
    </row>
    <row r="622" spans="1:6" x14ac:dyDescent="0.25">
      <c r="A622" s="25"/>
      <c r="B622" s="26"/>
      <c r="C622" s="26"/>
      <c r="D622" s="26"/>
      <c r="E622" s="26"/>
      <c r="F622" s="26"/>
    </row>
    <row r="623" spans="1:6" x14ac:dyDescent="0.25">
      <c r="A623" s="25"/>
      <c r="B623" s="26"/>
      <c r="C623" s="26"/>
      <c r="D623" s="26"/>
      <c r="E623" s="26"/>
      <c r="F623" s="26"/>
    </row>
    <row r="624" spans="1:6" x14ac:dyDescent="0.25">
      <c r="A624" s="25"/>
      <c r="B624" s="26"/>
      <c r="C624" s="26"/>
      <c r="D624" s="26"/>
      <c r="E624" s="26"/>
      <c r="F624" s="26"/>
    </row>
    <row r="625" spans="1:6" x14ac:dyDescent="0.25">
      <c r="A625" s="25"/>
      <c r="B625" s="26"/>
      <c r="C625" s="26"/>
      <c r="D625" s="26"/>
      <c r="E625" s="26"/>
      <c r="F625" s="26"/>
    </row>
    <row r="626" spans="1:6" x14ac:dyDescent="0.25">
      <c r="A626" s="25"/>
      <c r="B626" s="26"/>
      <c r="C626" s="26"/>
      <c r="D626" s="26"/>
      <c r="E626" s="26"/>
      <c r="F626" s="26"/>
    </row>
    <row r="627" spans="1:6" x14ac:dyDescent="0.25">
      <c r="A627" s="25"/>
      <c r="B627" s="26"/>
      <c r="C627" s="26"/>
      <c r="D627" s="26"/>
      <c r="E627" s="26"/>
      <c r="F627" s="26"/>
    </row>
    <row r="628" spans="1:6" x14ac:dyDescent="0.25">
      <c r="A628" s="25"/>
      <c r="B628" s="26"/>
      <c r="C628" s="26"/>
      <c r="D628" s="26"/>
      <c r="E628" s="26"/>
      <c r="F628" s="26"/>
    </row>
    <row r="629" spans="1:6" x14ac:dyDescent="0.25">
      <c r="A629" s="25"/>
      <c r="B629" s="26"/>
      <c r="C629" s="26"/>
      <c r="D629" s="26"/>
      <c r="E629" s="26"/>
      <c r="F629" s="26"/>
    </row>
    <row r="630" spans="1:6" x14ac:dyDescent="0.25">
      <c r="A630" s="25"/>
      <c r="B630" s="26"/>
      <c r="C630" s="26"/>
      <c r="D630" s="26"/>
      <c r="E630" s="26"/>
      <c r="F630" s="26"/>
    </row>
    <row r="631" spans="1:6" x14ac:dyDescent="0.25">
      <c r="A631" s="25"/>
      <c r="B631" s="26"/>
      <c r="C631" s="26"/>
      <c r="D631" s="26"/>
      <c r="E631" s="26"/>
      <c r="F631" s="26"/>
    </row>
    <row r="632" spans="1:6" x14ac:dyDescent="0.25">
      <c r="A632" s="25"/>
      <c r="B632" s="26"/>
      <c r="C632" s="26"/>
      <c r="D632" s="26"/>
      <c r="E632" s="26"/>
      <c r="F632" s="26"/>
    </row>
    <row r="633" spans="1:6" x14ac:dyDescent="0.25">
      <c r="A633" s="25"/>
      <c r="B633" s="26"/>
      <c r="C633" s="26"/>
      <c r="D633" s="26"/>
      <c r="E633" s="26"/>
      <c r="F633" s="26"/>
    </row>
    <row r="634" spans="1:6" x14ac:dyDescent="0.25">
      <c r="A634" s="25"/>
      <c r="B634" s="26"/>
      <c r="C634" s="26"/>
      <c r="D634" s="26"/>
      <c r="E634" s="26"/>
      <c r="F634" s="26"/>
    </row>
    <row r="635" spans="1:6" x14ac:dyDescent="0.25">
      <c r="A635" s="25"/>
      <c r="B635" s="26"/>
      <c r="C635" s="26"/>
      <c r="D635" s="26"/>
      <c r="E635" s="26"/>
      <c r="F635" s="26"/>
    </row>
    <row r="636" spans="1:6" x14ac:dyDescent="0.25">
      <c r="A636" s="25"/>
      <c r="B636" s="26"/>
      <c r="C636" s="26"/>
      <c r="D636" s="26"/>
      <c r="E636" s="26"/>
      <c r="F636" s="26"/>
    </row>
    <row r="637" spans="1:6" x14ac:dyDescent="0.25">
      <c r="A637" s="25"/>
      <c r="B637" s="26"/>
      <c r="C637" s="26"/>
      <c r="D637" s="26"/>
      <c r="E637" s="26"/>
      <c r="F637" s="26"/>
    </row>
    <row r="638" spans="1:6" x14ac:dyDescent="0.25">
      <c r="A638" s="25"/>
      <c r="B638" s="26"/>
      <c r="C638" s="26"/>
      <c r="D638" s="26"/>
      <c r="E638" s="26"/>
      <c r="F638" s="26"/>
    </row>
    <row r="639" spans="1:6" x14ac:dyDescent="0.25">
      <c r="A639" s="25"/>
      <c r="B639" s="26"/>
      <c r="C639" s="26"/>
      <c r="D639" s="26"/>
      <c r="E639" s="26"/>
      <c r="F639" s="26"/>
    </row>
    <row r="640" spans="1:6" x14ac:dyDescent="0.25">
      <c r="A640" s="25"/>
      <c r="B640" s="26"/>
      <c r="C640" s="26"/>
      <c r="D640" s="26"/>
      <c r="E640" s="26"/>
      <c r="F640" s="26"/>
    </row>
    <row r="641" spans="1:6" x14ac:dyDescent="0.25">
      <c r="A641" s="25"/>
      <c r="B641" s="26"/>
      <c r="C641" s="26"/>
      <c r="D641" s="26"/>
      <c r="E641" s="26"/>
      <c r="F641" s="26"/>
    </row>
    <row r="642" spans="1:6" x14ac:dyDescent="0.25">
      <c r="A642" s="25"/>
      <c r="B642" s="26"/>
      <c r="C642" s="26"/>
      <c r="D642" s="26"/>
      <c r="E642" s="26"/>
      <c r="F642" s="26"/>
    </row>
    <row r="643" spans="1:6" x14ac:dyDescent="0.25">
      <c r="A643" s="25"/>
      <c r="B643" s="26"/>
      <c r="C643" s="26"/>
      <c r="D643" s="26"/>
      <c r="E643" s="26"/>
      <c r="F643" s="26"/>
    </row>
    <row r="644" spans="1:6" x14ac:dyDescent="0.25">
      <c r="A644" s="25"/>
      <c r="B644" s="26"/>
      <c r="C644" s="26"/>
      <c r="D644" s="26"/>
      <c r="E644" s="26"/>
      <c r="F644" s="26"/>
    </row>
    <row r="645" spans="1:6" x14ac:dyDescent="0.25">
      <c r="A645" s="25"/>
      <c r="B645" s="26"/>
      <c r="C645" s="26"/>
      <c r="D645" s="26"/>
      <c r="E645" s="26"/>
      <c r="F645" s="26"/>
    </row>
    <row r="646" spans="1:6" x14ac:dyDescent="0.25">
      <c r="A646" s="25"/>
      <c r="B646" s="26"/>
      <c r="C646" s="26"/>
      <c r="D646" s="26"/>
      <c r="E646" s="26"/>
      <c r="F646" s="26"/>
    </row>
    <row r="647" spans="1:6" x14ac:dyDescent="0.25">
      <c r="A647" s="25"/>
      <c r="B647" s="26"/>
      <c r="C647" s="26"/>
      <c r="D647" s="26"/>
      <c r="E647" s="26"/>
      <c r="F647" s="26"/>
    </row>
    <row r="648" spans="1:6" x14ac:dyDescent="0.25">
      <c r="A648" s="25"/>
      <c r="B648" s="26"/>
      <c r="C648" s="26"/>
      <c r="D648" s="26"/>
      <c r="E648" s="26"/>
      <c r="F648" s="26"/>
    </row>
    <row r="649" spans="1:6" x14ac:dyDescent="0.25">
      <c r="A649" s="25"/>
      <c r="B649" s="26"/>
      <c r="C649" s="26"/>
      <c r="D649" s="26"/>
      <c r="E649" s="26"/>
      <c r="F649" s="26"/>
    </row>
    <row r="650" spans="1:6" x14ac:dyDescent="0.25">
      <c r="A650" s="25"/>
      <c r="B650" s="26"/>
      <c r="C650" s="26"/>
      <c r="D650" s="26"/>
      <c r="E650" s="26"/>
      <c r="F650" s="26"/>
    </row>
    <row r="651" spans="1:6" x14ac:dyDescent="0.25">
      <c r="A651" s="25"/>
      <c r="B651" s="26"/>
      <c r="C651" s="26"/>
      <c r="D651" s="26"/>
      <c r="E651" s="26"/>
      <c r="F651" s="26"/>
    </row>
    <row r="652" spans="1:6" x14ac:dyDescent="0.25">
      <c r="A652" s="25"/>
      <c r="B652" s="26"/>
      <c r="C652" s="26"/>
      <c r="D652" s="26"/>
      <c r="E652" s="26"/>
      <c r="F652" s="26"/>
    </row>
    <row r="653" spans="1:6" x14ac:dyDescent="0.25">
      <c r="A653" s="25"/>
      <c r="B653" s="26"/>
      <c r="C653" s="26"/>
      <c r="D653" s="26"/>
      <c r="E653" s="26"/>
      <c r="F653" s="26"/>
    </row>
    <row r="654" spans="1:6" x14ac:dyDescent="0.25">
      <c r="A654" s="25"/>
      <c r="B654" s="26"/>
      <c r="C654" s="26"/>
      <c r="D654" s="26"/>
      <c r="E654" s="26"/>
      <c r="F654" s="26"/>
    </row>
    <row r="655" spans="1:6" x14ac:dyDescent="0.25">
      <c r="A655" s="25"/>
      <c r="B655" s="26"/>
      <c r="C655" s="26"/>
      <c r="D655" s="26"/>
      <c r="E655" s="26"/>
      <c r="F655" s="26"/>
    </row>
    <row r="656" spans="1:6" x14ac:dyDescent="0.25">
      <c r="A656" s="25"/>
      <c r="B656" s="26"/>
      <c r="C656" s="26"/>
      <c r="D656" s="26"/>
      <c r="E656" s="26"/>
      <c r="F656" s="26"/>
    </row>
    <row r="657" spans="1:6" x14ac:dyDescent="0.25">
      <c r="A657" s="25"/>
      <c r="B657" s="26"/>
      <c r="C657" s="26"/>
      <c r="D657" s="26"/>
      <c r="E657" s="26"/>
      <c r="F657" s="26"/>
    </row>
    <row r="658" spans="1:6" x14ac:dyDescent="0.25">
      <c r="A658" s="25"/>
      <c r="B658" s="26"/>
      <c r="C658" s="26"/>
      <c r="D658" s="26"/>
      <c r="E658" s="26"/>
      <c r="F658" s="26"/>
    </row>
    <row r="659" spans="1:6" x14ac:dyDescent="0.25">
      <c r="A659" s="25"/>
      <c r="B659" s="26"/>
      <c r="C659" s="26"/>
      <c r="D659" s="26"/>
      <c r="E659" s="26"/>
      <c r="F659" s="26"/>
    </row>
    <row r="660" spans="1:6" x14ac:dyDescent="0.25">
      <c r="A660" s="25"/>
      <c r="B660" s="26"/>
      <c r="C660" s="26"/>
      <c r="D660" s="26"/>
      <c r="E660" s="26"/>
      <c r="F660" s="26"/>
    </row>
    <row r="661" spans="1:6" x14ac:dyDescent="0.25">
      <c r="A661" s="25"/>
      <c r="B661" s="26"/>
      <c r="C661" s="26"/>
      <c r="D661" s="26"/>
      <c r="E661" s="26"/>
      <c r="F661" s="26"/>
    </row>
    <row r="662" spans="1:6" x14ac:dyDescent="0.25">
      <c r="A662" s="25"/>
      <c r="B662" s="26"/>
      <c r="C662" s="26"/>
      <c r="D662" s="26"/>
      <c r="E662" s="26"/>
      <c r="F662" s="26"/>
    </row>
    <row r="663" spans="1:6" x14ac:dyDescent="0.25">
      <c r="A663" s="25"/>
      <c r="B663" s="26"/>
      <c r="C663" s="26"/>
      <c r="D663" s="26"/>
      <c r="E663" s="26"/>
      <c r="F663" s="26"/>
    </row>
    <row r="664" spans="1:6" x14ac:dyDescent="0.25">
      <c r="A664" s="25"/>
      <c r="B664" s="26"/>
      <c r="C664" s="26"/>
      <c r="D664" s="26"/>
      <c r="E664" s="26"/>
      <c r="F664" s="26"/>
    </row>
    <row r="665" spans="1:6" x14ac:dyDescent="0.25">
      <c r="A665" s="25"/>
      <c r="B665" s="26"/>
      <c r="C665" s="26"/>
      <c r="D665" s="26"/>
      <c r="E665" s="26"/>
      <c r="F665" s="26"/>
    </row>
    <row r="666" spans="1:6" x14ac:dyDescent="0.25">
      <c r="A666" s="25"/>
      <c r="B666" s="26"/>
      <c r="C666" s="26"/>
      <c r="D666" s="26"/>
      <c r="E666" s="26"/>
      <c r="F666" s="26"/>
    </row>
    <row r="667" spans="1:6" x14ac:dyDescent="0.25">
      <c r="A667" s="25"/>
      <c r="B667" s="26"/>
      <c r="C667" s="26"/>
      <c r="D667" s="26"/>
      <c r="E667" s="26"/>
      <c r="F667" s="26"/>
    </row>
    <row r="668" spans="1:6" x14ac:dyDescent="0.25">
      <c r="A668" s="25"/>
      <c r="B668" s="26"/>
      <c r="C668" s="26"/>
      <c r="D668" s="26"/>
      <c r="E668" s="26"/>
      <c r="F668" s="26"/>
    </row>
    <row r="669" spans="1:6" x14ac:dyDescent="0.25">
      <c r="A669" s="25"/>
      <c r="B669" s="26"/>
      <c r="C669" s="26"/>
      <c r="D669" s="26"/>
      <c r="E669" s="26"/>
      <c r="F669" s="26"/>
    </row>
    <row r="670" spans="1:6" x14ac:dyDescent="0.25">
      <c r="A670" s="25"/>
      <c r="B670" s="26"/>
      <c r="C670" s="26"/>
      <c r="D670" s="26"/>
      <c r="E670" s="26"/>
      <c r="F670" s="26"/>
    </row>
    <row r="671" spans="1:6" x14ac:dyDescent="0.25">
      <c r="A671" s="25"/>
      <c r="B671" s="26"/>
      <c r="C671" s="26"/>
      <c r="D671" s="26"/>
      <c r="E671" s="26"/>
      <c r="F671" s="26"/>
    </row>
    <row r="672" spans="1:6" x14ac:dyDescent="0.25">
      <c r="A672" s="25"/>
      <c r="B672" s="26"/>
      <c r="C672" s="26"/>
      <c r="D672" s="26"/>
      <c r="E672" s="26"/>
      <c r="F672" s="26"/>
    </row>
    <row r="673" spans="1:6" x14ac:dyDescent="0.25">
      <c r="A673" s="25"/>
      <c r="B673" s="26"/>
      <c r="C673" s="26"/>
      <c r="D673" s="26"/>
      <c r="E673" s="26"/>
      <c r="F673" s="26"/>
    </row>
    <row r="674" spans="1:6" x14ac:dyDescent="0.25">
      <c r="A674" s="25"/>
      <c r="B674" s="26"/>
      <c r="C674" s="26"/>
      <c r="D674" s="26"/>
      <c r="E674" s="26"/>
      <c r="F674" s="26"/>
    </row>
    <row r="675" spans="1:6" x14ac:dyDescent="0.25">
      <c r="A675" s="25"/>
      <c r="B675" s="26"/>
      <c r="C675" s="26"/>
      <c r="D675" s="26"/>
      <c r="E675" s="26"/>
      <c r="F675" s="26"/>
    </row>
    <row r="676" spans="1:6" x14ac:dyDescent="0.25">
      <c r="A676" s="25"/>
      <c r="B676" s="26"/>
      <c r="C676" s="26"/>
      <c r="D676" s="26"/>
      <c r="E676" s="26"/>
      <c r="F676" s="26"/>
    </row>
    <row r="677" spans="1:6" x14ac:dyDescent="0.25">
      <c r="A677" s="25"/>
      <c r="B677" s="26"/>
      <c r="C677" s="26"/>
      <c r="D677" s="26"/>
      <c r="E677" s="26"/>
      <c r="F677" s="26"/>
    </row>
    <row r="678" spans="1:6" x14ac:dyDescent="0.25">
      <c r="A678" s="25"/>
      <c r="B678" s="26"/>
      <c r="C678" s="26"/>
      <c r="D678" s="26"/>
      <c r="E678" s="26"/>
      <c r="F678" s="26"/>
    </row>
    <row r="679" spans="1:6" x14ac:dyDescent="0.25">
      <c r="A679" s="25"/>
      <c r="B679" s="26"/>
      <c r="C679" s="26"/>
      <c r="D679" s="26"/>
      <c r="E679" s="26"/>
      <c r="F679" s="26"/>
    </row>
    <row r="680" spans="1:6" x14ac:dyDescent="0.25">
      <c r="A680" s="25"/>
      <c r="B680" s="26"/>
      <c r="C680" s="26"/>
      <c r="D680" s="26"/>
      <c r="E680" s="26"/>
      <c r="F680" s="26"/>
    </row>
    <row r="681" spans="1:6" x14ac:dyDescent="0.25">
      <c r="A681" s="25"/>
      <c r="B681" s="26"/>
      <c r="C681" s="26"/>
      <c r="D681" s="26"/>
      <c r="E681" s="26"/>
      <c r="F681" s="26"/>
    </row>
    <row r="682" spans="1:6" x14ac:dyDescent="0.25">
      <c r="A682" s="25"/>
      <c r="B682" s="26"/>
      <c r="C682" s="26"/>
      <c r="D682" s="26"/>
      <c r="E682" s="26"/>
      <c r="F682" s="26"/>
    </row>
    <row r="683" spans="1:6" x14ac:dyDescent="0.25">
      <c r="A683" s="25"/>
      <c r="B683" s="26"/>
      <c r="C683" s="26"/>
      <c r="D683" s="26"/>
      <c r="E683" s="26"/>
      <c r="F683" s="26"/>
    </row>
    <row r="684" spans="1:6" x14ac:dyDescent="0.25">
      <c r="A684" s="25"/>
      <c r="B684" s="26"/>
      <c r="C684" s="26"/>
      <c r="D684" s="26"/>
      <c r="E684" s="26"/>
      <c r="F684" s="26"/>
    </row>
    <row r="685" spans="1:6" x14ac:dyDescent="0.25">
      <c r="A685" s="25"/>
      <c r="B685" s="26"/>
      <c r="C685" s="26"/>
      <c r="D685" s="26"/>
      <c r="E685" s="26"/>
      <c r="F685" s="26"/>
    </row>
    <row r="686" spans="1:6" x14ac:dyDescent="0.25">
      <c r="A686" s="25"/>
      <c r="B686" s="26"/>
      <c r="C686" s="26"/>
      <c r="D686" s="26"/>
      <c r="E686" s="26"/>
      <c r="F686" s="26"/>
    </row>
    <row r="687" spans="1:6" x14ac:dyDescent="0.25">
      <c r="A687" s="25"/>
      <c r="B687" s="26"/>
      <c r="C687" s="26"/>
      <c r="D687" s="26"/>
      <c r="E687" s="26"/>
      <c r="F687" s="26"/>
    </row>
    <row r="688" spans="1:6" x14ac:dyDescent="0.25">
      <c r="A688" s="25"/>
      <c r="B688" s="26"/>
      <c r="C688" s="26"/>
      <c r="D688" s="26"/>
      <c r="E688" s="26"/>
      <c r="F688" s="26"/>
    </row>
    <row r="689" spans="1:6" x14ac:dyDescent="0.25">
      <c r="A689" s="25"/>
      <c r="B689" s="26"/>
      <c r="C689" s="26"/>
      <c r="D689" s="26"/>
      <c r="E689" s="26"/>
      <c r="F689" s="26"/>
    </row>
    <row r="690" spans="1:6" x14ac:dyDescent="0.25">
      <c r="A690" s="25"/>
      <c r="B690" s="26"/>
      <c r="C690" s="26"/>
      <c r="D690" s="26"/>
      <c r="E690" s="26"/>
      <c r="F690" s="26"/>
    </row>
    <row r="691" spans="1:6" x14ac:dyDescent="0.25">
      <c r="A691" s="25"/>
      <c r="B691" s="26"/>
      <c r="C691" s="26"/>
      <c r="D691" s="26"/>
      <c r="E691" s="26"/>
      <c r="F691" s="26"/>
    </row>
    <row r="692" spans="1:6" x14ac:dyDescent="0.25">
      <c r="A692" s="25"/>
      <c r="B692" s="26"/>
      <c r="C692" s="26"/>
      <c r="D692" s="26"/>
      <c r="E692" s="26"/>
      <c r="F692" s="26"/>
    </row>
    <row r="693" spans="1:6" x14ac:dyDescent="0.25">
      <c r="A693" s="25"/>
      <c r="B693" s="26"/>
      <c r="C693" s="26"/>
      <c r="D693" s="26"/>
      <c r="E693" s="26"/>
      <c r="F693" s="26"/>
    </row>
    <row r="694" spans="1:6" x14ac:dyDescent="0.25">
      <c r="A694" s="25"/>
      <c r="B694" s="26"/>
      <c r="C694" s="26"/>
      <c r="D694" s="26"/>
      <c r="E694" s="26"/>
      <c r="F694" s="26"/>
    </row>
    <row r="695" spans="1:6" x14ac:dyDescent="0.25">
      <c r="A695" s="25"/>
      <c r="B695" s="26"/>
      <c r="C695" s="26"/>
      <c r="D695" s="26"/>
      <c r="E695" s="26"/>
      <c r="F695" s="26"/>
    </row>
    <row r="696" spans="1:6" x14ac:dyDescent="0.25">
      <c r="A696" s="25"/>
      <c r="B696" s="26"/>
      <c r="C696" s="26"/>
      <c r="D696" s="26"/>
      <c r="E696" s="26"/>
      <c r="F696" s="26"/>
    </row>
    <row r="697" spans="1:6" x14ac:dyDescent="0.25">
      <c r="A697" s="25"/>
      <c r="B697" s="26"/>
      <c r="C697" s="26"/>
      <c r="D697" s="26"/>
      <c r="E697" s="26"/>
      <c r="F697" s="26"/>
    </row>
    <row r="698" spans="1:6" x14ac:dyDescent="0.25">
      <c r="A698" s="25"/>
      <c r="B698" s="26"/>
      <c r="C698" s="26"/>
      <c r="D698" s="26"/>
      <c r="E698" s="26"/>
      <c r="F698" s="26"/>
    </row>
    <row r="699" spans="1:6" x14ac:dyDescent="0.25">
      <c r="A699" s="25"/>
      <c r="B699" s="26"/>
      <c r="C699" s="26"/>
      <c r="D699" s="26"/>
      <c r="E699" s="26"/>
      <c r="F699" s="26"/>
    </row>
    <row r="700" spans="1:6" x14ac:dyDescent="0.25">
      <c r="A700" s="25"/>
      <c r="B700" s="26"/>
      <c r="C700" s="26"/>
      <c r="D700" s="26"/>
      <c r="E700" s="26"/>
      <c r="F700" s="26"/>
    </row>
    <row r="701" spans="1:6" x14ac:dyDescent="0.25">
      <c r="A701" s="25"/>
      <c r="B701" s="26"/>
      <c r="C701" s="26"/>
      <c r="D701" s="26"/>
      <c r="E701" s="26"/>
      <c r="F701" s="26"/>
    </row>
    <row r="702" spans="1:6" x14ac:dyDescent="0.25">
      <c r="A702" s="25"/>
      <c r="B702" s="26"/>
      <c r="C702" s="26"/>
      <c r="D702" s="26"/>
      <c r="E702" s="26"/>
      <c r="F702" s="26"/>
    </row>
    <row r="703" spans="1:6" x14ac:dyDescent="0.25">
      <c r="A703" s="25"/>
      <c r="B703" s="26"/>
      <c r="C703" s="26"/>
      <c r="D703" s="26"/>
      <c r="E703" s="26"/>
      <c r="F703" s="26"/>
    </row>
    <row r="704" spans="1:6" x14ac:dyDescent="0.25">
      <c r="A704" s="25"/>
      <c r="B704" s="26"/>
      <c r="C704" s="26"/>
      <c r="D704" s="26"/>
      <c r="E704" s="26"/>
      <c r="F704" s="26"/>
    </row>
    <row r="705" spans="1:6" x14ac:dyDescent="0.25">
      <c r="A705" s="25"/>
      <c r="B705" s="26"/>
      <c r="C705" s="26"/>
      <c r="D705" s="26"/>
      <c r="E705" s="26"/>
      <c r="F705" s="26"/>
    </row>
    <row r="706" spans="1:6" x14ac:dyDescent="0.25">
      <c r="A706" s="25"/>
      <c r="B706" s="26"/>
      <c r="C706" s="26"/>
      <c r="D706" s="26"/>
      <c r="E706" s="26"/>
      <c r="F706" s="26"/>
    </row>
    <row r="707" spans="1:6" x14ac:dyDescent="0.25">
      <c r="A707" s="25"/>
      <c r="B707" s="26"/>
      <c r="C707" s="26"/>
      <c r="D707" s="26"/>
      <c r="E707" s="26"/>
      <c r="F707" s="26"/>
    </row>
    <row r="708" spans="1:6" x14ac:dyDescent="0.25">
      <c r="A708" s="25"/>
      <c r="B708" s="26"/>
      <c r="C708" s="26"/>
      <c r="D708" s="26"/>
      <c r="E708" s="26"/>
      <c r="F708" s="26"/>
    </row>
    <row r="709" spans="1:6" x14ac:dyDescent="0.25">
      <c r="A709" s="25"/>
      <c r="B709" s="26"/>
      <c r="C709" s="26"/>
      <c r="D709" s="26"/>
      <c r="E709" s="26"/>
      <c r="F709" s="26"/>
    </row>
    <row r="710" spans="1:6" x14ac:dyDescent="0.25">
      <c r="A710" s="25"/>
      <c r="B710" s="26"/>
      <c r="C710" s="26"/>
      <c r="D710" s="26"/>
      <c r="E710" s="26"/>
      <c r="F710" s="26"/>
    </row>
    <row r="711" spans="1:6" x14ac:dyDescent="0.25">
      <c r="A711" s="25"/>
      <c r="B711" s="26"/>
      <c r="C711" s="26"/>
      <c r="D711" s="26"/>
      <c r="E711" s="26"/>
      <c r="F711" s="26"/>
    </row>
    <row r="712" spans="1:6" x14ac:dyDescent="0.25">
      <c r="A712" s="25"/>
      <c r="B712" s="26"/>
      <c r="C712" s="26"/>
      <c r="D712" s="26"/>
      <c r="E712" s="26"/>
      <c r="F712" s="26"/>
    </row>
    <row r="713" spans="1:6" x14ac:dyDescent="0.25">
      <c r="A713" s="25"/>
      <c r="B713" s="26"/>
      <c r="C713" s="26"/>
      <c r="D713" s="26"/>
      <c r="E713" s="26"/>
      <c r="F713" s="26"/>
    </row>
    <row r="714" spans="1:6" x14ac:dyDescent="0.25">
      <c r="A714" s="25"/>
      <c r="B714" s="26"/>
      <c r="C714" s="26"/>
      <c r="D714" s="26"/>
      <c r="E714" s="26"/>
      <c r="F714" s="26"/>
    </row>
    <row r="715" spans="1:6" x14ac:dyDescent="0.25">
      <c r="A715" s="25"/>
      <c r="B715" s="26"/>
      <c r="C715" s="26"/>
      <c r="D715" s="26"/>
      <c r="E715" s="26"/>
      <c r="F715" s="26"/>
    </row>
    <row r="716" spans="1:6" x14ac:dyDescent="0.25">
      <c r="A716" s="25"/>
      <c r="B716" s="26"/>
      <c r="C716" s="26"/>
      <c r="D716" s="26"/>
      <c r="E716" s="26"/>
      <c r="F716" s="26"/>
    </row>
    <row r="717" spans="1:6" x14ac:dyDescent="0.25">
      <c r="A717" s="25"/>
      <c r="B717" s="26"/>
      <c r="C717" s="26"/>
      <c r="D717" s="26"/>
      <c r="E717" s="26"/>
      <c r="F717" s="26"/>
    </row>
    <row r="718" spans="1:6" x14ac:dyDescent="0.25">
      <c r="A718" s="25"/>
      <c r="B718" s="26"/>
      <c r="C718" s="26"/>
      <c r="D718" s="26"/>
      <c r="E718" s="26"/>
      <c r="F718" s="26"/>
    </row>
    <row r="719" spans="1:6" x14ac:dyDescent="0.25">
      <c r="A719" s="25"/>
      <c r="B719" s="26"/>
      <c r="C719" s="26"/>
      <c r="D719" s="26"/>
      <c r="E719" s="26"/>
      <c r="F719" s="26"/>
    </row>
    <row r="720" spans="1:6" x14ac:dyDescent="0.25">
      <c r="A720" s="25"/>
      <c r="B720" s="26"/>
      <c r="C720" s="26"/>
      <c r="D720" s="26"/>
      <c r="E720" s="26"/>
      <c r="F720" s="26"/>
    </row>
    <row r="721" spans="1:6" x14ac:dyDescent="0.25">
      <c r="A721" s="25"/>
      <c r="B721" s="26"/>
      <c r="C721" s="26"/>
      <c r="D721" s="26"/>
      <c r="E721" s="26"/>
      <c r="F721" s="26"/>
    </row>
    <row r="722" spans="1:6" x14ac:dyDescent="0.25">
      <c r="A722" s="25"/>
      <c r="B722" s="26"/>
      <c r="C722" s="26"/>
      <c r="D722" s="26"/>
      <c r="E722" s="26"/>
      <c r="F722" s="26"/>
    </row>
    <row r="723" spans="1:6" x14ac:dyDescent="0.25">
      <c r="A723" s="25"/>
      <c r="B723" s="26"/>
      <c r="C723" s="26"/>
      <c r="D723" s="26"/>
      <c r="E723" s="26"/>
      <c r="F723" s="26"/>
    </row>
    <row r="724" spans="1:6" x14ac:dyDescent="0.25">
      <c r="A724" s="25"/>
      <c r="B724" s="26"/>
      <c r="C724" s="26"/>
      <c r="D724" s="26"/>
      <c r="E724" s="26"/>
      <c r="F724" s="26"/>
    </row>
    <row r="725" spans="1:6" x14ac:dyDescent="0.25">
      <c r="A725" s="25"/>
      <c r="B725" s="26"/>
      <c r="C725" s="26"/>
      <c r="D725" s="26"/>
      <c r="E725" s="26"/>
      <c r="F725" s="26"/>
    </row>
    <row r="726" spans="1:6" x14ac:dyDescent="0.25">
      <c r="A726" s="25"/>
      <c r="B726" s="26"/>
      <c r="C726" s="26"/>
      <c r="D726" s="26"/>
      <c r="E726" s="26"/>
      <c r="F726" s="26"/>
    </row>
    <row r="727" spans="1:6" x14ac:dyDescent="0.25">
      <c r="A727" s="25"/>
      <c r="B727" s="26"/>
      <c r="C727" s="26"/>
      <c r="D727" s="26"/>
      <c r="E727" s="26"/>
      <c r="F727" s="26"/>
    </row>
    <row r="728" spans="1:6" x14ac:dyDescent="0.25">
      <c r="A728" s="25"/>
      <c r="B728" s="26"/>
      <c r="C728" s="26"/>
      <c r="D728" s="26"/>
      <c r="E728" s="26"/>
      <c r="F728" s="26"/>
    </row>
    <row r="729" spans="1:6" x14ac:dyDescent="0.25">
      <c r="A729" s="25"/>
      <c r="B729" s="26"/>
      <c r="C729" s="26"/>
      <c r="D729" s="26"/>
      <c r="E729" s="26"/>
      <c r="F729" s="26"/>
    </row>
    <row r="730" spans="1:6" x14ac:dyDescent="0.25">
      <c r="A730" s="25"/>
      <c r="B730" s="26"/>
      <c r="C730" s="26"/>
      <c r="D730" s="26"/>
      <c r="E730" s="26"/>
      <c r="F730" s="26"/>
    </row>
    <row r="731" spans="1:6" x14ac:dyDescent="0.25">
      <c r="A731" s="25"/>
      <c r="B731" s="26"/>
      <c r="C731" s="26"/>
      <c r="D731" s="26"/>
      <c r="E731" s="26"/>
      <c r="F731" s="26"/>
    </row>
    <row r="732" spans="1:6" x14ac:dyDescent="0.25">
      <c r="A732" s="25"/>
      <c r="B732" s="26"/>
      <c r="C732" s="26"/>
      <c r="D732" s="26"/>
      <c r="E732" s="26"/>
      <c r="F732" s="26"/>
    </row>
    <row r="733" spans="1:6" x14ac:dyDescent="0.25">
      <c r="A733" s="25"/>
      <c r="B733" s="26"/>
      <c r="C733" s="26"/>
      <c r="D733" s="26"/>
      <c r="E733" s="26"/>
      <c r="F733" s="26"/>
    </row>
    <row r="734" spans="1:6" x14ac:dyDescent="0.25">
      <c r="A734" s="25"/>
      <c r="B734" s="26"/>
      <c r="C734" s="26"/>
      <c r="D734" s="26"/>
      <c r="E734" s="26"/>
      <c r="F734" s="26"/>
    </row>
    <row r="735" spans="1:6" x14ac:dyDescent="0.25">
      <c r="A735" s="25"/>
      <c r="B735" s="26"/>
      <c r="C735" s="26"/>
      <c r="D735" s="26"/>
      <c r="E735" s="26"/>
      <c r="F735" s="26"/>
    </row>
    <row r="736" spans="1:6" x14ac:dyDescent="0.25">
      <c r="A736" s="25"/>
      <c r="B736" s="26"/>
      <c r="C736" s="26"/>
      <c r="D736" s="26"/>
      <c r="E736" s="26"/>
      <c r="F736" s="26"/>
    </row>
    <row r="737" spans="1:6" x14ac:dyDescent="0.25">
      <c r="A737" s="25"/>
      <c r="B737" s="26"/>
      <c r="C737" s="26"/>
      <c r="D737" s="26"/>
      <c r="E737" s="26"/>
      <c r="F737" s="26"/>
    </row>
    <row r="738" spans="1:6" x14ac:dyDescent="0.25">
      <c r="A738" s="25"/>
      <c r="B738" s="26"/>
      <c r="C738" s="26"/>
      <c r="D738" s="26"/>
      <c r="E738" s="26"/>
      <c r="F738" s="26"/>
    </row>
    <row r="739" spans="1:6" x14ac:dyDescent="0.25">
      <c r="A739" s="25"/>
      <c r="B739" s="26"/>
      <c r="C739" s="26"/>
      <c r="D739" s="26"/>
      <c r="E739" s="26"/>
      <c r="F739" s="26"/>
    </row>
    <row r="740" spans="1:6" x14ac:dyDescent="0.25">
      <c r="A740" s="25"/>
      <c r="B740" s="26"/>
      <c r="C740" s="26"/>
      <c r="D740" s="26"/>
      <c r="E740" s="26"/>
      <c r="F740" s="26"/>
    </row>
    <row r="741" spans="1:6" x14ac:dyDescent="0.25">
      <c r="A741" s="25"/>
      <c r="B741" s="26"/>
      <c r="C741" s="26"/>
      <c r="D741" s="26"/>
      <c r="E741" s="26"/>
      <c r="F741" s="26"/>
    </row>
    <row r="742" spans="1:6" x14ac:dyDescent="0.25">
      <c r="A742" s="25"/>
      <c r="B742" s="26"/>
      <c r="C742" s="26"/>
      <c r="D742" s="26"/>
      <c r="E742" s="26"/>
      <c r="F742" s="26"/>
    </row>
    <row r="743" spans="1:6" x14ac:dyDescent="0.25">
      <c r="A743" s="25"/>
      <c r="B743" s="26"/>
      <c r="C743" s="26"/>
      <c r="D743" s="26"/>
      <c r="E743" s="26"/>
      <c r="F743" s="26"/>
    </row>
    <row r="744" spans="1:6" x14ac:dyDescent="0.25">
      <c r="A744" s="25"/>
      <c r="B744" s="26"/>
      <c r="C744" s="26"/>
      <c r="D744" s="26"/>
      <c r="E744" s="26"/>
      <c r="F744" s="26"/>
    </row>
    <row r="745" spans="1:6" x14ac:dyDescent="0.25">
      <c r="A745" s="25"/>
      <c r="B745" s="26"/>
      <c r="C745" s="26"/>
      <c r="D745" s="26"/>
      <c r="E745" s="26"/>
      <c r="F745" s="26"/>
    </row>
    <row r="746" spans="1:6" x14ac:dyDescent="0.25">
      <c r="A746" s="25"/>
      <c r="B746" s="26"/>
      <c r="C746" s="26"/>
      <c r="D746" s="26"/>
      <c r="E746" s="26"/>
      <c r="F746" s="26"/>
    </row>
    <row r="747" spans="1:6" x14ac:dyDescent="0.25">
      <c r="A747" s="25"/>
      <c r="B747" s="26"/>
      <c r="C747" s="26"/>
      <c r="D747" s="26"/>
      <c r="E747" s="26"/>
      <c r="F747" s="26"/>
    </row>
    <row r="748" spans="1:6" x14ac:dyDescent="0.25">
      <c r="A748" s="25"/>
      <c r="B748" s="26"/>
      <c r="C748" s="26"/>
      <c r="D748" s="26"/>
      <c r="E748" s="26"/>
      <c r="F748" s="26"/>
    </row>
    <row r="749" spans="1:6" x14ac:dyDescent="0.25">
      <c r="A749" s="25"/>
      <c r="B749" s="26"/>
      <c r="C749" s="26"/>
      <c r="D749" s="26"/>
      <c r="E749" s="26"/>
      <c r="F749" s="26"/>
    </row>
    <row r="750" spans="1:6" x14ac:dyDescent="0.25">
      <c r="A750" s="25"/>
      <c r="B750" s="26"/>
      <c r="C750" s="26"/>
      <c r="D750" s="26"/>
      <c r="E750" s="26"/>
      <c r="F750" s="26"/>
    </row>
    <row r="751" spans="1:6" x14ac:dyDescent="0.25">
      <c r="A751" s="25"/>
      <c r="B751" s="26"/>
      <c r="C751" s="26"/>
      <c r="D751" s="26"/>
      <c r="E751" s="26"/>
      <c r="F751" s="26"/>
    </row>
    <row r="752" spans="1:6" x14ac:dyDescent="0.25">
      <c r="A752" s="25"/>
      <c r="B752" s="26"/>
      <c r="C752" s="26"/>
      <c r="D752" s="26"/>
      <c r="E752" s="26"/>
      <c r="F752" s="26"/>
    </row>
    <row r="753" spans="1:6" x14ac:dyDescent="0.25">
      <c r="A753" s="25"/>
      <c r="B753" s="26"/>
      <c r="C753" s="26"/>
      <c r="D753" s="26"/>
      <c r="E753" s="26"/>
      <c r="F753" s="26"/>
    </row>
    <row r="754" spans="1:6" x14ac:dyDescent="0.25">
      <c r="A754" s="25"/>
      <c r="B754" s="26"/>
      <c r="C754" s="26"/>
      <c r="D754" s="26"/>
      <c r="E754" s="26"/>
      <c r="F754" s="26"/>
    </row>
    <row r="755" spans="1:6" x14ac:dyDescent="0.25">
      <c r="A755" s="25"/>
      <c r="B755" s="26"/>
      <c r="C755" s="26"/>
      <c r="D755" s="26"/>
      <c r="E755" s="26"/>
      <c r="F755" s="26"/>
    </row>
    <row r="756" spans="1:6" x14ac:dyDescent="0.25">
      <c r="A756" s="25"/>
      <c r="B756" s="26"/>
      <c r="C756" s="26"/>
      <c r="D756" s="26"/>
      <c r="E756" s="26"/>
      <c r="F756" s="26"/>
    </row>
    <row r="757" spans="1:6" x14ac:dyDescent="0.25">
      <c r="A757" s="25"/>
      <c r="B757" s="26"/>
      <c r="C757" s="26"/>
      <c r="D757" s="26"/>
      <c r="E757" s="26"/>
      <c r="F757" s="26"/>
    </row>
    <row r="758" spans="1:6" x14ac:dyDescent="0.25">
      <c r="A758" s="25"/>
      <c r="B758" s="26"/>
      <c r="C758" s="26"/>
      <c r="D758" s="26"/>
      <c r="E758" s="26"/>
      <c r="F758" s="26"/>
    </row>
    <row r="759" spans="1:6" x14ac:dyDescent="0.25">
      <c r="A759" s="25"/>
      <c r="B759" s="26"/>
      <c r="C759" s="26"/>
      <c r="D759" s="26"/>
      <c r="E759" s="26"/>
      <c r="F759" s="26"/>
    </row>
    <row r="760" spans="1:6" x14ac:dyDescent="0.25">
      <c r="A760" s="25"/>
      <c r="B760" s="26"/>
      <c r="C760" s="26"/>
      <c r="D760" s="26"/>
      <c r="E760" s="26"/>
      <c r="F760" s="26"/>
    </row>
    <row r="761" spans="1:6" x14ac:dyDescent="0.25">
      <c r="A761" s="25"/>
      <c r="B761" s="26"/>
      <c r="C761" s="26"/>
      <c r="D761" s="26"/>
      <c r="E761" s="26"/>
      <c r="F761" s="26"/>
    </row>
    <row r="762" spans="1:6" x14ac:dyDescent="0.25">
      <c r="A762" s="25"/>
      <c r="B762" s="26"/>
      <c r="C762" s="26"/>
      <c r="D762" s="26"/>
      <c r="E762" s="26"/>
      <c r="F762" s="26"/>
    </row>
    <row r="763" spans="1:6" x14ac:dyDescent="0.25">
      <c r="A763" s="25"/>
      <c r="B763" s="26"/>
      <c r="C763" s="26"/>
      <c r="D763" s="26"/>
      <c r="E763" s="26"/>
      <c r="F763" s="26"/>
    </row>
    <row r="764" spans="1:6" x14ac:dyDescent="0.25">
      <c r="A764" s="25"/>
      <c r="B764" s="26"/>
      <c r="C764" s="26"/>
      <c r="D764" s="26"/>
      <c r="E764" s="26"/>
      <c r="F764" s="26"/>
    </row>
    <row r="765" spans="1:6" x14ac:dyDescent="0.25">
      <c r="A765" s="25"/>
      <c r="B765" s="26"/>
      <c r="C765" s="26"/>
      <c r="D765" s="26"/>
      <c r="E765" s="26"/>
      <c r="F765" s="26"/>
    </row>
    <row r="766" spans="1:6" x14ac:dyDescent="0.25">
      <c r="A766" s="25"/>
      <c r="B766" s="26"/>
      <c r="C766" s="26"/>
      <c r="D766" s="26"/>
      <c r="E766" s="26"/>
      <c r="F766" s="26"/>
    </row>
    <row r="767" spans="1:6" x14ac:dyDescent="0.25">
      <c r="A767" s="25"/>
      <c r="B767" s="26"/>
      <c r="C767" s="26"/>
      <c r="D767" s="26"/>
      <c r="E767" s="26"/>
      <c r="F767" s="26"/>
    </row>
    <row r="768" spans="1:6" x14ac:dyDescent="0.25">
      <c r="A768" s="25"/>
      <c r="B768" s="26"/>
      <c r="C768" s="26"/>
      <c r="D768" s="26"/>
      <c r="E768" s="26"/>
      <c r="F768" s="26"/>
    </row>
    <row r="769" spans="1:6" x14ac:dyDescent="0.25">
      <c r="A769" s="25"/>
      <c r="B769" s="26"/>
      <c r="C769" s="26"/>
      <c r="D769" s="26"/>
      <c r="E769" s="26"/>
      <c r="F769" s="26"/>
    </row>
    <row r="770" spans="1:6" x14ac:dyDescent="0.25">
      <c r="A770" s="25"/>
      <c r="B770" s="26"/>
      <c r="C770" s="26"/>
      <c r="D770" s="26"/>
      <c r="E770" s="26"/>
      <c r="F770" s="26"/>
    </row>
    <row r="771" spans="1:6" x14ac:dyDescent="0.25">
      <c r="A771" s="25"/>
      <c r="B771" s="26"/>
      <c r="C771" s="26"/>
      <c r="D771" s="26"/>
      <c r="E771" s="26"/>
      <c r="F771" s="26"/>
    </row>
    <row r="772" spans="1:6" x14ac:dyDescent="0.25">
      <c r="A772" s="25"/>
      <c r="B772" s="26"/>
      <c r="C772" s="26"/>
      <c r="D772" s="26"/>
      <c r="E772" s="26"/>
      <c r="F772" s="26"/>
    </row>
    <row r="773" spans="1:6" x14ac:dyDescent="0.25">
      <c r="A773" s="25"/>
      <c r="B773" s="26"/>
      <c r="C773" s="26"/>
      <c r="D773" s="26"/>
      <c r="E773" s="26"/>
      <c r="F773" s="26"/>
    </row>
    <row r="774" spans="1:6" x14ac:dyDescent="0.25">
      <c r="A774" s="25"/>
      <c r="B774" s="26"/>
      <c r="C774" s="26"/>
      <c r="D774" s="26"/>
      <c r="E774" s="26"/>
      <c r="F774" s="26"/>
    </row>
    <row r="775" spans="1:6" x14ac:dyDescent="0.25">
      <c r="A775" s="25"/>
      <c r="B775" s="26"/>
      <c r="C775" s="26"/>
      <c r="D775" s="26"/>
      <c r="E775" s="26"/>
      <c r="F775" s="26"/>
    </row>
    <row r="776" spans="1:6" x14ac:dyDescent="0.25">
      <c r="A776" s="25"/>
      <c r="B776" s="26"/>
      <c r="C776" s="26"/>
      <c r="D776" s="26"/>
      <c r="E776" s="26"/>
      <c r="F776" s="26"/>
    </row>
    <row r="777" spans="1:6" x14ac:dyDescent="0.25">
      <c r="A777" s="25"/>
      <c r="B777" s="26"/>
      <c r="C777" s="26"/>
      <c r="D777" s="26"/>
      <c r="E777" s="26"/>
      <c r="F777" s="26"/>
    </row>
    <row r="778" spans="1:6" x14ac:dyDescent="0.25">
      <c r="A778" s="25"/>
      <c r="B778" s="26"/>
      <c r="C778" s="26"/>
      <c r="D778" s="26"/>
      <c r="E778" s="26"/>
      <c r="F778" s="26"/>
    </row>
    <row r="779" spans="1:6" x14ac:dyDescent="0.25">
      <c r="A779" s="25"/>
      <c r="B779" s="26"/>
      <c r="C779" s="26"/>
      <c r="D779" s="26"/>
      <c r="E779" s="26"/>
      <c r="F779" s="26"/>
    </row>
    <row r="780" spans="1:6" x14ac:dyDescent="0.25">
      <c r="A780" s="25"/>
      <c r="B780" s="26"/>
      <c r="C780" s="26"/>
      <c r="D780" s="26"/>
      <c r="E780" s="26"/>
      <c r="F780" s="26"/>
    </row>
    <row r="781" spans="1:6" x14ac:dyDescent="0.25">
      <c r="A781" s="25"/>
      <c r="B781" s="26"/>
      <c r="C781" s="26"/>
      <c r="D781" s="26"/>
      <c r="E781" s="26"/>
      <c r="F781" s="26"/>
    </row>
    <row r="782" spans="1:6" x14ac:dyDescent="0.25">
      <c r="A782" s="25"/>
      <c r="B782" s="26"/>
      <c r="C782" s="26"/>
      <c r="D782" s="26"/>
      <c r="E782" s="26"/>
      <c r="F782" s="26"/>
    </row>
    <row r="783" spans="1:6" x14ac:dyDescent="0.25">
      <c r="A783" s="25"/>
      <c r="B783" s="26"/>
      <c r="C783" s="26"/>
      <c r="D783" s="26"/>
      <c r="E783" s="26"/>
      <c r="F783" s="26"/>
    </row>
    <row r="784" spans="1:6" x14ac:dyDescent="0.25">
      <c r="A784" s="25"/>
      <c r="B784" s="26"/>
      <c r="C784" s="26"/>
      <c r="D784" s="26"/>
      <c r="E784" s="26"/>
      <c r="F784" s="26"/>
    </row>
    <row r="785" spans="1:6" x14ac:dyDescent="0.25">
      <c r="A785" s="25"/>
      <c r="B785" s="26"/>
      <c r="C785" s="26"/>
      <c r="D785" s="26"/>
      <c r="E785" s="26"/>
      <c r="F785" s="26"/>
    </row>
    <row r="786" spans="1:6" x14ac:dyDescent="0.25">
      <c r="A786" s="25"/>
      <c r="B786" s="26"/>
      <c r="C786" s="26"/>
      <c r="D786" s="26"/>
      <c r="E786" s="26"/>
      <c r="F786" s="26"/>
    </row>
    <row r="787" spans="1:6" x14ac:dyDescent="0.25">
      <c r="A787" s="25"/>
      <c r="B787" s="26"/>
      <c r="C787" s="26"/>
      <c r="D787" s="26"/>
      <c r="E787" s="26"/>
      <c r="F787" s="26"/>
    </row>
    <row r="788" spans="1:6" x14ac:dyDescent="0.25">
      <c r="A788" s="25"/>
      <c r="B788" s="26"/>
      <c r="C788" s="26"/>
      <c r="D788" s="26"/>
      <c r="E788" s="26"/>
      <c r="F788" s="26"/>
    </row>
    <row r="789" spans="1:6" x14ac:dyDescent="0.25">
      <c r="A789" s="25"/>
      <c r="B789" s="26"/>
      <c r="C789" s="26"/>
      <c r="D789" s="26"/>
      <c r="E789" s="26"/>
      <c r="F789" s="26"/>
    </row>
    <row r="790" spans="1:6" x14ac:dyDescent="0.25">
      <c r="A790" s="25"/>
      <c r="B790" s="26"/>
      <c r="C790" s="26"/>
      <c r="D790" s="26"/>
      <c r="E790" s="26"/>
      <c r="F790" s="26"/>
    </row>
    <row r="791" spans="1:6" x14ac:dyDescent="0.25">
      <c r="A791" s="25"/>
      <c r="B791" s="26"/>
      <c r="C791" s="26"/>
      <c r="D791" s="26"/>
      <c r="E791" s="26"/>
      <c r="F791" s="26"/>
    </row>
    <row r="792" spans="1:6" x14ac:dyDescent="0.25">
      <c r="A792" s="25"/>
      <c r="B792" s="26"/>
      <c r="C792" s="26"/>
      <c r="D792" s="26"/>
      <c r="E792" s="26"/>
      <c r="F792" s="26"/>
    </row>
    <row r="793" spans="1:6" x14ac:dyDescent="0.25">
      <c r="A793" s="25"/>
      <c r="B793" s="26"/>
      <c r="C793" s="26"/>
      <c r="D793" s="26"/>
      <c r="E793" s="26"/>
      <c r="F793" s="26"/>
    </row>
    <row r="794" spans="1:6" x14ac:dyDescent="0.25">
      <c r="A794" s="25"/>
      <c r="B794" s="26"/>
      <c r="C794" s="26"/>
      <c r="D794" s="26"/>
      <c r="E794" s="26"/>
      <c r="F794" s="26"/>
    </row>
    <row r="795" spans="1:6" x14ac:dyDescent="0.25">
      <c r="A795" s="25"/>
      <c r="B795" s="26"/>
      <c r="C795" s="26"/>
      <c r="D795" s="26"/>
      <c r="E795" s="26"/>
      <c r="F795" s="26"/>
    </row>
    <row r="796" spans="1:6" x14ac:dyDescent="0.25">
      <c r="A796" s="25"/>
      <c r="B796" s="26"/>
      <c r="C796" s="26"/>
      <c r="D796" s="26"/>
      <c r="E796" s="26"/>
      <c r="F796" s="26"/>
    </row>
    <row r="797" spans="1:6" x14ac:dyDescent="0.25">
      <c r="A797" s="25"/>
      <c r="B797" s="26"/>
      <c r="C797" s="26"/>
      <c r="D797" s="26"/>
      <c r="E797" s="26"/>
      <c r="F797" s="26"/>
    </row>
    <row r="798" spans="1:6" x14ac:dyDescent="0.25">
      <c r="A798" s="25"/>
      <c r="B798" s="26"/>
      <c r="C798" s="26"/>
      <c r="D798" s="26"/>
      <c r="E798" s="26"/>
      <c r="F798" s="26"/>
    </row>
    <row r="799" spans="1:6" x14ac:dyDescent="0.25">
      <c r="A799" s="25"/>
      <c r="B799" s="26"/>
      <c r="C799" s="26"/>
      <c r="D799" s="26"/>
      <c r="E799" s="26"/>
      <c r="F799" s="26"/>
    </row>
    <row r="800" spans="1:6" x14ac:dyDescent="0.25">
      <c r="A800" s="25"/>
      <c r="B800" s="26"/>
      <c r="C800" s="26"/>
      <c r="D800" s="26"/>
      <c r="E800" s="26"/>
      <c r="F800" s="26"/>
    </row>
    <row r="801" spans="1:6" x14ac:dyDescent="0.25">
      <c r="A801" s="25"/>
      <c r="B801" s="26"/>
      <c r="C801" s="26"/>
      <c r="D801" s="26"/>
      <c r="E801" s="26"/>
      <c r="F801" s="26"/>
    </row>
    <row r="802" spans="1:6" x14ac:dyDescent="0.25">
      <c r="A802" s="25"/>
      <c r="B802" s="26"/>
      <c r="C802" s="26"/>
      <c r="D802" s="26"/>
      <c r="E802" s="26"/>
      <c r="F802" s="26"/>
    </row>
    <row r="803" spans="1:6" x14ac:dyDescent="0.25">
      <c r="A803" s="25"/>
      <c r="B803" s="26"/>
      <c r="C803" s="26"/>
      <c r="D803" s="26"/>
      <c r="E803" s="26"/>
      <c r="F803" s="26"/>
    </row>
    <row r="804" spans="1:6" x14ac:dyDescent="0.25">
      <c r="A804" s="25"/>
      <c r="B804" s="26"/>
      <c r="C804" s="26"/>
      <c r="D804" s="26"/>
      <c r="E804" s="26"/>
      <c r="F804" s="26"/>
    </row>
    <row r="805" spans="1:6" x14ac:dyDescent="0.25">
      <c r="A805" s="25"/>
      <c r="B805" s="26"/>
      <c r="C805" s="26"/>
      <c r="D805" s="26"/>
      <c r="E805" s="26"/>
      <c r="F805" s="26"/>
    </row>
    <row r="806" spans="1:6" x14ac:dyDescent="0.25">
      <c r="A806" s="25"/>
      <c r="B806" s="26"/>
      <c r="C806" s="26"/>
      <c r="D806" s="26"/>
      <c r="E806" s="26"/>
      <c r="F806" s="26"/>
    </row>
    <row r="807" spans="1:6" x14ac:dyDescent="0.25">
      <c r="A807" s="25"/>
      <c r="B807" s="26"/>
      <c r="C807" s="26"/>
      <c r="D807" s="26"/>
      <c r="E807" s="26"/>
      <c r="F807" s="26"/>
    </row>
    <row r="808" spans="1:6" x14ac:dyDescent="0.25">
      <c r="A808" s="25"/>
      <c r="B808" s="26"/>
      <c r="C808" s="26"/>
      <c r="D808" s="26"/>
      <c r="E808" s="26"/>
      <c r="F808" s="26"/>
    </row>
    <row r="809" spans="1:6" x14ac:dyDescent="0.25">
      <c r="A809" s="25"/>
      <c r="B809" s="26"/>
      <c r="C809" s="26"/>
      <c r="D809" s="26"/>
      <c r="E809" s="26"/>
      <c r="F809" s="26"/>
    </row>
    <row r="810" spans="1:6" x14ac:dyDescent="0.25">
      <c r="A810" s="25"/>
      <c r="B810" s="26"/>
      <c r="C810" s="26"/>
      <c r="D810" s="26"/>
      <c r="E810" s="26"/>
      <c r="F810" s="26"/>
    </row>
    <row r="811" spans="1:6" x14ac:dyDescent="0.25">
      <c r="A811" s="25"/>
      <c r="B811" s="26"/>
      <c r="C811" s="26"/>
      <c r="D811" s="26"/>
      <c r="E811" s="26"/>
      <c r="F811" s="26"/>
    </row>
    <row r="812" spans="1:6" x14ac:dyDescent="0.25">
      <c r="A812" s="25"/>
      <c r="B812" s="26"/>
      <c r="C812" s="26"/>
      <c r="D812" s="26"/>
      <c r="E812" s="26"/>
      <c r="F812" s="26"/>
    </row>
    <row r="813" spans="1:6" x14ac:dyDescent="0.25">
      <c r="A813" s="25"/>
      <c r="B813" s="26"/>
      <c r="C813" s="26"/>
      <c r="D813" s="26"/>
      <c r="E813" s="26"/>
      <c r="F813" s="26"/>
    </row>
    <row r="814" spans="1:6" x14ac:dyDescent="0.25">
      <c r="A814" s="25"/>
      <c r="B814" s="26"/>
      <c r="C814" s="26"/>
      <c r="D814" s="26"/>
      <c r="E814" s="26"/>
      <c r="F814" s="26"/>
    </row>
    <row r="815" spans="1:6" x14ac:dyDescent="0.25">
      <c r="A815" s="25"/>
      <c r="B815" s="26"/>
      <c r="C815" s="26"/>
      <c r="D815" s="26"/>
      <c r="E815" s="26"/>
      <c r="F815" s="26"/>
    </row>
    <row r="816" spans="1:6" x14ac:dyDescent="0.25">
      <c r="A816" s="25"/>
      <c r="B816" s="26"/>
      <c r="C816" s="26"/>
      <c r="D816" s="26"/>
      <c r="E816" s="26"/>
      <c r="F816" s="26"/>
    </row>
    <row r="817" spans="1:6" x14ac:dyDescent="0.25">
      <c r="A817" s="25"/>
      <c r="B817" s="26"/>
      <c r="C817" s="26"/>
      <c r="D817" s="26"/>
      <c r="E817" s="26"/>
      <c r="F817" s="26"/>
    </row>
    <row r="818" spans="1:6" x14ac:dyDescent="0.25">
      <c r="A818" s="25"/>
      <c r="B818" s="26"/>
      <c r="C818" s="26"/>
      <c r="D818" s="26"/>
      <c r="E818" s="26"/>
      <c r="F818" s="26"/>
    </row>
    <row r="819" spans="1:6" x14ac:dyDescent="0.25">
      <c r="A819" s="25"/>
      <c r="B819" s="26"/>
      <c r="C819" s="26"/>
      <c r="D819" s="26"/>
      <c r="E819" s="26"/>
      <c r="F819" s="26"/>
    </row>
    <row r="820" spans="1:6" x14ac:dyDescent="0.25">
      <c r="A820" s="25"/>
      <c r="B820" s="26"/>
      <c r="C820" s="26"/>
      <c r="D820" s="26"/>
      <c r="E820" s="26"/>
      <c r="F820" s="26"/>
    </row>
    <row r="821" spans="1:6" x14ac:dyDescent="0.25">
      <c r="A821" s="25"/>
      <c r="B821" s="26"/>
      <c r="C821" s="26"/>
      <c r="D821" s="26"/>
      <c r="E821" s="26"/>
      <c r="F821" s="26"/>
    </row>
    <row r="822" spans="1:6" x14ac:dyDescent="0.25">
      <c r="A822" s="25"/>
      <c r="B822" s="26"/>
      <c r="C822" s="26"/>
      <c r="D822" s="26"/>
      <c r="E822" s="26"/>
      <c r="F822" s="26"/>
    </row>
    <row r="823" spans="1:6" x14ac:dyDescent="0.25">
      <c r="A823" s="25"/>
      <c r="B823" s="26"/>
      <c r="C823" s="26"/>
      <c r="D823" s="26"/>
      <c r="E823" s="26"/>
      <c r="F823" s="26"/>
    </row>
    <row r="824" spans="1:6" x14ac:dyDescent="0.25">
      <c r="A824" s="25"/>
      <c r="B824" s="26"/>
      <c r="C824" s="26"/>
      <c r="D824" s="26"/>
      <c r="E824" s="26"/>
      <c r="F824" s="26"/>
    </row>
    <row r="825" spans="1:6" x14ac:dyDescent="0.25">
      <c r="A825" s="25"/>
      <c r="B825" s="26"/>
      <c r="C825" s="26"/>
      <c r="D825" s="26"/>
      <c r="E825" s="26"/>
      <c r="F825" s="26"/>
    </row>
    <row r="826" spans="1:6" x14ac:dyDescent="0.25">
      <c r="A826" s="25"/>
      <c r="B826" s="26"/>
      <c r="C826" s="26"/>
      <c r="D826" s="26"/>
      <c r="E826" s="26"/>
      <c r="F826" s="26"/>
    </row>
    <row r="827" spans="1:6" x14ac:dyDescent="0.25">
      <c r="A827" s="25"/>
      <c r="B827" s="26"/>
      <c r="C827" s="26"/>
      <c r="D827" s="26"/>
      <c r="E827" s="26"/>
      <c r="F827" s="26"/>
    </row>
    <row r="828" spans="1:6" x14ac:dyDescent="0.25">
      <c r="A828" s="25"/>
      <c r="B828" s="26"/>
      <c r="C828" s="26"/>
      <c r="D828" s="26"/>
      <c r="E828" s="26"/>
      <c r="F828" s="26"/>
    </row>
    <row r="829" spans="1:6" x14ac:dyDescent="0.25">
      <c r="A829" s="25"/>
      <c r="B829" s="26"/>
      <c r="C829" s="26"/>
      <c r="D829" s="26"/>
      <c r="E829" s="26"/>
      <c r="F829" s="26"/>
    </row>
    <row r="830" spans="1:6" x14ac:dyDescent="0.25">
      <c r="A830" s="25"/>
      <c r="B830" s="26"/>
      <c r="C830" s="26"/>
      <c r="D830" s="26"/>
      <c r="E830" s="26"/>
      <c r="F830" s="26"/>
    </row>
    <row r="831" spans="1:6" x14ac:dyDescent="0.25">
      <c r="A831" s="25"/>
      <c r="B831" s="26"/>
      <c r="C831" s="26"/>
      <c r="D831" s="26"/>
      <c r="E831" s="26"/>
      <c r="F831" s="26"/>
    </row>
    <row r="832" spans="1:6" x14ac:dyDescent="0.25">
      <c r="A832" s="25"/>
      <c r="B832" s="26"/>
      <c r="C832" s="26"/>
      <c r="D832" s="26"/>
      <c r="E832" s="26"/>
      <c r="F832" s="26"/>
    </row>
    <row r="833" spans="1:6" x14ac:dyDescent="0.25">
      <c r="A833" s="25"/>
      <c r="B833" s="26"/>
      <c r="C833" s="26"/>
      <c r="D833" s="26"/>
      <c r="E833" s="26"/>
      <c r="F833" s="26"/>
    </row>
    <row r="834" spans="1:6" x14ac:dyDescent="0.25">
      <c r="A834" s="25"/>
      <c r="B834" s="26"/>
      <c r="C834" s="26"/>
      <c r="D834" s="26"/>
      <c r="E834" s="26"/>
      <c r="F834" s="26"/>
    </row>
    <row r="835" spans="1:6" x14ac:dyDescent="0.25">
      <c r="A835" s="25"/>
      <c r="B835" s="26"/>
      <c r="C835" s="26"/>
      <c r="D835" s="26"/>
      <c r="E835" s="26"/>
      <c r="F835" s="26"/>
    </row>
    <row r="836" spans="1:6" x14ac:dyDescent="0.25">
      <c r="A836" s="25"/>
      <c r="B836" s="26"/>
      <c r="C836" s="26"/>
      <c r="D836" s="26"/>
      <c r="E836" s="26"/>
      <c r="F836" s="26"/>
    </row>
    <row r="837" spans="1:6" x14ac:dyDescent="0.25">
      <c r="A837" s="25"/>
      <c r="B837" s="26"/>
      <c r="C837" s="26"/>
      <c r="D837" s="26"/>
      <c r="E837" s="26"/>
      <c r="F837" s="26"/>
    </row>
    <row r="838" spans="1:6" x14ac:dyDescent="0.25">
      <c r="A838" s="25"/>
      <c r="B838" s="26"/>
      <c r="C838" s="26"/>
      <c r="D838" s="26"/>
      <c r="E838" s="26"/>
      <c r="F838" s="26"/>
    </row>
    <row r="839" spans="1:6" x14ac:dyDescent="0.25">
      <c r="A839" s="25"/>
      <c r="B839" s="26"/>
      <c r="C839" s="26"/>
      <c r="D839" s="26"/>
      <c r="E839" s="26"/>
      <c r="F839" s="26"/>
    </row>
    <row r="840" spans="1:6" x14ac:dyDescent="0.25">
      <c r="A840" s="25"/>
      <c r="B840" s="26"/>
      <c r="C840" s="26"/>
      <c r="D840" s="26"/>
      <c r="E840" s="26"/>
      <c r="F840" s="26"/>
    </row>
    <row r="841" spans="1:6" x14ac:dyDescent="0.25">
      <c r="A841" s="25"/>
      <c r="B841" s="26"/>
      <c r="C841" s="26"/>
      <c r="D841" s="26"/>
      <c r="E841" s="26"/>
      <c r="F841" s="26"/>
    </row>
    <row r="842" spans="1:6" x14ac:dyDescent="0.25">
      <c r="A842" s="25"/>
      <c r="B842" s="26"/>
      <c r="C842" s="26"/>
      <c r="D842" s="26"/>
      <c r="E842" s="26"/>
      <c r="F842" s="26"/>
    </row>
    <row r="843" spans="1:6" x14ac:dyDescent="0.25">
      <c r="A843" s="25"/>
      <c r="B843" s="26"/>
      <c r="C843" s="26"/>
      <c r="D843" s="26"/>
      <c r="E843" s="26"/>
      <c r="F843" s="26"/>
    </row>
    <row r="844" spans="1:6" x14ac:dyDescent="0.25">
      <c r="A844" s="25"/>
      <c r="B844" s="26"/>
      <c r="C844" s="26"/>
      <c r="D844" s="26"/>
      <c r="E844" s="26"/>
      <c r="F844" s="26"/>
    </row>
    <row r="845" spans="1:6" x14ac:dyDescent="0.25">
      <c r="A845" s="25"/>
      <c r="B845" s="26"/>
      <c r="C845" s="26"/>
      <c r="D845" s="26"/>
      <c r="E845" s="26"/>
      <c r="F845" s="26"/>
    </row>
    <row r="846" spans="1:6" x14ac:dyDescent="0.25">
      <c r="A846" s="25"/>
      <c r="B846" s="26"/>
      <c r="C846" s="26"/>
      <c r="D846" s="26"/>
      <c r="E846" s="26"/>
      <c r="F846" s="26"/>
    </row>
    <row r="847" spans="1:6" x14ac:dyDescent="0.25">
      <c r="A847" s="25"/>
      <c r="B847" s="26"/>
      <c r="C847" s="26"/>
      <c r="D847" s="26"/>
      <c r="E847" s="26"/>
      <c r="F847" s="26"/>
    </row>
    <row r="848" spans="1:6" x14ac:dyDescent="0.25">
      <c r="A848" s="25"/>
      <c r="B848" s="26"/>
      <c r="C848" s="26"/>
      <c r="D848" s="26"/>
      <c r="E848" s="26"/>
      <c r="F848" s="26"/>
    </row>
    <row r="849" spans="1:6" x14ac:dyDescent="0.25">
      <c r="A849" s="25"/>
      <c r="B849" s="26"/>
      <c r="C849" s="26"/>
      <c r="D849" s="26"/>
      <c r="E849" s="26"/>
      <c r="F849" s="26"/>
    </row>
    <row r="850" spans="1:6" x14ac:dyDescent="0.25">
      <c r="A850" s="25"/>
      <c r="B850" s="26"/>
      <c r="C850" s="26"/>
      <c r="D850" s="26"/>
      <c r="E850" s="26"/>
      <c r="F850" s="26"/>
    </row>
    <row r="851" spans="1:6" x14ac:dyDescent="0.25">
      <c r="A851" s="25"/>
      <c r="B851" s="26"/>
      <c r="C851" s="26"/>
      <c r="D851" s="26"/>
      <c r="E851" s="26"/>
      <c r="F851" s="26"/>
    </row>
    <row r="852" spans="1:6" x14ac:dyDescent="0.25">
      <c r="A852" s="25"/>
      <c r="B852" s="26"/>
      <c r="C852" s="26"/>
      <c r="D852" s="26"/>
      <c r="E852" s="26"/>
      <c r="F852" s="26"/>
    </row>
    <row r="853" spans="1:6" x14ac:dyDescent="0.25">
      <c r="A853" s="25"/>
      <c r="B853" s="26"/>
      <c r="C853" s="26"/>
      <c r="D853" s="26"/>
      <c r="E853" s="26"/>
      <c r="F853" s="26"/>
    </row>
    <row r="854" spans="1:6" x14ac:dyDescent="0.25">
      <c r="A854" s="25"/>
      <c r="B854" s="26"/>
      <c r="C854" s="26"/>
      <c r="D854" s="26"/>
      <c r="E854" s="26"/>
      <c r="F854" s="26"/>
    </row>
    <row r="855" spans="1:6" x14ac:dyDescent="0.25">
      <c r="A855" s="25"/>
      <c r="B855" s="26"/>
      <c r="C855" s="26"/>
      <c r="D855" s="26"/>
      <c r="E855" s="26"/>
      <c r="F855" s="26"/>
    </row>
    <row r="856" spans="1:6" x14ac:dyDescent="0.25">
      <c r="A856" s="25"/>
      <c r="B856" s="26"/>
      <c r="C856" s="26"/>
      <c r="D856" s="26"/>
      <c r="E856" s="26"/>
      <c r="F856" s="26"/>
    </row>
    <row r="857" spans="1:6" x14ac:dyDescent="0.25">
      <c r="A857" s="25"/>
      <c r="B857" s="26"/>
      <c r="C857" s="26"/>
      <c r="D857" s="26"/>
      <c r="E857" s="26"/>
      <c r="F857" s="26"/>
    </row>
    <row r="858" spans="1:6" x14ac:dyDescent="0.25">
      <c r="A858" s="25"/>
      <c r="B858" s="26"/>
      <c r="C858" s="26"/>
      <c r="D858" s="26"/>
      <c r="E858" s="26"/>
      <c r="F858" s="26"/>
    </row>
    <row r="859" spans="1:6" x14ac:dyDescent="0.25">
      <c r="A859" s="25"/>
      <c r="B859" s="26"/>
      <c r="C859" s="26"/>
      <c r="D859" s="26"/>
      <c r="E859" s="26"/>
      <c r="F859" s="26"/>
    </row>
    <row r="860" spans="1:6" x14ac:dyDescent="0.25">
      <c r="A860" s="25"/>
      <c r="B860" s="26"/>
      <c r="C860" s="26"/>
      <c r="D860" s="26"/>
      <c r="E860" s="26"/>
      <c r="F860" s="26"/>
    </row>
    <row r="861" spans="1:6" x14ac:dyDescent="0.25">
      <c r="A861" s="25"/>
      <c r="B861" s="26"/>
      <c r="C861" s="26"/>
      <c r="D861" s="26"/>
      <c r="E861" s="26"/>
      <c r="F861" s="26"/>
    </row>
    <row r="862" spans="1:6" x14ac:dyDescent="0.25">
      <c r="A862" s="25"/>
      <c r="B862" s="26"/>
      <c r="C862" s="26"/>
      <c r="D862" s="26"/>
      <c r="E862" s="26"/>
      <c r="F862" s="26"/>
    </row>
    <row r="863" spans="1:6" x14ac:dyDescent="0.25">
      <c r="A863" s="25"/>
      <c r="B863" s="26"/>
      <c r="C863" s="26"/>
      <c r="D863" s="26"/>
      <c r="E863" s="26"/>
      <c r="F863" s="26"/>
    </row>
    <row r="864" spans="1:6" x14ac:dyDescent="0.25">
      <c r="A864" s="25"/>
      <c r="B864" s="26"/>
      <c r="C864" s="26"/>
      <c r="D864" s="26"/>
      <c r="E864" s="26"/>
      <c r="F864" s="26"/>
    </row>
    <row r="865" spans="1:6" x14ac:dyDescent="0.25">
      <c r="A865" s="25"/>
      <c r="B865" s="26"/>
      <c r="C865" s="26"/>
      <c r="D865" s="26"/>
      <c r="E865" s="26"/>
      <c r="F865" s="26"/>
    </row>
    <row r="866" spans="1:6" x14ac:dyDescent="0.25">
      <c r="A866" s="25"/>
      <c r="B866" s="26"/>
      <c r="C866" s="26"/>
      <c r="D866" s="26"/>
      <c r="E866" s="26"/>
      <c r="F866" s="26"/>
    </row>
    <row r="867" spans="1:6" x14ac:dyDescent="0.25">
      <c r="A867" s="25"/>
      <c r="B867" s="26"/>
      <c r="C867" s="26"/>
      <c r="D867" s="26"/>
      <c r="E867" s="26"/>
      <c r="F867" s="26"/>
    </row>
    <row r="868" spans="1:6" x14ac:dyDescent="0.25">
      <c r="A868" s="25"/>
      <c r="B868" s="26"/>
      <c r="C868" s="26"/>
      <c r="D868" s="26"/>
      <c r="E868" s="26"/>
      <c r="F868" s="26"/>
    </row>
    <row r="869" spans="1:6" x14ac:dyDescent="0.25">
      <c r="A869" s="25"/>
      <c r="B869" s="26"/>
      <c r="C869" s="26"/>
      <c r="D869" s="26"/>
      <c r="E869" s="26"/>
      <c r="F869" s="26"/>
    </row>
    <row r="870" spans="1:6" x14ac:dyDescent="0.25">
      <c r="A870" s="25"/>
      <c r="B870" s="26"/>
      <c r="C870" s="26"/>
      <c r="D870" s="26"/>
      <c r="E870" s="26"/>
      <c r="F870" s="26"/>
    </row>
    <row r="871" spans="1:6" x14ac:dyDescent="0.25">
      <c r="A871" s="25"/>
      <c r="B871" s="26"/>
      <c r="C871" s="26"/>
      <c r="D871" s="26"/>
      <c r="E871" s="26"/>
      <c r="F871" s="26"/>
    </row>
    <row r="872" spans="1:6" x14ac:dyDescent="0.25">
      <c r="A872" s="25"/>
      <c r="B872" s="26"/>
      <c r="C872" s="26"/>
      <c r="D872" s="26"/>
      <c r="E872" s="26"/>
      <c r="F872" s="26"/>
    </row>
    <row r="873" spans="1:6" x14ac:dyDescent="0.25">
      <c r="A873" s="25"/>
      <c r="B873" s="26"/>
      <c r="C873" s="26"/>
      <c r="D873" s="26"/>
      <c r="E873" s="26"/>
      <c r="F873" s="26"/>
    </row>
    <row r="874" spans="1:6" x14ac:dyDescent="0.25">
      <c r="A874" s="25"/>
      <c r="B874" s="26"/>
      <c r="C874" s="26"/>
      <c r="D874" s="26"/>
      <c r="E874" s="26"/>
      <c r="F874" s="26"/>
    </row>
    <row r="875" spans="1:6" x14ac:dyDescent="0.25">
      <c r="A875" s="25"/>
      <c r="B875" s="26"/>
      <c r="C875" s="26"/>
      <c r="D875" s="26"/>
      <c r="E875" s="26"/>
      <c r="F875" s="26"/>
    </row>
    <row r="876" spans="1:6" x14ac:dyDescent="0.25">
      <c r="A876" s="25"/>
      <c r="B876" s="26"/>
      <c r="C876" s="26"/>
      <c r="D876" s="26"/>
      <c r="E876" s="26"/>
      <c r="F876" s="26"/>
    </row>
    <row r="877" spans="1:6" x14ac:dyDescent="0.25">
      <c r="A877" s="25"/>
      <c r="B877" s="26"/>
      <c r="C877" s="26"/>
      <c r="D877" s="26"/>
      <c r="E877" s="26"/>
      <c r="F877" s="26"/>
    </row>
    <row r="878" spans="1:6" x14ac:dyDescent="0.25">
      <c r="A878" s="25"/>
      <c r="B878" s="26"/>
      <c r="C878" s="26"/>
      <c r="D878" s="26"/>
      <c r="E878" s="26"/>
      <c r="F878" s="26"/>
    </row>
    <row r="879" spans="1:6" x14ac:dyDescent="0.25">
      <c r="A879" s="25"/>
      <c r="B879" s="26"/>
      <c r="C879" s="26"/>
      <c r="D879" s="26"/>
      <c r="E879" s="26"/>
      <c r="F879" s="26"/>
    </row>
    <row r="880" spans="1:6" x14ac:dyDescent="0.25">
      <c r="A880" s="25"/>
      <c r="B880" s="26"/>
      <c r="C880" s="26"/>
      <c r="D880" s="26"/>
      <c r="E880" s="26"/>
      <c r="F880" s="26"/>
    </row>
    <row r="881" spans="1:6" x14ac:dyDescent="0.25">
      <c r="A881" s="25"/>
      <c r="B881" s="26"/>
      <c r="C881" s="26"/>
      <c r="D881" s="26"/>
      <c r="E881" s="26"/>
      <c r="F881" s="26"/>
    </row>
    <row r="882" spans="1:6" x14ac:dyDescent="0.25">
      <c r="A882" s="25"/>
      <c r="B882" s="26"/>
      <c r="C882" s="26"/>
      <c r="D882" s="26"/>
      <c r="E882" s="26"/>
      <c r="F882" s="26"/>
    </row>
    <row r="883" spans="1:6" x14ac:dyDescent="0.25">
      <c r="A883" s="25"/>
      <c r="B883" s="26"/>
      <c r="C883" s="26"/>
      <c r="D883" s="26"/>
      <c r="E883" s="26"/>
      <c r="F883" s="26"/>
    </row>
    <row r="884" spans="1:6" x14ac:dyDescent="0.25">
      <c r="A884" s="25"/>
      <c r="B884" s="26"/>
      <c r="C884" s="26"/>
      <c r="D884" s="26"/>
      <c r="E884" s="26"/>
      <c r="F884" s="26"/>
    </row>
    <row r="885" spans="1:6" x14ac:dyDescent="0.25">
      <c r="A885" s="25"/>
      <c r="B885" s="26"/>
      <c r="C885" s="26"/>
      <c r="D885" s="26"/>
      <c r="E885" s="26"/>
      <c r="F885" s="26"/>
    </row>
    <row r="886" spans="1:6" x14ac:dyDescent="0.25">
      <c r="A886" s="25"/>
      <c r="B886" s="26"/>
      <c r="C886" s="26"/>
      <c r="D886" s="26"/>
      <c r="E886" s="26"/>
      <c r="F886" s="26"/>
    </row>
    <row r="887" spans="1:6" x14ac:dyDescent="0.25">
      <c r="A887" s="25"/>
      <c r="B887" s="26"/>
      <c r="C887" s="26"/>
      <c r="D887" s="26"/>
      <c r="E887" s="26"/>
      <c r="F887" s="26"/>
    </row>
    <row r="888" spans="1:6" x14ac:dyDescent="0.25">
      <c r="A888" s="25"/>
      <c r="B888" s="26"/>
      <c r="C888" s="26"/>
      <c r="D888" s="26"/>
      <c r="E888" s="26"/>
      <c r="F888" s="26"/>
    </row>
    <row r="889" spans="1:6" x14ac:dyDescent="0.25">
      <c r="A889" s="25"/>
      <c r="B889" s="26"/>
      <c r="C889" s="26"/>
      <c r="D889" s="26"/>
      <c r="E889" s="26"/>
      <c r="F889" s="26"/>
    </row>
    <row r="890" spans="1:6" x14ac:dyDescent="0.25">
      <c r="A890" s="25"/>
      <c r="B890" s="26"/>
      <c r="C890" s="26"/>
      <c r="D890" s="26"/>
      <c r="E890" s="26"/>
      <c r="F890" s="26"/>
    </row>
    <row r="891" spans="1:6" x14ac:dyDescent="0.25">
      <c r="A891" s="25"/>
      <c r="B891" s="26"/>
      <c r="C891" s="26"/>
      <c r="D891" s="26"/>
      <c r="E891" s="26"/>
      <c r="F891" s="26"/>
    </row>
    <row r="892" spans="1:6" x14ac:dyDescent="0.25">
      <c r="A892" s="25"/>
      <c r="B892" s="26"/>
      <c r="C892" s="26"/>
      <c r="D892" s="26"/>
      <c r="E892" s="26"/>
      <c r="F892" s="26"/>
    </row>
    <row r="893" spans="1:6" x14ac:dyDescent="0.25">
      <c r="A893" s="25"/>
      <c r="B893" s="26"/>
      <c r="C893" s="26"/>
      <c r="D893" s="26"/>
      <c r="E893" s="26"/>
      <c r="F893" s="26"/>
    </row>
    <row r="894" spans="1:6" x14ac:dyDescent="0.25">
      <c r="A894" s="25"/>
      <c r="B894" s="26"/>
      <c r="C894" s="26"/>
      <c r="D894" s="26"/>
      <c r="E894" s="26"/>
      <c r="F894" s="26"/>
    </row>
    <row r="895" spans="1:6" x14ac:dyDescent="0.25">
      <c r="A895" s="25"/>
      <c r="B895" s="26"/>
      <c r="C895" s="26"/>
      <c r="D895" s="26"/>
      <c r="E895" s="26"/>
      <c r="F895" s="26"/>
    </row>
    <row r="896" spans="1:6" x14ac:dyDescent="0.25">
      <c r="A896" s="25"/>
      <c r="B896" s="26"/>
      <c r="C896" s="26"/>
      <c r="D896" s="26"/>
      <c r="E896" s="26"/>
      <c r="F896" s="26"/>
    </row>
    <row r="897" spans="1:6" x14ac:dyDescent="0.25">
      <c r="A897" s="25"/>
      <c r="B897" s="26"/>
      <c r="C897" s="26"/>
      <c r="D897" s="26"/>
      <c r="E897" s="26"/>
      <c r="F897" s="26"/>
    </row>
    <row r="898" spans="1:6" x14ac:dyDescent="0.25">
      <c r="A898" s="25"/>
      <c r="B898" s="26"/>
      <c r="C898" s="26"/>
      <c r="D898" s="26"/>
      <c r="E898" s="26"/>
      <c r="F898" s="26"/>
    </row>
    <row r="899" spans="1:6" x14ac:dyDescent="0.25">
      <c r="A899" s="25"/>
      <c r="B899" s="26"/>
      <c r="C899" s="26"/>
      <c r="D899" s="26"/>
      <c r="E899" s="26"/>
      <c r="F899" s="26"/>
    </row>
    <row r="900" spans="1:6" x14ac:dyDescent="0.25">
      <c r="A900" s="25"/>
      <c r="B900" s="26"/>
      <c r="C900" s="26"/>
      <c r="D900" s="26"/>
      <c r="E900" s="26"/>
      <c r="F900" s="26"/>
    </row>
    <row r="901" spans="1:6" x14ac:dyDescent="0.25">
      <c r="A901" s="25"/>
      <c r="B901" s="26"/>
      <c r="C901" s="26"/>
      <c r="D901" s="26"/>
      <c r="E901" s="26"/>
      <c r="F901" s="26"/>
    </row>
    <row r="902" spans="1:6" x14ac:dyDescent="0.25">
      <c r="A902" s="25"/>
      <c r="B902" s="26"/>
      <c r="C902" s="26"/>
      <c r="D902" s="26"/>
      <c r="E902" s="26"/>
      <c r="F902" s="26"/>
    </row>
    <row r="903" spans="1:6" x14ac:dyDescent="0.25">
      <c r="A903" s="25"/>
      <c r="B903" s="26"/>
      <c r="C903" s="26"/>
      <c r="D903" s="26"/>
      <c r="E903" s="26"/>
      <c r="F903" s="26"/>
    </row>
    <row r="904" spans="1:6" x14ac:dyDescent="0.25">
      <c r="A904" s="25"/>
      <c r="B904" s="26"/>
      <c r="C904" s="26"/>
      <c r="D904" s="26"/>
      <c r="E904" s="26"/>
      <c r="F904" s="26"/>
    </row>
    <row r="905" spans="1:6" x14ac:dyDescent="0.25">
      <c r="A905" s="25"/>
      <c r="B905" s="26"/>
      <c r="C905" s="26"/>
      <c r="D905" s="26"/>
      <c r="E905" s="26"/>
      <c r="F905" s="26"/>
    </row>
    <row r="906" spans="1:6" x14ac:dyDescent="0.25">
      <c r="A906" s="25"/>
      <c r="B906" s="26"/>
      <c r="C906" s="26"/>
      <c r="D906" s="26"/>
      <c r="E906" s="26"/>
      <c r="F906" s="26"/>
    </row>
    <row r="907" spans="1:6" x14ac:dyDescent="0.25">
      <c r="A907" s="25"/>
      <c r="B907" s="26"/>
      <c r="C907" s="26"/>
      <c r="D907" s="26"/>
      <c r="E907" s="26"/>
      <c r="F907" s="26"/>
    </row>
    <row r="908" spans="1:6" x14ac:dyDescent="0.25">
      <c r="A908" s="25"/>
      <c r="B908" s="26"/>
      <c r="C908" s="26"/>
      <c r="D908" s="26"/>
      <c r="E908" s="26"/>
      <c r="F908" s="26"/>
    </row>
    <row r="909" spans="1:6" x14ac:dyDescent="0.25">
      <c r="A909" s="25"/>
      <c r="B909" s="26"/>
      <c r="C909" s="26"/>
      <c r="D909" s="26"/>
      <c r="E909" s="26"/>
      <c r="F909" s="26"/>
    </row>
    <row r="910" spans="1:6" x14ac:dyDescent="0.25">
      <c r="A910" s="25"/>
      <c r="B910" s="26"/>
      <c r="C910" s="26"/>
      <c r="D910" s="26"/>
      <c r="E910" s="26"/>
      <c r="F910" s="26"/>
    </row>
    <row r="911" spans="1:6" x14ac:dyDescent="0.25">
      <c r="A911" s="25"/>
      <c r="B911" s="26"/>
      <c r="C911" s="26"/>
      <c r="D911" s="26"/>
      <c r="E911" s="26"/>
      <c r="F911" s="26"/>
    </row>
    <row r="912" spans="1:6" x14ac:dyDescent="0.25">
      <c r="A912" s="25"/>
      <c r="B912" s="26"/>
      <c r="C912" s="26"/>
      <c r="D912" s="26"/>
      <c r="E912" s="26"/>
      <c r="F912" s="26"/>
    </row>
    <row r="913" spans="1:6" x14ac:dyDescent="0.25">
      <c r="A913" s="25"/>
      <c r="B913" s="26"/>
      <c r="C913" s="26"/>
      <c r="D913" s="26"/>
      <c r="E913" s="26"/>
      <c r="F913" s="26"/>
    </row>
    <row r="914" spans="1:6" x14ac:dyDescent="0.25">
      <c r="A914" s="25"/>
      <c r="B914" s="26"/>
      <c r="C914" s="26"/>
      <c r="D914" s="26"/>
      <c r="E914" s="26"/>
      <c r="F914" s="26"/>
    </row>
    <row r="915" spans="1:6" x14ac:dyDescent="0.25">
      <c r="A915" s="25"/>
      <c r="B915" s="26"/>
      <c r="C915" s="26"/>
      <c r="D915" s="26"/>
      <c r="E915" s="26"/>
      <c r="F915" s="26"/>
    </row>
    <row r="916" spans="1:6" x14ac:dyDescent="0.25">
      <c r="A916" s="25"/>
      <c r="B916" s="26"/>
      <c r="C916" s="26"/>
      <c r="D916" s="26"/>
      <c r="E916" s="26"/>
      <c r="F916" s="26"/>
    </row>
    <row r="917" spans="1:6" x14ac:dyDescent="0.25">
      <c r="A917" s="25"/>
      <c r="B917" s="26"/>
      <c r="C917" s="26"/>
      <c r="D917" s="26"/>
      <c r="E917" s="26"/>
      <c r="F917" s="26"/>
    </row>
    <row r="918" spans="1:6" x14ac:dyDescent="0.25">
      <c r="A918" s="25"/>
      <c r="B918" s="26"/>
      <c r="C918" s="26"/>
      <c r="D918" s="26"/>
      <c r="E918" s="26"/>
      <c r="F918" s="26"/>
    </row>
    <row r="919" spans="1:6" x14ac:dyDescent="0.25">
      <c r="A919" s="25"/>
      <c r="B919" s="26"/>
      <c r="C919" s="26"/>
      <c r="D919" s="26"/>
      <c r="E919" s="26"/>
      <c r="F919" s="26"/>
    </row>
    <row r="920" spans="1:6" x14ac:dyDescent="0.25">
      <c r="A920" s="25"/>
      <c r="B920" s="26"/>
      <c r="C920" s="26"/>
      <c r="D920" s="26"/>
      <c r="E920" s="26"/>
      <c r="F920" s="26"/>
    </row>
    <row r="921" spans="1:6" x14ac:dyDescent="0.25">
      <c r="A921" s="25"/>
      <c r="B921" s="26"/>
      <c r="C921" s="26"/>
      <c r="D921" s="26"/>
      <c r="E921" s="26"/>
      <c r="F921" s="26"/>
    </row>
    <row r="922" spans="1:6" x14ac:dyDescent="0.25">
      <c r="A922" s="25"/>
      <c r="B922" s="26"/>
      <c r="C922" s="26"/>
      <c r="D922" s="26"/>
      <c r="E922" s="26"/>
      <c r="F922" s="26"/>
    </row>
    <row r="923" spans="1:6" x14ac:dyDescent="0.25">
      <c r="A923" s="25"/>
      <c r="B923" s="26"/>
      <c r="C923" s="26"/>
      <c r="D923" s="26"/>
      <c r="E923" s="26"/>
      <c r="F923" s="26"/>
    </row>
    <row r="924" spans="1:6" x14ac:dyDescent="0.25">
      <c r="A924" s="25"/>
      <c r="B924" s="26"/>
      <c r="C924" s="26"/>
      <c r="D924" s="26"/>
      <c r="E924" s="26"/>
      <c r="F924" s="26"/>
    </row>
    <row r="925" spans="1:6" x14ac:dyDescent="0.25">
      <c r="A925" s="25"/>
      <c r="B925" s="26"/>
      <c r="C925" s="26"/>
      <c r="D925" s="26"/>
      <c r="E925" s="26"/>
      <c r="F925" s="26"/>
    </row>
    <row r="926" spans="1:6" x14ac:dyDescent="0.25">
      <c r="A926" s="25"/>
      <c r="B926" s="26"/>
      <c r="C926" s="26"/>
      <c r="D926" s="26"/>
      <c r="E926" s="26"/>
      <c r="F926" s="26"/>
    </row>
    <row r="927" spans="1:6" x14ac:dyDescent="0.25">
      <c r="A927" s="25"/>
      <c r="B927" s="26"/>
      <c r="C927" s="26"/>
      <c r="D927" s="26"/>
      <c r="E927" s="26"/>
      <c r="F927" s="26"/>
    </row>
    <row r="928" spans="1:6" x14ac:dyDescent="0.25">
      <c r="A928" s="25"/>
      <c r="B928" s="26"/>
      <c r="C928" s="26"/>
      <c r="D928" s="26"/>
      <c r="E928" s="26"/>
      <c r="F928" s="26"/>
    </row>
    <row r="929" spans="1:6" x14ac:dyDescent="0.25">
      <c r="A929" s="25"/>
      <c r="B929" s="26"/>
      <c r="C929" s="26"/>
      <c r="D929" s="26"/>
      <c r="E929" s="26"/>
      <c r="F929" s="26"/>
    </row>
    <row r="930" spans="1:6" x14ac:dyDescent="0.25">
      <c r="A930" s="25"/>
      <c r="B930" s="26"/>
      <c r="C930" s="26"/>
      <c r="D930" s="26"/>
      <c r="E930" s="26"/>
      <c r="F930" s="26"/>
    </row>
    <row r="931" spans="1:6" x14ac:dyDescent="0.25">
      <c r="A931" s="25"/>
      <c r="B931" s="26"/>
      <c r="C931" s="26"/>
      <c r="D931" s="26"/>
      <c r="E931" s="26"/>
      <c r="F931" s="26"/>
    </row>
    <row r="932" spans="1:6" x14ac:dyDescent="0.25">
      <c r="A932" s="25"/>
      <c r="B932" s="26"/>
      <c r="C932" s="26"/>
      <c r="D932" s="26"/>
      <c r="E932" s="26"/>
      <c r="F932" s="26"/>
    </row>
    <row r="933" spans="1:6" x14ac:dyDescent="0.25">
      <c r="A933" s="25"/>
      <c r="B933" s="26"/>
      <c r="C933" s="26"/>
      <c r="D933" s="26"/>
      <c r="E933" s="26"/>
      <c r="F933" s="26"/>
    </row>
    <row r="934" spans="1:6" x14ac:dyDescent="0.25">
      <c r="A934" s="25"/>
      <c r="B934" s="26"/>
      <c r="C934" s="26"/>
      <c r="D934" s="26"/>
      <c r="E934" s="26"/>
      <c r="F934" s="26"/>
    </row>
    <row r="935" spans="1:6" x14ac:dyDescent="0.25">
      <c r="A935" s="25"/>
      <c r="B935" s="26"/>
      <c r="C935" s="26"/>
      <c r="D935" s="26"/>
      <c r="E935" s="26"/>
      <c r="F935" s="26"/>
    </row>
    <row r="936" spans="1:6" x14ac:dyDescent="0.25">
      <c r="A936" s="25"/>
      <c r="B936" s="26"/>
      <c r="C936" s="26"/>
      <c r="D936" s="26"/>
      <c r="E936" s="26"/>
      <c r="F936" s="26"/>
    </row>
    <row r="937" spans="1:6" x14ac:dyDescent="0.25">
      <c r="A937" s="25"/>
      <c r="B937" s="26"/>
      <c r="C937" s="26"/>
      <c r="D937" s="26"/>
      <c r="E937" s="26"/>
      <c r="F937" s="26"/>
    </row>
    <row r="938" spans="1:6" x14ac:dyDescent="0.25">
      <c r="A938" s="25"/>
      <c r="B938" s="26"/>
      <c r="C938" s="26"/>
      <c r="D938" s="26"/>
      <c r="E938" s="26"/>
      <c r="F938" s="26"/>
    </row>
    <row r="939" spans="1:6" x14ac:dyDescent="0.25">
      <c r="A939" s="25"/>
      <c r="B939" s="26"/>
      <c r="C939" s="26"/>
      <c r="D939" s="26"/>
      <c r="E939" s="26"/>
      <c r="F939" s="26"/>
    </row>
    <row r="940" spans="1:6" x14ac:dyDescent="0.25">
      <c r="A940" s="25"/>
      <c r="B940" s="26"/>
      <c r="C940" s="26"/>
      <c r="D940" s="26"/>
      <c r="E940" s="26"/>
      <c r="F940" s="26"/>
    </row>
    <row r="941" spans="1:6" x14ac:dyDescent="0.25">
      <c r="A941" s="25"/>
      <c r="B941" s="26"/>
      <c r="C941" s="26"/>
      <c r="D941" s="26"/>
      <c r="E941" s="26"/>
      <c r="F941" s="26"/>
    </row>
    <row r="942" spans="1:6" x14ac:dyDescent="0.25">
      <c r="A942" s="25"/>
      <c r="B942" s="26"/>
      <c r="C942" s="26"/>
      <c r="D942" s="26"/>
      <c r="E942" s="26"/>
      <c r="F942" s="26"/>
    </row>
    <row r="943" spans="1:6" x14ac:dyDescent="0.25">
      <c r="A943" s="25"/>
      <c r="B943" s="26"/>
      <c r="C943" s="26"/>
      <c r="D943" s="26"/>
      <c r="E943" s="26"/>
      <c r="F943" s="26"/>
    </row>
    <row r="944" spans="1:6" x14ac:dyDescent="0.25">
      <c r="A944" s="25"/>
      <c r="B944" s="26"/>
      <c r="C944" s="26"/>
      <c r="D944" s="26"/>
      <c r="E944" s="26"/>
      <c r="F944" s="26"/>
    </row>
    <row r="945" spans="1:6" x14ac:dyDescent="0.25">
      <c r="A945" s="25"/>
      <c r="B945" s="26"/>
      <c r="C945" s="26"/>
      <c r="D945" s="26"/>
      <c r="E945" s="26"/>
      <c r="F945" s="26"/>
    </row>
    <row r="946" spans="1:6" x14ac:dyDescent="0.25">
      <c r="A946" s="25"/>
      <c r="B946" s="26"/>
      <c r="C946" s="26"/>
      <c r="D946" s="26"/>
      <c r="E946" s="26"/>
      <c r="F946" s="26"/>
    </row>
    <row r="947" spans="1:6" x14ac:dyDescent="0.25">
      <c r="A947" s="25"/>
      <c r="B947" s="26"/>
      <c r="C947" s="26"/>
      <c r="D947" s="26"/>
      <c r="E947" s="26"/>
      <c r="F947" s="26"/>
    </row>
    <row r="948" spans="1:6" x14ac:dyDescent="0.25">
      <c r="A948" s="25"/>
      <c r="B948" s="26"/>
      <c r="C948" s="26"/>
      <c r="D948" s="26"/>
      <c r="E948" s="26"/>
      <c r="F948" s="26"/>
    </row>
    <row r="949" spans="1:6" x14ac:dyDescent="0.25">
      <c r="A949" s="25"/>
      <c r="B949" s="26"/>
      <c r="C949" s="26"/>
      <c r="D949" s="26"/>
      <c r="E949" s="26"/>
      <c r="F949" s="26"/>
    </row>
    <row r="950" spans="1:6" x14ac:dyDescent="0.25">
      <c r="A950" s="25"/>
      <c r="B950" s="26"/>
      <c r="C950" s="26"/>
      <c r="D950" s="26"/>
      <c r="E950" s="26"/>
      <c r="F950" s="26"/>
    </row>
    <row r="951" spans="1:6" x14ac:dyDescent="0.25">
      <c r="A951" s="25"/>
      <c r="B951" s="26"/>
      <c r="C951" s="26"/>
      <c r="D951" s="26"/>
      <c r="E951" s="26"/>
      <c r="F951" s="26"/>
    </row>
    <row r="952" spans="1:6" x14ac:dyDescent="0.25">
      <c r="A952" s="25"/>
      <c r="B952" s="26"/>
      <c r="C952" s="26"/>
      <c r="D952" s="26"/>
      <c r="E952" s="26"/>
      <c r="F952" s="26"/>
    </row>
    <row r="953" spans="1:6" x14ac:dyDescent="0.25">
      <c r="A953" s="25"/>
      <c r="B953" s="26"/>
      <c r="C953" s="26"/>
      <c r="D953" s="26"/>
      <c r="E953" s="26"/>
      <c r="F953" s="26"/>
    </row>
    <row r="954" spans="1:6" x14ac:dyDescent="0.25">
      <c r="A954" s="25"/>
      <c r="B954" s="26"/>
      <c r="C954" s="26"/>
      <c r="D954" s="26"/>
      <c r="E954" s="26"/>
      <c r="F954" s="26"/>
    </row>
    <row r="955" spans="1:6" x14ac:dyDescent="0.25">
      <c r="A955" s="25"/>
      <c r="B955" s="26"/>
      <c r="C955" s="26"/>
      <c r="D955" s="26"/>
      <c r="E955" s="26"/>
      <c r="F955" s="26"/>
    </row>
    <row r="956" spans="1:6" x14ac:dyDescent="0.25">
      <c r="A956" s="25"/>
      <c r="B956" s="26"/>
      <c r="C956" s="26"/>
      <c r="D956" s="26"/>
      <c r="E956" s="26"/>
      <c r="F956" s="26"/>
    </row>
    <row r="957" spans="1:6" x14ac:dyDescent="0.25">
      <c r="A957" s="25"/>
      <c r="B957" s="26"/>
      <c r="C957" s="26"/>
      <c r="D957" s="26"/>
      <c r="E957" s="26"/>
      <c r="F957" s="26"/>
    </row>
    <row r="958" spans="1:6" x14ac:dyDescent="0.25">
      <c r="A958" s="25"/>
      <c r="B958" s="26"/>
      <c r="C958" s="26"/>
      <c r="D958" s="26"/>
      <c r="E958" s="26"/>
      <c r="F958" s="26"/>
    </row>
    <row r="959" spans="1:6" x14ac:dyDescent="0.25">
      <c r="A959" s="25"/>
      <c r="B959" s="26"/>
      <c r="C959" s="26"/>
      <c r="D959" s="26"/>
      <c r="E959" s="26"/>
      <c r="F959" s="26"/>
    </row>
    <row r="960" spans="1:6" x14ac:dyDescent="0.25">
      <c r="A960" s="25"/>
      <c r="B960" s="26"/>
      <c r="C960" s="26"/>
      <c r="D960" s="26"/>
      <c r="E960" s="26"/>
      <c r="F960" s="26"/>
    </row>
    <row r="961" spans="1:6" x14ac:dyDescent="0.25">
      <c r="A961" s="25"/>
      <c r="B961" s="26"/>
      <c r="C961" s="26"/>
      <c r="D961" s="26"/>
      <c r="E961" s="26"/>
      <c r="F961" s="26"/>
    </row>
    <row r="962" spans="1:6" x14ac:dyDescent="0.25">
      <c r="A962" s="25"/>
      <c r="B962" s="26"/>
      <c r="C962" s="26"/>
      <c r="D962" s="26"/>
      <c r="E962" s="26"/>
      <c r="F962" s="26"/>
    </row>
    <row r="963" spans="1:6" x14ac:dyDescent="0.25">
      <c r="A963" s="25"/>
      <c r="B963" s="26"/>
      <c r="C963" s="26"/>
      <c r="D963" s="26"/>
      <c r="E963" s="26"/>
      <c r="F963" s="26"/>
    </row>
    <row r="964" spans="1:6" x14ac:dyDescent="0.25">
      <c r="A964" s="25"/>
      <c r="B964" s="26"/>
      <c r="C964" s="26"/>
      <c r="D964" s="26"/>
      <c r="E964" s="26"/>
      <c r="F964" s="26"/>
    </row>
    <row r="965" spans="1:6" x14ac:dyDescent="0.25">
      <c r="A965" s="25"/>
      <c r="B965" s="26"/>
      <c r="C965" s="26"/>
      <c r="D965" s="26"/>
      <c r="E965" s="26"/>
      <c r="F965" s="26"/>
    </row>
    <row r="966" spans="1:6" x14ac:dyDescent="0.25">
      <c r="A966" s="25"/>
      <c r="B966" s="26"/>
      <c r="C966" s="26"/>
      <c r="D966" s="26"/>
      <c r="E966" s="26"/>
      <c r="F966" s="26"/>
    </row>
    <row r="967" spans="1:6" x14ac:dyDescent="0.25">
      <c r="A967" s="25"/>
      <c r="B967" s="26"/>
      <c r="C967" s="26"/>
      <c r="D967" s="26"/>
      <c r="E967" s="26"/>
      <c r="F967" s="26"/>
    </row>
    <row r="968" spans="1:6" x14ac:dyDescent="0.25">
      <c r="A968" s="25"/>
      <c r="B968" s="26"/>
      <c r="C968" s="26"/>
      <c r="D968" s="26"/>
      <c r="E968" s="26"/>
      <c r="F968" s="26"/>
    </row>
    <row r="969" spans="1:6" x14ac:dyDescent="0.25">
      <c r="A969" s="25"/>
      <c r="B969" s="26"/>
      <c r="C969" s="26"/>
      <c r="D969" s="26"/>
      <c r="E969" s="26"/>
      <c r="F969" s="26"/>
    </row>
    <row r="970" spans="1:6" x14ac:dyDescent="0.25">
      <c r="A970" s="25"/>
      <c r="B970" s="26"/>
      <c r="C970" s="26"/>
      <c r="D970" s="26"/>
      <c r="E970" s="26"/>
      <c r="F970" s="26"/>
    </row>
    <row r="971" spans="1:6" x14ac:dyDescent="0.25">
      <c r="A971" s="25"/>
      <c r="B971" s="26"/>
      <c r="C971" s="26"/>
      <c r="D971" s="26"/>
      <c r="E971" s="26"/>
      <c r="F971" s="26"/>
    </row>
    <row r="972" spans="1:6" x14ac:dyDescent="0.25">
      <c r="A972" s="25"/>
      <c r="B972" s="26"/>
      <c r="C972" s="26"/>
      <c r="D972" s="26"/>
      <c r="E972" s="26"/>
      <c r="F972" s="26"/>
    </row>
    <row r="973" spans="1:6" x14ac:dyDescent="0.25">
      <c r="A973" s="25"/>
      <c r="B973" s="26"/>
      <c r="C973" s="26"/>
      <c r="D973" s="26"/>
      <c r="E973" s="26"/>
      <c r="F973" s="26"/>
    </row>
    <row r="974" spans="1:6" x14ac:dyDescent="0.25">
      <c r="A974" s="25"/>
      <c r="B974" s="26"/>
      <c r="C974" s="26"/>
      <c r="D974" s="26"/>
      <c r="E974" s="26"/>
      <c r="F974" s="26"/>
    </row>
    <row r="975" spans="1:6" x14ac:dyDescent="0.25">
      <c r="A975" s="25"/>
      <c r="B975" s="26"/>
      <c r="C975" s="26"/>
      <c r="D975" s="26"/>
      <c r="E975" s="26"/>
      <c r="F975" s="26"/>
    </row>
    <row r="976" spans="1:6" x14ac:dyDescent="0.25">
      <c r="A976" s="25"/>
      <c r="B976" s="26"/>
      <c r="C976" s="26"/>
      <c r="D976" s="26"/>
      <c r="E976" s="26"/>
      <c r="F976" s="26"/>
    </row>
    <row r="977" spans="1:6" x14ac:dyDescent="0.25">
      <c r="A977" s="25"/>
      <c r="B977" s="26"/>
      <c r="C977" s="26"/>
      <c r="D977" s="26"/>
      <c r="E977" s="26"/>
      <c r="F977" s="26"/>
    </row>
    <row r="978" spans="1:6" x14ac:dyDescent="0.25">
      <c r="A978" s="25"/>
      <c r="B978" s="26"/>
      <c r="C978" s="26"/>
      <c r="D978" s="26"/>
      <c r="E978" s="26"/>
      <c r="F978" s="26"/>
    </row>
    <row r="979" spans="1:6" x14ac:dyDescent="0.25">
      <c r="A979" s="25"/>
      <c r="B979" s="26"/>
      <c r="C979" s="26"/>
      <c r="D979" s="26"/>
      <c r="E979" s="26"/>
      <c r="F979" s="26"/>
    </row>
    <row r="980" spans="1:6" x14ac:dyDescent="0.25">
      <c r="A980" s="25"/>
      <c r="B980" s="26"/>
      <c r="C980" s="26"/>
      <c r="D980" s="26"/>
      <c r="E980" s="26"/>
      <c r="F980" s="26"/>
    </row>
    <row r="981" spans="1:6" x14ac:dyDescent="0.25">
      <c r="A981" s="25"/>
      <c r="B981" s="26"/>
      <c r="C981" s="26"/>
      <c r="D981" s="26"/>
      <c r="E981" s="26"/>
      <c r="F981" s="26"/>
    </row>
    <row r="982" spans="1:6" x14ac:dyDescent="0.25">
      <c r="A982" s="25"/>
      <c r="B982" s="26"/>
      <c r="C982" s="26"/>
      <c r="D982" s="26"/>
      <c r="E982" s="26"/>
      <c r="F982" s="26"/>
    </row>
    <row r="983" spans="1:6" x14ac:dyDescent="0.25">
      <c r="A983" s="25"/>
      <c r="B983" s="26"/>
      <c r="C983" s="26"/>
      <c r="D983" s="26"/>
      <c r="E983" s="26"/>
      <c r="F983" s="26"/>
    </row>
    <row r="984" spans="1:6" x14ac:dyDescent="0.25">
      <c r="A984" s="25"/>
      <c r="B984" s="26"/>
      <c r="C984" s="26"/>
      <c r="D984" s="26"/>
      <c r="E984" s="26"/>
      <c r="F984" s="26"/>
    </row>
    <row r="985" spans="1:6" x14ac:dyDescent="0.25">
      <c r="A985" s="25"/>
      <c r="B985" s="26"/>
      <c r="C985" s="26"/>
      <c r="D985" s="26"/>
      <c r="E985" s="26"/>
      <c r="F985" s="26"/>
    </row>
    <row r="986" spans="1:6" x14ac:dyDescent="0.25">
      <c r="A986" s="25"/>
      <c r="B986" s="26"/>
      <c r="C986" s="26"/>
      <c r="D986" s="26"/>
      <c r="E986" s="26"/>
      <c r="F986" s="26"/>
    </row>
    <row r="987" spans="1:6" x14ac:dyDescent="0.25">
      <c r="A987" s="25"/>
      <c r="B987" s="26"/>
      <c r="C987" s="26"/>
      <c r="D987" s="26"/>
      <c r="E987" s="26"/>
      <c r="F987" s="26"/>
    </row>
    <row r="988" spans="1:6" x14ac:dyDescent="0.25">
      <c r="A988" s="25"/>
      <c r="B988" s="26"/>
      <c r="C988" s="26"/>
      <c r="D988" s="26"/>
      <c r="E988" s="26"/>
      <c r="F988" s="26"/>
    </row>
    <row r="989" spans="1:6" x14ac:dyDescent="0.25">
      <c r="A989" s="25"/>
      <c r="B989" s="26"/>
      <c r="C989" s="26"/>
      <c r="D989" s="26"/>
      <c r="E989" s="26"/>
      <c r="F989" s="26"/>
    </row>
    <row r="990" spans="1:6" x14ac:dyDescent="0.25">
      <c r="A990" s="25"/>
      <c r="B990" s="26"/>
      <c r="C990" s="26"/>
      <c r="D990" s="26"/>
      <c r="E990" s="26"/>
      <c r="F990" s="26"/>
    </row>
    <row r="991" spans="1:6" x14ac:dyDescent="0.25">
      <c r="A991" s="25"/>
      <c r="B991" s="26"/>
      <c r="C991" s="26"/>
      <c r="D991" s="26"/>
      <c r="E991" s="26"/>
      <c r="F991" s="26"/>
    </row>
    <row r="992" spans="1:6" x14ac:dyDescent="0.25">
      <c r="A992" s="25"/>
      <c r="B992" s="26"/>
      <c r="C992" s="26"/>
      <c r="D992" s="26"/>
      <c r="E992" s="26"/>
      <c r="F992" s="26"/>
    </row>
    <row r="993" spans="1:6" x14ac:dyDescent="0.25">
      <c r="A993" s="25"/>
      <c r="B993" s="26"/>
      <c r="C993" s="26"/>
      <c r="D993" s="26"/>
      <c r="E993" s="26"/>
      <c r="F993" s="26"/>
    </row>
    <row r="994" spans="1:6" x14ac:dyDescent="0.25">
      <c r="A994" s="25"/>
      <c r="B994" s="26"/>
      <c r="C994" s="26"/>
      <c r="D994" s="26"/>
      <c r="E994" s="26"/>
      <c r="F994" s="26"/>
    </row>
    <row r="995" spans="1:6" x14ac:dyDescent="0.25">
      <c r="A995" s="25"/>
      <c r="B995" s="26"/>
      <c r="C995" s="26"/>
      <c r="D995" s="26"/>
      <c r="E995" s="26"/>
      <c r="F995" s="26"/>
    </row>
    <row r="996" spans="1:6" x14ac:dyDescent="0.25">
      <c r="A996" s="25"/>
      <c r="B996" s="26"/>
      <c r="C996" s="26"/>
      <c r="D996" s="26"/>
      <c r="E996" s="26"/>
      <c r="F996" s="26"/>
    </row>
    <row r="997" spans="1:6" x14ac:dyDescent="0.25">
      <c r="A997" s="25"/>
      <c r="B997" s="26"/>
      <c r="C997" s="26"/>
      <c r="D997" s="26"/>
      <c r="E997" s="26"/>
      <c r="F997" s="26"/>
    </row>
    <row r="998" spans="1:6" x14ac:dyDescent="0.25">
      <c r="A998" s="25"/>
      <c r="B998" s="26"/>
      <c r="C998" s="26"/>
      <c r="D998" s="26"/>
      <c r="E998" s="26"/>
      <c r="F998" s="26"/>
    </row>
    <row r="999" spans="1:6" x14ac:dyDescent="0.25">
      <c r="A999" s="25"/>
      <c r="B999" s="26"/>
      <c r="C999" s="26"/>
      <c r="D999" s="26"/>
      <c r="E999" s="26"/>
      <c r="F999" s="26"/>
    </row>
    <row r="1000" spans="1:6" x14ac:dyDescent="0.25">
      <c r="A1000" s="25"/>
      <c r="B1000" s="26"/>
      <c r="C1000" s="26"/>
      <c r="D1000" s="26"/>
      <c r="E1000" s="26"/>
      <c r="F1000" s="26"/>
    </row>
    <row r="1001" spans="1:6" x14ac:dyDescent="0.25">
      <c r="A1001" s="25"/>
      <c r="B1001" s="26"/>
      <c r="C1001" s="26"/>
      <c r="D1001" s="26"/>
      <c r="E1001" s="26"/>
      <c r="F1001" s="26"/>
    </row>
    <row r="1002" spans="1:6" x14ac:dyDescent="0.25">
      <c r="A1002" s="25"/>
      <c r="B1002" s="26"/>
      <c r="C1002" s="26"/>
      <c r="D1002" s="26"/>
      <c r="E1002" s="26"/>
      <c r="F1002" s="26"/>
    </row>
    <row r="1003" spans="1:6" x14ac:dyDescent="0.25">
      <c r="A1003" s="25"/>
      <c r="B1003" s="26"/>
      <c r="C1003" s="26"/>
      <c r="D1003" s="26"/>
      <c r="E1003" s="26"/>
      <c r="F1003" s="26"/>
    </row>
    <row r="1004" spans="1:6" x14ac:dyDescent="0.25">
      <c r="A1004" s="25"/>
      <c r="B1004" s="26"/>
      <c r="C1004" s="26"/>
      <c r="D1004" s="26"/>
      <c r="E1004" s="26"/>
      <c r="F1004" s="26"/>
    </row>
    <row r="1005" spans="1:6" x14ac:dyDescent="0.25">
      <c r="A1005" s="25"/>
      <c r="B1005" s="26"/>
      <c r="C1005" s="26"/>
      <c r="D1005" s="26"/>
      <c r="E1005" s="26"/>
      <c r="F1005" s="26"/>
    </row>
    <row r="1006" spans="1:6" x14ac:dyDescent="0.25">
      <c r="A1006" s="25"/>
      <c r="B1006" s="26"/>
      <c r="C1006" s="26"/>
      <c r="D1006" s="26"/>
      <c r="E1006" s="26"/>
      <c r="F1006" s="26"/>
    </row>
    <row r="1007" spans="1:6" x14ac:dyDescent="0.25">
      <c r="A1007" s="25"/>
      <c r="B1007" s="26"/>
      <c r="C1007" s="26"/>
      <c r="D1007" s="26"/>
      <c r="E1007" s="26"/>
      <c r="F1007" s="26"/>
    </row>
    <row r="1008" spans="1:6" x14ac:dyDescent="0.25">
      <c r="A1008" s="25"/>
      <c r="B1008" s="26"/>
      <c r="C1008" s="26"/>
      <c r="D1008" s="26"/>
      <c r="E1008" s="26"/>
      <c r="F1008" s="26"/>
    </row>
    <row r="1009" spans="1:6" x14ac:dyDescent="0.25">
      <c r="A1009" s="25"/>
      <c r="B1009" s="26"/>
      <c r="C1009" s="26"/>
      <c r="D1009" s="26"/>
      <c r="E1009" s="26"/>
      <c r="F1009" s="26"/>
    </row>
    <row r="1010" spans="1:6" x14ac:dyDescent="0.25">
      <c r="A1010" s="25"/>
      <c r="B1010" s="26"/>
      <c r="C1010" s="26"/>
      <c r="D1010" s="26"/>
      <c r="E1010" s="26"/>
      <c r="F1010" s="26"/>
    </row>
    <row r="1011" spans="1:6" x14ac:dyDescent="0.25">
      <c r="A1011" s="25"/>
      <c r="B1011" s="26"/>
      <c r="C1011" s="26"/>
      <c r="D1011" s="26"/>
      <c r="E1011" s="26"/>
      <c r="F1011" s="26"/>
    </row>
    <row r="1012" spans="1:6" x14ac:dyDescent="0.25">
      <c r="A1012" s="25"/>
      <c r="B1012" s="26"/>
      <c r="C1012" s="26"/>
      <c r="D1012" s="26"/>
      <c r="E1012" s="26"/>
      <c r="F1012" s="26"/>
    </row>
    <row r="1013" spans="1:6" x14ac:dyDescent="0.25">
      <c r="A1013" s="25"/>
      <c r="B1013" s="26"/>
      <c r="C1013" s="26"/>
      <c r="D1013" s="26"/>
      <c r="E1013" s="26"/>
      <c r="F1013" s="26"/>
    </row>
    <row r="1014" spans="1:6" x14ac:dyDescent="0.25">
      <c r="A1014" s="25"/>
      <c r="B1014" s="26"/>
      <c r="C1014" s="26"/>
      <c r="D1014" s="26"/>
      <c r="E1014" s="26"/>
      <c r="F1014" s="26"/>
    </row>
    <row r="1015" spans="1:6" x14ac:dyDescent="0.25">
      <c r="A1015" s="25"/>
      <c r="B1015" s="26"/>
      <c r="C1015" s="26"/>
      <c r="D1015" s="26"/>
      <c r="E1015" s="26"/>
      <c r="F1015" s="26"/>
    </row>
    <row r="1016" spans="1:6" x14ac:dyDescent="0.25">
      <c r="A1016" s="25"/>
      <c r="B1016" s="26"/>
      <c r="C1016" s="26"/>
      <c r="D1016" s="26"/>
      <c r="E1016" s="26"/>
      <c r="F1016" s="26"/>
    </row>
    <row r="1017" spans="1:6" x14ac:dyDescent="0.25">
      <c r="A1017" s="25"/>
      <c r="B1017" s="26"/>
      <c r="C1017" s="26"/>
      <c r="D1017" s="26"/>
      <c r="E1017" s="26"/>
      <c r="F1017" s="26"/>
    </row>
    <row r="1018" spans="1:6" x14ac:dyDescent="0.25">
      <c r="A1018" s="25"/>
      <c r="B1018" s="26"/>
      <c r="C1018" s="26"/>
      <c r="D1018" s="26"/>
      <c r="E1018" s="26"/>
      <c r="F1018" s="26"/>
    </row>
    <row r="1019" spans="1:6" x14ac:dyDescent="0.25">
      <c r="A1019" s="25"/>
      <c r="B1019" s="26"/>
      <c r="C1019" s="26"/>
      <c r="D1019" s="26"/>
      <c r="E1019" s="26"/>
      <c r="F1019" s="26"/>
    </row>
    <row r="1020" spans="1:6" x14ac:dyDescent="0.25">
      <c r="A1020" s="25"/>
      <c r="B1020" s="26"/>
      <c r="C1020" s="26"/>
      <c r="D1020" s="26"/>
      <c r="E1020" s="26"/>
      <c r="F1020" s="26"/>
    </row>
    <row r="1021" spans="1:6" x14ac:dyDescent="0.25">
      <c r="A1021" s="25"/>
      <c r="B1021" s="26"/>
      <c r="C1021" s="26"/>
      <c r="D1021" s="26"/>
      <c r="E1021" s="26"/>
      <c r="F1021" s="26"/>
    </row>
    <row r="1022" spans="1:6" x14ac:dyDescent="0.25">
      <c r="A1022" s="25"/>
      <c r="B1022" s="26"/>
      <c r="C1022" s="26"/>
      <c r="D1022" s="26"/>
      <c r="E1022" s="26"/>
      <c r="F1022" s="26"/>
    </row>
    <row r="1023" spans="1:6" x14ac:dyDescent="0.25">
      <c r="A1023" s="25"/>
      <c r="B1023" s="26"/>
      <c r="C1023" s="26"/>
      <c r="D1023" s="26"/>
      <c r="E1023" s="26"/>
      <c r="F1023" s="26"/>
    </row>
    <row r="1024" spans="1:6" x14ac:dyDescent="0.25">
      <c r="A1024" s="25"/>
      <c r="B1024" s="26"/>
      <c r="C1024" s="26"/>
      <c r="D1024" s="26"/>
      <c r="E1024" s="26"/>
      <c r="F1024" s="26"/>
    </row>
    <row r="1025" spans="1:6" x14ac:dyDescent="0.25">
      <c r="A1025" s="25"/>
      <c r="B1025" s="26"/>
      <c r="C1025" s="26"/>
      <c r="D1025" s="26"/>
      <c r="E1025" s="26"/>
      <c r="F1025" s="26"/>
    </row>
    <row r="1026" spans="1:6" x14ac:dyDescent="0.25">
      <c r="A1026" s="25"/>
      <c r="B1026" s="26"/>
      <c r="C1026" s="26"/>
      <c r="D1026" s="26"/>
      <c r="E1026" s="26"/>
      <c r="F1026" s="26"/>
    </row>
    <row r="1027" spans="1:6" x14ac:dyDescent="0.25">
      <c r="A1027" s="25"/>
      <c r="B1027" s="26"/>
      <c r="C1027" s="26"/>
      <c r="D1027" s="26"/>
      <c r="E1027" s="26"/>
      <c r="F1027" s="26"/>
    </row>
    <row r="1028" spans="1:6" x14ac:dyDescent="0.25">
      <c r="A1028" s="25"/>
      <c r="B1028" s="26"/>
      <c r="C1028" s="26"/>
      <c r="D1028" s="26"/>
      <c r="E1028" s="26"/>
      <c r="F1028" s="26"/>
    </row>
    <row r="1029" spans="1:6" x14ac:dyDescent="0.25">
      <c r="A1029" s="25"/>
      <c r="B1029" s="26"/>
      <c r="C1029" s="26"/>
      <c r="D1029" s="26"/>
      <c r="E1029" s="26"/>
      <c r="F1029" s="26"/>
    </row>
    <row r="1030" spans="1:6" x14ac:dyDescent="0.25">
      <c r="A1030" s="25"/>
      <c r="B1030" s="26"/>
      <c r="C1030" s="26"/>
      <c r="D1030" s="26"/>
      <c r="E1030" s="26"/>
      <c r="F1030" s="26"/>
    </row>
    <row r="1031" spans="1:6" x14ac:dyDescent="0.25">
      <c r="A1031" s="25"/>
      <c r="B1031" s="26"/>
      <c r="C1031" s="26"/>
      <c r="D1031" s="26"/>
      <c r="E1031" s="26"/>
      <c r="F1031" s="26"/>
    </row>
    <row r="1032" spans="1:6" x14ac:dyDescent="0.25">
      <c r="A1032" s="25"/>
      <c r="B1032" s="26"/>
      <c r="C1032" s="26"/>
      <c r="D1032" s="26"/>
      <c r="E1032" s="26"/>
      <c r="F1032" s="26"/>
    </row>
    <row r="1033" spans="1:6" x14ac:dyDescent="0.25">
      <c r="A1033" s="25"/>
      <c r="B1033" s="26"/>
      <c r="C1033" s="26"/>
      <c r="D1033" s="26"/>
      <c r="E1033" s="26"/>
      <c r="F1033" s="26"/>
    </row>
    <row r="1034" spans="1:6" x14ac:dyDescent="0.25">
      <c r="A1034" s="25"/>
      <c r="B1034" s="26"/>
      <c r="C1034" s="26"/>
      <c r="D1034" s="26"/>
      <c r="E1034" s="26"/>
      <c r="F1034" s="26"/>
    </row>
    <row r="1035" spans="1:6" x14ac:dyDescent="0.25">
      <c r="A1035" s="25"/>
      <c r="B1035" s="26"/>
      <c r="C1035" s="26"/>
      <c r="D1035" s="26"/>
      <c r="E1035" s="26"/>
      <c r="F1035" s="26"/>
    </row>
    <row r="1036" spans="1:6" x14ac:dyDescent="0.25">
      <c r="A1036" s="25"/>
      <c r="B1036" s="26"/>
      <c r="C1036" s="26"/>
      <c r="D1036" s="26"/>
      <c r="E1036" s="26"/>
      <c r="F1036" s="26"/>
    </row>
    <row r="1037" spans="1:6" x14ac:dyDescent="0.25">
      <c r="A1037" s="25"/>
      <c r="B1037" s="26"/>
      <c r="C1037" s="26"/>
      <c r="D1037" s="26"/>
      <c r="E1037" s="26"/>
      <c r="F1037" s="26"/>
    </row>
    <row r="1038" spans="1:6" x14ac:dyDescent="0.25">
      <c r="A1038" s="25"/>
      <c r="B1038" s="26"/>
      <c r="C1038" s="26"/>
      <c r="D1038" s="26"/>
      <c r="E1038" s="26"/>
      <c r="F1038" s="26"/>
    </row>
    <row r="1039" spans="1:6" x14ac:dyDescent="0.25">
      <c r="A1039" s="25"/>
      <c r="B1039" s="26"/>
      <c r="C1039" s="26"/>
      <c r="D1039" s="26"/>
      <c r="E1039" s="26"/>
      <c r="F1039" s="26"/>
    </row>
    <row r="1040" spans="1:6" x14ac:dyDescent="0.25">
      <c r="A1040" s="25"/>
      <c r="B1040" s="26"/>
      <c r="C1040" s="26"/>
      <c r="D1040" s="26"/>
      <c r="E1040" s="26"/>
      <c r="F1040" s="26"/>
    </row>
    <row r="1041" spans="1:6" x14ac:dyDescent="0.25">
      <c r="A1041" s="25"/>
      <c r="B1041" s="26"/>
      <c r="C1041" s="26"/>
      <c r="D1041" s="26"/>
      <c r="E1041" s="26"/>
      <c r="F1041" s="26"/>
    </row>
    <row r="1042" spans="1:6" x14ac:dyDescent="0.25">
      <c r="A1042" s="25"/>
      <c r="B1042" s="26"/>
      <c r="C1042" s="26"/>
      <c r="D1042" s="26"/>
      <c r="E1042" s="26"/>
      <c r="F1042" s="26"/>
    </row>
    <row r="1043" spans="1:6" x14ac:dyDescent="0.25">
      <c r="A1043" s="25"/>
      <c r="B1043" s="26"/>
      <c r="C1043" s="26"/>
      <c r="D1043" s="26"/>
      <c r="E1043" s="26"/>
      <c r="F1043" s="26"/>
    </row>
    <row r="1044" spans="1:6" x14ac:dyDescent="0.25">
      <c r="A1044" s="25"/>
      <c r="B1044" s="26"/>
      <c r="C1044" s="26"/>
      <c r="D1044" s="26"/>
      <c r="E1044" s="26"/>
      <c r="F1044" s="26"/>
    </row>
    <row r="1045" spans="1:6" x14ac:dyDescent="0.25">
      <c r="A1045" s="25"/>
      <c r="B1045" s="26"/>
      <c r="C1045" s="26"/>
      <c r="D1045" s="26"/>
      <c r="E1045" s="26"/>
      <c r="F1045" s="26"/>
    </row>
    <row r="1046" spans="1:6" x14ac:dyDescent="0.25">
      <c r="A1046" s="25"/>
      <c r="B1046" s="26"/>
      <c r="C1046" s="26"/>
      <c r="D1046" s="26"/>
      <c r="E1046" s="26"/>
      <c r="F1046" s="26"/>
    </row>
    <row r="1047" spans="1:6" x14ac:dyDescent="0.25">
      <c r="A1047" s="25"/>
      <c r="B1047" s="26"/>
      <c r="C1047" s="26"/>
      <c r="D1047" s="26"/>
      <c r="E1047" s="26"/>
      <c r="F1047" s="26"/>
    </row>
    <row r="1048" spans="1:6" x14ac:dyDescent="0.25">
      <c r="A1048" s="25"/>
      <c r="B1048" s="26"/>
      <c r="C1048" s="26"/>
      <c r="D1048" s="26"/>
      <c r="E1048" s="26"/>
      <c r="F1048" s="26"/>
    </row>
    <row r="1049" spans="1:6" x14ac:dyDescent="0.25">
      <c r="A1049" s="25"/>
      <c r="B1049" s="26"/>
      <c r="C1049" s="26"/>
      <c r="D1049" s="26"/>
      <c r="E1049" s="26"/>
      <c r="F1049" s="26"/>
    </row>
    <row r="1050" spans="1:6" x14ac:dyDescent="0.25">
      <c r="A1050" s="25"/>
      <c r="B1050" s="26"/>
      <c r="C1050" s="26"/>
      <c r="D1050" s="26"/>
      <c r="E1050" s="26"/>
      <c r="F1050" s="26"/>
    </row>
    <row r="1051" spans="1:6" x14ac:dyDescent="0.25">
      <c r="A1051" s="25"/>
      <c r="B1051" s="26"/>
      <c r="C1051" s="26"/>
      <c r="D1051" s="26"/>
      <c r="E1051" s="26"/>
      <c r="F1051" s="26"/>
    </row>
    <row r="1052" spans="1:6" x14ac:dyDescent="0.25">
      <c r="A1052" s="25"/>
      <c r="B1052" s="26"/>
      <c r="C1052" s="26"/>
      <c r="D1052" s="26"/>
      <c r="E1052" s="26"/>
      <c r="F1052" s="26"/>
    </row>
    <row r="1053" spans="1:6" x14ac:dyDescent="0.25">
      <c r="A1053" s="25"/>
      <c r="B1053" s="26"/>
      <c r="C1053" s="26"/>
      <c r="D1053" s="26"/>
      <c r="E1053" s="26"/>
      <c r="F1053" s="26"/>
    </row>
    <row r="1054" spans="1:6" x14ac:dyDescent="0.25">
      <c r="A1054" s="25"/>
      <c r="B1054" s="26"/>
      <c r="C1054" s="26"/>
      <c r="D1054" s="26"/>
      <c r="E1054" s="26"/>
      <c r="F1054" s="26"/>
    </row>
    <row r="1055" spans="1:6" x14ac:dyDescent="0.25">
      <c r="A1055" s="25"/>
      <c r="B1055" s="26"/>
      <c r="C1055" s="26"/>
      <c r="D1055" s="26"/>
      <c r="E1055" s="26"/>
      <c r="F1055" s="26"/>
    </row>
    <row r="1056" spans="1:6" x14ac:dyDescent="0.25">
      <c r="A1056" s="25"/>
      <c r="B1056" s="26"/>
      <c r="C1056" s="26"/>
      <c r="D1056" s="26"/>
      <c r="E1056" s="26"/>
      <c r="F1056" s="26"/>
    </row>
    <row r="1057" spans="1:6" x14ac:dyDescent="0.25">
      <c r="A1057" s="25"/>
      <c r="B1057" s="26"/>
      <c r="C1057" s="26"/>
      <c r="D1057" s="26"/>
      <c r="E1057" s="26"/>
      <c r="F1057" s="26"/>
    </row>
    <row r="1058" spans="1:6" x14ac:dyDescent="0.25">
      <c r="A1058" s="25"/>
      <c r="B1058" s="26"/>
      <c r="C1058" s="26"/>
      <c r="D1058" s="26"/>
      <c r="E1058" s="26"/>
      <c r="F1058" s="26"/>
    </row>
    <row r="1059" spans="1:6" x14ac:dyDescent="0.25">
      <c r="A1059" s="25"/>
      <c r="B1059" s="26"/>
      <c r="C1059" s="26"/>
      <c r="D1059" s="26"/>
      <c r="E1059" s="26"/>
      <c r="F1059" s="26"/>
    </row>
    <row r="1060" spans="1:6" x14ac:dyDescent="0.25">
      <c r="A1060" s="25"/>
      <c r="B1060" s="26"/>
      <c r="C1060" s="26"/>
      <c r="D1060" s="26"/>
      <c r="E1060" s="26"/>
      <c r="F1060" s="26"/>
    </row>
    <row r="1061" spans="1:6" x14ac:dyDescent="0.25">
      <c r="A1061" s="25"/>
      <c r="B1061" s="26"/>
      <c r="C1061" s="26"/>
      <c r="D1061" s="26"/>
      <c r="E1061" s="26"/>
      <c r="F1061" s="26"/>
    </row>
    <row r="1062" spans="1:6" x14ac:dyDescent="0.25">
      <c r="A1062" s="25"/>
      <c r="B1062" s="26"/>
      <c r="C1062" s="26"/>
      <c r="D1062" s="26"/>
      <c r="E1062" s="26"/>
      <c r="F1062" s="26"/>
    </row>
    <row r="1063" spans="1:6" x14ac:dyDescent="0.25">
      <c r="A1063" s="25"/>
      <c r="B1063" s="26"/>
      <c r="C1063" s="26"/>
      <c r="D1063" s="26"/>
      <c r="E1063" s="26"/>
      <c r="F1063" s="26"/>
    </row>
    <row r="1064" spans="1:6" x14ac:dyDescent="0.25">
      <c r="A1064" s="25"/>
      <c r="B1064" s="26"/>
      <c r="C1064" s="26"/>
      <c r="D1064" s="26"/>
      <c r="E1064" s="26"/>
      <c r="F1064" s="26"/>
    </row>
    <row r="1065" spans="1:6" x14ac:dyDescent="0.25">
      <c r="A1065" s="25"/>
      <c r="B1065" s="26"/>
      <c r="C1065" s="26"/>
      <c r="D1065" s="26"/>
      <c r="E1065" s="26"/>
      <c r="F1065" s="26"/>
    </row>
    <row r="1066" spans="1:6" x14ac:dyDescent="0.25">
      <c r="A1066" s="25"/>
      <c r="B1066" s="26"/>
      <c r="C1066" s="26"/>
      <c r="D1066" s="26"/>
      <c r="E1066" s="26"/>
      <c r="F1066" s="26"/>
    </row>
    <row r="1067" spans="1:6" x14ac:dyDescent="0.25">
      <c r="A1067" s="25"/>
      <c r="B1067" s="26"/>
      <c r="C1067" s="26"/>
      <c r="D1067" s="26"/>
      <c r="E1067" s="26"/>
      <c r="F1067" s="26"/>
    </row>
    <row r="1068" spans="1:6" x14ac:dyDescent="0.25">
      <c r="A1068" s="25"/>
      <c r="B1068" s="26"/>
      <c r="C1068" s="26"/>
      <c r="D1068" s="26"/>
      <c r="E1068" s="26"/>
      <c r="F1068" s="26"/>
    </row>
    <row r="1069" spans="1:6" x14ac:dyDescent="0.25">
      <c r="A1069" s="25"/>
      <c r="B1069" s="26"/>
      <c r="C1069" s="26"/>
      <c r="D1069" s="26"/>
      <c r="E1069" s="26"/>
      <c r="F1069" s="26"/>
    </row>
    <row r="1070" spans="1:6" x14ac:dyDescent="0.25">
      <c r="A1070" s="25"/>
      <c r="B1070" s="26"/>
      <c r="C1070" s="26"/>
      <c r="D1070" s="26"/>
      <c r="E1070" s="26"/>
      <c r="F1070" s="26"/>
    </row>
    <row r="1071" spans="1:6" x14ac:dyDescent="0.25">
      <c r="A1071" s="25"/>
      <c r="B1071" s="26"/>
      <c r="C1071" s="26"/>
      <c r="D1071" s="26"/>
      <c r="E1071" s="26"/>
      <c r="F1071" s="26"/>
    </row>
    <row r="1072" spans="1:6" x14ac:dyDescent="0.25">
      <c r="A1072" s="25"/>
      <c r="B1072" s="26"/>
      <c r="C1072" s="26"/>
      <c r="D1072" s="26"/>
      <c r="E1072" s="26"/>
      <c r="F1072" s="26"/>
    </row>
    <row r="1073" spans="1:6" x14ac:dyDescent="0.25">
      <c r="A1073" s="25"/>
      <c r="B1073" s="26"/>
      <c r="C1073" s="26"/>
      <c r="D1073" s="26"/>
      <c r="E1073" s="26"/>
      <c r="F1073" s="26"/>
    </row>
    <row r="1074" spans="1:6" x14ac:dyDescent="0.25">
      <c r="A1074" s="25"/>
      <c r="B1074" s="26"/>
      <c r="C1074" s="26"/>
      <c r="D1074" s="26"/>
      <c r="E1074" s="26"/>
      <c r="F1074" s="26"/>
    </row>
    <row r="1075" spans="1:6" x14ac:dyDescent="0.25">
      <c r="A1075" s="25"/>
      <c r="B1075" s="26"/>
      <c r="C1075" s="26"/>
      <c r="D1075" s="26"/>
      <c r="E1075" s="26"/>
      <c r="F1075" s="26"/>
    </row>
    <row r="1076" spans="1:6" x14ac:dyDescent="0.25">
      <c r="A1076" s="25"/>
      <c r="B1076" s="26"/>
      <c r="C1076" s="26"/>
      <c r="D1076" s="26"/>
      <c r="E1076" s="26"/>
      <c r="F1076" s="26"/>
    </row>
    <row r="1077" spans="1:6" x14ac:dyDescent="0.25">
      <c r="A1077" s="25"/>
      <c r="B1077" s="26"/>
      <c r="C1077" s="26"/>
      <c r="D1077" s="26"/>
      <c r="E1077" s="26"/>
      <c r="F1077" s="26"/>
    </row>
    <row r="1078" spans="1:6" x14ac:dyDescent="0.25">
      <c r="A1078" s="25"/>
      <c r="B1078" s="26"/>
      <c r="C1078" s="26"/>
      <c r="D1078" s="26"/>
      <c r="E1078" s="26"/>
      <c r="F1078" s="26"/>
    </row>
    <row r="1079" spans="1:6" x14ac:dyDescent="0.25">
      <c r="A1079" s="25"/>
      <c r="B1079" s="26"/>
      <c r="C1079" s="26"/>
      <c r="D1079" s="26"/>
      <c r="E1079" s="26"/>
      <c r="F1079" s="26"/>
    </row>
    <row r="1080" spans="1:6" x14ac:dyDescent="0.25">
      <c r="A1080" s="25"/>
      <c r="B1080" s="26"/>
      <c r="C1080" s="26"/>
      <c r="D1080" s="26"/>
      <c r="E1080" s="26"/>
      <c r="F1080" s="26"/>
    </row>
    <row r="1081" spans="1:6" x14ac:dyDescent="0.25">
      <c r="A1081" s="25"/>
      <c r="B1081" s="26"/>
      <c r="C1081" s="26"/>
      <c r="D1081" s="26"/>
      <c r="E1081" s="26"/>
      <c r="F1081" s="26"/>
    </row>
    <row r="1082" spans="1:6" x14ac:dyDescent="0.25">
      <c r="A1082" s="25"/>
      <c r="B1082" s="26"/>
      <c r="C1082" s="26"/>
      <c r="D1082" s="26"/>
      <c r="E1082" s="26"/>
      <c r="F1082" s="26"/>
    </row>
    <row r="1083" spans="1:6" x14ac:dyDescent="0.25">
      <c r="A1083" s="25"/>
      <c r="B1083" s="26"/>
      <c r="C1083" s="26"/>
      <c r="D1083" s="26"/>
      <c r="E1083" s="26"/>
      <c r="F1083" s="26"/>
    </row>
    <row r="1084" spans="1:6" x14ac:dyDescent="0.25">
      <c r="A1084" s="25"/>
      <c r="B1084" s="26"/>
      <c r="C1084" s="26"/>
      <c r="D1084" s="26"/>
      <c r="E1084" s="26"/>
      <c r="F1084" s="26"/>
    </row>
    <row r="1085" spans="1:6" x14ac:dyDescent="0.25">
      <c r="A1085" s="25"/>
      <c r="B1085" s="26"/>
      <c r="C1085" s="26"/>
      <c r="D1085" s="26"/>
      <c r="E1085" s="26"/>
      <c r="F1085" s="26"/>
    </row>
    <row r="1086" spans="1:6" x14ac:dyDescent="0.25">
      <c r="A1086" s="25"/>
      <c r="B1086" s="26"/>
      <c r="C1086" s="26"/>
      <c r="D1086" s="26"/>
      <c r="E1086" s="26"/>
      <c r="F1086" s="26"/>
    </row>
    <row r="1087" spans="1:6" x14ac:dyDescent="0.25">
      <c r="A1087" s="25"/>
      <c r="B1087" s="26"/>
      <c r="C1087" s="26"/>
      <c r="D1087" s="26"/>
      <c r="E1087" s="26"/>
      <c r="F1087" s="26"/>
    </row>
    <row r="1088" spans="1:6" x14ac:dyDescent="0.25">
      <c r="A1088" s="25"/>
      <c r="B1088" s="26"/>
      <c r="C1088" s="26"/>
      <c r="D1088" s="26"/>
      <c r="E1088" s="26"/>
      <c r="F1088" s="26"/>
    </row>
    <row r="1089" spans="1:6" x14ac:dyDescent="0.25">
      <c r="A1089" s="25"/>
      <c r="B1089" s="26"/>
      <c r="C1089" s="26"/>
      <c r="D1089" s="26"/>
      <c r="E1089" s="26"/>
      <c r="F1089" s="26"/>
    </row>
    <row r="1090" spans="1:6" x14ac:dyDescent="0.25">
      <c r="A1090" s="25"/>
      <c r="B1090" s="26"/>
      <c r="C1090" s="26"/>
      <c r="D1090" s="26"/>
      <c r="E1090" s="26"/>
      <c r="F1090" s="26"/>
    </row>
    <row r="1091" spans="1:6" x14ac:dyDescent="0.25">
      <c r="A1091" s="25"/>
      <c r="B1091" s="26"/>
      <c r="C1091" s="26"/>
      <c r="D1091" s="26"/>
      <c r="E1091" s="26"/>
      <c r="F1091" s="26"/>
    </row>
    <row r="1092" spans="1:6" x14ac:dyDescent="0.25">
      <c r="A1092" s="25"/>
      <c r="B1092" s="26"/>
      <c r="C1092" s="26"/>
      <c r="D1092" s="26"/>
      <c r="E1092" s="26"/>
      <c r="F1092" s="26"/>
    </row>
    <row r="1093" spans="1:6" x14ac:dyDescent="0.25">
      <c r="A1093" s="25"/>
      <c r="B1093" s="26"/>
      <c r="C1093" s="26"/>
      <c r="D1093" s="26"/>
      <c r="E1093" s="26"/>
      <c r="F1093" s="26"/>
    </row>
    <row r="1094" spans="1:6" x14ac:dyDescent="0.25">
      <c r="A1094" s="25"/>
      <c r="B1094" s="26"/>
      <c r="C1094" s="26"/>
      <c r="D1094" s="26"/>
      <c r="E1094" s="26"/>
      <c r="F1094" s="26"/>
    </row>
    <row r="1095" spans="1:6" x14ac:dyDescent="0.25">
      <c r="A1095" s="25"/>
      <c r="B1095" s="26"/>
      <c r="C1095" s="26"/>
      <c r="D1095" s="26"/>
      <c r="E1095" s="26"/>
      <c r="F1095" s="26"/>
    </row>
    <row r="1096" spans="1:6" x14ac:dyDescent="0.25">
      <c r="A1096" s="25"/>
      <c r="B1096" s="26"/>
      <c r="C1096" s="26"/>
      <c r="D1096" s="26"/>
      <c r="E1096" s="26"/>
      <c r="F1096" s="26"/>
    </row>
    <row r="1097" spans="1:6" x14ac:dyDescent="0.25">
      <c r="A1097" s="25"/>
      <c r="B1097" s="26"/>
      <c r="C1097" s="26"/>
      <c r="D1097" s="26"/>
      <c r="E1097" s="26"/>
      <c r="F1097" s="26"/>
    </row>
    <row r="1098" spans="1:6" x14ac:dyDescent="0.25">
      <c r="A1098" s="25"/>
      <c r="B1098" s="26"/>
      <c r="C1098" s="26"/>
      <c r="D1098" s="26"/>
      <c r="E1098" s="26"/>
      <c r="F1098" s="26"/>
    </row>
    <row r="1099" spans="1:6" x14ac:dyDescent="0.25">
      <c r="A1099" s="25"/>
      <c r="B1099" s="26"/>
      <c r="C1099" s="26"/>
      <c r="D1099" s="26"/>
      <c r="E1099" s="26"/>
      <c r="F1099" s="26"/>
    </row>
    <row r="1100" spans="1:6" x14ac:dyDescent="0.25">
      <c r="A1100" s="25"/>
      <c r="B1100" s="26"/>
      <c r="C1100" s="26"/>
      <c r="D1100" s="26"/>
      <c r="E1100" s="26"/>
      <c r="F1100" s="26"/>
    </row>
    <row r="1101" spans="1:6" x14ac:dyDescent="0.25">
      <c r="A1101" s="25"/>
      <c r="B1101" s="26"/>
      <c r="C1101" s="26"/>
      <c r="D1101" s="26"/>
      <c r="E1101" s="26"/>
      <c r="F1101" s="26"/>
    </row>
    <row r="1102" spans="1:6" x14ac:dyDescent="0.25">
      <c r="A1102" s="25"/>
      <c r="B1102" s="26"/>
      <c r="C1102" s="26"/>
      <c r="D1102" s="26"/>
      <c r="E1102" s="26"/>
      <c r="F1102" s="26"/>
    </row>
    <row r="1103" spans="1:6" x14ac:dyDescent="0.25">
      <c r="A1103" s="25"/>
      <c r="B1103" s="26"/>
      <c r="C1103" s="26"/>
      <c r="D1103" s="26"/>
      <c r="E1103" s="26"/>
      <c r="F1103" s="26"/>
    </row>
    <row r="1104" spans="1:6" x14ac:dyDescent="0.25">
      <c r="A1104" s="25"/>
      <c r="B1104" s="26"/>
      <c r="C1104" s="26"/>
      <c r="D1104" s="26"/>
      <c r="E1104" s="26"/>
      <c r="F1104" s="26"/>
    </row>
    <row r="1105" spans="1:6" x14ac:dyDescent="0.25">
      <c r="A1105" s="25"/>
      <c r="B1105" s="26"/>
      <c r="C1105" s="26"/>
      <c r="D1105" s="26"/>
      <c r="E1105" s="26"/>
      <c r="F1105" s="26"/>
    </row>
    <row r="1106" spans="1:6" x14ac:dyDescent="0.25">
      <c r="A1106" s="25"/>
      <c r="B1106" s="26"/>
      <c r="C1106" s="26"/>
      <c r="D1106" s="26"/>
      <c r="E1106" s="26"/>
      <c r="F1106" s="26"/>
    </row>
    <row r="1107" spans="1:6" x14ac:dyDescent="0.25">
      <c r="A1107" s="25"/>
      <c r="B1107" s="26"/>
      <c r="C1107" s="26"/>
      <c r="D1107" s="26"/>
      <c r="E1107" s="26"/>
      <c r="F1107" s="26"/>
    </row>
    <row r="1108" spans="1:6" x14ac:dyDescent="0.25">
      <c r="A1108" s="25"/>
      <c r="B1108" s="26"/>
      <c r="C1108" s="26"/>
      <c r="D1108" s="26"/>
      <c r="E1108" s="26"/>
      <c r="F1108" s="26"/>
    </row>
    <row r="1109" spans="1:6" x14ac:dyDescent="0.25">
      <c r="A1109" s="25"/>
      <c r="B1109" s="26"/>
      <c r="C1109" s="26"/>
      <c r="D1109" s="26"/>
      <c r="E1109" s="26"/>
      <c r="F1109" s="26"/>
    </row>
    <row r="1110" spans="1:6" x14ac:dyDescent="0.25">
      <c r="A1110" s="25"/>
      <c r="B1110" s="26"/>
      <c r="C1110" s="26"/>
      <c r="D1110" s="26"/>
      <c r="E1110" s="26"/>
      <c r="F1110" s="26"/>
    </row>
    <row r="1111" spans="1:6" x14ac:dyDescent="0.25">
      <c r="A1111" s="25"/>
      <c r="B1111" s="26"/>
      <c r="C1111" s="26"/>
      <c r="D1111" s="26"/>
      <c r="E1111" s="26"/>
      <c r="F1111" s="26"/>
    </row>
    <row r="1112" spans="1:6" x14ac:dyDescent="0.25">
      <c r="A1112" s="25"/>
      <c r="B1112" s="26"/>
      <c r="C1112" s="26"/>
      <c r="D1112" s="26"/>
      <c r="E1112" s="26"/>
      <c r="F1112" s="26"/>
    </row>
    <row r="1113" spans="1:6" x14ac:dyDescent="0.25">
      <c r="A1113" s="25"/>
      <c r="B1113" s="26"/>
      <c r="C1113" s="26"/>
      <c r="D1113" s="26"/>
      <c r="E1113" s="26"/>
      <c r="F1113" s="26"/>
    </row>
    <row r="1114" spans="1:6" x14ac:dyDescent="0.25">
      <c r="A1114" s="25"/>
      <c r="B1114" s="26"/>
      <c r="C1114" s="26"/>
      <c r="D1114" s="26"/>
      <c r="E1114" s="26"/>
      <c r="F1114" s="26"/>
    </row>
    <row r="1115" spans="1:6" x14ac:dyDescent="0.25">
      <c r="A1115" s="25"/>
      <c r="B1115" s="26"/>
      <c r="C1115" s="26"/>
      <c r="D1115" s="26"/>
      <c r="E1115" s="26"/>
      <c r="F1115" s="26"/>
    </row>
    <row r="1116" spans="1:6" x14ac:dyDescent="0.25">
      <c r="A1116" s="25"/>
      <c r="B1116" s="26"/>
      <c r="C1116" s="26"/>
      <c r="D1116" s="26"/>
      <c r="E1116" s="26"/>
      <c r="F1116" s="26"/>
    </row>
    <row r="1117" spans="1:6" x14ac:dyDescent="0.25">
      <c r="A1117" s="25"/>
      <c r="B1117" s="26"/>
      <c r="C1117" s="26"/>
      <c r="D1117" s="26"/>
      <c r="E1117" s="26"/>
      <c r="F1117" s="26"/>
    </row>
    <row r="1118" spans="1:6" x14ac:dyDescent="0.25">
      <c r="A1118" s="25"/>
      <c r="B1118" s="26"/>
      <c r="C1118" s="26"/>
      <c r="D1118" s="26"/>
      <c r="E1118" s="26"/>
      <c r="F1118" s="26"/>
    </row>
    <row r="1119" spans="1:6" x14ac:dyDescent="0.25">
      <c r="A1119" s="25"/>
      <c r="B1119" s="26"/>
      <c r="C1119" s="26"/>
      <c r="D1119" s="26"/>
      <c r="E1119" s="26"/>
      <c r="F1119" s="26"/>
    </row>
    <row r="1120" spans="1:6" x14ac:dyDescent="0.25">
      <c r="A1120" s="25"/>
      <c r="B1120" s="26"/>
      <c r="C1120" s="26"/>
      <c r="D1120" s="26"/>
      <c r="E1120" s="26"/>
      <c r="F1120" s="26"/>
    </row>
    <row r="1121" spans="1:6" x14ac:dyDescent="0.25">
      <c r="A1121" s="25"/>
      <c r="B1121" s="26"/>
      <c r="C1121" s="26"/>
      <c r="D1121" s="26"/>
      <c r="E1121" s="26"/>
      <c r="F1121" s="26"/>
    </row>
    <row r="1122" spans="1:6" x14ac:dyDescent="0.25">
      <c r="A1122" s="25"/>
      <c r="B1122" s="26"/>
      <c r="C1122" s="26"/>
      <c r="D1122" s="26"/>
      <c r="E1122" s="26"/>
      <c r="F1122" s="26"/>
    </row>
    <row r="1123" spans="1:6" x14ac:dyDescent="0.25">
      <c r="A1123" s="25"/>
      <c r="B1123" s="26"/>
      <c r="C1123" s="26"/>
      <c r="D1123" s="26"/>
      <c r="E1123" s="26"/>
      <c r="F1123" s="26"/>
    </row>
    <row r="1124" spans="1:6" x14ac:dyDescent="0.25">
      <c r="A1124" s="25"/>
      <c r="B1124" s="26"/>
      <c r="C1124" s="26"/>
      <c r="D1124" s="26"/>
      <c r="E1124" s="26"/>
      <c r="F1124" s="26"/>
    </row>
    <row r="1125" spans="1:6" x14ac:dyDescent="0.25">
      <c r="A1125" s="25"/>
      <c r="B1125" s="26"/>
      <c r="C1125" s="26"/>
      <c r="D1125" s="26"/>
      <c r="E1125" s="26"/>
      <c r="F1125" s="26"/>
    </row>
    <row r="1126" spans="1:6" x14ac:dyDescent="0.25">
      <c r="A1126" s="25"/>
      <c r="B1126" s="26"/>
      <c r="C1126" s="26"/>
      <c r="D1126" s="26"/>
      <c r="E1126" s="26"/>
      <c r="F1126" s="26"/>
    </row>
    <row r="1127" spans="1:6" x14ac:dyDescent="0.25">
      <c r="A1127" s="25"/>
      <c r="B1127" s="26"/>
      <c r="C1127" s="26"/>
      <c r="D1127" s="26"/>
      <c r="E1127" s="26"/>
      <c r="F1127" s="26"/>
    </row>
    <row r="1128" spans="1:6" x14ac:dyDescent="0.25">
      <c r="A1128" s="25"/>
      <c r="B1128" s="26"/>
      <c r="C1128" s="26"/>
      <c r="D1128" s="26"/>
      <c r="E1128" s="26"/>
      <c r="F1128" s="26"/>
    </row>
    <row r="1129" spans="1:6" x14ac:dyDescent="0.25">
      <c r="A1129" s="25"/>
      <c r="B1129" s="26"/>
      <c r="C1129" s="26"/>
      <c r="D1129" s="26"/>
      <c r="E1129" s="26"/>
      <c r="F1129" s="26"/>
    </row>
    <row r="1130" spans="1:6" x14ac:dyDescent="0.25">
      <c r="A1130" s="25"/>
      <c r="B1130" s="26"/>
      <c r="C1130" s="26"/>
      <c r="D1130" s="26"/>
      <c r="E1130" s="26"/>
      <c r="F1130" s="26"/>
    </row>
    <row r="1131" spans="1:6" x14ac:dyDescent="0.25">
      <c r="A1131" s="25"/>
      <c r="B1131" s="26"/>
      <c r="C1131" s="26"/>
      <c r="D1131" s="26"/>
      <c r="E1131" s="26"/>
      <c r="F1131" s="26"/>
    </row>
    <row r="1132" spans="1:6" x14ac:dyDescent="0.25">
      <c r="A1132" s="25"/>
      <c r="B1132" s="26"/>
      <c r="C1132" s="26"/>
      <c r="D1132" s="26"/>
      <c r="E1132" s="26"/>
      <c r="F1132" s="26"/>
    </row>
    <row r="1133" spans="1:6" x14ac:dyDescent="0.25">
      <c r="A1133" s="25"/>
      <c r="B1133" s="26"/>
      <c r="C1133" s="26"/>
      <c r="D1133" s="26"/>
      <c r="E1133" s="26"/>
      <c r="F1133" s="26"/>
    </row>
    <row r="1134" spans="1:6" x14ac:dyDescent="0.25">
      <c r="A1134" s="25"/>
      <c r="B1134" s="26"/>
      <c r="C1134" s="26"/>
      <c r="D1134" s="26"/>
      <c r="E1134" s="26"/>
      <c r="F1134" s="26"/>
    </row>
    <row r="1135" spans="1:6" x14ac:dyDescent="0.25">
      <c r="A1135" s="25"/>
      <c r="B1135" s="26"/>
      <c r="C1135" s="26"/>
      <c r="D1135" s="26"/>
      <c r="E1135" s="26"/>
      <c r="F1135" s="26"/>
    </row>
    <row r="1136" spans="1:6" x14ac:dyDescent="0.25">
      <c r="A1136" s="25"/>
      <c r="B1136" s="26"/>
      <c r="C1136" s="26"/>
      <c r="D1136" s="26"/>
      <c r="E1136" s="26"/>
      <c r="F1136" s="26"/>
    </row>
    <row r="1137" spans="1:6" x14ac:dyDescent="0.25">
      <c r="A1137" s="25"/>
      <c r="B1137" s="26"/>
      <c r="C1137" s="26"/>
      <c r="D1137" s="26"/>
      <c r="E1137" s="26"/>
      <c r="F1137" s="26"/>
    </row>
    <row r="1138" spans="1:6" x14ac:dyDescent="0.25">
      <c r="A1138" s="25"/>
      <c r="B1138" s="26"/>
      <c r="C1138" s="26"/>
      <c r="D1138" s="26"/>
      <c r="E1138" s="26"/>
      <c r="F1138" s="26"/>
    </row>
    <row r="1139" spans="1:6" x14ac:dyDescent="0.25">
      <c r="A1139" s="25"/>
      <c r="B1139" s="26"/>
      <c r="C1139" s="26"/>
      <c r="D1139" s="26"/>
      <c r="E1139" s="26"/>
      <c r="F1139" s="26"/>
    </row>
    <row r="1140" spans="1:6" x14ac:dyDescent="0.25">
      <c r="A1140" s="25"/>
      <c r="B1140" s="26"/>
      <c r="C1140" s="26"/>
      <c r="D1140" s="26"/>
      <c r="E1140" s="26"/>
      <c r="F1140" s="26"/>
    </row>
    <row r="1141" spans="1:6" x14ac:dyDescent="0.25">
      <c r="A1141" s="25"/>
      <c r="B1141" s="26"/>
      <c r="C1141" s="26"/>
      <c r="D1141" s="26"/>
      <c r="E1141" s="26"/>
      <c r="F1141" s="26"/>
    </row>
    <row r="1142" spans="1:6" x14ac:dyDescent="0.25">
      <c r="A1142" s="25"/>
      <c r="B1142" s="26"/>
      <c r="C1142" s="26"/>
      <c r="D1142" s="26"/>
      <c r="E1142" s="26"/>
      <c r="F1142" s="26"/>
    </row>
    <row r="1143" spans="1:6" x14ac:dyDescent="0.25">
      <c r="A1143" s="25"/>
      <c r="B1143" s="26"/>
      <c r="C1143" s="26"/>
      <c r="D1143" s="26"/>
      <c r="E1143" s="26"/>
      <c r="F1143" s="26"/>
    </row>
    <row r="1144" spans="1:6" x14ac:dyDescent="0.25">
      <c r="A1144" s="25"/>
      <c r="B1144" s="26"/>
      <c r="C1144" s="26"/>
      <c r="D1144" s="26"/>
      <c r="E1144" s="26"/>
      <c r="F1144" s="26"/>
    </row>
    <row r="1145" spans="1:6" x14ac:dyDescent="0.25">
      <c r="A1145" s="25"/>
      <c r="B1145" s="26"/>
      <c r="C1145" s="26"/>
      <c r="D1145" s="26"/>
      <c r="E1145" s="26"/>
      <c r="F1145" s="26"/>
    </row>
    <row r="1146" spans="1:6" x14ac:dyDescent="0.25">
      <c r="A1146" s="25"/>
      <c r="B1146" s="26"/>
      <c r="C1146" s="26"/>
      <c r="D1146" s="26"/>
      <c r="E1146" s="26"/>
      <c r="F1146" s="26"/>
    </row>
    <row r="1147" spans="1:6" x14ac:dyDescent="0.25">
      <c r="A1147" s="25"/>
      <c r="B1147" s="26"/>
      <c r="C1147" s="26"/>
      <c r="D1147" s="26"/>
      <c r="E1147" s="26"/>
      <c r="F1147" s="26"/>
    </row>
    <row r="1148" spans="1:6" x14ac:dyDescent="0.25">
      <c r="A1148" s="25"/>
      <c r="B1148" s="26"/>
      <c r="C1148" s="26"/>
      <c r="D1148" s="26"/>
      <c r="E1148" s="26"/>
      <c r="F1148" s="26"/>
    </row>
    <row r="1149" spans="1:6" x14ac:dyDescent="0.25">
      <c r="A1149" s="25"/>
      <c r="B1149" s="26"/>
      <c r="C1149" s="26"/>
      <c r="D1149" s="26"/>
      <c r="E1149" s="26"/>
      <c r="F1149" s="26"/>
    </row>
    <row r="1150" spans="1:6" x14ac:dyDescent="0.25">
      <c r="A1150" s="25"/>
      <c r="B1150" s="26"/>
      <c r="C1150" s="26"/>
      <c r="D1150" s="26"/>
      <c r="E1150" s="26"/>
      <c r="F1150" s="26"/>
    </row>
    <row r="1151" spans="1:6" x14ac:dyDescent="0.25">
      <c r="A1151" s="25"/>
      <c r="B1151" s="26"/>
      <c r="C1151" s="26"/>
      <c r="D1151" s="26"/>
      <c r="E1151" s="26"/>
      <c r="F1151" s="26"/>
    </row>
    <row r="1152" spans="1:6" x14ac:dyDescent="0.25">
      <c r="A1152" s="25"/>
      <c r="B1152" s="26"/>
      <c r="C1152" s="26"/>
      <c r="D1152" s="26"/>
      <c r="E1152" s="26"/>
      <c r="F1152" s="26"/>
    </row>
    <row r="1153" spans="1:6" x14ac:dyDescent="0.25">
      <c r="A1153" s="25"/>
      <c r="B1153" s="26"/>
      <c r="C1153" s="26"/>
      <c r="D1153" s="26"/>
      <c r="E1153" s="26"/>
      <c r="F1153" s="26"/>
    </row>
    <row r="1154" spans="1:6" x14ac:dyDescent="0.25">
      <c r="A1154" s="25"/>
      <c r="B1154" s="26"/>
      <c r="C1154" s="26"/>
      <c r="D1154" s="26"/>
      <c r="E1154" s="26"/>
      <c r="F1154" s="26"/>
    </row>
    <row r="1155" spans="1:6" x14ac:dyDescent="0.25">
      <c r="A1155" s="25"/>
      <c r="B1155" s="26"/>
      <c r="C1155" s="26"/>
      <c r="D1155" s="26"/>
      <c r="E1155" s="26"/>
      <c r="F1155" s="26"/>
    </row>
    <row r="1156" spans="1:6" x14ac:dyDescent="0.25">
      <c r="A1156" s="25"/>
      <c r="B1156" s="26"/>
      <c r="C1156" s="26"/>
      <c r="D1156" s="26"/>
      <c r="E1156" s="26"/>
      <c r="F1156" s="26"/>
    </row>
    <row r="1157" spans="1:6" x14ac:dyDescent="0.25">
      <c r="A1157" s="25"/>
      <c r="B1157" s="26"/>
      <c r="C1157" s="26"/>
      <c r="D1157" s="26"/>
      <c r="E1157" s="26"/>
      <c r="F1157" s="26"/>
    </row>
    <row r="1158" spans="1:6" x14ac:dyDescent="0.25">
      <c r="A1158" s="25"/>
      <c r="B1158" s="26"/>
      <c r="C1158" s="26"/>
      <c r="D1158" s="26"/>
      <c r="E1158" s="26"/>
      <c r="F1158" s="26"/>
    </row>
    <row r="1159" spans="1:6" x14ac:dyDescent="0.25">
      <c r="A1159" s="25"/>
      <c r="B1159" s="26"/>
      <c r="C1159" s="26"/>
      <c r="D1159" s="26"/>
      <c r="E1159" s="26"/>
      <c r="F1159" s="26"/>
    </row>
  </sheetData>
  <sortState xmlns:xlrd2="http://schemas.microsoft.com/office/spreadsheetml/2017/richdata2" ref="AG14:AG344">
    <sortCondition ref="AG14:AG344"/>
  </sortState>
  <phoneticPr fontId="40" type="noConversion"/>
  <pageMargins left="0.7" right="0.7" top="0.75" bottom="0.75" header="0.3" footer="0.3"/>
  <pageSetup orientation="portrait" r:id="rId1"/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B2:I32"/>
  <sheetViews>
    <sheetView showGridLines="0" workbookViewId="0">
      <selection activeCell="G13" sqref="G13"/>
    </sheetView>
  </sheetViews>
  <sheetFormatPr baseColWidth="10" defaultRowHeight="15" x14ac:dyDescent="0.25"/>
  <cols>
    <col min="1" max="1" width="4.7109375" customWidth="1"/>
    <col min="2" max="2" width="16.7109375" customWidth="1"/>
    <col min="3" max="3" width="15.5703125" customWidth="1"/>
    <col min="4" max="4" width="51.28515625" customWidth="1"/>
    <col min="5" max="5" width="57.28515625" bestFit="1" customWidth="1"/>
    <col min="6" max="7" width="11.5703125" style="2" customWidth="1"/>
    <col min="9" max="9" width="39.5703125" customWidth="1"/>
  </cols>
  <sheetData>
    <row r="2" spans="2:9" ht="29.25" customHeight="1" x14ac:dyDescent="0.25">
      <c r="B2" s="59" t="s">
        <v>649</v>
      </c>
      <c r="C2" s="21" t="s">
        <v>734</v>
      </c>
      <c r="D2" s="21" t="s">
        <v>728</v>
      </c>
      <c r="E2" s="21" t="s">
        <v>732</v>
      </c>
      <c r="F2" s="21" t="s">
        <v>733</v>
      </c>
      <c r="G2" s="21" t="s">
        <v>789</v>
      </c>
      <c r="H2" s="21" t="s">
        <v>727</v>
      </c>
      <c r="I2" s="22" t="s">
        <v>1286</v>
      </c>
    </row>
    <row r="3" spans="2:9" ht="15.75" customHeight="1" x14ac:dyDescent="0.25">
      <c r="B3" s="195"/>
      <c r="C3" s="45" t="e">
        <f>+VLOOKUP(TablaIngresos[[#This Row],[Código]],TablaMateriales[#All],4,FALSE)</f>
        <v>#N/A</v>
      </c>
      <c r="D3" s="28" t="e">
        <f>+VLOOKUP(B3,TablaMateriales[#All],5,FALSE)</f>
        <v>#N/A</v>
      </c>
      <c r="E3" s="45"/>
      <c r="F3" s="45"/>
      <c r="G3" s="24">
        <f>+IFERROR(+VLOOKUP(TablaIngresos[[#This Row],[Código]],TablaMateriales[#All],8,FALSE),1)</f>
        <v>1</v>
      </c>
      <c r="H3" s="24">
        <f>+TablaIngresos[[#This Row],[Unidades]]*G3</f>
        <v>0</v>
      </c>
      <c r="I3" s="53"/>
    </row>
    <row r="4" spans="2:9" x14ac:dyDescent="0.25">
      <c r="B4" s="195"/>
      <c r="C4" s="45" t="e">
        <f>+VLOOKUP(TablaIngresos[[#This Row],[Código]],TablaMateriales[#All],4,FALSE)</f>
        <v>#N/A</v>
      </c>
      <c r="D4" s="28" t="e">
        <f>+VLOOKUP(B4,TablaMateriales[#All],5,FALSE)</f>
        <v>#N/A</v>
      </c>
      <c r="E4" s="45"/>
      <c r="F4" s="45"/>
      <c r="G4" s="24">
        <v>1</v>
      </c>
      <c r="H4" s="120">
        <f>+TablaIngresos[[#This Row],[Unidades]]*G4</f>
        <v>0</v>
      </c>
      <c r="I4" s="53"/>
    </row>
    <row r="5" spans="2:9" x14ac:dyDescent="0.25">
      <c r="B5" s="195"/>
      <c r="C5" s="45" t="e">
        <f>+VLOOKUP(TablaIngresos[[#This Row],[Código]],TablaMateriales[#All],4,FALSE)</f>
        <v>#N/A</v>
      </c>
      <c r="D5" s="28" t="e">
        <f>+VLOOKUP(B5,TablaMateriales[#All],5,FALSE)</f>
        <v>#N/A</v>
      </c>
      <c r="E5" s="45"/>
      <c r="F5" s="45"/>
      <c r="G5" s="24">
        <f>+IFERROR(+VLOOKUP(TablaIngresos[[#This Row],[Código]],TablaMateriales[#All],8,FALSE),1)</f>
        <v>1</v>
      </c>
      <c r="H5" s="120">
        <f>+TablaIngresos[[#This Row],[Unidades]]*G5</f>
        <v>0</v>
      </c>
      <c r="I5" s="53"/>
    </row>
    <row r="6" spans="2:9" x14ac:dyDescent="0.25">
      <c r="B6" s="195"/>
      <c r="C6" s="45" t="e">
        <f>+VLOOKUP(TablaIngresos[[#This Row],[Código]],TablaMateriales[#All],4,FALSE)</f>
        <v>#N/A</v>
      </c>
      <c r="D6" s="28" t="e">
        <f>+VLOOKUP(B6,TablaMateriales[#All],5,FALSE)</f>
        <v>#N/A</v>
      </c>
      <c r="E6" s="45"/>
      <c r="F6" s="45"/>
      <c r="G6" s="24">
        <f>+IFERROR(+VLOOKUP(TablaIngresos[[#This Row],[Código]],TablaMateriales[#All],8,FALSE),1)</f>
        <v>1</v>
      </c>
      <c r="H6" s="120">
        <f>+TablaIngresos[[#This Row],[Unidades]]*G6</f>
        <v>0</v>
      </c>
      <c r="I6" s="53"/>
    </row>
    <row r="7" spans="2:9" x14ac:dyDescent="0.25">
      <c r="B7" s="196"/>
      <c r="C7" s="45" t="e">
        <f>+VLOOKUP(TablaIngresos[[#This Row],[Código]],TablaMateriales[#All],4,FALSE)</f>
        <v>#N/A</v>
      </c>
      <c r="D7" s="28" t="e">
        <f>+VLOOKUP(B7,TablaMateriales[#All],5,FALSE)</f>
        <v>#N/A</v>
      </c>
      <c r="E7" s="60"/>
      <c r="F7" s="60"/>
      <c r="G7" s="24">
        <f>+IFERROR(+VLOOKUP(TablaIngresos[[#This Row],[Código]],TablaMateriales[#All],8,FALSE),1)</f>
        <v>1</v>
      </c>
      <c r="H7" s="120">
        <f>+TablaIngresos[[#This Row],[Unidades]]*G7</f>
        <v>0</v>
      </c>
      <c r="I7" s="56"/>
    </row>
    <row r="8" spans="2:9" x14ac:dyDescent="0.25">
      <c r="B8" s="196"/>
      <c r="C8" s="45" t="e">
        <f>+VLOOKUP(TablaIngresos[[#This Row],[Código]],TablaMateriales[#All],4,FALSE)</f>
        <v>#N/A</v>
      </c>
      <c r="D8" s="28" t="e">
        <f>+VLOOKUP(B8,TablaMateriales[#All],5,FALSE)</f>
        <v>#N/A</v>
      </c>
      <c r="E8" s="60"/>
      <c r="F8" s="60"/>
      <c r="G8" s="24">
        <f>+IFERROR(+VLOOKUP(TablaIngresos[[#This Row],[Código]],TablaMateriales[#All],8,FALSE),1)</f>
        <v>1</v>
      </c>
      <c r="H8" s="120">
        <f>+TablaIngresos[[#This Row],[Unidades]]*G8</f>
        <v>0</v>
      </c>
      <c r="I8" s="56"/>
    </row>
    <row r="9" spans="2:9" x14ac:dyDescent="0.25">
      <c r="B9" s="196"/>
      <c r="C9" s="45" t="e">
        <f>+VLOOKUP(TablaIngresos[[#This Row],[Código]],TablaMateriales[#All],4,FALSE)</f>
        <v>#N/A</v>
      </c>
      <c r="D9" s="28" t="e">
        <f>+VLOOKUP(B9,TablaMateriales[#All],5,FALSE)</f>
        <v>#N/A</v>
      </c>
      <c r="E9" s="60"/>
      <c r="F9" s="60"/>
      <c r="G9" s="24">
        <f>+IFERROR(+VLOOKUP(TablaIngresos[[#This Row],[Código]],TablaMateriales[#All],8,FALSE),1)</f>
        <v>1</v>
      </c>
      <c r="H9" s="120">
        <f>+TablaIngresos[[#This Row],[Unidades]]*G9</f>
        <v>0</v>
      </c>
      <c r="I9" s="56"/>
    </row>
    <row r="10" spans="2:9" x14ac:dyDescent="0.25">
      <c r="B10" s="196"/>
      <c r="C10" s="45" t="e">
        <f>+VLOOKUP(TablaIngresos[[#This Row],[Código]],TablaMateriales[#All],4,FALSE)</f>
        <v>#N/A</v>
      </c>
      <c r="D10" s="28" t="e">
        <f>+VLOOKUP(B10,TablaMateriales[#All],5,FALSE)</f>
        <v>#N/A</v>
      </c>
      <c r="E10" s="60"/>
      <c r="F10" s="60"/>
      <c r="G10" s="24">
        <f>+IFERROR(+VLOOKUP(TablaIngresos[[#This Row],[Código]],TablaMateriales[#All],8,FALSE),1)</f>
        <v>1</v>
      </c>
      <c r="H10" s="120">
        <f>+TablaIngresos[[#This Row],[Unidades]]*G10</f>
        <v>0</v>
      </c>
      <c r="I10" s="56"/>
    </row>
    <row r="11" spans="2:9" x14ac:dyDescent="0.25">
      <c r="B11" s="196"/>
      <c r="C11" s="45" t="e">
        <f>+VLOOKUP(TablaIngresos[[#This Row],[Código]],TablaMateriales[#All],4,FALSE)</f>
        <v>#N/A</v>
      </c>
      <c r="D11" s="28" t="e">
        <f>+VLOOKUP(B11,TablaMateriales[#All],5,FALSE)</f>
        <v>#N/A</v>
      </c>
      <c r="E11" s="60"/>
      <c r="F11" s="60"/>
      <c r="G11" s="24">
        <f>+IFERROR(+VLOOKUP(TablaIngresos[[#This Row],[Código]],TablaMateriales[#All],8,FALSE),1)</f>
        <v>1</v>
      </c>
      <c r="H11" s="120">
        <f>+TablaIngresos[[#This Row],[Unidades]]*G11</f>
        <v>0</v>
      </c>
      <c r="I11" s="56"/>
    </row>
    <row r="12" spans="2:9" x14ac:dyDescent="0.25">
      <c r="B12" s="196"/>
      <c r="C12" s="45" t="e">
        <f>+VLOOKUP(TablaIngresos[[#This Row],[Código]],TablaMateriales[#All],4,FALSE)</f>
        <v>#N/A</v>
      </c>
      <c r="D12" s="28" t="e">
        <f>+VLOOKUP(B12,TablaMateriales[#All],5,FALSE)</f>
        <v>#N/A</v>
      </c>
      <c r="E12" s="60"/>
      <c r="F12" s="60"/>
      <c r="G12" s="24">
        <f>+IFERROR(+VLOOKUP(TablaIngresos[[#This Row],[Código]],TablaMateriales[#All],8,FALSE),1)</f>
        <v>1</v>
      </c>
      <c r="H12" s="120">
        <f>+TablaIngresos[[#This Row],[Unidades]]*G12</f>
        <v>0</v>
      </c>
      <c r="I12" s="56"/>
    </row>
    <row r="13" spans="2:9" x14ac:dyDescent="0.25">
      <c r="B13" s="196"/>
      <c r="C13" s="45" t="e">
        <f>+VLOOKUP(TablaIngresos[[#This Row],[Código]],TablaMateriales[#All],4,FALSE)</f>
        <v>#N/A</v>
      </c>
      <c r="D13" s="28" t="e">
        <f>+VLOOKUP(B13,TablaMateriales[#All],5,FALSE)</f>
        <v>#N/A</v>
      </c>
      <c r="E13" s="60"/>
      <c r="F13" s="60"/>
      <c r="G13" s="24">
        <v>1</v>
      </c>
      <c r="H13" s="120">
        <f>+TablaIngresos[[#This Row],[Unidades]]*G13</f>
        <v>0</v>
      </c>
      <c r="I13" s="56"/>
    </row>
    <row r="14" spans="2:9" x14ac:dyDescent="0.25">
      <c r="B14" s="196"/>
      <c r="C14" s="45" t="e">
        <f>+VLOOKUP(TablaIngresos[[#This Row],[Código]],TablaMateriales[#All],4,FALSE)</f>
        <v>#N/A</v>
      </c>
      <c r="D14" s="28" t="e">
        <f>+VLOOKUP(B14,TablaMateriales[#All],5,FALSE)</f>
        <v>#N/A</v>
      </c>
      <c r="E14" s="60"/>
      <c r="F14" s="60"/>
      <c r="G14" s="24">
        <f>+IFERROR(+VLOOKUP(TablaIngresos[[#This Row],[Código]],TablaMateriales[#All],8,FALSE),1)</f>
        <v>1</v>
      </c>
      <c r="H14" s="120">
        <f>+TablaIngresos[[#This Row],[Unidades]]*G14</f>
        <v>0</v>
      </c>
      <c r="I14" s="56"/>
    </row>
    <row r="15" spans="2:9" x14ac:dyDescent="0.25">
      <c r="B15" s="196"/>
      <c r="C15" s="45" t="e">
        <f>+VLOOKUP(TablaIngresos[[#This Row],[Código]],TablaMateriales[#All],4,FALSE)</f>
        <v>#N/A</v>
      </c>
      <c r="D15" s="28" t="e">
        <f>+VLOOKUP(B15,TablaMateriales[#All],5,FALSE)</f>
        <v>#N/A</v>
      </c>
      <c r="E15" s="60"/>
      <c r="F15" s="60"/>
      <c r="G15" s="24">
        <f>+IFERROR(+VLOOKUP(TablaIngresos[[#This Row],[Código]],TablaMateriales[#All],8,FALSE),1)</f>
        <v>1</v>
      </c>
      <c r="H15" s="120">
        <f>+TablaIngresos[[#This Row],[Unidades]]*G15</f>
        <v>0</v>
      </c>
      <c r="I15" s="56"/>
    </row>
    <row r="16" spans="2:9" x14ac:dyDescent="0.25">
      <c r="B16" s="196"/>
      <c r="C16" s="45" t="e">
        <f>+VLOOKUP(TablaIngresos[[#This Row],[Código]],TablaMateriales[#All],4,FALSE)</f>
        <v>#N/A</v>
      </c>
      <c r="D16" s="28" t="e">
        <f>+VLOOKUP(B16,TablaMateriales[#All],5,FALSE)</f>
        <v>#N/A</v>
      </c>
      <c r="E16" s="60"/>
      <c r="F16" s="60"/>
      <c r="G16" s="24">
        <f>+IFERROR(+VLOOKUP(TablaIngresos[[#This Row],[Código]],TablaMateriales[#All],8,FALSE),1)</f>
        <v>1</v>
      </c>
      <c r="H16" s="120">
        <f>+TablaIngresos[[#This Row],[Unidades]]*G16</f>
        <v>0</v>
      </c>
      <c r="I16" s="56"/>
    </row>
    <row r="17" spans="2:9" x14ac:dyDescent="0.25">
      <c r="B17" s="196"/>
      <c r="C17" s="45" t="e">
        <f>+VLOOKUP(TablaIngresos[[#This Row],[Código]],TablaMateriales[#All],4,FALSE)</f>
        <v>#N/A</v>
      </c>
      <c r="D17" s="28" t="e">
        <f>+VLOOKUP(B17,TablaMateriales[#All],5,FALSE)</f>
        <v>#N/A</v>
      </c>
      <c r="E17" s="60"/>
      <c r="F17" s="60"/>
      <c r="G17" s="24">
        <f>+IFERROR(+VLOOKUP(TablaIngresos[[#This Row],[Código]],TablaMateriales[#All],8,FALSE),1)</f>
        <v>1</v>
      </c>
      <c r="H17" s="120">
        <f>+TablaIngresos[[#This Row],[Unidades]]*G17</f>
        <v>0</v>
      </c>
      <c r="I17" s="56"/>
    </row>
    <row r="18" spans="2:9" x14ac:dyDescent="0.25">
      <c r="B18" s="196"/>
      <c r="C18" s="45" t="e">
        <f>+VLOOKUP(TablaIngresos[[#This Row],[Código]],TablaMateriales[#All],4,FALSE)</f>
        <v>#N/A</v>
      </c>
      <c r="D18" s="28" t="e">
        <f>+VLOOKUP(B18,TablaMateriales[#All],5,FALSE)</f>
        <v>#N/A</v>
      </c>
      <c r="E18" s="60"/>
      <c r="F18" s="60"/>
      <c r="G18" s="24">
        <f>+IFERROR(+VLOOKUP(TablaIngresos[[#This Row],[Código]],TablaMateriales[#All],8,FALSE),1)</f>
        <v>1</v>
      </c>
      <c r="H18" s="120">
        <f>+TablaIngresos[[#This Row],[Unidades]]*G18</f>
        <v>0</v>
      </c>
      <c r="I18" s="56"/>
    </row>
    <row r="19" spans="2:9" x14ac:dyDescent="0.25">
      <c r="B19" s="196"/>
      <c r="C19" s="45" t="e">
        <f>+VLOOKUP(TablaIngresos[[#This Row],[Código]],TablaMateriales[#All],4,FALSE)</f>
        <v>#N/A</v>
      </c>
      <c r="D19" s="28" t="e">
        <f>+VLOOKUP(B19,TablaMateriales[#All],5,FALSE)</f>
        <v>#N/A</v>
      </c>
      <c r="E19" s="60"/>
      <c r="F19" s="60"/>
      <c r="G19" s="24">
        <f>+IFERROR(+VLOOKUP(TablaIngresos[[#This Row],[Código]],TablaMateriales[#All],8,FALSE),1)</f>
        <v>1</v>
      </c>
      <c r="H19" s="120">
        <f>+TablaIngresos[[#This Row],[Unidades]]*G19</f>
        <v>0</v>
      </c>
      <c r="I19" s="56"/>
    </row>
    <row r="20" spans="2:9" x14ac:dyDescent="0.25">
      <c r="B20" s="196"/>
      <c r="C20" s="45" t="e">
        <f>+VLOOKUP(TablaIngresos[[#This Row],[Código]],TablaMateriales[#All],4,FALSE)</f>
        <v>#N/A</v>
      </c>
      <c r="D20" s="28" t="e">
        <f>+VLOOKUP(B20,TablaMateriales[#All],5,FALSE)</f>
        <v>#N/A</v>
      </c>
      <c r="E20" s="60"/>
      <c r="F20" s="60"/>
      <c r="G20" s="24">
        <f>+IFERROR(+VLOOKUP(TablaIngresos[[#This Row],[Código]],TablaMateriales[#All],8,FALSE),1)</f>
        <v>1</v>
      </c>
      <c r="H20" s="120">
        <f>+TablaIngresos[[#This Row],[Unidades]]*G20</f>
        <v>0</v>
      </c>
      <c r="I20" s="56"/>
    </row>
    <row r="21" spans="2:9" x14ac:dyDescent="0.25">
      <c r="B21" s="196"/>
      <c r="C21" s="45" t="e">
        <f>+VLOOKUP(TablaIngresos[[#This Row],[Código]],TablaMateriales[#All],4,FALSE)</f>
        <v>#N/A</v>
      </c>
      <c r="D21" s="28" t="e">
        <f>+VLOOKUP(B21,TablaMateriales[#All],5,FALSE)</f>
        <v>#N/A</v>
      </c>
      <c r="E21" s="60"/>
      <c r="F21" s="60"/>
      <c r="G21" s="24">
        <f>+IFERROR(+VLOOKUP(TablaIngresos[[#This Row],[Código]],TablaMateriales[#All],8,FALSE),1)</f>
        <v>1</v>
      </c>
      <c r="H21" s="120">
        <f>+TablaIngresos[[#This Row],[Unidades]]*G21</f>
        <v>0</v>
      </c>
      <c r="I21" s="56"/>
    </row>
    <row r="22" spans="2:9" x14ac:dyDescent="0.25">
      <c r="B22" s="196"/>
      <c r="C22" s="45" t="e">
        <f>+VLOOKUP(TablaIngresos[[#This Row],[Código]],TablaMateriales[#All],4,FALSE)</f>
        <v>#N/A</v>
      </c>
      <c r="D22" s="28" t="e">
        <f>+VLOOKUP(B22,TablaMateriales[#All],5,FALSE)</f>
        <v>#N/A</v>
      </c>
      <c r="E22" s="60"/>
      <c r="F22" s="60"/>
      <c r="G22" s="24">
        <f>+IFERROR(+VLOOKUP(TablaIngresos[[#This Row],[Código]],TablaMateriales[#All],8,FALSE),1)</f>
        <v>1</v>
      </c>
      <c r="H22" s="120">
        <f>+TablaIngresos[[#This Row],[Unidades]]*G22</f>
        <v>0</v>
      </c>
      <c r="I22" s="56"/>
    </row>
    <row r="23" spans="2:9" x14ac:dyDescent="0.25">
      <c r="B23" s="196"/>
      <c r="C23" s="45" t="e">
        <f>+VLOOKUP(TablaIngresos[[#This Row],[Código]],TablaMateriales[#All],4,FALSE)</f>
        <v>#N/A</v>
      </c>
      <c r="D23" s="28" t="e">
        <f>+VLOOKUP(B23,TablaMateriales[#All],5,FALSE)</f>
        <v>#N/A</v>
      </c>
      <c r="E23" s="60"/>
      <c r="F23" s="60"/>
      <c r="G23" s="24">
        <f>+IFERROR(+VLOOKUP(TablaIngresos[[#This Row],[Código]],TablaMateriales[#All],8,FALSE),1)</f>
        <v>1</v>
      </c>
      <c r="H23" s="120">
        <f>+TablaIngresos[[#This Row],[Unidades]]*G23</f>
        <v>0</v>
      </c>
      <c r="I23" s="56"/>
    </row>
    <row r="24" spans="2:9" x14ac:dyDescent="0.25">
      <c r="B24" s="196"/>
      <c r="C24" s="45" t="e">
        <f>+VLOOKUP(TablaIngresos[[#This Row],[Código]],TablaMateriales[#All],4,FALSE)</f>
        <v>#N/A</v>
      </c>
      <c r="D24" s="28" t="e">
        <f>+VLOOKUP(B24,TablaMateriales[#All],5,FALSE)</f>
        <v>#N/A</v>
      </c>
      <c r="E24" s="60"/>
      <c r="F24" s="60"/>
      <c r="G24" s="24">
        <f>+IFERROR(+VLOOKUP(TablaIngresos[[#This Row],[Código]],TablaMateriales[#All],8,FALSE),1)</f>
        <v>1</v>
      </c>
      <c r="H24" s="120">
        <f>+TablaIngresos[[#This Row],[Unidades]]*G24</f>
        <v>0</v>
      </c>
      <c r="I24" s="56"/>
    </row>
    <row r="25" spans="2:9" x14ac:dyDescent="0.25">
      <c r="B25" s="196"/>
      <c r="C25" s="45" t="e">
        <f>+VLOOKUP(TablaIngresos[[#This Row],[Código]],TablaMateriales[#All],4,FALSE)</f>
        <v>#N/A</v>
      </c>
      <c r="D25" s="28" t="e">
        <f>+VLOOKUP(B25,TablaMateriales[#All],5,FALSE)</f>
        <v>#N/A</v>
      </c>
      <c r="E25" s="60"/>
      <c r="F25" s="60"/>
      <c r="G25" s="24">
        <f>+IFERROR(+VLOOKUP(TablaIngresos[[#This Row],[Código]],TablaMateriales[#All],8,FALSE),1)</f>
        <v>1</v>
      </c>
      <c r="H25" s="120">
        <f>+TablaIngresos[[#This Row],[Unidades]]*G25</f>
        <v>0</v>
      </c>
      <c r="I25" s="56"/>
    </row>
    <row r="26" spans="2:9" x14ac:dyDescent="0.25">
      <c r="B26" s="196"/>
      <c r="C26" s="45" t="e">
        <f>+VLOOKUP(TablaIngresos[[#This Row],[Código]],TablaMateriales[#All],4,FALSE)</f>
        <v>#N/A</v>
      </c>
      <c r="D26" s="28" t="e">
        <f>+VLOOKUP(B26,TablaMateriales[#All],5,FALSE)</f>
        <v>#N/A</v>
      </c>
      <c r="E26" s="60"/>
      <c r="F26" s="60"/>
      <c r="G26" s="24">
        <f>+IFERROR(+VLOOKUP(TablaIngresos[[#This Row],[Código]],TablaMateriales[#All],8,FALSE),1)</f>
        <v>1</v>
      </c>
      <c r="H26" s="120">
        <f>+TablaIngresos[[#This Row],[Unidades]]*G26</f>
        <v>0</v>
      </c>
      <c r="I26" s="56"/>
    </row>
    <row r="27" spans="2:9" x14ac:dyDescent="0.25">
      <c r="B27" s="196"/>
      <c r="C27" s="45" t="e">
        <f>+VLOOKUP(TablaIngresos[[#This Row],[Código]],TablaMateriales[#All],4,FALSE)</f>
        <v>#N/A</v>
      </c>
      <c r="D27" s="28" t="e">
        <f>+VLOOKUP(B27,TablaMateriales[#All],5,FALSE)</f>
        <v>#N/A</v>
      </c>
      <c r="E27" s="60"/>
      <c r="F27" s="60"/>
      <c r="G27" s="24">
        <f>+IFERROR(+VLOOKUP(TablaIngresos[[#This Row],[Código]],TablaMateriales[#All],8,FALSE),1)</f>
        <v>1</v>
      </c>
      <c r="H27" s="120">
        <f>+TablaIngresos[[#This Row],[Unidades]]*G27</f>
        <v>0</v>
      </c>
      <c r="I27" s="56"/>
    </row>
    <row r="28" spans="2:9" x14ac:dyDescent="0.25">
      <c r="B28" s="196"/>
      <c r="C28" s="45" t="e">
        <f>+VLOOKUP(TablaIngresos[[#This Row],[Código]],TablaMateriales[#All],4,FALSE)</f>
        <v>#N/A</v>
      </c>
      <c r="D28" s="28" t="e">
        <f>+VLOOKUP(B28,TablaMateriales[#All],5,FALSE)</f>
        <v>#N/A</v>
      </c>
      <c r="E28" s="60"/>
      <c r="F28" s="60"/>
      <c r="G28" s="24">
        <f>+IFERROR(+VLOOKUP(TablaIngresos[[#This Row],[Código]],TablaMateriales[#All],8,FALSE),1)</f>
        <v>1</v>
      </c>
      <c r="H28" s="120">
        <f>+TablaIngresos[[#This Row],[Unidades]]*G28</f>
        <v>0</v>
      </c>
      <c r="I28" s="56"/>
    </row>
    <row r="29" spans="2:9" x14ac:dyDescent="0.25">
      <c r="B29" s="196"/>
      <c r="C29" s="45" t="e">
        <f>+VLOOKUP(TablaIngresos[[#This Row],[Código]],TablaMateriales[#All],4,FALSE)</f>
        <v>#N/A</v>
      </c>
      <c r="D29" s="28" t="e">
        <f>+VLOOKUP(B29,TablaMateriales[#All],5,FALSE)</f>
        <v>#N/A</v>
      </c>
      <c r="E29" s="60"/>
      <c r="F29" s="60"/>
      <c r="G29" s="24">
        <f>+IFERROR(+VLOOKUP(TablaIngresos[[#This Row],[Código]],TablaMateriales[#All],8,FALSE),1)</f>
        <v>1</v>
      </c>
      <c r="H29" s="120">
        <f>+TablaIngresos[[#This Row],[Unidades]]*G29</f>
        <v>0</v>
      </c>
      <c r="I29" s="56"/>
    </row>
    <row r="30" spans="2:9" x14ac:dyDescent="0.25">
      <c r="B30" s="196"/>
      <c r="C30" s="45" t="e">
        <f>+VLOOKUP(TablaIngresos[[#This Row],[Código]],TablaMateriales[#All],4,FALSE)</f>
        <v>#N/A</v>
      </c>
      <c r="D30" s="28" t="e">
        <f>+VLOOKUP(B30,TablaMateriales[#All],5,FALSE)</f>
        <v>#N/A</v>
      </c>
      <c r="E30" s="60"/>
      <c r="F30" s="60"/>
      <c r="G30" s="24">
        <f>+IFERROR(+VLOOKUP(TablaIngresos[[#This Row],[Código]],TablaMateriales[#All],8,FALSE),1)</f>
        <v>1</v>
      </c>
      <c r="H30" s="120">
        <f>+TablaIngresos[[#This Row],[Unidades]]*G30</f>
        <v>0</v>
      </c>
      <c r="I30" s="56"/>
    </row>
    <row r="31" spans="2:9" x14ac:dyDescent="0.25">
      <c r="B31" s="196"/>
      <c r="C31" s="45" t="e">
        <f>+VLOOKUP(TablaIngresos[[#This Row],[Código]],TablaMateriales[#All],4,FALSE)</f>
        <v>#N/A</v>
      </c>
      <c r="D31" s="28" t="e">
        <f>+VLOOKUP(B31,TablaMateriales[#All],5,FALSE)</f>
        <v>#N/A</v>
      </c>
      <c r="E31" s="60"/>
      <c r="F31" s="60"/>
      <c r="G31" s="24">
        <f>+IFERROR(+VLOOKUP(TablaIngresos[[#This Row],[Código]],TablaMateriales[#All],8,FALSE),1)</f>
        <v>1</v>
      </c>
      <c r="H31" s="120">
        <f>+TablaIngresos[[#This Row],[Unidades]]*G31</f>
        <v>0</v>
      </c>
      <c r="I31" s="56"/>
    </row>
    <row r="32" spans="2:9" x14ac:dyDescent="0.25">
      <c r="B32" s="196"/>
      <c r="C32" s="45" t="e">
        <f>+VLOOKUP(TablaIngresos[[#This Row],[Código]],TablaMateriales[#All],4,FALSE)</f>
        <v>#N/A</v>
      </c>
      <c r="D32" s="28" t="e">
        <f>+VLOOKUP(B32,TablaMateriales[#All],5,FALSE)</f>
        <v>#N/A</v>
      </c>
      <c r="E32" s="60"/>
      <c r="F32" s="60"/>
      <c r="G32" s="24">
        <f>+IFERROR(+VLOOKUP(TablaIngresos[[#This Row],[Código]],TablaMateriales[#All],8,FALSE),1)</f>
        <v>1</v>
      </c>
      <c r="H32" s="120">
        <f>+TablaIngresos[[#This Row],[Unidades]]*G32</f>
        <v>0</v>
      </c>
      <c r="I32" s="56"/>
    </row>
  </sheetData>
  <sheetProtection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tabColor theme="4" tint="-0.249977111117893"/>
    <pageSetUpPr fitToPage="1"/>
  </sheetPr>
  <dimension ref="A1:BD370"/>
  <sheetViews>
    <sheetView showGridLines="0" zoomScale="110" zoomScaleNormal="110" workbookViewId="0">
      <pane ySplit="1" topLeftCell="A7" activePane="bottomLeft" state="frozen"/>
      <selection activeCell="F8" sqref="F8"/>
      <selection pane="bottomLeft" activeCell="A7" sqref="A7"/>
    </sheetView>
  </sheetViews>
  <sheetFormatPr baseColWidth="10" defaultRowHeight="15" x14ac:dyDescent="0.25"/>
  <cols>
    <col min="1" max="1" width="21.28515625" customWidth="1"/>
    <col min="2" max="2" width="9.140625" style="7" customWidth="1"/>
    <col min="3" max="3" width="6.28515625" customWidth="1"/>
    <col min="4" max="4" width="3.5703125" customWidth="1"/>
    <col min="5" max="5" width="11.85546875" customWidth="1"/>
    <col min="6" max="6" width="10.7109375" style="275" customWidth="1"/>
    <col min="7" max="7" width="9.42578125" style="23" customWidth="1"/>
    <col min="8" max="8" width="11" customWidth="1"/>
    <col min="9" max="9" width="13.28515625" customWidth="1"/>
    <col min="10" max="10" width="12" customWidth="1"/>
    <col min="11" max="11" width="14.7109375" customWidth="1"/>
    <col min="12" max="12" width="14.28515625" customWidth="1"/>
    <col min="13" max="13" width="18.28515625" customWidth="1"/>
    <col min="14" max="14" width="10.42578125" customWidth="1"/>
    <col min="15" max="15" width="11.85546875" customWidth="1"/>
    <col min="16" max="16" width="12.28515625" customWidth="1"/>
    <col min="17" max="17" width="10.28515625" customWidth="1"/>
    <col min="18" max="18" width="9.7109375" customWidth="1"/>
    <col min="19" max="19" width="8.28515625" style="23" customWidth="1"/>
    <col min="20" max="20" width="12.5703125" customWidth="1"/>
    <col min="21" max="21" width="13.42578125" style="2" customWidth="1"/>
    <col min="22" max="22" width="9" customWidth="1"/>
    <col min="23" max="23" width="7.42578125" customWidth="1"/>
    <col min="24" max="24" width="18.140625" customWidth="1"/>
    <col min="25" max="25" width="17.85546875" customWidth="1"/>
    <col min="26" max="26" width="16.42578125" customWidth="1"/>
    <col min="27" max="27" width="15" customWidth="1"/>
    <col min="28" max="30" width="19.5703125" customWidth="1"/>
    <col min="31" max="31" width="16.5703125" customWidth="1"/>
    <col min="32" max="32" width="14" customWidth="1"/>
    <col min="33" max="33" width="57.7109375" style="7" customWidth="1"/>
    <col min="34" max="34" width="21.7109375" bestFit="1" customWidth="1"/>
    <col min="35" max="35" width="21" customWidth="1"/>
    <col min="36" max="36" width="15" customWidth="1"/>
    <col min="37" max="37" width="11.5703125" customWidth="1"/>
    <col min="38" max="38" width="17.85546875" customWidth="1"/>
    <col min="39" max="39" width="16" customWidth="1"/>
    <col min="40" max="40" width="15.28515625" customWidth="1"/>
    <col min="41" max="41" width="17.7109375" customWidth="1"/>
    <col min="42" max="42" width="16.42578125" customWidth="1"/>
    <col min="43" max="43" width="20.5703125" customWidth="1"/>
    <col min="44" max="44" width="17.7109375" customWidth="1"/>
    <col min="45" max="45" width="29.7109375" style="2" bestFit="1" customWidth="1"/>
    <col min="46" max="46" width="21" customWidth="1"/>
    <col min="47" max="47" width="15" customWidth="1"/>
    <col min="48" max="48" width="11.5703125" customWidth="1"/>
    <col min="49" max="49" width="17.85546875" customWidth="1"/>
    <col min="50" max="50" width="16" customWidth="1"/>
    <col min="51" max="51" width="15.28515625" customWidth="1"/>
    <col min="52" max="52" width="17.7109375" customWidth="1"/>
    <col min="53" max="53" width="16.42578125" customWidth="1"/>
    <col min="54" max="54" width="20.5703125" customWidth="1"/>
    <col min="55" max="55" width="19.28515625" customWidth="1"/>
    <col min="56" max="56" width="16.85546875" style="2" customWidth="1"/>
  </cols>
  <sheetData>
    <row r="1" spans="1:56" ht="95.25" customHeight="1" x14ac:dyDescent="0.25">
      <c r="B1" s="138" t="s">
        <v>658</v>
      </c>
      <c r="C1" s="139" t="s">
        <v>2</v>
      </c>
      <c r="D1" s="139" t="s">
        <v>595</v>
      </c>
      <c r="E1" s="138" t="s">
        <v>598</v>
      </c>
      <c r="F1" s="236" t="s">
        <v>726</v>
      </c>
      <c r="G1" s="140" t="s">
        <v>735</v>
      </c>
      <c r="H1" s="138" t="s">
        <v>736</v>
      </c>
      <c r="I1" s="351" t="s">
        <v>606</v>
      </c>
      <c r="J1" s="351" t="s">
        <v>884</v>
      </c>
      <c r="K1" s="351" t="s">
        <v>602</v>
      </c>
      <c r="L1" s="352" t="s">
        <v>604</v>
      </c>
      <c r="M1" s="352" t="s">
        <v>885</v>
      </c>
      <c r="N1" s="353" t="s">
        <v>605</v>
      </c>
      <c r="O1" s="352" t="s">
        <v>607</v>
      </c>
      <c r="P1" s="353" t="s">
        <v>608</v>
      </c>
      <c r="Q1" s="352" t="s">
        <v>609</v>
      </c>
      <c r="R1" s="353" t="s">
        <v>610</v>
      </c>
      <c r="S1" s="140" t="s">
        <v>737</v>
      </c>
      <c r="T1" s="140" t="s">
        <v>738</v>
      </c>
      <c r="U1" s="193" t="s">
        <v>790</v>
      </c>
      <c r="V1" s="139" t="s">
        <v>793</v>
      </c>
      <c r="W1" s="139" t="s">
        <v>789</v>
      </c>
      <c r="X1" s="193" t="s">
        <v>799</v>
      </c>
      <c r="Y1" s="235" t="s">
        <v>805</v>
      </c>
      <c r="Z1" s="306" t="s">
        <v>1216</v>
      </c>
      <c r="AA1" s="304" t="s">
        <v>1215</v>
      </c>
      <c r="AB1" s="194" t="s">
        <v>810</v>
      </c>
      <c r="AC1" s="186" t="s">
        <v>809</v>
      </c>
      <c r="AD1" s="185" t="s">
        <v>806</v>
      </c>
      <c r="AE1" s="142" t="s">
        <v>742</v>
      </c>
      <c r="AF1" s="142" t="s">
        <v>741</v>
      </c>
      <c r="AG1" s="142" t="s">
        <v>795</v>
      </c>
      <c r="AH1" s="141" t="s">
        <v>745</v>
      </c>
      <c r="AI1" s="191" t="s">
        <v>606</v>
      </c>
      <c r="AJ1" s="192" t="s">
        <v>601</v>
      </c>
      <c r="AK1" s="191" t="s">
        <v>602</v>
      </c>
      <c r="AL1" s="192" t="s">
        <v>604</v>
      </c>
      <c r="AM1" s="191" t="s">
        <v>603</v>
      </c>
      <c r="AN1" s="192" t="s">
        <v>605</v>
      </c>
      <c r="AO1" s="191" t="s">
        <v>607</v>
      </c>
      <c r="AP1" s="192" t="s">
        <v>608</v>
      </c>
      <c r="AQ1" s="191" t="s">
        <v>609</v>
      </c>
      <c r="AR1" s="192" t="s">
        <v>610</v>
      </c>
      <c r="AS1" s="139" t="s">
        <v>739</v>
      </c>
      <c r="AT1" s="138" t="s">
        <v>606</v>
      </c>
      <c r="AU1" s="138" t="s">
        <v>601</v>
      </c>
      <c r="AV1" s="138" t="s">
        <v>602</v>
      </c>
      <c r="AW1" s="138" t="s">
        <v>604</v>
      </c>
      <c r="AX1" s="138" t="s">
        <v>603</v>
      </c>
      <c r="AY1" s="138" t="s">
        <v>605</v>
      </c>
      <c r="AZ1" s="138" t="s">
        <v>607</v>
      </c>
      <c r="BA1" s="139" t="s">
        <v>608</v>
      </c>
      <c r="BB1" s="199" t="s">
        <v>609</v>
      </c>
      <c r="BC1" s="138" t="s">
        <v>610</v>
      </c>
      <c r="BD1" s="139" t="s">
        <v>740</v>
      </c>
    </row>
    <row r="2" spans="1:56" x14ac:dyDescent="0.25">
      <c r="B2" s="213" t="s">
        <v>659</v>
      </c>
      <c r="C2" s="214"/>
      <c r="D2" s="214"/>
      <c r="E2" s="215"/>
      <c r="F2" s="174"/>
      <c r="G2" s="121" t="str">
        <f>IFERROR(+VLOOKUP(B2,Ingresos!$B$2:$I$1048576,6,FALSE),"")</f>
        <v/>
      </c>
      <c r="H2" s="126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21"/>
      <c r="T2" s="126"/>
      <c r="U2" s="122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216"/>
      <c r="AH2" s="126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22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22"/>
    </row>
    <row r="3" spans="1:56" x14ac:dyDescent="0.25">
      <c r="B3" s="136">
        <v>8200792</v>
      </c>
      <c r="C3" s="128" t="s">
        <v>4</v>
      </c>
      <c r="D3" s="128"/>
      <c r="E3" s="136" t="s">
        <v>660</v>
      </c>
      <c r="F3" s="295"/>
      <c r="G3" s="130">
        <f>+SUMIFS(TablaIngresos[Cantidad],TablaIngresos[Código],'Inventario '!B3)</f>
        <v>0</v>
      </c>
      <c r="H3" s="130">
        <f>+F3+G3</f>
        <v>0</v>
      </c>
      <c r="I3" s="131">
        <f>SUMIFS(TablaConsumos[[CANTIDAD ]:[CANTIDAD ]],TablaConsumos[[CÓDIGO]:[CÓDIGO]],'Inventario '!$B3,TablaConsumos[[Planta]:[Planta]],'Inventario '!I$1)</f>
        <v>0</v>
      </c>
      <c r="J3" s="131">
        <f>SUMIFS(TablaConsumos[[CANTIDAD ]:[CANTIDAD ]],TablaConsumos[[CÓDIGO]:[CÓDIGO]],'Inventario '!$B3,TablaConsumos[[Planta]:[Planta]],'Inventario '!J$1)</f>
        <v>0</v>
      </c>
      <c r="K3" s="131">
        <f>SUMIFS(TablaConsumos[[CANTIDAD ]:[CANTIDAD ]],TablaConsumos[[CÓDIGO]:[CÓDIGO]],'Inventario '!$B3,TablaConsumos[[Planta]:[Planta]],'Inventario '!K$1)</f>
        <v>0</v>
      </c>
      <c r="L3" s="131">
        <f>SUMIFS(TablaConsumos[[CANTIDAD ]:[CANTIDAD ]],TablaConsumos[[CÓDIGO]:[CÓDIGO]],'Inventario '!$B3,TablaConsumos[[Planta]:[Planta]],'Inventario '!L$1)</f>
        <v>0</v>
      </c>
      <c r="M3" s="131">
        <f>SUMIFS(TablaConsumos[[CANTIDAD ]:[CANTIDAD ]],TablaConsumos[[CÓDIGO]:[CÓDIGO]],'Inventario '!$B3,TablaConsumos[[Planta]:[Planta]],'Inventario '!M$1)</f>
        <v>0</v>
      </c>
      <c r="N3" s="131">
        <f>SUMIFS(TablaConsumos[[CANTIDAD ]:[CANTIDAD ]],TablaConsumos[[CÓDIGO]:[CÓDIGO]],'Inventario '!$B3,TablaConsumos[[Planta]:[Planta]],'Inventario '!N$1)</f>
        <v>0</v>
      </c>
      <c r="O3" s="131">
        <f>SUMIFS(TablaConsumos[[CANTIDAD ]:[CANTIDAD ]],TablaConsumos[[CÓDIGO]:[CÓDIGO]],'Inventario '!$B3,TablaConsumos[[Planta]:[Planta]],'Inventario '!O$1)</f>
        <v>0</v>
      </c>
      <c r="P3" s="131">
        <f>SUMIFS(TablaConsumos[[CANTIDAD ]:[CANTIDAD ]],TablaConsumos[[CÓDIGO]:[CÓDIGO]],'Inventario '!$B3,TablaConsumos[[Planta]:[Planta]],'Inventario '!P$1)</f>
        <v>0</v>
      </c>
      <c r="Q3" s="131">
        <f>SUMIFS(TablaConsumos[[CANTIDAD ]:[CANTIDAD ]],TablaConsumos[[CÓDIGO]:[CÓDIGO]],'Inventario '!$B3,TablaConsumos[[Planta]:[Planta]],'Inventario '!Q$1)</f>
        <v>0</v>
      </c>
      <c r="R3" s="131">
        <f>SUMIFS(TablaConsumos[[CANTIDAD ]:[CANTIDAD ]],TablaConsumos[[CÓDIGO]:[CÓDIGO]],'Inventario '!$B3,TablaConsumos[[Planta]:[Planta]],'Inventario '!R$1)</f>
        <v>0</v>
      </c>
      <c r="S3" s="130">
        <f>+SUM(I3:R3)</f>
        <v>0</v>
      </c>
      <c r="T3" s="130">
        <f>+H3-S3</f>
        <v>0</v>
      </c>
      <c r="U3" s="177"/>
      <c r="V3" s="234">
        <f>+T3/W3</f>
        <v>0</v>
      </c>
      <c r="W3" s="132">
        <v>20985</v>
      </c>
      <c r="X3" s="133">
        <f t="shared" ref="X3:X17" si="0">+U3*W3</f>
        <v>0</v>
      </c>
      <c r="Y3" s="299">
        <f>+(T3-X3)/W3</f>
        <v>0</v>
      </c>
      <c r="Z3" s="179"/>
      <c r="AA3" s="132">
        <f>+((Z3*W3)-X3)/W3</f>
        <v>0</v>
      </c>
      <c r="AB3" s="132"/>
      <c r="AC3" s="131">
        <f t="shared" ref="AC3:AC11" si="1">+Z3-AA3</f>
        <v>0</v>
      </c>
      <c r="AD3" s="189"/>
      <c r="AE3" s="132" t="s">
        <v>743</v>
      </c>
      <c r="AF3" s="132">
        <f>20985*2</f>
        <v>41970</v>
      </c>
      <c r="AG3" s="168"/>
      <c r="AH3" s="160">
        <f t="shared" ref="AH3:AH18" si="2">+IF(S3=0,0,AF3/S3)</f>
        <v>0</v>
      </c>
      <c r="AI3" s="160">
        <f t="shared" ref="AI3:AI18" si="3">+IF(I3=0,0,I3/$S3)</f>
        <v>0</v>
      </c>
      <c r="AJ3" s="160">
        <f t="shared" ref="AJ3:AJ18" si="4">+IF(J3=0,0,J3/$S3)</f>
        <v>0</v>
      </c>
      <c r="AK3" s="160">
        <f t="shared" ref="AK3:AK18" si="5">+IF(K3=0,0,K3/$S3)</f>
        <v>0</v>
      </c>
      <c r="AL3" s="160">
        <f t="shared" ref="AL3:AL18" si="6">+IF(L3=0,0,L3/$S3)</f>
        <v>0</v>
      </c>
      <c r="AM3" s="160">
        <f t="shared" ref="AM3:AM18" si="7">+IF(M3=0,0,M3/$S3)</f>
        <v>0</v>
      </c>
      <c r="AN3" s="160">
        <f t="shared" ref="AN3:AN18" si="8">+IF(N3=0,0,N3/$S3)</f>
        <v>0</v>
      </c>
      <c r="AO3" s="160">
        <f t="shared" ref="AO3:AO18" si="9">+IF(O3=0,0,O3/$S3)</f>
        <v>0</v>
      </c>
      <c r="AP3" s="160">
        <f t="shared" ref="AP3:AP18" si="10">+IF(P3=0,0,P3/$S3)</f>
        <v>0</v>
      </c>
      <c r="AQ3" s="160">
        <f t="shared" ref="AQ3:AQ18" si="11">+IF(Q3=0,0,Q3/$S3)</f>
        <v>0</v>
      </c>
      <c r="AR3" s="160">
        <f t="shared" ref="AR3:AR18" si="12">+IF(R3=0,0,R3/$S3)</f>
        <v>0</v>
      </c>
      <c r="AS3" s="161">
        <f>+SUM(AI3:AR3)</f>
        <v>0</v>
      </c>
      <c r="AT3" s="137" t="str">
        <f t="shared" ref="AT3:AT18" si="13">+IF(I3=-I3,"0",I3+$Y3*AI3)</f>
        <v>0</v>
      </c>
      <c r="AU3" s="137" t="str">
        <f t="shared" ref="AU3:AU18" si="14">+IF(J3=-J3,"0",J3+$Y3*AJ3)</f>
        <v>0</v>
      </c>
      <c r="AV3" s="137" t="str">
        <f t="shared" ref="AV3:AV18" si="15">+IF(K3=-K3,"0",K3+$Y3*AK3)</f>
        <v>0</v>
      </c>
      <c r="AW3" s="137" t="str">
        <f t="shared" ref="AW3:AW18" si="16">+IF(L3=-L3,"0",L3+$Y3*AL3)</f>
        <v>0</v>
      </c>
      <c r="AX3" s="137" t="str">
        <f t="shared" ref="AX3:AX18" si="17">+IF(M3=-M3,"0",M3+$Y3*AM3)</f>
        <v>0</v>
      </c>
      <c r="AY3" s="137" t="str">
        <f t="shared" ref="AY3:AY18" si="18">+IF(N3=-N3,"0",N3+$Y3*AN3)</f>
        <v>0</v>
      </c>
      <c r="AZ3" s="137" t="str">
        <f t="shared" ref="AZ3:AZ18" si="19">+IF(O3=-O3,"0",O3+$Y3*AO3)</f>
        <v>0</v>
      </c>
      <c r="BA3" s="137" t="str">
        <f t="shared" ref="BA3:BA18" si="20">+IF(P3=-P3,"0",P3+$Y3*AP3)</f>
        <v>0</v>
      </c>
      <c r="BB3" s="137" t="str">
        <f t="shared" ref="BB3:BB18" si="21">+IF(Q3=-Q3,"0",Q3+$Y3*AQ3)</f>
        <v>0</v>
      </c>
      <c r="BC3" s="137" t="str">
        <f t="shared" ref="BC3:BC18" si="22">+IF(R3=-R3,"0",R3+$Y3*AR3)</f>
        <v>0</v>
      </c>
      <c r="BD3" s="188">
        <f>+SUM(AT3:BC3)</f>
        <v>0</v>
      </c>
    </row>
    <row r="4" spans="1:56" x14ac:dyDescent="0.25">
      <c r="B4" s="136">
        <v>8200914</v>
      </c>
      <c r="C4" s="128" t="s">
        <v>4</v>
      </c>
      <c r="D4" s="128"/>
      <c r="E4" s="136" t="s">
        <v>661</v>
      </c>
      <c r="F4" s="274"/>
      <c r="G4" s="130">
        <f>+SUMIFS(TablaIngresos[Cantidad],TablaIngresos[Código],'Inventario '!B4)</f>
        <v>0</v>
      </c>
      <c r="H4" s="130">
        <f>+F4+G4</f>
        <v>0</v>
      </c>
      <c r="I4" s="131">
        <f>SUMIFS(TablaConsumos[[CANTIDAD ]:[CANTIDAD ]],TablaConsumos[[CÓDIGO]:[CÓDIGO]],'Inventario '!$B4,TablaConsumos[[Planta]:[Planta]],'Inventario '!I$1)</f>
        <v>0</v>
      </c>
      <c r="J4" s="131">
        <f>SUMIFS(TablaConsumos[[CANTIDAD ]:[CANTIDAD ]],TablaConsumos[[CÓDIGO]:[CÓDIGO]],'Inventario '!$B4,TablaConsumos[[Planta]:[Planta]],'Inventario '!J$1)</f>
        <v>0</v>
      </c>
      <c r="K4" s="131">
        <f>SUMIFS(TablaConsumos[[CANTIDAD ]:[CANTIDAD ]],TablaConsumos[[CÓDIGO]:[CÓDIGO]],'Inventario '!$B4,TablaConsumos[[Planta]:[Planta]],'Inventario '!K$1)</f>
        <v>0</v>
      </c>
      <c r="L4" s="131">
        <f>SUMIFS(TablaConsumos[[CANTIDAD ]:[CANTIDAD ]],TablaConsumos[[CÓDIGO]:[CÓDIGO]],'Inventario '!$B4,TablaConsumos[[Planta]:[Planta]],'Inventario '!L$1)</f>
        <v>0</v>
      </c>
      <c r="M4" s="131">
        <f>SUMIFS(TablaConsumos[[CANTIDAD ]:[CANTIDAD ]],TablaConsumos[[CÓDIGO]:[CÓDIGO]],'Inventario '!$B4,TablaConsumos[[Planta]:[Planta]],'Inventario '!M$1)</f>
        <v>0</v>
      </c>
      <c r="N4" s="131">
        <f>SUMIFS(TablaConsumos[[CANTIDAD ]:[CANTIDAD ]],TablaConsumos[[CÓDIGO]:[CÓDIGO]],'Inventario '!$B4,TablaConsumos[[Planta]:[Planta]],'Inventario '!N$1)</f>
        <v>0</v>
      </c>
      <c r="O4" s="131">
        <f>SUMIFS(TablaConsumos[[CANTIDAD ]:[CANTIDAD ]],TablaConsumos[[CÓDIGO]:[CÓDIGO]],'Inventario '!$B4,TablaConsumos[[Planta]:[Planta]],'Inventario '!O$1)</f>
        <v>0</v>
      </c>
      <c r="P4" s="131">
        <f>SUMIFS(TablaConsumos[[CANTIDAD ]:[CANTIDAD ]],TablaConsumos[[CÓDIGO]:[CÓDIGO]],'Inventario '!$B4,TablaConsumos[[Planta]:[Planta]],'Inventario '!P$1)</f>
        <v>0</v>
      </c>
      <c r="Q4" s="131">
        <f>SUMIFS(TablaConsumos[[CANTIDAD ]:[CANTIDAD ]],TablaConsumos[[CÓDIGO]:[CÓDIGO]],'Inventario '!$B4,TablaConsumos[[Planta]:[Planta]],'Inventario '!Q$1)</f>
        <v>0</v>
      </c>
      <c r="R4" s="131">
        <f>SUMIFS(TablaConsumos[[CANTIDAD ]:[CANTIDAD ]],TablaConsumos[[CÓDIGO]:[CÓDIGO]],'Inventario '!$B4,TablaConsumos[[Planta]:[Planta]],'Inventario '!R$1)</f>
        <v>0</v>
      </c>
      <c r="S4" s="130">
        <f t="shared" ref="S4:S58" si="23">+SUM(I4:R4)</f>
        <v>0</v>
      </c>
      <c r="T4" s="130">
        <f t="shared" ref="T4:T58" si="24">+H4-S4</f>
        <v>0</v>
      </c>
      <c r="U4" s="177"/>
      <c r="V4" s="234">
        <f t="shared" ref="V4:V18" si="25">+T4/W4</f>
        <v>0</v>
      </c>
      <c r="W4" s="132">
        <v>16281</v>
      </c>
      <c r="X4" s="133">
        <f>+U4*W4</f>
        <v>0</v>
      </c>
      <c r="Y4" s="298">
        <f t="shared" ref="Y4:Y18" si="26">+(T4-X4)/W4</f>
        <v>0</v>
      </c>
      <c r="Z4" s="132"/>
      <c r="AA4" s="132">
        <f>(Z4-X4)/W4</f>
        <v>0</v>
      </c>
      <c r="AB4" s="132"/>
      <c r="AC4" s="131">
        <f t="shared" si="1"/>
        <v>0</v>
      </c>
      <c r="AD4" s="188"/>
      <c r="AE4" s="132" t="s">
        <v>743</v>
      </c>
      <c r="AF4" s="132">
        <f>16281*2</f>
        <v>32562</v>
      </c>
      <c r="AG4" s="168"/>
      <c r="AH4" s="160">
        <f t="shared" si="2"/>
        <v>0</v>
      </c>
      <c r="AI4" s="160">
        <f t="shared" si="3"/>
        <v>0</v>
      </c>
      <c r="AJ4" s="160">
        <f t="shared" si="4"/>
        <v>0</v>
      </c>
      <c r="AK4" s="160">
        <f t="shared" si="5"/>
        <v>0</v>
      </c>
      <c r="AL4" s="160">
        <f t="shared" si="6"/>
        <v>0</v>
      </c>
      <c r="AM4" s="160">
        <f t="shared" si="7"/>
        <v>0</v>
      </c>
      <c r="AN4" s="160">
        <f t="shared" si="8"/>
        <v>0</v>
      </c>
      <c r="AO4" s="160">
        <f t="shared" si="9"/>
        <v>0</v>
      </c>
      <c r="AP4" s="160">
        <f t="shared" si="10"/>
        <v>0</v>
      </c>
      <c r="AQ4" s="160">
        <f t="shared" si="11"/>
        <v>0</v>
      </c>
      <c r="AR4" s="160">
        <f t="shared" si="12"/>
        <v>0</v>
      </c>
      <c r="AS4" s="161">
        <f t="shared" ref="AS4:AS58" si="27">+SUM(AI4:AR4)</f>
        <v>0</v>
      </c>
      <c r="AT4" s="137" t="str">
        <f t="shared" si="13"/>
        <v>0</v>
      </c>
      <c r="AU4" s="137" t="str">
        <f t="shared" si="14"/>
        <v>0</v>
      </c>
      <c r="AV4" s="137" t="str">
        <f t="shared" si="15"/>
        <v>0</v>
      </c>
      <c r="AW4" s="137" t="str">
        <f t="shared" si="16"/>
        <v>0</v>
      </c>
      <c r="AX4" s="137" t="str">
        <f t="shared" si="17"/>
        <v>0</v>
      </c>
      <c r="AY4" s="137" t="str">
        <f t="shared" si="18"/>
        <v>0</v>
      </c>
      <c r="AZ4" s="137" t="str">
        <f t="shared" si="19"/>
        <v>0</v>
      </c>
      <c r="BA4" s="137" t="str">
        <f t="shared" si="20"/>
        <v>0</v>
      </c>
      <c r="BB4" s="137" t="str">
        <f t="shared" si="21"/>
        <v>0</v>
      </c>
      <c r="BC4" s="137" t="str">
        <f t="shared" si="22"/>
        <v>0</v>
      </c>
      <c r="BD4" s="131">
        <f t="shared" ref="BD4:BD53" si="28">+SUM(AT4:BC4)</f>
        <v>0</v>
      </c>
    </row>
    <row r="5" spans="1:56" x14ac:dyDescent="0.25">
      <c r="B5" s="136">
        <v>8200910</v>
      </c>
      <c r="C5" s="128" t="s">
        <v>4</v>
      </c>
      <c r="D5" s="128"/>
      <c r="E5" s="136" t="s">
        <v>662</v>
      </c>
      <c r="F5" s="274"/>
      <c r="G5" s="130">
        <f>+SUMIFS(TablaIngresos[Cantidad],TablaIngresos[Código],'Inventario '!B5)</f>
        <v>0</v>
      </c>
      <c r="H5" s="130">
        <f t="shared" ref="H5:H59" si="29">+F5+G5</f>
        <v>0</v>
      </c>
      <c r="I5" s="131">
        <f>SUMIFS(TablaConsumos[[CANTIDAD ]:[CANTIDAD ]],TablaConsumos[[CÓDIGO]:[CÓDIGO]],'Inventario '!$B5,TablaConsumos[[Planta]:[Planta]],'Inventario '!I$1)</f>
        <v>0</v>
      </c>
      <c r="J5" s="131">
        <f>SUMIFS(TablaConsumos[[CANTIDAD ]:[CANTIDAD ]],TablaConsumos[[CÓDIGO]:[CÓDIGO]],'Inventario '!$B5,TablaConsumos[[Planta]:[Planta]],'Inventario '!J$1)</f>
        <v>0</v>
      </c>
      <c r="K5" s="131">
        <f>SUMIFS(TablaConsumos[[CANTIDAD ]:[CANTIDAD ]],TablaConsumos[[CÓDIGO]:[CÓDIGO]],'Inventario '!$B5,TablaConsumos[[Planta]:[Planta]],'Inventario '!K$1)</f>
        <v>0</v>
      </c>
      <c r="L5" s="131">
        <f>SUMIFS(TablaConsumos[[CANTIDAD ]:[CANTIDAD ]],TablaConsumos[[CÓDIGO]:[CÓDIGO]],'Inventario '!$B5,TablaConsumos[[Planta]:[Planta]],'Inventario '!L$1)</f>
        <v>0</v>
      </c>
      <c r="M5" s="131">
        <f>SUMIFS(TablaConsumos[[CANTIDAD ]:[CANTIDAD ]],TablaConsumos[[CÓDIGO]:[CÓDIGO]],'Inventario '!$B5,TablaConsumos[[Planta]:[Planta]],'Inventario '!M$1)</f>
        <v>0</v>
      </c>
      <c r="N5" s="131">
        <f>SUMIFS(TablaConsumos[[CANTIDAD ]:[CANTIDAD ]],TablaConsumos[[CÓDIGO]:[CÓDIGO]],'Inventario '!$B5,TablaConsumos[[Planta]:[Planta]],'Inventario '!N$1)</f>
        <v>0</v>
      </c>
      <c r="O5" s="131">
        <f>SUMIFS(TablaConsumos[[CANTIDAD ]:[CANTIDAD ]],TablaConsumos[[CÓDIGO]:[CÓDIGO]],'Inventario '!$B5,TablaConsumos[[Planta]:[Planta]],'Inventario '!O$1)</f>
        <v>0</v>
      </c>
      <c r="P5" s="131">
        <f>SUMIFS(TablaConsumos[[CANTIDAD ]:[CANTIDAD ]],TablaConsumos[[CÓDIGO]:[CÓDIGO]],'Inventario '!$B5,TablaConsumos[[Planta]:[Planta]],'Inventario '!P$1)</f>
        <v>0</v>
      </c>
      <c r="Q5" s="131">
        <f>SUMIFS(TablaConsumos[[CANTIDAD ]:[CANTIDAD ]],TablaConsumos[[CÓDIGO]:[CÓDIGO]],'Inventario '!$B5,TablaConsumos[[Planta]:[Planta]],'Inventario '!Q$1)</f>
        <v>0</v>
      </c>
      <c r="R5" s="131">
        <f>SUMIFS(TablaConsumos[[CANTIDAD ]:[CANTIDAD ]],TablaConsumos[[CÓDIGO]:[CÓDIGO]],'Inventario '!$B5,TablaConsumos[[Planta]:[Planta]],'Inventario '!R$1)</f>
        <v>0</v>
      </c>
      <c r="S5" s="130">
        <f t="shared" si="23"/>
        <v>0</v>
      </c>
      <c r="T5" s="130">
        <f t="shared" si="24"/>
        <v>0</v>
      </c>
      <c r="U5" s="177"/>
      <c r="V5" s="234">
        <f t="shared" si="25"/>
        <v>0</v>
      </c>
      <c r="W5" s="132">
        <v>8595</v>
      </c>
      <c r="X5" s="133">
        <f t="shared" si="0"/>
        <v>0</v>
      </c>
      <c r="Y5" s="298">
        <f t="shared" si="26"/>
        <v>0</v>
      </c>
      <c r="Z5" s="132"/>
      <c r="AA5" s="132">
        <f>(Z5-X5)/W5</f>
        <v>0</v>
      </c>
      <c r="AB5" s="132"/>
      <c r="AC5" s="132">
        <f t="shared" si="1"/>
        <v>0</v>
      </c>
      <c r="AD5" s="188"/>
      <c r="AE5" s="132" t="s">
        <v>743</v>
      </c>
      <c r="AF5" s="132">
        <f>8595*2</f>
        <v>17190</v>
      </c>
      <c r="AG5" s="168"/>
      <c r="AH5" s="160">
        <f t="shared" si="2"/>
        <v>0</v>
      </c>
      <c r="AI5" s="160">
        <f t="shared" si="3"/>
        <v>0</v>
      </c>
      <c r="AJ5" s="160">
        <f t="shared" si="4"/>
        <v>0</v>
      </c>
      <c r="AK5" s="160">
        <f t="shared" si="5"/>
        <v>0</v>
      </c>
      <c r="AL5" s="160">
        <f t="shared" si="6"/>
        <v>0</v>
      </c>
      <c r="AM5" s="160">
        <f t="shared" si="7"/>
        <v>0</v>
      </c>
      <c r="AN5" s="160">
        <f t="shared" si="8"/>
        <v>0</v>
      </c>
      <c r="AO5" s="160">
        <f t="shared" si="9"/>
        <v>0</v>
      </c>
      <c r="AP5" s="160">
        <f t="shared" si="10"/>
        <v>0</v>
      </c>
      <c r="AQ5" s="160">
        <f t="shared" si="11"/>
        <v>0</v>
      </c>
      <c r="AR5" s="160">
        <f t="shared" si="12"/>
        <v>0</v>
      </c>
      <c r="AS5" s="161">
        <f t="shared" si="27"/>
        <v>0</v>
      </c>
      <c r="AT5" s="137" t="str">
        <f t="shared" si="13"/>
        <v>0</v>
      </c>
      <c r="AU5" s="137" t="str">
        <f t="shared" si="14"/>
        <v>0</v>
      </c>
      <c r="AV5" s="137" t="str">
        <f t="shared" si="15"/>
        <v>0</v>
      </c>
      <c r="AW5" s="137" t="str">
        <f t="shared" si="16"/>
        <v>0</v>
      </c>
      <c r="AX5" s="137" t="str">
        <f t="shared" si="17"/>
        <v>0</v>
      </c>
      <c r="AY5" s="137" t="str">
        <f t="shared" si="18"/>
        <v>0</v>
      </c>
      <c r="AZ5" s="137" t="str">
        <f t="shared" si="19"/>
        <v>0</v>
      </c>
      <c r="BA5" s="137" t="str">
        <f t="shared" si="20"/>
        <v>0</v>
      </c>
      <c r="BB5" s="137" t="str">
        <f t="shared" si="21"/>
        <v>0</v>
      </c>
      <c r="BC5" s="137" t="str">
        <f t="shared" si="22"/>
        <v>0</v>
      </c>
      <c r="BD5" s="131">
        <f t="shared" si="28"/>
        <v>0</v>
      </c>
    </row>
    <row r="6" spans="1:56" x14ac:dyDescent="0.25">
      <c r="B6" s="136">
        <v>8203642</v>
      </c>
      <c r="C6" s="128" t="s">
        <v>4</v>
      </c>
      <c r="D6" s="128"/>
      <c r="E6" s="136" t="s">
        <v>663</v>
      </c>
      <c r="F6" s="295"/>
      <c r="G6" s="130">
        <f>+SUMIFS(TablaIngresos[Cantidad],TablaIngresos[Código],'Inventario '!B6)</f>
        <v>0</v>
      </c>
      <c r="H6" s="130">
        <f t="shared" si="29"/>
        <v>0</v>
      </c>
      <c r="I6" s="131">
        <f>SUMIFS(TablaConsumos[[CANTIDAD ]:[CANTIDAD ]],TablaConsumos[[CÓDIGO]:[CÓDIGO]],'Inventario '!$B6,TablaConsumos[[Planta]:[Planta]],'Inventario '!I$1)</f>
        <v>0</v>
      </c>
      <c r="J6" s="131">
        <f>SUMIFS(TablaConsumos[[CANTIDAD ]:[CANTIDAD ]],TablaConsumos[[CÓDIGO]:[CÓDIGO]],'Inventario '!$B6,TablaConsumos[[Planta]:[Planta]],'Inventario '!J$1)</f>
        <v>0</v>
      </c>
      <c r="K6" s="131">
        <f>SUMIFS(TablaConsumos[[CANTIDAD ]:[CANTIDAD ]],TablaConsumos[[CÓDIGO]:[CÓDIGO]],'Inventario '!$B6,TablaConsumos[[Planta]:[Planta]],'Inventario '!K$1)</f>
        <v>0</v>
      </c>
      <c r="L6" s="131">
        <f>SUMIFS(TablaConsumos[[CANTIDAD ]:[CANTIDAD ]],TablaConsumos[[CÓDIGO]:[CÓDIGO]],'Inventario '!$B6,TablaConsumos[[Planta]:[Planta]],'Inventario '!L$1)</f>
        <v>0</v>
      </c>
      <c r="M6" s="131">
        <f>SUMIFS(TablaConsumos[[CANTIDAD ]:[CANTIDAD ]],TablaConsumos[[CÓDIGO]:[CÓDIGO]],'Inventario '!$B6,TablaConsumos[[Planta]:[Planta]],'Inventario '!M$1)</f>
        <v>0</v>
      </c>
      <c r="N6" s="131">
        <f>SUMIFS(TablaConsumos[[CANTIDAD ]:[CANTIDAD ]],TablaConsumos[[CÓDIGO]:[CÓDIGO]],'Inventario '!$B6,TablaConsumos[[Planta]:[Planta]],'Inventario '!N$1)</f>
        <v>0</v>
      </c>
      <c r="O6" s="131">
        <f>SUMIFS(TablaConsumos[[CANTIDAD ]:[CANTIDAD ]],TablaConsumos[[CÓDIGO]:[CÓDIGO]],'Inventario '!$B6,TablaConsumos[[Planta]:[Planta]],'Inventario '!O$1)</f>
        <v>0</v>
      </c>
      <c r="P6" s="131">
        <f>SUMIFS(TablaConsumos[[CANTIDAD ]:[CANTIDAD ]],TablaConsumos[[CÓDIGO]:[CÓDIGO]],'Inventario '!$B6,TablaConsumos[[Planta]:[Planta]],'Inventario '!P$1)</f>
        <v>0</v>
      </c>
      <c r="Q6" s="131">
        <f>SUMIFS(TablaConsumos[[CANTIDAD ]:[CANTIDAD ]],TablaConsumos[[CÓDIGO]:[CÓDIGO]],'Inventario '!$B6,TablaConsumos[[Planta]:[Planta]],'Inventario '!Q$1)</f>
        <v>0</v>
      </c>
      <c r="R6" s="131">
        <f>SUMIFS(TablaConsumos[[CANTIDAD ]:[CANTIDAD ]],TablaConsumos[[CÓDIGO]:[CÓDIGO]],'Inventario '!$B6,TablaConsumos[[Planta]:[Planta]],'Inventario '!R$1)</f>
        <v>0</v>
      </c>
      <c r="S6" s="130">
        <f t="shared" si="23"/>
        <v>0</v>
      </c>
      <c r="T6" s="130">
        <f t="shared" si="24"/>
        <v>0</v>
      </c>
      <c r="U6" s="177"/>
      <c r="V6" s="234">
        <f t="shared" si="25"/>
        <v>0</v>
      </c>
      <c r="W6" s="132">
        <v>8860</v>
      </c>
      <c r="X6" s="133">
        <f t="shared" si="0"/>
        <v>0</v>
      </c>
      <c r="Y6" s="298">
        <f t="shared" si="26"/>
        <v>0</v>
      </c>
      <c r="Z6" s="132"/>
      <c r="AA6" s="132">
        <f>+((Z6*W6)-X6)/W6</f>
        <v>0</v>
      </c>
      <c r="AB6" s="132"/>
      <c r="AC6" s="131">
        <f t="shared" si="1"/>
        <v>0</v>
      </c>
      <c r="AD6" s="188"/>
      <c r="AE6" s="132" t="s">
        <v>743</v>
      </c>
      <c r="AF6" s="132">
        <f>2*8860</f>
        <v>17720</v>
      </c>
      <c r="AG6" s="168"/>
      <c r="AH6" s="160">
        <f t="shared" si="2"/>
        <v>0</v>
      </c>
      <c r="AI6" s="160">
        <f t="shared" si="3"/>
        <v>0</v>
      </c>
      <c r="AJ6" s="160">
        <f t="shared" si="4"/>
        <v>0</v>
      </c>
      <c r="AK6" s="160">
        <f t="shared" si="5"/>
        <v>0</v>
      </c>
      <c r="AL6" s="160">
        <f t="shared" si="6"/>
        <v>0</v>
      </c>
      <c r="AM6" s="160">
        <f t="shared" si="7"/>
        <v>0</v>
      </c>
      <c r="AN6" s="160">
        <f t="shared" si="8"/>
        <v>0</v>
      </c>
      <c r="AO6" s="160">
        <f t="shared" si="9"/>
        <v>0</v>
      </c>
      <c r="AP6" s="160">
        <f t="shared" si="10"/>
        <v>0</v>
      </c>
      <c r="AQ6" s="160">
        <f t="shared" si="11"/>
        <v>0</v>
      </c>
      <c r="AR6" s="160">
        <f t="shared" si="12"/>
        <v>0</v>
      </c>
      <c r="AS6" s="161">
        <f t="shared" si="27"/>
        <v>0</v>
      </c>
      <c r="AT6" s="137" t="str">
        <f t="shared" si="13"/>
        <v>0</v>
      </c>
      <c r="AU6" s="137" t="str">
        <f t="shared" si="14"/>
        <v>0</v>
      </c>
      <c r="AV6" s="137" t="str">
        <f t="shared" si="15"/>
        <v>0</v>
      </c>
      <c r="AW6" s="137" t="str">
        <f t="shared" si="16"/>
        <v>0</v>
      </c>
      <c r="AX6" s="137" t="str">
        <f t="shared" si="17"/>
        <v>0</v>
      </c>
      <c r="AY6" s="137" t="str">
        <f t="shared" si="18"/>
        <v>0</v>
      </c>
      <c r="AZ6" s="137" t="str">
        <f t="shared" si="19"/>
        <v>0</v>
      </c>
      <c r="BA6" s="137" t="str">
        <f t="shared" si="20"/>
        <v>0</v>
      </c>
      <c r="BB6" s="137" t="str">
        <f t="shared" si="21"/>
        <v>0</v>
      </c>
      <c r="BC6" s="137" t="str">
        <f t="shared" si="22"/>
        <v>0</v>
      </c>
      <c r="BD6" s="131">
        <f t="shared" si="28"/>
        <v>0</v>
      </c>
    </row>
    <row r="7" spans="1:56" x14ac:dyDescent="0.25">
      <c r="B7" s="136">
        <v>8201920</v>
      </c>
      <c r="C7" s="128" t="s">
        <v>4</v>
      </c>
      <c r="D7" s="128"/>
      <c r="E7" s="136" t="s">
        <v>664</v>
      </c>
      <c r="F7" s="274"/>
      <c r="G7" s="130">
        <f>+SUMIFS(TablaIngresos[Cantidad],TablaIngresos[Código],'Inventario '!B7)</f>
        <v>0</v>
      </c>
      <c r="H7" s="130">
        <f t="shared" si="29"/>
        <v>0</v>
      </c>
      <c r="I7" s="131">
        <f>SUMIFS(TablaConsumos[[CANTIDAD ]:[CANTIDAD ]],TablaConsumos[[CÓDIGO]:[CÓDIGO]],'Inventario '!$B7,TablaConsumos[[Planta]:[Planta]],'Inventario '!I$1)</f>
        <v>0</v>
      </c>
      <c r="J7" s="131">
        <f>SUMIFS(TablaConsumos[[CANTIDAD ]:[CANTIDAD ]],TablaConsumos[[CÓDIGO]:[CÓDIGO]],'Inventario '!$B7,TablaConsumos[[Planta]:[Planta]],'Inventario '!J$1)</f>
        <v>0</v>
      </c>
      <c r="K7" s="131">
        <f>SUMIFS(TablaConsumos[[CANTIDAD ]:[CANTIDAD ]],TablaConsumos[[CÓDIGO]:[CÓDIGO]],'Inventario '!$B7,TablaConsumos[[Planta]:[Planta]],'Inventario '!K$1)</f>
        <v>0</v>
      </c>
      <c r="L7" s="131">
        <f>SUMIFS(TablaConsumos[[CANTIDAD ]:[CANTIDAD ]],TablaConsumos[[CÓDIGO]:[CÓDIGO]],'Inventario '!$B7,TablaConsumos[[Planta]:[Planta]],'Inventario '!L$1)</f>
        <v>0</v>
      </c>
      <c r="M7" s="131">
        <f>SUMIFS(TablaConsumos[[CANTIDAD ]:[CANTIDAD ]],TablaConsumos[[CÓDIGO]:[CÓDIGO]],'Inventario '!$B7,TablaConsumos[[Planta]:[Planta]],'Inventario '!M$1)</f>
        <v>0</v>
      </c>
      <c r="N7" s="131">
        <f>SUMIFS(TablaConsumos[[CANTIDAD ]:[CANTIDAD ]],TablaConsumos[[CÓDIGO]:[CÓDIGO]],'Inventario '!$B7,TablaConsumos[[Planta]:[Planta]],'Inventario '!N$1)</f>
        <v>0</v>
      </c>
      <c r="O7" s="131">
        <f>SUMIFS(TablaConsumos[[CANTIDAD ]:[CANTIDAD ]],TablaConsumos[[CÓDIGO]:[CÓDIGO]],'Inventario '!$B7,TablaConsumos[[Planta]:[Planta]],'Inventario '!O$1)</f>
        <v>0</v>
      </c>
      <c r="P7" s="131">
        <f>SUMIFS(TablaConsumos[[CANTIDAD ]:[CANTIDAD ]],TablaConsumos[[CÓDIGO]:[CÓDIGO]],'Inventario '!$B7,TablaConsumos[[Planta]:[Planta]],'Inventario '!P$1)</f>
        <v>0</v>
      </c>
      <c r="Q7" s="131">
        <f>SUMIFS(TablaConsumos[[CANTIDAD ]:[CANTIDAD ]],TablaConsumos[[CÓDIGO]:[CÓDIGO]],'Inventario '!$B7,TablaConsumos[[Planta]:[Planta]],'Inventario '!Q$1)</f>
        <v>0</v>
      </c>
      <c r="R7" s="131">
        <f>SUMIFS(TablaConsumos[[CANTIDAD ]:[CANTIDAD ]],TablaConsumos[[CÓDIGO]:[CÓDIGO]],'Inventario '!$B7,TablaConsumos[[Planta]:[Planta]],'Inventario '!R$1)</f>
        <v>0</v>
      </c>
      <c r="S7" s="130">
        <f t="shared" si="23"/>
        <v>0</v>
      </c>
      <c r="T7" s="130">
        <f t="shared" si="24"/>
        <v>0</v>
      </c>
      <c r="U7" s="177"/>
      <c r="V7" s="234">
        <f t="shared" si="25"/>
        <v>0</v>
      </c>
      <c r="W7" s="132">
        <v>12860</v>
      </c>
      <c r="X7" s="133">
        <f t="shared" si="0"/>
        <v>0</v>
      </c>
      <c r="Y7" s="298">
        <f t="shared" si="26"/>
        <v>0</v>
      </c>
      <c r="Z7" s="132"/>
      <c r="AA7" s="132">
        <f>(Z7-X7)</f>
        <v>0</v>
      </c>
      <c r="AB7" s="132"/>
      <c r="AC7" s="131">
        <f t="shared" si="1"/>
        <v>0</v>
      </c>
      <c r="AD7" s="188"/>
      <c r="AE7" s="132" t="s">
        <v>743</v>
      </c>
      <c r="AF7" s="132">
        <f>2*12860</f>
        <v>25720</v>
      </c>
      <c r="AG7" s="168"/>
      <c r="AH7" s="160">
        <f t="shared" si="2"/>
        <v>0</v>
      </c>
      <c r="AI7" s="160">
        <f t="shared" si="3"/>
        <v>0</v>
      </c>
      <c r="AJ7" s="160">
        <f t="shared" si="4"/>
        <v>0</v>
      </c>
      <c r="AK7" s="160">
        <f t="shared" si="5"/>
        <v>0</v>
      </c>
      <c r="AL7" s="160">
        <f t="shared" si="6"/>
        <v>0</v>
      </c>
      <c r="AM7" s="160">
        <f t="shared" si="7"/>
        <v>0</v>
      </c>
      <c r="AN7" s="160">
        <f t="shared" si="8"/>
        <v>0</v>
      </c>
      <c r="AO7" s="160">
        <f t="shared" si="9"/>
        <v>0</v>
      </c>
      <c r="AP7" s="160">
        <f t="shared" si="10"/>
        <v>0</v>
      </c>
      <c r="AQ7" s="160">
        <f t="shared" si="11"/>
        <v>0</v>
      </c>
      <c r="AR7" s="160">
        <f t="shared" si="12"/>
        <v>0</v>
      </c>
      <c r="AS7" s="161">
        <f t="shared" si="27"/>
        <v>0</v>
      </c>
      <c r="AT7" s="137" t="str">
        <f t="shared" si="13"/>
        <v>0</v>
      </c>
      <c r="AU7" s="137" t="str">
        <f t="shared" si="14"/>
        <v>0</v>
      </c>
      <c r="AV7" s="137" t="str">
        <f t="shared" si="15"/>
        <v>0</v>
      </c>
      <c r="AW7" s="137" t="str">
        <f t="shared" si="16"/>
        <v>0</v>
      </c>
      <c r="AX7" s="137" t="str">
        <f t="shared" si="17"/>
        <v>0</v>
      </c>
      <c r="AY7" s="137" t="str">
        <f t="shared" si="18"/>
        <v>0</v>
      </c>
      <c r="AZ7" s="137" t="str">
        <f t="shared" si="19"/>
        <v>0</v>
      </c>
      <c r="BA7" s="137" t="str">
        <f t="shared" si="20"/>
        <v>0</v>
      </c>
      <c r="BB7" s="137" t="str">
        <f t="shared" si="21"/>
        <v>0</v>
      </c>
      <c r="BC7" s="137" t="str">
        <f t="shared" si="22"/>
        <v>0</v>
      </c>
      <c r="BD7" s="131">
        <f t="shared" si="28"/>
        <v>0</v>
      </c>
    </row>
    <row r="8" spans="1:56" x14ac:dyDescent="0.25">
      <c r="B8" s="136">
        <v>8201620</v>
      </c>
      <c r="C8" s="128" t="s">
        <v>4</v>
      </c>
      <c r="D8" s="128"/>
      <c r="E8" s="136" t="s">
        <v>665</v>
      </c>
      <c r="F8" s="295"/>
      <c r="G8" s="130">
        <f>+SUMIFS(TablaIngresos[Cantidad],TablaIngresos[Código],'Inventario '!B8)</f>
        <v>0</v>
      </c>
      <c r="H8" s="130">
        <f t="shared" si="29"/>
        <v>0</v>
      </c>
      <c r="I8" s="131">
        <f>SUMIFS(TablaConsumos[[CANTIDAD ]:[CANTIDAD ]],TablaConsumos[[CÓDIGO]:[CÓDIGO]],'Inventario '!$B8,TablaConsumos[[Planta]:[Planta]],'Inventario '!I$1)</f>
        <v>0</v>
      </c>
      <c r="J8" s="131">
        <f>SUMIFS(TablaConsumos[[CANTIDAD ]:[CANTIDAD ]],TablaConsumos[[CÓDIGO]:[CÓDIGO]],'Inventario '!$B8,TablaConsumos[[Planta]:[Planta]],'Inventario '!J$1)</f>
        <v>0</v>
      </c>
      <c r="K8" s="131">
        <f>SUMIFS(TablaConsumos[[CANTIDAD ]:[CANTIDAD ]],TablaConsumos[[CÓDIGO]:[CÓDIGO]],'Inventario '!$B8,TablaConsumos[[Planta]:[Planta]],'Inventario '!K$1)</f>
        <v>0</v>
      </c>
      <c r="L8" s="131">
        <f>SUMIFS(TablaConsumos[[CANTIDAD ]:[CANTIDAD ]],TablaConsumos[[CÓDIGO]:[CÓDIGO]],'Inventario '!$B8,TablaConsumos[[Planta]:[Planta]],'Inventario '!L$1)</f>
        <v>0</v>
      </c>
      <c r="M8" s="131">
        <f>SUMIFS(TablaConsumos[[CANTIDAD ]:[CANTIDAD ]],TablaConsumos[[CÓDIGO]:[CÓDIGO]],'Inventario '!$B8,TablaConsumos[[Planta]:[Planta]],'Inventario '!M$1)</f>
        <v>0</v>
      </c>
      <c r="N8" s="131">
        <f>SUMIFS(TablaConsumos[[CANTIDAD ]:[CANTIDAD ]],TablaConsumos[[CÓDIGO]:[CÓDIGO]],'Inventario '!$B8,TablaConsumos[[Planta]:[Planta]],'Inventario '!N$1)</f>
        <v>0</v>
      </c>
      <c r="O8" s="131">
        <f>SUMIFS(TablaConsumos[[CANTIDAD ]:[CANTIDAD ]],TablaConsumos[[CÓDIGO]:[CÓDIGO]],'Inventario '!$B8,TablaConsumos[[Planta]:[Planta]],'Inventario '!O$1)</f>
        <v>0</v>
      </c>
      <c r="P8" s="131">
        <f>SUMIFS(TablaConsumos[[CANTIDAD ]:[CANTIDAD ]],TablaConsumos[[CÓDIGO]:[CÓDIGO]],'Inventario '!$B8,TablaConsumos[[Planta]:[Planta]],'Inventario '!P$1)</f>
        <v>0</v>
      </c>
      <c r="Q8" s="131">
        <f>SUMIFS(TablaConsumos[[CANTIDAD ]:[CANTIDAD ]],TablaConsumos[[CÓDIGO]:[CÓDIGO]],'Inventario '!$B8,TablaConsumos[[Planta]:[Planta]],'Inventario '!Q$1)</f>
        <v>0</v>
      </c>
      <c r="R8" s="131">
        <f>SUMIFS(TablaConsumos[[CANTIDAD ]:[CANTIDAD ]],TablaConsumos[[CÓDIGO]:[CÓDIGO]],'Inventario '!$B8,TablaConsumos[[Planta]:[Planta]],'Inventario '!R$1)</f>
        <v>0</v>
      </c>
      <c r="S8" s="130">
        <f>+SUM(I8:R8)</f>
        <v>0</v>
      </c>
      <c r="T8" s="130">
        <f t="shared" si="24"/>
        <v>0</v>
      </c>
      <c r="U8" s="177"/>
      <c r="V8" s="234">
        <f t="shared" si="25"/>
        <v>0</v>
      </c>
      <c r="W8" s="132">
        <v>12620</v>
      </c>
      <c r="X8" s="133">
        <f t="shared" si="0"/>
        <v>0</v>
      </c>
      <c r="Y8" s="298">
        <f t="shared" si="26"/>
        <v>0</v>
      </c>
      <c r="Z8" s="132"/>
      <c r="AA8" s="132">
        <f>+((Z8*W8)-X8)/W8</f>
        <v>0</v>
      </c>
      <c r="AB8" s="132"/>
      <c r="AC8" s="131">
        <f t="shared" si="1"/>
        <v>0</v>
      </c>
      <c r="AD8" s="188"/>
      <c r="AE8" s="132" t="s">
        <v>743</v>
      </c>
      <c r="AF8" s="132">
        <f>12620*2</f>
        <v>25240</v>
      </c>
      <c r="AG8" s="168"/>
      <c r="AH8" s="160">
        <f t="shared" si="2"/>
        <v>0</v>
      </c>
      <c r="AI8" s="160">
        <f t="shared" si="3"/>
        <v>0</v>
      </c>
      <c r="AJ8" s="160">
        <f t="shared" si="4"/>
        <v>0</v>
      </c>
      <c r="AK8" s="160">
        <f t="shared" si="5"/>
        <v>0</v>
      </c>
      <c r="AL8" s="160">
        <f t="shared" si="6"/>
        <v>0</v>
      </c>
      <c r="AM8" s="160">
        <f t="shared" si="7"/>
        <v>0</v>
      </c>
      <c r="AN8" s="160">
        <f t="shared" si="8"/>
        <v>0</v>
      </c>
      <c r="AO8" s="160">
        <f t="shared" si="9"/>
        <v>0</v>
      </c>
      <c r="AP8" s="160">
        <f t="shared" si="10"/>
        <v>0</v>
      </c>
      <c r="AQ8" s="160">
        <f t="shared" si="11"/>
        <v>0</v>
      </c>
      <c r="AR8" s="160">
        <f t="shared" si="12"/>
        <v>0</v>
      </c>
      <c r="AS8" s="161">
        <f t="shared" si="27"/>
        <v>0</v>
      </c>
      <c r="AT8" s="137" t="str">
        <f t="shared" si="13"/>
        <v>0</v>
      </c>
      <c r="AU8" s="137" t="str">
        <f t="shared" si="14"/>
        <v>0</v>
      </c>
      <c r="AV8" s="137" t="str">
        <f t="shared" si="15"/>
        <v>0</v>
      </c>
      <c r="AW8" s="137" t="str">
        <f t="shared" si="16"/>
        <v>0</v>
      </c>
      <c r="AX8" s="137" t="str">
        <f t="shared" si="17"/>
        <v>0</v>
      </c>
      <c r="AY8" s="137" t="str">
        <f t="shared" si="18"/>
        <v>0</v>
      </c>
      <c r="AZ8" s="137" t="str">
        <f t="shared" si="19"/>
        <v>0</v>
      </c>
      <c r="BA8" s="137" t="str">
        <f t="shared" si="20"/>
        <v>0</v>
      </c>
      <c r="BB8" s="137" t="str">
        <f t="shared" si="21"/>
        <v>0</v>
      </c>
      <c r="BC8" s="137" t="str">
        <f t="shared" si="22"/>
        <v>0</v>
      </c>
      <c r="BD8" s="131">
        <f t="shared" si="28"/>
        <v>0</v>
      </c>
    </row>
    <row r="9" spans="1:56" x14ac:dyDescent="0.25">
      <c r="B9" s="136">
        <v>8201455</v>
      </c>
      <c r="C9" s="128" t="s">
        <v>17</v>
      </c>
      <c r="D9" s="128"/>
      <c r="E9" s="136" t="s">
        <v>666</v>
      </c>
      <c r="F9" s="295"/>
      <c r="G9" s="130">
        <f>+SUMIFS(TablaIngresos[Cantidad],TablaIngresos[Código],'Inventario '!B9)</f>
        <v>0</v>
      </c>
      <c r="H9" s="130">
        <f>+F9+G9</f>
        <v>0</v>
      </c>
      <c r="I9" s="131">
        <f>SUMIFS(TablaConsumos[[CANTIDAD ]:[CANTIDAD ]],TablaConsumos[[CÓDIGO]:[CÓDIGO]],'Inventario '!$B9,TablaConsumos[[Planta]:[Planta]],'Inventario '!I$1)</f>
        <v>0</v>
      </c>
      <c r="J9" s="131">
        <f>SUMIFS(TablaConsumos[[CANTIDAD ]:[CANTIDAD ]],TablaConsumos[[CÓDIGO]:[CÓDIGO]],'Inventario '!$B9,TablaConsumos[[Planta]:[Planta]],'Inventario '!J$1)</f>
        <v>0</v>
      </c>
      <c r="K9" s="131">
        <f>SUMIFS(TablaConsumos[[CANTIDAD ]:[CANTIDAD ]],TablaConsumos[[CÓDIGO]:[CÓDIGO]],'Inventario '!$B9,TablaConsumos[[Planta]:[Planta]],'Inventario '!K$1)</f>
        <v>0</v>
      </c>
      <c r="L9" s="131">
        <f>SUMIFS(TablaConsumos[[CANTIDAD ]:[CANTIDAD ]],TablaConsumos[[CÓDIGO]:[CÓDIGO]],'Inventario '!$B9,TablaConsumos[[Planta]:[Planta]],'Inventario '!L$1)</f>
        <v>0</v>
      </c>
      <c r="M9" s="131">
        <f>SUMIFS(TablaConsumos[[CANTIDAD ]:[CANTIDAD ]],TablaConsumos[[CÓDIGO]:[CÓDIGO]],'Inventario '!$B9,TablaConsumos[[Planta]:[Planta]],'Inventario '!M$1)</f>
        <v>0</v>
      </c>
      <c r="N9" s="131">
        <f>SUMIFS(TablaConsumos[[CANTIDAD ]:[CANTIDAD ]],TablaConsumos[[CÓDIGO]:[CÓDIGO]],'Inventario '!$B9,TablaConsumos[[Planta]:[Planta]],'Inventario '!N$1)</f>
        <v>0</v>
      </c>
      <c r="O9" s="131">
        <f>SUMIFS(TablaConsumos[[CANTIDAD ]:[CANTIDAD ]],TablaConsumos[[CÓDIGO]:[CÓDIGO]],'Inventario '!$B9,TablaConsumos[[Planta]:[Planta]],'Inventario '!O$1)</f>
        <v>0</v>
      </c>
      <c r="P9" s="131">
        <f>SUMIFS(TablaConsumos[[CANTIDAD ]:[CANTIDAD ]],TablaConsumos[[CÓDIGO]:[CÓDIGO]],'Inventario '!$B9,TablaConsumos[[Planta]:[Planta]],'Inventario '!P$1)</f>
        <v>0</v>
      </c>
      <c r="Q9" s="131">
        <f>SUMIFS(TablaConsumos[[CANTIDAD ]:[CANTIDAD ]],TablaConsumos[[CÓDIGO]:[CÓDIGO]],'Inventario '!$B9,TablaConsumos[[Planta]:[Planta]],'Inventario '!Q$1)</f>
        <v>0</v>
      </c>
      <c r="R9" s="131">
        <f>SUMIFS(TablaConsumos[[CANTIDAD ]:[CANTIDAD ]],TablaConsumos[[CÓDIGO]:[CÓDIGO]],'Inventario '!$B9,TablaConsumos[[Planta]:[Planta]],'Inventario '!R$1)</f>
        <v>0</v>
      </c>
      <c r="S9" s="130">
        <f>+SUM(I9:R9)</f>
        <v>0</v>
      </c>
      <c r="T9" s="130">
        <f>+H9-S9</f>
        <v>0</v>
      </c>
      <c r="U9" s="177"/>
      <c r="V9" s="234">
        <f t="shared" si="25"/>
        <v>0</v>
      </c>
      <c r="W9" s="132">
        <v>6090</v>
      </c>
      <c r="X9" s="133">
        <f t="shared" si="0"/>
        <v>0</v>
      </c>
      <c r="Y9" s="298">
        <f>+U9-T9</f>
        <v>0</v>
      </c>
      <c r="Z9" s="132"/>
      <c r="AA9" s="132">
        <f>(Z9-X9/W9)</f>
        <v>0</v>
      </c>
      <c r="AB9" s="132"/>
      <c r="AC9" s="131">
        <f t="shared" si="1"/>
        <v>0</v>
      </c>
      <c r="AD9" s="188"/>
      <c r="AE9" s="132" t="s">
        <v>743</v>
      </c>
      <c r="AF9" s="132">
        <f>2*6090</f>
        <v>12180</v>
      </c>
      <c r="AG9" s="168"/>
      <c r="AH9" s="160">
        <f t="shared" si="2"/>
        <v>0</v>
      </c>
      <c r="AI9" s="160">
        <f t="shared" si="3"/>
        <v>0</v>
      </c>
      <c r="AJ9" s="160">
        <f t="shared" si="4"/>
        <v>0</v>
      </c>
      <c r="AK9" s="160">
        <f t="shared" si="5"/>
        <v>0</v>
      </c>
      <c r="AL9" s="160">
        <f t="shared" si="6"/>
        <v>0</v>
      </c>
      <c r="AM9" s="160">
        <f t="shared" si="7"/>
        <v>0</v>
      </c>
      <c r="AN9" s="160">
        <f t="shared" si="8"/>
        <v>0</v>
      </c>
      <c r="AO9" s="160">
        <f t="shared" si="9"/>
        <v>0</v>
      </c>
      <c r="AP9" s="160">
        <f t="shared" si="10"/>
        <v>0</v>
      </c>
      <c r="AQ9" s="160">
        <f t="shared" si="11"/>
        <v>0</v>
      </c>
      <c r="AR9" s="160">
        <f t="shared" si="12"/>
        <v>0</v>
      </c>
      <c r="AS9" s="161">
        <f t="shared" si="27"/>
        <v>0</v>
      </c>
      <c r="AT9" s="137" t="str">
        <f t="shared" si="13"/>
        <v>0</v>
      </c>
      <c r="AU9" s="137" t="str">
        <f t="shared" si="14"/>
        <v>0</v>
      </c>
      <c r="AV9" s="137" t="str">
        <f t="shared" si="15"/>
        <v>0</v>
      </c>
      <c r="AW9" s="137" t="str">
        <f t="shared" si="16"/>
        <v>0</v>
      </c>
      <c r="AX9" s="137" t="str">
        <f t="shared" si="17"/>
        <v>0</v>
      </c>
      <c r="AY9" s="137" t="str">
        <f t="shared" si="18"/>
        <v>0</v>
      </c>
      <c r="AZ9" s="137" t="str">
        <f t="shared" si="19"/>
        <v>0</v>
      </c>
      <c r="BA9" s="137" t="str">
        <f t="shared" si="20"/>
        <v>0</v>
      </c>
      <c r="BB9" s="137" t="str">
        <f t="shared" si="21"/>
        <v>0</v>
      </c>
      <c r="BC9" s="137" t="str">
        <f t="shared" si="22"/>
        <v>0</v>
      </c>
      <c r="BD9" s="131">
        <f t="shared" si="28"/>
        <v>0</v>
      </c>
    </row>
    <row r="10" spans="1:56" x14ac:dyDescent="0.25">
      <c r="B10" s="136">
        <v>8205580</v>
      </c>
      <c r="C10" s="128" t="s">
        <v>4</v>
      </c>
      <c r="D10" s="128"/>
      <c r="E10" s="136" t="s">
        <v>667</v>
      </c>
      <c r="F10" s="274"/>
      <c r="G10" s="130">
        <f>+SUMIFS(TablaIngresos[Cantidad],TablaIngresos[Código],'Inventario '!B10)</f>
        <v>0</v>
      </c>
      <c r="H10" s="130">
        <f t="shared" si="29"/>
        <v>0</v>
      </c>
      <c r="I10" s="131">
        <f>SUMIFS(TablaConsumos[[CANTIDAD ]:[CANTIDAD ]],TablaConsumos[[CÓDIGO]:[CÓDIGO]],'Inventario '!$B10,TablaConsumos[[Planta]:[Planta]],'Inventario '!I$1)</f>
        <v>0</v>
      </c>
      <c r="J10" s="131">
        <f>SUMIFS(TablaConsumos[[CANTIDAD ]:[CANTIDAD ]],TablaConsumos[[CÓDIGO]:[CÓDIGO]],'Inventario '!$B10,TablaConsumos[[Planta]:[Planta]],'Inventario '!J$1)</f>
        <v>0</v>
      </c>
      <c r="K10" s="131">
        <f>SUMIFS(TablaConsumos[[CANTIDAD ]:[CANTIDAD ]],TablaConsumos[[CÓDIGO]:[CÓDIGO]],'Inventario '!$B10,TablaConsumos[[Planta]:[Planta]],'Inventario '!K$1)</f>
        <v>0</v>
      </c>
      <c r="L10" s="131">
        <f>SUMIFS(TablaConsumos[[CANTIDAD ]:[CANTIDAD ]],TablaConsumos[[CÓDIGO]:[CÓDIGO]],'Inventario '!$B10,TablaConsumos[[Planta]:[Planta]],'Inventario '!L$1)</f>
        <v>0</v>
      </c>
      <c r="M10" s="131">
        <f>SUMIFS(TablaConsumos[[CANTIDAD ]:[CANTIDAD ]],TablaConsumos[[CÓDIGO]:[CÓDIGO]],'Inventario '!$B10,TablaConsumos[[Planta]:[Planta]],'Inventario '!M$1)</f>
        <v>0</v>
      </c>
      <c r="N10" s="131">
        <f>SUMIFS(TablaConsumos[[CANTIDAD ]:[CANTIDAD ]],TablaConsumos[[CÓDIGO]:[CÓDIGO]],'Inventario '!$B10,TablaConsumos[[Planta]:[Planta]],'Inventario '!N$1)</f>
        <v>0</v>
      </c>
      <c r="O10" s="131">
        <f>SUMIFS(TablaConsumos[[CANTIDAD ]:[CANTIDAD ]],TablaConsumos[[CÓDIGO]:[CÓDIGO]],'Inventario '!$B10,TablaConsumos[[Planta]:[Planta]],'Inventario '!O$1)</f>
        <v>0</v>
      </c>
      <c r="P10" s="131">
        <f>SUMIFS(TablaConsumos[[CANTIDAD ]:[CANTIDAD ]],TablaConsumos[[CÓDIGO]:[CÓDIGO]],'Inventario '!$B10,TablaConsumos[[Planta]:[Planta]],'Inventario '!P$1)</f>
        <v>0</v>
      </c>
      <c r="Q10" s="131">
        <f>SUMIFS(TablaConsumos[[CANTIDAD ]:[CANTIDAD ]],TablaConsumos[[CÓDIGO]:[CÓDIGO]],'Inventario '!$B10,TablaConsumos[[Planta]:[Planta]],'Inventario '!Q$1)</f>
        <v>0</v>
      </c>
      <c r="R10" s="131">
        <f>SUMIFS(TablaConsumos[[CANTIDAD ]:[CANTIDAD ]],TablaConsumos[[CÓDIGO]:[CÓDIGO]],'Inventario '!$B10,TablaConsumos[[Planta]:[Planta]],'Inventario '!R$1)</f>
        <v>0</v>
      </c>
      <c r="S10" s="130">
        <f t="shared" si="23"/>
        <v>0</v>
      </c>
      <c r="T10" s="130">
        <f t="shared" si="24"/>
        <v>0</v>
      </c>
      <c r="U10" s="177"/>
      <c r="V10" s="234">
        <f t="shared" si="25"/>
        <v>0</v>
      </c>
      <c r="W10" s="132">
        <v>15620</v>
      </c>
      <c r="X10" s="133">
        <f t="shared" si="0"/>
        <v>0</v>
      </c>
      <c r="Y10" s="298">
        <f t="shared" si="26"/>
        <v>0</v>
      </c>
      <c r="Z10" s="132"/>
      <c r="AA10" s="132">
        <f>(Z10-X10)/W10</f>
        <v>0</v>
      </c>
      <c r="AB10" s="132"/>
      <c r="AC10" s="131">
        <f t="shared" si="1"/>
        <v>0</v>
      </c>
      <c r="AD10" s="188"/>
      <c r="AE10" s="132" t="s">
        <v>743</v>
      </c>
      <c r="AF10" s="132">
        <f>15620*2</f>
        <v>31240</v>
      </c>
      <c r="AG10" s="168"/>
      <c r="AH10" s="160">
        <f t="shared" si="2"/>
        <v>0</v>
      </c>
      <c r="AI10" s="160">
        <f t="shared" si="3"/>
        <v>0</v>
      </c>
      <c r="AJ10" s="160">
        <f t="shared" si="4"/>
        <v>0</v>
      </c>
      <c r="AK10" s="160">
        <f t="shared" si="5"/>
        <v>0</v>
      </c>
      <c r="AL10" s="160">
        <f t="shared" si="6"/>
        <v>0</v>
      </c>
      <c r="AM10" s="160">
        <f t="shared" si="7"/>
        <v>0</v>
      </c>
      <c r="AN10" s="160">
        <f t="shared" si="8"/>
        <v>0</v>
      </c>
      <c r="AO10" s="160">
        <f t="shared" si="9"/>
        <v>0</v>
      </c>
      <c r="AP10" s="160">
        <f t="shared" si="10"/>
        <v>0</v>
      </c>
      <c r="AQ10" s="160">
        <f t="shared" si="11"/>
        <v>0</v>
      </c>
      <c r="AR10" s="160">
        <f t="shared" si="12"/>
        <v>0</v>
      </c>
      <c r="AS10" s="161">
        <f t="shared" si="27"/>
        <v>0</v>
      </c>
      <c r="AT10" s="137" t="str">
        <f t="shared" si="13"/>
        <v>0</v>
      </c>
      <c r="AU10" s="137" t="str">
        <f t="shared" si="14"/>
        <v>0</v>
      </c>
      <c r="AV10" s="137" t="str">
        <f t="shared" si="15"/>
        <v>0</v>
      </c>
      <c r="AW10" s="137" t="str">
        <f t="shared" si="16"/>
        <v>0</v>
      </c>
      <c r="AX10" s="137" t="str">
        <f t="shared" si="17"/>
        <v>0</v>
      </c>
      <c r="AY10" s="137" t="str">
        <f t="shared" si="18"/>
        <v>0</v>
      </c>
      <c r="AZ10" s="137" t="str">
        <f t="shared" si="19"/>
        <v>0</v>
      </c>
      <c r="BA10" s="137" t="str">
        <f t="shared" si="20"/>
        <v>0</v>
      </c>
      <c r="BB10" s="137" t="str">
        <f t="shared" si="21"/>
        <v>0</v>
      </c>
      <c r="BC10" s="137" t="str">
        <f t="shared" si="22"/>
        <v>0</v>
      </c>
      <c r="BD10" s="131">
        <f t="shared" si="28"/>
        <v>0</v>
      </c>
    </row>
    <row r="11" spans="1:56" x14ac:dyDescent="0.25">
      <c r="B11" s="136">
        <v>8205581</v>
      </c>
      <c r="C11" s="128" t="s">
        <v>4</v>
      </c>
      <c r="D11" s="128"/>
      <c r="E11" s="136" t="s">
        <v>668</v>
      </c>
      <c r="F11" s="274"/>
      <c r="G11" s="130">
        <f>+SUMIFS(TablaIngresos[Cantidad],TablaIngresos[Código],'Inventario '!B11)</f>
        <v>0</v>
      </c>
      <c r="H11" s="130">
        <f t="shared" si="29"/>
        <v>0</v>
      </c>
      <c r="I11" s="131">
        <f>SUMIFS(TablaConsumos[[CANTIDAD ]:[CANTIDAD ]],TablaConsumos[[CÓDIGO]:[CÓDIGO]],'Inventario '!$B11,TablaConsumos[[Planta]:[Planta]],'Inventario '!I$1)</f>
        <v>0</v>
      </c>
      <c r="J11" s="131">
        <f>SUMIFS(TablaConsumos[[CANTIDAD ]:[CANTIDAD ]],TablaConsumos[[CÓDIGO]:[CÓDIGO]],'Inventario '!$B11,TablaConsumos[[Planta]:[Planta]],'Inventario '!J$1)</f>
        <v>0</v>
      </c>
      <c r="K11" s="131">
        <f>SUMIFS(TablaConsumos[[CANTIDAD ]:[CANTIDAD ]],TablaConsumos[[CÓDIGO]:[CÓDIGO]],'Inventario '!$B11,TablaConsumos[[Planta]:[Planta]],'Inventario '!K$1)</f>
        <v>0</v>
      </c>
      <c r="L11" s="131">
        <f>SUMIFS(TablaConsumos[[CANTIDAD ]:[CANTIDAD ]],TablaConsumos[[CÓDIGO]:[CÓDIGO]],'Inventario '!$B11,TablaConsumos[[Planta]:[Planta]],'Inventario '!L$1)</f>
        <v>0</v>
      </c>
      <c r="M11" s="131">
        <f>SUMIFS(TablaConsumos[[CANTIDAD ]:[CANTIDAD ]],TablaConsumos[[CÓDIGO]:[CÓDIGO]],'Inventario '!$B11,TablaConsumos[[Planta]:[Planta]],'Inventario '!M$1)</f>
        <v>0</v>
      </c>
      <c r="N11" s="131">
        <f>SUMIFS(TablaConsumos[[CANTIDAD ]:[CANTIDAD ]],TablaConsumos[[CÓDIGO]:[CÓDIGO]],'Inventario '!$B11,TablaConsumos[[Planta]:[Planta]],'Inventario '!N$1)</f>
        <v>0</v>
      </c>
      <c r="O11" s="131">
        <f>SUMIFS(TablaConsumos[[CANTIDAD ]:[CANTIDAD ]],TablaConsumos[[CÓDIGO]:[CÓDIGO]],'Inventario '!$B11,TablaConsumos[[Planta]:[Planta]],'Inventario '!O$1)</f>
        <v>0</v>
      </c>
      <c r="P11" s="131">
        <f>SUMIFS(TablaConsumos[[CANTIDAD ]:[CANTIDAD ]],TablaConsumos[[CÓDIGO]:[CÓDIGO]],'Inventario '!$B11,TablaConsumos[[Planta]:[Planta]],'Inventario '!P$1)</f>
        <v>0</v>
      </c>
      <c r="Q11" s="131">
        <f>SUMIFS(TablaConsumos[[CANTIDAD ]:[CANTIDAD ]],TablaConsumos[[CÓDIGO]:[CÓDIGO]],'Inventario '!$B11,TablaConsumos[[Planta]:[Planta]],'Inventario '!Q$1)</f>
        <v>0</v>
      </c>
      <c r="R11" s="131">
        <f>SUMIFS(TablaConsumos[[CANTIDAD ]:[CANTIDAD ]],TablaConsumos[[CÓDIGO]:[CÓDIGO]],'Inventario '!$B11,TablaConsumos[[Planta]:[Planta]],'Inventario '!R$1)</f>
        <v>0</v>
      </c>
      <c r="S11" s="130">
        <f t="shared" si="23"/>
        <v>0</v>
      </c>
      <c r="T11" s="130">
        <f t="shared" si="24"/>
        <v>0</v>
      </c>
      <c r="U11" s="177"/>
      <c r="V11" s="234">
        <f t="shared" si="25"/>
        <v>0</v>
      </c>
      <c r="W11" s="132">
        <v>18740</v>
      </c>
      <c r="X11" s="133">
        <f t="shared" si="0"/>
        <v>0</v>
      </c>
      <c r="Y11" s="298">
        <f t="shared" si="26"/>
        <v>0</v>
      </c>
      <c r="Z11" s="132"/>
      <c r="AA11" s="132">
        <f>(Z11-X11)/W11</f>
        <v>0</v>
      </c>
      <c r="AB11" s="132"/>
      <c r="AC11" s="131">
        <f t="shared" si="1"/>
        <v>0</v>
      </c>
      <c r="AD11" s="188"/>
      <c r="AE11" s="132" t="s">
        <v>743</v>
      </c>
      <c r="AF11" s="132">
        <f>18740*2</f>
        <v>37480</v>
      </c>
      <c r="AG11" s="168"/>
      <c r="AH11" s="160">
        <f t="shared" si="2"/>
        <v>0</v>
      </c>
      <c r="AI11" s="160">
        <f t="shared" si="3"/>
        <v>0</v>
      </c>
      <c r="AJ11" s="160">
        <f t="shared" si="4"/>
        <v>0</v>
      </c>
      <c r="AK11" s="160">
        <f t="shared" si="5"/>
        <v>0</v>
      </c>
      <c r="AL11" s="160">
        <f t="shared" si="6"/>
        <v>0</v>
      </c>
      <c r="AM11" s="160">
        <f t="shared" si="7"/>
        <v>0</v>
      </c>
      <c r="AN11" s="160">
        <f t="shared" si="8"/>
        <v>0</v>
      </c>
      <c r="AO11" s="160">
        <f t="shared" si="9"/>
        <v>0</v>
      </c>
      <c r="AP11" s="160">
        <f t="shared" si="10"/>
        <v>0</v>
      </c>
      <c r="AQ11" s="160">
        <f t="shared" si="11"/>
        <v>0</v>
      </c>
      <c r="AR11" s="160">
        <f t="shared" si="12"/>
        <v>0</v>
      </c>
      <c r="AS11" s="161">
        <f t="shared" si="27"/>
        <v>0</v>
      </c>
      <c r="AT11" s="137" t="str">
        <f t="shared" si="13"/>
        <v>0</v>
      </c>
      <c r="AU11" s="137" t="str">
        <f t="shared" si="14"/>
        <v>0</v>
      </c>
      <c r="AV11" s="137" t="str">
        <f t="shared" si="15"/>
        <v>0</v>
      </c>
      <c r="AW11" s="137" t="str">
        <f t="shared" si="16"/>
        <v>0</v>
      </c>
      <c r="AX11" s="137" t="str">
        <f t="shared" si="17"/>
        <v>0</v>
      </c>
      <c r="AY11" s="137" t="str">
        <f t="shared" si="18"/>
        <v>0</v>
      </c>
      <c r="AZ11" s="137" t="str">
        <f t="shared" si="19"/>
        <v>0</v>
      </c>
      <c r="BA11" s="137" t="str">
        <f t="shared" si="20"/>
        <v>0</v>
      </c>
      <c r="BB11" s="137" t="str">
        <f t="shared" si="21"/>
        <v>0</v>
      </c>
      <c r="BC11" s="137" t="str">
        <f t="shared" si="22"/>
        <v>0</v>
      </c>
      <c r="BD11" s="131">
        <f t="shared" si="28"/>
        <v>0</v>
      </c>
    </row>
    <row r="12" spans="1:56" x14ac:dyDescent="0.25">
      <c r="B12" s="136">
        <v>8205582</v>
      </c>
      <c r="C12" s="128" t="s">
        <v>4</v>
      </c>
      <c r="D12" s="128"/>
      <c r="E12" s="136" t="s">
        <v>22</v>
      </c>
      <c r="F12" s="274"/>
      <c r="G12" s="130">
        <f>+SUMIFS(TablaIngresos[Cantidad],TablaIngresos[Código],'Inventario '!B12)</f>
        <v>0</v>
      </c>
      <c r="H12" s="130">
        <f t="shared" si="29"/>
        <v>0</v>
      </c>
      <c r="I12" s="131">
        <f>SUMIFS(TablaConsumos[[CANTIDAD ]:[CANTIDAD ]],TablaConsumos[[CÓDIGO]:[CÓDIGO]],'Inventario '!$B12,TablaConsumos[[Planta]:[Planta]],'Inventario '!I$1)</f>
        <v>0</v>
      </c>
      <c r="J12" s="131">
        <f>SUMIFS(TablaConsumos[[CANTIDAD ]:[CANTIDAD ]],TablaConsumos[[CÓDIGO]:[CÓDIGO]],'Inventario '!$B12,TablaConsumos[[Planta]:[Planta]],'Inventario '!J$1)</f>
        <v>0</v>
      </c>
      <c r="K12" s="131">
        <f>SUMIFS(TablaConsumos[[CANTIDAD ]:[CANTIDAD ]],TablaConsumos[[CÓDIGO]:[CÓDIGO]],'Inventario '!$B12,TablaConsumos[[Planta]:[Planta]],'Inventario '!K$1)</f>
        <v>0</v>
      </c>
      <c r="L12" s="131">
        <f>SUMIFS(TablaConsumos[[CANTIDAD ]:[CANTIDAD ]],TablaConsumos[[CÓDIGO]:[CÓDIGO]],'Inventario '!$B12,TablaConsumos[[Planta]:[Planta]],'Inventario '!L$1)</f>
        <v>0</v>
      </c>
      <c r="M12" s="131">
        <f>SUMIFS(TablaConsumos[[CANTIDAD ]:[CANTIDAD ]],TablaConsumos[[CÓDIGO]:[CÓDIGO]],'Inventario '!$B12,TablaConsumos[[Planta]:[Planta]],'Inventario '!M$1)</f>
        <v>0</v>
      </c>
      <c r="N12" s="131">
        <f>SUMIFS(TablaConsumos[[CANTIDAD ]:[CANTIDAD ]],TablaConsumos[[CÓDIGO]:[CÓDIGO]],'Inventario '!$B12,TablaConsumos[[Planta]:[Planta]],'Inventario '!N$1)</f>
        <v>0</v>
      </c>
      <c r="O12" s="131">
        <f>SUMIFS(TablaConsumos[[CANTIDAD ]:[CANTIDAD ]],TablaConsumos[[CÓDIGO]:[CÓDIGO]],'Inventario '!$B12,TablaConsumos[[Planta]:[Planta]],'Inventario '!O$1)</f>
        <v>0</v>
      </c>
      <c r="P12" s="131">
        <f>SUMIFS(TablaConsumos[[CANTIDAD ]:[CANTIDAD ]],TablaConsumos[[CÓDIGO]:[CÓDIGO]],'Inventario '!$B12,TablaConsumos[[Planta]:[Planta]],'Inventario '!P$1)</f>
        <v>0</v>
      </c>
      <c r="Q12" s="131">
        <f>SUMIFS(TablaConsumos[[CANTIDAD ]:[CANTIDAD ]],TablaConsumos[[CÓDIGO]:[CÓDIGO]],'Inventario '!$B12,TablaConsumos[[Planta]:[Planta]],'Inventario '!Q$1)</f>
        <v>0</v>
      </c>
      <c r="R12" s="131">
        <f>SUMIFS(TablaConsumos[[CANTIDAD ]:[CANTIDAD ]],TablaConsumos[[CÓDIGO]:[CÓDIGO]],'Inventario '!$B12,TablaConsumos[[Planta]:[Planta]],'Inventario '!R$1)</f>
        <v>0</v>
      </c>
      <c r="S12" s="130">
        <f t="shared" si="23"/>
        <v>0</v>
      </c>
      <c r="T12" s="130">
        <f t="shared" si="24"/>
        <v>0</v>
      </c>
      <c r="U12" s="177"/>
      <c r="V12" s="234">
        <f t="shared" si="25"/>
        <v>0</v>
      </c>
      <c r="W12" s="132">
        <v>24680</v>
      </c>
      <c r="X12" s="133">
        <f t="shared" si="0"/>
        <v>0</v>
      </c>
      <c r="Y12" s="298">
        <f t="shared" si="26"/>
        <v>0</v>
      </c>
      <c r="Z12" s="132"/>
      <c r="AA12" s="132">
        <f>+(Z12-X12)</f>
        <v>0</v>
      </c>
      <c r="AB12" s="132"/>
      <c r="AC12" s="131">
        <f>+Z12-AA12*24680</f>
        <v>0</v>
      </c>
      <c r="AD12" s="188"/>
      <c r="AE12" s="132" t="s">
        <v>743</v>
      </c>
      <c r="AF12" s="132">
        <f>24680*2</f>
        <v>49360</v>
      </c>
      <c r="AG12" s="168"/>
      <c r="AH12" s="160">
        <f t="shared" si="2"/>
        <v>0</v>
      </c>
      <c r="AI12" s="160">
        <f t="shared" si="3"/>
        <v>0</v>
      </c>
      <c r="AJ12" s="160">
        <f t="shared" si="4"/>
        <v>0</v>
      </c>
      <c r="AK12" s="160">
        <f t="shared" si="5"/>
        <v>0</v>
      </c>
      <c r="AL12" s="160">
        <f t="shared" si="6"/>
        <v>0</v>
      </c>
      <c r="AM12" s="160">
        <f t="shared" si="7"/>
        <v>0</v>
      </c>
      <c r="AN12" s="160">
        <f t="shared" si="8"/>
        <v>0</v>
      </c>
      <c r="AO12" s="160">
        <f t="shared" si="9"/>
        <v>0</v>
      </c>
      <c r="AP12" s="160">
        <f t="shared" si="10"/>
        <v>0</v>
      </c>
      <c r="AQ12" s="160">
        <f t="shared" si="11"/>
        <v>0</v>
      </c>
      <c r="AR12" s="160">
        <f t="shared" si="12"/>
        <v>0</v>
      </c>
      <c r="AS12" s="161">
        <f t="shared" si="27"/>
        <v>0</v>
      </c>
      <c r="AT12" s="137" t="str">
        <f t="shared" si="13"/>
        <v>0</v>
      </c>
      <c r="AU12" s="137" t="str">
        <f t="shared" si="14"/>
        <v>0</v>
      </c>
      <c r="AV12" s="137" t="str">
        <f t="shared" si="15"/>
        <v>0</v>
      </c>
      <c r="AW12" s="137" t="str">
        <f t="shared" si="16"/>
        <v>0</v>
      </c>
      <c r="AX12" s="137" t="str">
        <f t="shared" si="17"/>
        <v>0</v>
      </c>
      <c r="AY12" s="137" t="str">
        <f t="shared" si="18"/>
        <v>0</v>
      </c>
      <c r="AZ12" s="137" t="str">
        <f t="shared" si="19"/>
        <v>0</v>
      </c>
      <c r="BA12" s="137" t="str">
        <f t="shared" si="20"/>
        <v>0</v>
      </c>
      <c r="BB12" s="137" t="str">
        <f t="shared" si="21"/>
        <v>0</v>
      </c>
      <c r="BC12" s="137" t="str">
        <f t="shared" si="22"/>
        <v>0</v>
      </c>
      <c r="BD12" s="131">
        <f t="shared" si="28"/>
        <v>0</v>
      </c>
    </row>
    <row r="13" spans="1:56" x14ac:dyDescent="0.25">
      <c r="B13" s="136">
        <v>8205610</v>
      </c>
      <c r="C13" s="128" t="s">
        <v>4</v>
      </c>
      <c r="D13" s="128"/>
      <c r="E13" s="136" t="s">
        <v>23</v>
      </c>
      <c r="F13" s="274"/>
      <c r="G13" s="130">
        <f>+SUMIFS(TablaIngresos[Cantidad],TablaIngresos[Código],'Inventario '!B13)</f>
        <v>0</v>
      </c>
      <c r="H13" s="130">
        <f t="shared" si="29"/>
        <v>0</v>
      </c>
      <c r="I13" s="131">
        <f>SUMIFS(TablaConsumos[[CANTIDAD ]:[CANTIDAD ]],TablaConsumos[[CÓDIGO]:[CÓDIGO]],'Inventario '!$B13,TablaConsumos[[Planta]:[Planta]],'Inventario '!I$1)</f>
        <v>0</v>
      </c>
      <c r="J13" s="131">
        <f>SUMIFS(TablaConsumos[[CANTIDAD ]:[CANTIDAD ]],TablaConsumos[[CÓDIGO]:[CÓDIGO]],'Inventario '!$B13,TablaConsumos[[Planta]:[Planta]],'Inventario '!J$1)</f>
        <v>0</v>
      </c>
      <c r="K13" s="131">
        <f>SUMIFS(TablaConsumos[[CANTIDAD ]:[CANTIDAD ]],TablaConsumos[[CÓDIGO]:[CÓDIGO]],'Inventario '!$B13,TablaConsumos[[Planta]:[Planta]],'Inventario '!K$1)</f>
        <v>0</v>
      </c>
      <c r="L13" s="131">
        <f>SUMIFS(TablaConsumos[[CANTIDAD ]:[CANTIDAD ]],TablaConsumos[[CÓDIGO]:[CÓDIGO]],'Inventario '!$B13,TablaConsumos[[Planta]:[Planta]],'Inventario '!L$1)</f>
        <v>0</v>
      </c>
      <c r="M13" s="131">
        <f>SUMIFS(TablaConsumos[[CANTIDAD ]:[CANTIDAD ]],TablaConsumos[[CÓDIGO]:[CÓDIGO]],'Inventario '!$B13,TablaConsumos[[Planta]:[Planta]],'Inventario '!M$1)</f>
        <v>0</v>
      </c>
      <c r="N13" s="131">
        <f>SUMIFS(TablaConsumos[[CANTIDAD ]:[CANTIDAD ]],TablaConsumos[[CÓDIGO]:[CÓDIGO]],'Inventario '!$B13,TablaConsumos[[Planta]:[Planta]],'Inventario '!N$1)</f>
        <v>0</v>
      </c>
      <c r="O13" s="131">
        <f>SUMIFS(TablaConsumos[[CANTIDAD ]:[CANTIDAD ]],TablaConsumos[[CÓDIGO]:[CÓDIGO]],'Inventario '!$B13,TablaConsumos[[Planta]:[Planta]],'Inventario '!O$1)</f>
        <v>0</v>
      </c>
      <c r="P13" s="131">
        <f>SUMIFS(TablaConsumos[[CANTIDAD ]:[CANTIDAD ]],TablaConsumos[[CÓDIGO]:[CÓDIGO]],'Inventario '!$B13,TablaConsumos[[Planta]:[Planta]],'Inventario '!P$1)</f>
        <v>0</v>
      </c>
      <c r="Q13" s="131">
        <f>SUMIFS(TablaConsumos[[CANTIDAD ]:[CANTIDAD ]],TablaConsumos[[CÓDIGO]:[CÓDIGO]],'Inventario '!$B13,TablaConsumos[[Planta]:[Planta]],'Inventario '!Q$1)</f>
        <v>0</v>
      </c>
      <c r="R13" s="131">
        <f>SUMIFS(TablaConsumos[[CANTIDAD ]:[CANTIDAD ]],TablaConsumos[[CÓDIGO]:[CÓDIGO]],'Inventario '!$B13,TablaConsumos[[Planta]:[Planta]],'Inventario '!R$1)</f>
        <v>0</v>
      </c>
      <c r="S13" s="130">
        <f t="shared" si="23"/>
        <v>0</v>
      </c>
      <c r="T13" s="130">
        <f t="shared" si="24"/>
        <v>0</v>
      </c>
      <c r="U13" s="177"/>
      <c r="V13" s="234">
        <f t="shared" si="25"/>
        <v>0</v>
      </c>
      <c r="W13" s="132">
        <v>11520</v>
      </c>
      <c r="X13" s="133">
        <f t="shared" si="0"/>
        <v>0</v>
      </c>
      <c r="Y13" s="298">
        <f t="shared" si="26"/>
        <v>0</v>
      </c>
      <c r="Z13" s="132"/>
      <c r="AA13" s="132">
        <f>(Z13-X13)</f>
        <v>0</v>
      </c>
      <c r="AB13" s="132"/>
      <c r="AC13" s="132">
        <f t="shared" ref="AC13:AC18" si="30">+Z13-AA13</f>
        <v>0</v>
      </c>
      <c r="AD13" s="188"/>
      <c r="AE13" s="132" t="s">
        <v>743</v>
      </c>
      <c r="AF13" s="132">
        <f>11520*2</f>
        <v>23040</v>
      </c>
      <c r="AG13" s="168"/>
      <c r="AH13" s="160">
        <f t="shared" si="2"/>
        <v>0</v>
      </c>
      <c r="AI13" s="160">
        <f t="shared" si="3"/>
        <v>0</v>
      </c>
      <c r="AJ13" s="160">
        <f t="shared" si="4"/>
        <v>0</v>
      </c>
      <c r="AK13" s="160">
        <f t="shared" si="5"/>
        <v>0</v>
      </c>
      <c r="AL13" s="160">
        <f t="shared" si="6"/>
        <v>0</v>
      </c>
      <c r="AM13" s="160">
        <f t="shared" si="7"/>
        <v>0</v>
      </c>
      <c r="AN13" s="160">
        <f t="shared" si="8"/>
        <v>0</v>
      </c>
      <c r="AO13" s="160">
        <f t="shared" si="9"/>
        <v>0</v>
      </c>
      <c r="AP13" s="160">
        <f t="shared" si="10"/>
        <v>0</v>
      </c>
      <c r="AQ13" s="160">
        <f t="shared" si="11"/>
        <v>0</v>
      </c>
      <c r="AR13" s="160">
        <f t="shared" si="12"/>
        <v>0</v>
      </c>
      <c r="AS13" s="161">
        <f t="shared" si="27"/>
        <v>0</v>
      </c>
      <c r="AT13" s="137" t="str">
        <f t="shared" si="13"/>
        <v>0</v>
      </c>
      <c r="AU13" s="137" t="str">
        <f t="shared" si="14"/>
        <v>0</v>
      </c>
      <c r="AV13" s="137" t="str">
        <f t="shared" si="15"/>
        <v>0</v>
      </c>
      <c r="AW13" s="137" t="str">
        <f t="shared" si="16"/>
        <v>0</v>
      </c>
      <c r="AX13" s="137" t="str">
        <f t="shared" si="17"/>
        <v>0</v>
      </c>
      <c r="AY13" s="137" t="str">
        <f t="shared" si="18"/>
        <v>0</v>
      </c>
      <c r="AZ13" s="137" t="str">
        <f t="shared" si="19"/>
        <v>0</v>
      </c>
      <c r="BA13" s="137" t="str">
        <f t="shared" si="20"/>
        <v>0</v>
      </c>
      <c r="BB13" s="137" t="str">
        <f t="shared" si="21"/>
        <v>0</v>
      </c>
      <c r="BC13" s="137" t="str">
        <f t="shared" si="22"/>
        <v>0</v>
      </c>
      <c r="BD13" s="131">
        <f t="shared" si="28"/>
        <v>0</v>
      </c>
    </row>
    <row r="14" spans="1:56" x14ac:dyDescent="0.25">
      <c r="B14" s="136">
        <v>8205611</v>
      </c>
      <c r="C14" s="128" t="s">
        <v>4</v>
      </c>
      <c r="D14" s="128"/>
      <c r="E14" s="136" t="s">
        <v>24</v>
      </c>
      <c r="F14" s="274"/>
      <c r="G14" s="130">
        <f>+SUMIFS(TablaIngresos[Cantidad],TablaIngresos[Código],'Inventario '!B14)</f>
        <v>0</v>
      </c>
      <c r="H14" s="130">
        <f t="shared" si="29"/>
        <v>0</v>
      </c>
      <c r="I14" s="131">
        <f>SUMIFS(TablaConsumos[[CANTIDAD ]:[CANTIDAD ]],TablaConsumos[[CÓDIGO]:[CÓDIGO]],'Inventario '!$B14,TablaConsumos[[Planta]:[Planta]],'Inventario '!I$1)</f>
        <v>0</v>
      </c>
      <c r="J14" s="131">
        <f>SUMIFS(TablaConsumos[[CANTIDAD ]:[CANTIDAD ]],TablaConsumos[[CÓDIGO]:[CÓDIGO]],'Inventario '!$B14,TablaConsumos[[Planta]:[Planta]],'Inventario '!J$1)</f>
        <v>0</v>
      </c>
      <c r="K14" s="131">
        <f>SUMIFS(TablaConsumos[[CANTIDAD ]:[CANTIDAD ]],TablaConsumos[[CÓDIGO]:[CÓDIGO]],'Inventario '!$B14,TablaConsumos[[Planta]:[Planta]],'Inventario '!K$1)</f>
        <v>0</v>
      </c>
      <c r="L14" s="131">
        <f>SUMIFS(TablaConsumos[[CANTIDAD ]:[CANTIDAD ]],TablaConsumos[[CÓDIGO]:[CÓDIGO]],'Inventario '!$B14,TablaConsumos[[Planta]:[Planta]],'Inventario '!L$1)</f>
        <v>0</v>
      </c>
      <c r="M14" s="131">
        <f>SUMIFS(TablaConsumos[[CANTIDAD ]:[CANTIDAD ]],TablaConsumos[[CÓDIGO]:[CÓDIGO]],'Inventario '!$B14,TablaConsumos[[Planta]:[Planta]],'Inventario '!M$1)</f>
        <v>0</v>
      </c>
      <c r="N14" s="131">
        <f>SUMIFS(TablaConsumos[[CANTIDAD ]:[CANTIDAD ]],TablaConsumos[[CÓDIGO]:[CÓDIGO]],'Inventario '!$B14,TablaConsumos[[Planta]:[Planta]],'Inventario '!N$1)</f>
        <v>0</v>
      </c>
      <c r="O14" s="131">
        <f>SUMIFS(TablaConsumos[[CANTIDAD ]:[CANTIDAD ]],TablaConsumos[[CÓDIGO]:[CÓDIGO]],'Inventario '!$B14,TablaConsumos[[Planta]:[Planta]],'Inventario '!O$1)</f>
        <v>0</v>
      </c>
      <c r="P14" s="131">
        <f>SUMIFS(TablaConsumos[[CANTIDAD ]:[CANTIDAD ]],TablaConsumos[[CÓDIGO]:[CÓDIGO]],'Inventario '!$B14,TablaConsumos[[Planta]:[Planta]],'Inventario '!P$1)</f>
        <v>0</v>
      </c>
      <c r="Q14" s="131">
        <f>SUMIFS(TablaConsumos[[CANTIDAD ]:[CANTIDAD ]],TablaConsumos[[CÓDIGO]:[CÓDIGO]],'Inventario '!$B14,TablaConsumos[[Planta]:[Planta]],'Inventario '!Q$1)</f>
        <v>0</v>
      </c>
      <c r="R14" s="131">
        <f>SUMIFS(TablaConsumos[[CANTIDAD ]:[CANTIDAD ]],TablaConsumos[[CÓDIGO]:[CÓDIGO]],'Inventario '!$B14,TablaConsumos[[Planta]:[Planta]],'Inventario '!R$1)</f>
        <v>0</v>
      </c>
      <c r="S14" s="130">
        <f t="shared" si="23"/>
        <v>0</v>
      </c>
      <c r="T14" s="130">
        <f t="shared" si="24"/>
        <v>0</v>
      </c>
      <c r="U14" s="177"/>
      <c r="V14" s="234">
        <f t="shared" si="25"/>
        <v>0</v>
      </c>
      <c r="W14" s="132">
        <v>12040</v>
      </c>
      <c r="X14" s="133">
        <f t="shared" si="0"/>
        <v>0</v>
      </c>
      <c r="Y14" s="298">
        <f t="shared" si="26"/>
        <v>0</v>
      </c>
      <c r="Z14" s="132"/>
      <c r="AA14" s="132">
        <f>(Z14-X14)</f>
        <v>0</v>
      </c>
      <c r="AB14" s="132"/>
      <c r="AC14" s="131">
        <f t="shared" si="30"/>
        <v>0</v>
      </c>
      <c r="AD14" s="188"/>
      <c r="AE14" s="132" t="s">
        <v>743</v>
      </c>
      <c r="AF14" s="132">
        <f>12040*2</f>
        <v>24080</v>
      </c>
      <c r="AG14" s="168"/>
      <c r="AH14" s="160">
        <f t="shared" si="2"/>
        <v>0</v>
      </c>
      <c r="AI14" s="160">
        <f t="shared" si="3"/>
        <v>0</v>
      </c>
      <c r="AJ14" s="160">
        <f t="shared" si="4"/>
        <v>0</v>
      </c>
      <c r="AK14" s="160">
        <f t="shared" si="5"/>
        <v>0</v>
      </c>
      <c r="AL14" s="160">
        <f t="shared" si="6"/>
        <v>0</v>
      </c>
      <c r="AM14" s="160">
        <f t="shared" si="7"/>
        <v>0</v>
      </c>
      <c r="AN14" s="160">
        <f t="shared" si="8"/>
        <v>0</v>
      </c>
      <c r="AO14" s="160">
        <f t="shared" si="9"/>
        <v>0</v>
      </c>
      <c r="AP14" s="160">
        <f t="shared" si="10"/>
        <v>0</v>
      </c>
      <c r="AQ14" s="160">
        <f t="shared" si="11"/>
        <v>0</v>
      </c>
      <c r="AR14" s="160">
        <f t="shared" si="12"/>
        <v>0</v>
      </c>
      <c r="AS14" s="161">
        <f t="shared" si="27"/>
        <v>0</v>
      </c>
      <c r="AT14" s="137" t="str">
        <f t="shared" si="13"/>
        <v>0</v>
      </c>
      <c r="AU14" s="137" t="str">
        <f t="shared" si="14"/>
        <v>0</v>
      </c>
      <c r="AV14" s="137" t="str">
        <f t="shared" si="15"/>
        <v>0</v>
      </c>
      <c r="AW14" s="137" t="str">
        <f t="shared" si="16"/>
        <v>0</v>
      </c>
      <c r="AX14" s="137" t="str">
        <f t="shared" si="17"/>
        <v>0</v>
      </c>
      <c r="AY14" s="137" t="str">
        <f t="shared" si="18"/>
        <v>0</v>
      </c>
      <c r="AZ14" s="137" t="str">
        <f t="shared" si="19"/>
        <v>0</v>
      </c>
      <c r="BA14" s="137" t="str">
        <f t="shared" si="20"/>
        <v>0</v>
      </c>
      <c r="BB14" s="137" t="str">
        <f t="shared" si="21"/>
        <v>0</v>
      </c>
      <c r="BC14" s="137" t="str">
        <f t="shared" si="22"/>
        <v>0</v>
      </c>
      <c r="BD14" s="131">
        <f t="shared" si="28"/>
        <v>0</v>
      </c>
    </row>
    <row r="15" spans="1:56" x14ac:dyDescent="0.25">
      <c r="B15" s="136">
        <v>8205820</v>
      </c>
      <c r="C15" s="128" t="s">
        <v>4</v>
      </c>
      <c r="D15" s="128"/>
      <c r="E15" s="136" t="s">
        <v>25</v>
      </c>
      <c r="F15" s="295"/>
      <c r="G15" s="130">
        <f>+SUMIFS(TablaIngresos[Cantidad],TablaIngresos[Código],'Inventario '!B15)</f>
        <v>0</v>
      </c>
      <c r="H15" s="130">
        <f t="shared" si="29"/>
        <v>0</v>
      </c>
      <c r="I15" s="131">
        <f>SUMIFS(TablaConsumos[[CANTIDAD ]:[CANTIDAD ]],TablaConsumos[[CÓDIGO]:[CÓDIGO]],'Inventario '!$B15,TablaConsumos[[Planta]:[Planta]],'Inventario '!I$1)</f>
        <v>0</v>
      </c>
      <c r="J15" s="131">
        <f>SUMIFS(TablaConsumos[[CANTIDAD ]:[CANTIDAD ]],TablaConsumos[[CÓDIGO]:[CÓDIGO]],'Inventario '!$B15,TablaConsumos[[Planta]:[Planta]],'Inventario '!J$1)</f>
        <v>0</v>
      </c>
      <c r="K15" s="131">
        <f>SUMIFS(TablaConsumos[[CANTIDAD ]:[CANTIDAD ]],TablaConsumos[[CÓDIGO]:[CÓDIGO]],'Inventario '!$B15,TablaConsumos[[Planta]:[Planta]],'Inventario '!K$1)</f>
        <v>0</v>
      </c>
      <c r="L15" s="131">
        <f>SUMIFS(TablaConsumos[[CANTIDAD ]:[CANTIDAD ]],TablaConsumos[[CÓDIGO]:[CÓDIGO]],'Inventario '!$B15,TablaConsumos[[Planta]:[Planta]],'Inventario '!L$1)</f>
        <v>0</v>
      </c>
      <c r="M15" s="131">
        <f>SUMIFS(TablaConsumos[[CANTIDAD ]:[CANTIDAD ]],TablaConsumos[[CÓDIGO]:[CÓDIGO]],'Inventario '!$B15,TablaConsumos[[Planta]:[Planta]],'Inventario '!M$1)</f>
        <v>0</v>
      </c>
      <c r="N15" s="131">
        <f>SUMIFS(TablaConsumos[[CANTIDAD ]:[CANTIDAD ]],TablaConsumos[[CÓDIGO]:[CÓDIGO]],'Inventario '!$B15,TablaConsumos[[Planta]:[Planta]],'Inventario '!N$1)</f>
        <v>0</v>
      </c>
      <c r="O15" s="131">
        <f>SUMIFS(TablaConsumos[[CANTIDAD ]:[CANTIDAD ]],TablaConsumos[[CÓDIGO]:[CÓDIGO]],'Inventario '!$B15,TablaConsumos[[Planta]:[Planta]],'Inventario '!O$1)</f>
        <v>0</v>
      </c>
      <c r="P15" s="131">
        <f>SUMIFS(TablaConsumos[[CANTIDAD ]:[CANTIDAD ]],TablaConsumos[[CÓDIGO]:[CÓDIGO]],'Inventario '!$B15,TablaConsumos[[Planta]:[Planta]],'Inventario '!P$1)</f>
        <v>0</v>
      </c>
      <c r="Q15" s="131">
        <f>SUMIFS(TablaConsumos[[CANTIDAD ]:[CANTIDAD ]],TablaConsumos[[CÓDIGO]:[CÓDIGO]],'Inventario '!$B15,TablaConsumos[[Planta]:[Planta]],'Inventario '!Q$1)</f>
        <v>0</v>
      </c>
      <c r="R15" s="131">
        <f>SUMIFS(TablaConsumos[[CANTIDAD ]:[CANTIDAD ]],TablaConsumos[[CÓDIGO]:[CÓDIGO]],'Inventario '!$B15,TablaConsumos[[Planta]:[Planta]],'Inventario '!R$1)</f>
        <v>0</v>
      </c>
      <c r="S15" s="130">
        <f t="shared" si="23"/>
        <v>0</v>
      </c>
      <c r="T15" s="130">
        <f t="shared" si="24"/>
        <v>0</v>
      </c>
      <c r="U15" s="177"/>
      <c r="V15" s="234">
        <f t="shared" si="25"/>
        <v>0</v>
      </c>
      <c r="W15" s="132">
        <v>12807</v>
      </c>
      <c r="X15" s="133">
        <f t="shared" si="0"/>
        <v>0</v>
      </c>
      <c r="Y15" s="298">
        <f t="shared" si="26"/>
        <v>0</v>
      </c>
      <c r="Z15" s="132"/>
      <c r="AA15" s="132">
        <f>+((Z15*W15)-X15)/W15</f>
        <v>0</v>
      </c>
      <c r="AB15" s="132"/>
      <c r="AC15" s="131">
        <f t="shared" si="30"/>
        <v>0</v>
      </c>
      <c r="AD15" s="188"/>
      <c r="AE15" s="132" t="s">
        <v>743</v>
      </c>
      <c r="AF15" s="132">
        <f>2*12807</f>
        <v>25614</v>
      </c>
      <c r="AG15" s="168"/>
      <c r="AH15" s="160">
        <f t="shared" si="2"/>
        <v>0</v>
      </c>
      <c r="AI15" s="160">
        <f t="shared" si="3"/>
        <v>0</v>
      </c>
      <c r="AJ15" s="160">
        <f t="shared" si="4"/>
        <v>0</v>
      </c>
      <c r="AK15" s="160">
        <f t="shared" si="5"/>
        <v>0</v>
      </c>
      <c r="AL15" s="160">
        <f t="shared" si="6"/>
        <v>0</v>
      </c>
      <c r="AM15" s="160">
        <f t="shared" si="7"/>
        <v>0</v>
      </c>
      <c r="AN15" s="160">
        <f t="shared" si="8"/>
        <v>0</v>
      </c>
      <c r="AO15" s="160">
        <f t="shared" si="9"/>
        <v>0</v>
      </c>
      <c r="AP15" s="160">
        <f t="shared" si="10"/>
        <v>0</v>
      </c>
      <c r="AQ15" s="160">
        <f t="shared" si="11"/>
        <v>0</v>
      </c>
      <c r="AR15" s="160">
        <f t="shared" si="12"/>
        <v>0</v>
      </c>
      <c r="AS15" s="161">
        <f t="shared" si="27"/>
        <v>0</v>
      </c>
      <c r="AT15" s="137" t="str">
        <f t="shared" si="13"/>
        <v>0</v>
      </c>
      <c r="AU15" s="137" t="str">
        <f t="shared" si="14"/>
        <v>0</v>
      </c>
      <c r="AV15" s="137" t="str">
        <f t="shared" si="15"/>
        <v>0</v>
      </c>
      <c r="AW15" s="137" t="str">
        <f t="shared" si="16"/>
        <v>0</v>
      </c>
      <c r="AX15" s="137" t="str">
        <f t="shared" si="17"/>
        <v>0</v>
      </c>
      <c r="AY15" s="137" t="str">
        <f t="shared" si="18"/>
        <v>0</v>
      </c>
      <c r="AZ15" s="137" t="str">
        <f t="shared" si="19"/>
        <v>0</v>
      </c>
      <c r="BA15" s="137" t="str">
        <f t="shared" si="20"/>
        <v>0</v>
      </c>
      <c r="BB15" s="137" t="str">
        <f t="shared" si="21"/>
        <v>0</v>
      </c>
      <c r="BC15" s="137" t="str">
        <f t="shared" si="22"/>
        <v>0</v>
      </c>
      <c r="BD15" s="131">
        <f t="shared" si="28"/>
        <v>0</v>
      </c>
    </row>
    <row r="16" spans="1:56" x14ac:dyDescent="0.25">
      <c r="A16" s="162"/>
      <c r="B16" s="136">
        <v>8205860</v>
      </c>
      <c r="C16" s="128" t="s">
        <v>4</v>
      </c>
      <c r="D16" s="128"/>
      <c r="E16" s="136" t="s">
        <v>26</v>
      </c>
      <c r="F16" s="274"/>
      <c r="G16" s="130">
        <f>+SUMIFS(TablaIngresos[Cantidad],TablaIngresos[Código],'Inventario '!B16)</f>
        <v>0</v>
      </c>
      <c r="H16" s="130">
        <f t="shared" si="29"/>
        <v>0</v>
      </c>
      <c r="I16" s="131">
        <f>SUMIFS(TablaConsumos[[CANTIDAD ]:[CANTIDAD ]],TablaConsumos[[CÓDIGO]:[CÓDIGO]],'Inventario '!$B16,TablaConsumos[[Planta]:[Planta]],'Inventario '!I$1)</f>
        <v>0</v>
      </c>
      <c r="J16" s="131">
        <f>SUMIFS(TablaConsumos[[CANTIDAD ]:[CANTIDAD ]],TablaConsumos[[CÓDIGO]:[CÓDIGO]],'Inventario '!$B16,TablaConsumos[[Planta]:[Planta]],'Inventario '!J$1)</f>
        <v>0</v>
      </c>
      <c r="K16" s="131">
        <f>SUMIFS(TablaConsumos[[CANTIDAD ]:[CANTIDAD ]],TablaConsumos[[CÓDIGO]:[CÓDIGO]],'Inventario '!$B16,TablaConsumos[[Planta]:[Planta]],'Inventario '!K$1)</f>
        <v>0</v>
      </c>
      <c r="L16" s="131">
        <f>SUMIFS(TablaConsumos[[CANTIDAD ]:[CANTIDAD ]],TablaConsumos[[CÓDIGO]:[CÓDIGO]],'Inventario '!$B16,TablaConsumos[[Planta]:[Planta]],'Inventario '!L$1)</f>
        <v>0</v>
      </c>
      <c r="M16" s="131">
        <f>SUMIFS(TablaConsumos[[CANTIDAD ]:[CANTIDAD ]],TablaConsumos[[CÓDIGO]:[CÓDIGO]],'Inventario '!$B16,TablaConsumos[[Planta]:[Planta]],'Inventario '!M$1)</f>
        <v>0</v>
      </c>
      <c r="N16" s="131">
        <f>SUMIFS(TablaConsumos[[CANTIDAD ]:[CANTIDAD ]],TablaConsumos[[CÓDIGO]:[CÓDIGO]],'Inventario '!$B16,TablaConsumos[[Planta]:[Planta]],'Inventario '!N$1)</f>
        <v>0</v>
      </c>
      <c r="O16" s="131">
        <f>SUMIFS(TablaConsumos[[CANTIDAD ]:[CANTIDAD ]],TablaConsumos[[CÓDIGO]:[CÓDIGO]],'Inventario '!$B16,TablaConsumos[[Planta]:[Planta]],'Inventario '!O$1)</f>
        <v>0</v>
      </c>
      <c r="P16" s="131">
        <f>SUMIFS(TablaConsumos[[CANTIDAD ]:[CANTIDAD ]],TablaConsumos[[CÓDIGO]:[CÓDIGO]],'Inventario '!$B16,TablaConsumos[[Planta]:[Planta]],'Inventario '!P$1)</f>
        <v>0</v>
      </c>
      <c r="Q16" s="131">
        <f>SUMIFS(TablaConsumos[[CANTIDAD ]:[CANTIDAD ]],TablaConsumos[[CÓDIGO]:[CÓDIGO]],'Inventario '!$B16,TablaConsumos[[Planta]:[Planta]],'Inventario '!Q$1)</f>
        <v>0</v>
      </c>
      <c r="R16" s="131">
        <f>SUMIFS(TablaConsumos[[CANTIDAD ]:[CANTIDAD ]],TablaConsumos[[CÓDIGO]:[CÓDIGO]],'Inventario '!$B16,TablaConsumos[[Planta]:[Planta]],'Inventario '!R$1)</f>
        <v>0</v>
      </c>
      <c r="S16" s="130">
        <f t="shared" si="23"/>
        <v>0</v>
      </c>
      <c r="T16" s="130">
        <f t="shared" si="24"/>
        <v>0</v>
      </c>
      <c r="U16" s="177"/>
      <c r="V16" s="234">
        <f t="shared" si="25"/>
        <v>0</v>
      </c>
      <c r="W16" s="132">
        <v>12620</v>
      </c>
      <c r="X16" s="133">
        <f t="shared" si="0"/>
        <v>0</v>
      </c>
      <c r="Y16" s="298">
        <f t="shared" si="26"/>
        <v>0</v>
      </c>
      <c r="Z16" s="132"/>
      <c r="AA16" s="132">
        <f>(Z16-X16)</f>
        <v>0</v>
      </c>
      <c r="AB16" s="132"/>
      <c r="AC16" s="131">
        <f t="shared" si="30"/>
        <v>0</v>
      </c>
      <c r="AD16" s="188"/>
      <c r="AE16" s="132" t="s">
        <v>743</v>
      </c>
      <c r="AF16" s="132">
        <f>2*12620</f>
        <v>25240</v>
      </c>
      <c r="AG16" s="168"/>
      <c r="AH16" s="160">
        <f t="shared" si="2"/>
        <v>0</v>
      </c>
      <c r="AI16" s="160">
        <f t="shared" si="3"/>
        <v>0</v>
      </c>
      <c r="AJ16" s="160">
        <f t="shared" si="4"/>
        <v>0</v>
      </c>
      <c r="AK16" s="160">
        <f t="shared" si="5"/>
        <v>0</v>
      </c>
      <c r="AL16" s="160">
        <f t="shared" si="6"/>
        <v>0</v>
      </c>
      <c r="AM16" s="160">
        <f t="shared" si="7"/>
        <v>0</v>
      </c>
      <c r="AN16" s="160">
        <f t="shared" si="8"/>
        <v>0</v>
      </c>
      <c r="AO16" s="160">
        <f t="shared" si="9"/>
        <v>0</v>
      </c>
      <c r="AP16" s="160">
        <f t="shared" si="10"/>
        <v>0</v>
      </c>
      <c r="AQ16" s="160">
        <f t="shared" si="11"/>
        <v>0</v>
      </c>
      <c r="AR16" s="160">
        <f t="shared" si="12"/>
        <v>0</v>
      </c>
      <c r="AS16" s="161">
        <f t="shared" si="27"/>
        <v>0</v>
      </c>
      <c r="AT16" s="137" t="str">
        <f t="shared" si="13"/>
        <v>0</v>
      </c>
      <c r="AU16" s="137" t="str">
        <f t="shared" si="14"/>
        <v>0</v>
      </c>
      <c r="AV16" s="137" t="str">
        <f t="shared" si="15"/>
        <v>0</v>
      </c>
      <c r="AW16" s="137" t="str">
        <f t="shared" si="16"/>
        <v>0</v>
      </c>
      <c r="AX16" s="137" t="str">
        <f t="shared" si="17"/>
        <v>0</v>
      </c>
      <c r="AY16" s="137" t="str">
        <f t="shared" si="18"/>
        <v>0</v>
      </c>
      <c r="AZ16" s="137" t="str">
        <f t="shared" si="19"/>
        <v>0</v>
      </c>
      <c r="BA16" s="137" t="str">
        <f t="shared" si="20"/>
        <v>0</v>
      </c>
      <c r="BB16" s="137" t="str">
        <f t="shared" si="21"/>
        <v>0</v>
      </c>
      <c r="BC16" s="137" t="str">
        <f t="shared" si="22"/>
        <v>0</v>
      </c>
      <c r="BD16" s="131">
        <f t="shared" si="28"/>
        <v>0</v>
      </c>
    </row>
    <row r="17" spans="1:56" x14ac:dyDescent="0.25">
      <c r="B17" s="201">
        <v>8205861</v>
      </c>
      <c r="C17" s="200" t="s">
        <v>4</v>
      </c>
      <c r="D17" s="200"/>
      <c r="E17" s="201" t="s">
        <v>669</v>
      </c>
      <c r="F17" s="274"/>
      <c r="G17" s="130">
        <f>+SUMIFS(TablaIngresos[Cantidad],TablaIngresos[Código],'Inventario '!B17)</f>
        <v>0</v>
      </c>
      <c r="H17" s="130">
        <f t="shared" si="29"/>
        <v>0</v>
      </c>
      <c r="I17" s="131">
        <f>SUMIFS(TablaConsumos[[CANTIDAD ]:[CANTIDAD ]],TablaConsumos[[CÓDIGO]:[CÓDIGO]],'Inventario '!$B17,TablaConsumos[[Planta]:[Planta]],'Inventario '!I$1)</f>
        <v>0</v>
      </c>
      <c r="J17" s="131">
        <f>SUMIFS(TablaConsumos[[CANTIDAD ]:[CANTIDAD ]],TablaConsumos[[CÓDIGO]:[CÓDIGO]],'Inventario '!$B17,TablaConsumos[[Planta]:[Planta]],'Inventario '!J$1)</f>
        <v>0</v>
      </c>
      <c r="K17" s="131">
        <f>SUMIFS(TablaConsumos[[CANTIDAD ]:[CANTIDAD ]],TablaConsumos[[CÓDIGO]:[CÓDIGO]],'Inventario '!$B17,TablaConsumos[[Planta]:[Planta]],'Inventario '!K$1)</f>
        <v>0</v>
      </c>
      <c r="L17" s="131">
        <f>SUMIFS(TablaConsumos[[CANTIDAD ]:[CANTIDAD ]],TablaConsumos[[CÓDIGO]:[CÓDIGO]],'Inventario '!$B17,TablaConsumos[[Planta]:[Planta]],'Inventario '!L$1)</f>
        <v>0</v>
      </c>
      <c r="M17" s="131">
        <f>SUMIFS(TablaConsumos[[CANTIDAD ]:[CANTIDAD ]],TablaConsumos[[CÓDIGO]:[CÓDIGO]],'Inventario '!$B17,TablaConsumos[[Planta]:[Planta]],'Inventario '!M$1)</f>
        <v>0</v>
      </c>
      <c r="N17" s="131">
        <f>SUMIFS(TablaConsumos[[CANTIDAD ]:[CANTIDAD ]],TablaConsumos[[CÓDIGO]:[CÓDIGO]],'Inventario '!$B17,TablaConsumos[[Planta]:[Planta]],'Inventario '!N$1)</f>
        <v>0</v>
      </c>
      <c r="O17" s="131">
        <f>SUMIFS(TablaConsumos[[CANTIDAD ]:[CANTIDAD ]],TablaConsumos[[CÓDIGO]:[CÓDIGO]],'Inventario '!$B17,TablaConsumos[[Planta]:[Planta]],'Inventario '!O$1)</f>
        <v>0</v>
      </c>
      <c r="P17" s="131">
        <f>SUMIFS(TablaConsumos[[CANTIDAD ]:[CANTIDAD ]],TablaConsumos[[CÓDIGO]:[CÓDIGO]],'Inventario '!$B17,TablaConsumos[[Planta]:[Planta]],'Inventario '!P$1)</f>
        <v>0</v>
      </c>
      <c r="Q17" s="131">
        <f>SUMIFS(TablaConsumos[[CANTIDAD ]:[CANTIDAD ]],TablaConsumos[[CÓDIGO]:[CÓDIGO]],'Inventario '!$B17,TablaConsumos[[Planta]:[Planta]],'Inventario '!Q$1)</f>
        <v>0</v>
      </c>
      <c r="R17" s="131">
        <f>SUMIFS(TablaConsumos[[CANTIDAD ]:[CANTIDAD ]],TablaConsumos[[CÓDIGO]:[CÓDIGO]],'Inventario '!$B17,TablaConsumos[[Planta]:[Planta]],'Inventario '!R$1)</f>
        <v>0</v>
      </c>
      <c r="S17" s="130">
        <f t="shared" si="23"/>
        <v>0</v>
      </c>
      <c r="T17" s="130">
        <f t="shared" si="24"/>
        <v>0</v>
      </c>
      <c r="U17" s="177"/>
      <c r="V17" s="234">
        <f t="shared" si="25"/>
        <v>0</v>
      </c>
      <c r="W17" s="132">
        <v>15118</v>
      </c>
      <c r="X17" s="133">
        <f t="shared" si="0"/>
        <v>0</v>
      </c>
      <c r="Y17" s="298">
        <f t="shared" si="26"/>
        <v>0</v>
      </c>
      <c r="Z17" s="132"/>
      <c r="AA17" s="132">
        <f>(Z17-X17)</f>
        <v>0</v>
      </c>
      <c r="AB17" s="132"/>
      <c r="AC17" s="131">
        <f t="shared" si="30"/>
        <v>0</v>
      </c>
      <c r="AD17" s="188"/>
      <c r="AE17" s="132" t="s">
        <v>743</v>
      </c>
      <c r="AF17" s="132">
        <f>2*15118</f>
        <v>30236</v>
      </c>
      <c r="AG17" s="168"/>
      <c r="AH17" s="160">
        <f t="shared" si="2"/>
        <v>0</v>
      </c>
      <c r="AI17" s="160">
        <f t="shared" si="3"/>
        <v>0</v>
      </c>
      <c r="AJ17" s="160">
        <f t="shared" si="4"/>
        <v>0</v>
      </c>
      <c r="AK17" s="160">
        <f t="shared" si="5"/>
        <v>0</v>
      </c>
      <c r="AL17" s="160">
        <f t="shared" si="6"/>
        <v>0</v>
      </c>
      <c r="AM17" s="160">
        <f t="shared" si="7"/>
        <v>0</v>
      </c>
      <c r="AN17" s="160">
        <f t="shared" si="8"/>
        <v>0</v>
      </c>
      <c r="AO17" s="160">
        <f t="shared" si="9"/>
        <v>0</v>
      </c>
      <c r="AP17" s="160">
        <f t="shared" si="10"/>
        <v>0</v>
      </c>
      <c r="AQ17" s="160">
        <f t="shared" si="11"/>
        <v>0</v>
      </c>
      <c r="AR17" s="160">
        <f t="shared" si="12"/>
        <v>0</v>
      </c>
      <c r="AS17" s="161">
        <f t="shared" si="27"/>
        <v>0</v>
      </c>
      <c r="AT17" s="137" t="str">
        <f t="shared" si="13"/>
        <v>0</v>
      </c>
      <c r="AU17" s="137" t="str">
        <f t="shared" si="14"/>
        <v>0</v>
      </c>
      <c r="AV17" s="137" t="str">
        <f t="shared" si="15"/>
        <v>0</v>
      </c>
      <c r="AW17" s="137" t="str">
        <f t="shared" si="16"/>
        <v>0</v>
      </c>
      <c r="AX17" s="137" t="str">
        <f t="shared" si="17"/>
        <v>0</v>
      </c>
      <c r="AY17" s="137" t="str">
        <f t="shared" si="18"/>
        <v>0</v>
      </c>
      <c r="AZ17" s="137" t="str">
        <f t="shared" si="19"/>
        <v>0</v>
      </c>
      <c r="BA17" s="137" t="str">
        <f t="shared" si="20"/>
        <v>0</v>
      </c>
      <c r="BB17" s="137" t="str">
        <f t="shared" si="21"/>
        <v>0</v>
      </c>
      <c r="BC17" s="137" t="str">
        <f t="shared" si="22"/>
        <v>0</v>
      </c>
      <c r="BD17" s="131">
        <f t="shared" si="28"/>
        <v>0</v>
      </c>
    </row>
    <row r="18" spans="1:56" x14ac:dyDescent="0.25">
      <c r="B18" s="136">
        <v>8206230</v>
      </c>
      <c r="C18" s="128" t="s">
        <v>4</v>
      </c>
      <c r="D18" s="230"/>
      <c r="E18" s="136" t="s">
        <v>824</v>
      </c>
      <c r="F18" s="274"/>
      <c r="G18" s="130">
        <f>+SUMIFS(TablaIngresos[Cantidad],TablaIngresos[Código],'Inventario '!B18)</f>
        <v>0</v>
      </c>
      <c r="H18" s="130">
        <f>+F18+G18</f>
        <v>0</v>
      </c>
      <c r="I18" s="131">
        <f>SUMIFS(TablaConsumos[[CANTIDAD ]:[CANTIDAD ]],TablaConsumos[[CÓDIGO]:[CÓDIGO]],'Inventario '!$B18,TablaConsumos[[Planta]:[Planta]],'Inventario '!I$1)</f>
        <v>0</v>
      </c>
      <c r="J18" s="131">
        <f>SUMIFS(TablaConsumos[[CANTIDAD ]:[CANTIDAD ]],TablaConsumos[[CÓDIGO]:[CÓDIGO]],'Inventario '!$B18,TablaConsumos[[Planta]:[Planta]],'Inventario '!J$1)</f>
        <v>0</v>
      </c>
      <c r="K18" s="131">
        <f>SUMIFS(TablaConsumos[[CANTIDAD ]:[CANTIDAD ]],TablaConsumos[[CÓDIGO]:[CÓDIGO]],'Inventario '!$B18,TablaConsumos[[Planta]:[Planta]],'Inventario '!K$1)</f>
        <v>0</v>
      </c>
      <c r="L18" s="131">
        <f>SUMIFS(TablaConsumos[[CANTIDAD ]:[CANTIDAD ]],TablaConsumos[[CÓDIGO]:[CÓDIGO]],'Inventario '!$B18,TablaConsumos[[Planta]:[Planta]],'Inventario '!L$1)</f>
        <v>0</v>
      </c>
      <c r="M18" s="131">
        <f>SUMIFS(TablaConsumos[[CANTIDAD ]:[CANTIDAD ]],TablaConsumos[[CÓDIGO]:[CÓDIGO]],'Inventario '!$B18,TablaConsumos[[Planta]:[Planta]],'Inventario '!M$1)</f>
        <v>0</v>
      </c>
      <c r="N18" s="131">
        <f>SUMIFS(TablaConsumos[[CANTIDAD ]:[CANTIDAD ]],TablaConsumos[[CÓDIGO]:[CÓDIGO]],'Inventario '!$B18,TablaConsumos[[Planta]:[Planta]],'Inventario '!N$1)</f>
        <v>0</v>
      </c>
      <c r="O18" s="131">
        <f>SUMIFS(TablaConsumos[[CANTIDAD ]:[CANTIDAD ]],TablaConsumos[[CÓDIGO]:[CÓDIGO]],'Inventario '!$B18,TablaConsumos[[Planta]:[Planta]],'Inventario '!O$1)</f>
        <v>0</v>
      </c>
      <c r="P18" s="131">
        <f>SUMIFS(TablaConsumos[[CANTIDAD ]:[CANTIDAD ]],TablaConsumos[[CÓDIGO]:[CÓDIGO]],'Inventario '!$B18,TablaConsumos[[Planta]:[Planta]],'Inventario '!P$1)</f>
        <v>0</v>
      </c>
      <c r="Q18" s="131">
        <f>SUMIFS(TablaConsumos[[CANTIDAD ]:[CANTIDAD ]],TablaConsumos[[CÓDIGO]:[CÓDIGO]],'Inventario '!$B18,TablaConsumos[[Planta]:[Planta]],'Inventario '!Q$1)</f>
        <v>0</v>
      </c>
      <c r="R18" s="131">
        <f>SUMIFS(TablaConsumos[[CANTIDAD ]:[CANTIDAD ]],TablaConsumos[[CÓDIGO]:[CÓDIGO]],'Inventario '!$B18,TablaConsumos[[Planta]:[Planta]],'Inventario '!R$1)</f>
        <v>0</v>
      </c>
      <c r="S18" s="130">
        <f>+SUM(I18:R18)</f>
        <v>0</v>
      </c>
      <c r="T18" s="130">
        <f>+H18-S18</f>
        <v>0</v>
      </c>
      <c r="U18" s="177"/>
      <c r="V18" s="234">
        <f t="shared" si="25"/>
        <v>0</v>
      </c>
      <c r="W18" s="132">
        <v>9750</v>
      </c>
      <c r="X18" s="133">
        <f>+U18*W18</f>
        <v>0</v>
      </c>
      <c r="Y18" s="298">
        <f t="shared" si="26"/>
        <v>0</v>
      </c>
      <c r="Z18" s="305"/>
      <c r="AA18" s="132">
        <f>(Z18-X18)/W18</f>
        <v>0</v>
      </c>
      <c r="AB18" s="132"/>
      <c r="AC18" s="131">
        <f t="shared" si="30"/>
        <v>0</v>
      </c>
      <c r="AD18" s="188"/>
      <c r="AE18" s="132" t="s">
        <v>743</v>
      </c>
      <c r="AF18" s="132">
        <f>12040*2</f>
        <v>24080</v>
      </c>
      <c r="AG18" s="168"/>
      <c r="AH18" s="160">
        <f t="shared" si="2"/>
        <v>0</v>
      </c>
      <c r="AI18" s="160">
        <f t="shared" si="3"/>
        <v>0</v>
      </c>
      <c r="AJ18" s="160">
        <f t="shared" si="4"/>
        <v>0</v>
      </c>
      <c r="AK18" s="160">
        <f t="shared" si="5"/>
        <v>0</v>
      </c>
      <c r="AL18" s="160">
        <f t="shared" si="6"/>
        <v>0</v>
      </c>
      <c r="AM18" s="160">
        <f t="shared" si="7"/>
        <v>0</v>
      </c>
      <c r="AN18" s="160">
        <f t="shared" si="8"/>
        <v>0</v>
      </c>
      <c r="AO18" s="160">
        <f t="shared" si="9"/>
        <v>0</v>
      </c>
      <c r="AP18" s="160">
        <f t="shared" si="10"/>
        <v>0</v>
      </c>
      <c r="AQ18" s="160">
        <f t="shared" si="11"/>
        <v>0</v>
      </c>
      <c r="AR18" s="160">
        <f t="shared" si="12"/>
        <v>0</v>
      </c>
      <c r="AS18" s="161">
        <f>+SUM(AI18:AR18)</f>
        <v>0</v>
      </c>
      <c r="AT18" s="137" t="str">
        <f t="shared" si="13"/>
        <v>0</v>
      </c>
      <c r="AU18" s="137" t="str">
        <f t="shared" si="14"/>
        <v>0</v>
      </c>
      <c r="AV18" s="137" t="str">
        <f t="shared" si="15"/>
        <v>0</v>
      </c>
      <c r="AW18" s="137" t="str">
        <f t="shared" si="16"/>
        <v>0</v>
      </c>
      <c r="AX18" s="137" t="str">
        <f t="shared" si="17"/>
        <v>0</v>
      </c>
      <c r="AY18" s="137" t="str">
        <f t="shared" si="18"/>
        <v>0</v>
      </c>
      <c r="AZ18" s="137" t="str">
        <f t="shared" si="19"/>
        <v>0</v>
      </c>
      <c r="BA18" s="137" t="str">
        <f t="shared" si="20"/>
        <v>0</v>
      </c>
      <c r="BB18" s="137" t="str">
        <f t="shared" si="21"/>
        <v>0</v>
      </c>
      <c r="BC18" s="137" t="str">
        <f t="shared" si="22"/>
        <v>0</v>
      </c>
      <c r="BD18" s="131">
        <f>+SUM(AT18:BC18)</f>
        <v>0</v>
      </c>
    </row>
    <row r="19" spans="1:56" x14ac:dyDescent="0.25">
      <c r="B19" s="217" t="s">
        <v>28</v>
      </c>
      <c r="C19" s="218"/>
      <c r="D19" s="218"/>
      <c r="E19" s="219"/>
      <c r="F19" s="121"/>
      <c r="G19" s="121"/>
      <c r="H19" s="121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74"/>
      <c r="AF19" s="174"/>
      <c r="AG19" s="181"/>
      <c r="AH19" s="123"/>
      <c r="AI19" s="145"/>
      <c r="AJ19" s="145"/>
      <c r="AK19" s="145"/>
      <c r="AL19" s="145"/>
      <c r="AM19" s="145"/>
      <c r="AN19" s="145"/>
      <c r="AO19" s="145"/>
      <c r="AP19" s="145"/>
      <c r="AQ19" s="145"/>
      <c r="AR19" s="145"/>
      <c r="AS19" s="124"/>
      <c r="AT19" s="143"/>
      <c r="AU19" s="143"/>
      <c r="AV19" s="143"/>
      <c r="AW19" s="143"/>
      <c r="AX19" s="143"/>
      <c r="AY19" s="146"/>
      <c r="AZ19" s="146"/>
      <c r="BA19" s="146"/>
      <c r="BB19" s="146"/>
      <c r="BC19" s="146"/>
      <c r="BD19" s="122"/>
    </row>
    <row r="20" spans="1:56" x14ac:dyDescent="0.25">
      <c r="A20" s="23"/>
      <c r="B20" s="203">
        <v>8200100</v>
      </c>
      <c r="C20" s="202" t="s">
        <v>30</v>
      </c>
      <c r="D20" s="202"/>
      <c r="E20" s="203" t="s">
        <v>31</v>
      </c>
      <c r="F20" s="274"/>
      <c r="G20" s="130">
        <f>+SUMIFS(TablaIngresos[Cantidad],TablaIngresos[Código],'Inventario '!B20)</f>
        <v>0</v>
      </c>
      <c r="H20" s="130">
        <f t="shared" si="29"/>
        <v>0</v>
      </c>
      <c r="I20" s="131">
        <f>SUMIFS(TablaConsumos[[CANTIDAD ]:[CANTIDAD ]],TablaConsumos[[CÓDIGO]:[CÓDIGO]],'Inventario '!$B20,TablaConsumos[[Planta]:[Planta]],'Inventario '!I$1)</f>
        <v>0</v>
      </c>
      <c r="J20" s="131">
        <f>SUMIFS(TablaConsumos[[CANTIDAD ]:[CANTIDAD ]],TablaConsumos[[CÓDIGO]:[CÓDIGO]],'Inventario '!$B20,TablaConsumos[[Planta]:[Planta]],'Inventario '!J$1)</f>
        <v>0</v>
      </c>
      <c r="K20" s="131">
        <f>SUMIFS(TablaConsumos[[CANTIDAD ]:[CANTIDAD ]],TablaConsumos[[CÓDIGO]:[CÓDIGO]],'Inventario '!$B20,TablaConsumos[[Planta]:[Planta]],'Inventario '!K$1)</f>
        <v>0</v>
      </c>
      <c r="L20" s="131">
        <f>SUMIFS(TablaConsumos[[CANTIDAD ]:[CANTIDAD ]],TablaConsumos[[CÓDIGO]:[CÓDIGO]],'Inventario '!$B20,TablaConsumos[[Planta]:[Planta]],'Inventario '!L$1)</f>
        <v>0</v>
      </c>
      <c r="M20" s="131">
        <f>SUMIFS(TablaConsumos[[CANTIDAD ]:[CANTIDAD ]],TablaConsumos[[CÓDIGO]:[CÓDIGO]],'Inventario '!$B20,TablaConsumos[[Planta]:[Planta]],'Inventario '!M$1)</f>
        <v>0</v>
      </c>
      <c r="N20" s="131">
        <f>SUMIFS(TablaConsumos[[CANTIDAD ]:[CANTIDAD ]],TablaConsumos[[CÓDIGO]:[CÓDIGO]],'Inventario '!$B20,TablaConsumos[[Planta]:[Planta]],'Inventario '!N$1)</f>
        <v>0</v>
      </c>
      <c r="O20" s="131">
        <f>SUMIFS(TablaConsumos[[CANTIDAD ]:[CANTIDAD ]],TablaConsumos[[CÓDIGO]:[CÓDIGO]],'Inventario '!$B20,TablaConsumos[[Planta]:[Planta]],'Inventario '!O$1)</f>
        <v>0</v>
      </c>
      <c r="P20" s="131">
        <f>SUMIFS(TablaConsumos[[CANTIDAD ]:[CANTIDAD ]],TablaConsumos[[CÓDIGO]:[CÓDIGO]],'Inventario '!$B20,TablaConsumos[[Planta]:[Planta]],'Inventario '!P$1)</f>
        <v>0</v>
      </c>
      <c r="Q20" s="131">
        <f>SUMIFS(TablaConsumos[[CANTIDAD ]:[CANTIDAD ]],TablaConsumos[[CÓDIGO]:[CÓDIGO]],'Inventario '!$B20,TablaConsumos[[Planta]:[Planta]],'Inventario '!Q$1)</f>
        <v>0</v>
      </c>
      <c r="R20" s="131">
        <f>SUMIFS(TablaConsumos[[CANTIDAD ]:[CANTIDAD ]],TablaConsumos[[CÓDIGO]:[CÓDIGO]],'Inventario '!$B20,TablaConsumos[[Planta]:[Planta]],'Inventario '!R$1)</f>
        <v>0</v>
      </c>
      <c r="S20" s="130">
        <f t="shared" si="23"/>
        <v>0</v>
      </c>
      <c r="T20" s="130">
        <f t="shared" si="24"/>
        <v>0</v>
      </c>
      <c r="U20" s="177"/>
      <c r="V20" s="130"/>
      <c r="W20" s="179">
        <v>30.48</v>
      </c>
      <c r="X20" s="133">
        <f>+U20*W20+V20</f>
        <v>0</v>
      </c>
      <c r="Y20" s="130">
        <f t="shared" ref="Y20:Y51" si="31">+T20-X20</f>
        <v>0</v>
      </c>
      <c r="Z20" s="132"/>
      <c r="AA20" s="132">
        <f t="shared" ref="AA20:AA51" si="32">(Z20-X20)</f>
        <v>0</v>
      </c>
      <c r="AB20" s="132"/>
      <c r="AC20" s="131">
        <f t="shared" ref="AC20:AC51" si="33">+Z20-AA20</f>
        <v>0</v>
      </c>
      <c r="AD20" s="188"/>
      <c r="AE20" s="132" t="s">
        <v>744</v>
      </c>
      <c r="AF20" s="132">
        <v>3048</v>
      </c>
      <c r="AG20" s="168"/>
      <c r="AH20" s="134">
        <f t="shared" ref="AH20:AH51" si="34">+IF(S20=0,0,AF20/S20)</f>
        <v>0</v>
      </c>
      <c r="AI20" s="134">
        <f t="shared" ref="AI20:AI51" si="35">+IF(I20=0,0,I20/$S20)</f>
        <v>0</v>
      </c>
      <c r="AJ20" s="134">
        <f t="shared" ref="AJ20:AJ51" si="36">+IF(J20=0,0,J20/$S20)</f>
        <v>0</v>
      </c>
      <c r="AK20" s="134">
        <f t="shared" ref="AK20:AK51" si="37">+IF(K20=0,0,K20/$S20)</f>
        <v>0</v>
      </c>
      <c r="AL20" s="134">
        <f t="shared" ref="AL20:AL51" si="38">+IF(L20=0,0,L20/$S20)</f>
        <v>0</v>
      </c>
      <c r="AM20" s="134">
        <f t="shared" ref="AM20:AM51" si="39">+IF(M20=0,0,M20/$S20)</f>
        <v>0</v>
      </c>
      <c r="AN20" s="134">
        <f t="shared" ref="AN20:AN51" si="40">+IF(N20=0,0,N20/$S20)</f>
        <v>0</v>
      </c>
      <c r="AO20" s="134">
        <f t="shared" ref="AO20:AO51" si="41">+IF(O20=0,0,O20/$S20)</f>
        <v>0</v>
      </c>
      <c r="AP20" s="134">
        <f t="shared" ref="AP20:AP51" si="42">+IF(P20=0,0,P20/$S20)</f>
        <v>0</v>
      </c>
      <c r="AQ20" s="134">
        <f t="shared" ref="AQ20:AQ51" si="43">+IF(Q20=0,0,Q20/$S20)</f>
        <v>0</v>
      </c>
      <c r="AR20" s="134">
        <f t="shared" ref="AR20:AR51" si="44">+IF(R20=0,0,R20/$S20)</f>
        <v>0</v>
      </c>
      <c r="AS20" s="135">
        <f t="shared" si="27"/>
        <v>0</v>
      </c>
      <c r="AT20" s="137" t="str">
        <f t="shared" ref="AT20:AT51" si="45">+IF(I20=-I20,"0",I20+$Y20*AI20)</f>
        <v>0</v>
      </c>
      <c r="AU20" s="137" t="str">
        <f t="shared" ref="AU20:AU51" si="46">+IF(J20=-J20,"0",J20+$Y20*AJ20)</f>
        <v>0</v>
      </c>
      <c r="AV20" s="137" t="str">
        <f t="shared" ref="AV20:AV51" si="47">+IF(K20=-K20,"0",K20+$Y20*AK20)</f>
        <v>0</v>
      </c>
      <c r="AW20" s="137" t="str">
        <f t="shared" ref="AW20:AW51" si="48">+IF(L20=-L20,"0",L20+$Y20*AL20)</f>
        <v>0</v>
      </c>
      <c r="AX20" s="137" t="str">
        <f t="shared" ref="AX20:AX51" si="49">+IF(M20=-M20,"0",M20+$Y20*AM20)</f>
        <v>0</v>
      </c>
      <c r="AY20" s="137" t="str">
        <f t="shared" ref="AY20:AY51" si="50">+IF(N20=-N20,"0",N20+$Y20*AN20)</f>
        <v>0</v>
      </c>
      <c r="AZ20" s="137" t="str">
        <f t="shared" ref="AZ20:AZ51" si="51">+IF(O20=-O20,"0",O20+$Y20*AO20)</f>
        <v>0</v>
      </c>
      <c r="BA20" s="137" t="str">
        <f t="shared" ref="BA20:BA51" si="52">+IF(P20=-P20,"0",P20+$Y20*AP20)</f>
        <v>0</v>
      </c>
      <c r="BB20" s="137" t="str">
        <f t="shared" ref="BB20:BB51" si="53">+IF(Q20=-Q20,"0",Q20+$Y20*AQ20)</f>
        <v>0</v>
      </c>
      <c r="BC20" s="137" t="str">
        <f t="shared" ref="BC20:BC51" si="54">+IF(R20=-R20,"0",R20+$Y20*AR20)</f>
        <v>0</v>
      </c>
      <c r="BD20" s="131">
        <f t="shared" si="28"/>
        <v>0</v>
      </c>
    </row>
    <row r="21" spans="1:56" x14ac:dyDescent="0.25">
      <c r="A21" s="23"/>
      <c r="B21" s="136">
        <v>8200103</v>
      </c>
      <c r="C21" s="128" t="s">
        <v>30</v>
      </c>
      <c r="D21" s="128"/>
      <c r="E21" s="136" t="s">
        <v>35</v>
      </c>
      <c r="F21" s="274"/>
      <c r="G21" s="130">
        <f>+SUMIFS(TablaIngresos[Cantidad],TablaIngresos[Código],'Inventario '!B21)</f>
        <v>0</v>
      </c>
      <c r="H21" s="130">
        <f t="shared" si="29"/>
        <v>0</v>
      </c>
      <c r="I21" s="131">
        <f>SUMIFS(TablaConsumos[[CANTIDAD ]:[CANTIDAD ]],TablaConsumos[[CÓDIGO]:[CÓDIGO]],'Inventario '!$B21,TablaConsumos[[Planta]:[Planta]],'Inventario '!I$1)</f>
        <v>0</v>
      </c>
      <c r="J21" s="131">
        <f>SUMIFS(TablaConsumos[[CANTIDAD ]:[CANTIDAD ]],TablaConsumos[[CÓDIGO]:[CÓDIGO]],'Inventario '!$B21,TablaConsumos[[Planta]:[Planta]],'Inventario '!J$1)</f>
        <v>0</v>
      </c>
      <c r="K21" s="131">
        <f>SUMIFS(TablaConsumos[[CANTIDAD ]:[CANTIDAD ]],TablaConsumos[[CÓDIGO]:[CÓDIGO]],'Inventario '!$B21,TablaConsumos[[Planta]:[Planta]],'Inventario '!K$1)</f>
        <v>0</v>
      </c>
      <c r="L21" s="131">
        <f>SUMIFS(TablaConsumos[[CANTIDAD ]:[CANTIDAD ]],TablaConsumos[[CÓDIGO]:[CÓDIGO]],'Inventario '!$B21,TablaConsumos[[Planta]:[Planta]],'Inventario '!L$1)</f>
        <v>0</v>
      </c>
      <c r="M21" s="131">
        <f>SUMIFS(TablaConsumos[[CANTIDAD ]:[CANTIDAD ]],TablaConsumos[[CÓDIGO]:[CÓDIGO]],'Inventario '!$B21,TablaConsumos[[Planta]:[Planta]],'Inventario '!M$1)</f>
        <v>0</v>
      </c>
      <c r="N21" s="131">
        <f>SUMIFS(TablaConsumos[[CANTIDAD ]:[CANTIDAD ]],TablaConsumos[[CÓDIGO]:[CÓDIGO]],'Inventario '!$B21,TablaConsumos[[Planta]:[Planta]],'Inventario '!N$1)</f>
        <v>0</v>
      </c>
      <c r="O21" s="131">
        <f>SUMIFS(TablaConsumos[[CANTIDAD ]:[CANTIDAD ]],TablaConsumos[[CÓDIGO]:[CÓDIGO]],'Inventario '!$B21,TablaConsumos[[Planta]:[Planta]],'Inventario '!O$1)</f>
        <v>0</v>
      </c>
      <c r="P21" s="131">
        <f>SUMIFS(TablaConsumos[[CANTIDAD ]:[CANTIDAD ]],TablaConsumos[[CÓDIGO]:[CÓDIGO]],'Inventario '!$B21,TablaConsumos[[Planta]:[Planta]],'Inventario '!P$1)</f>
        <v>0</v>
      </c>
      <c r="Q21" s="131">
        <f>SUMIFS(TablaConsumos[[CANTIDAD ]:[CANTIDAD ]],TablaConsumos[[CÓDIGO]:[CÓDIGO]],'Inventario '!$B21,TablaConsumos[[Planta]:[Planta]],'Inventario '!Q$1)</f>
        <v>0</v>
      </c>
      <c r="R21" s="131">
        <f>SUMIFS(TablaConsumos[[CANTIDAD ]:[CANTIDAD ]],TablaConsumos[[CÓDIGO]:[CÓDIGO]],'Inventario '!$B21,TablaConsumos[[Planta]:[Planta]],'Inventario '!R$1)</f>
        <v>0</v>
      </c>
      <c r="S21" s="130">
        <f t="shared" si="23"/>
        <v>0</v>
      </c>
      <c r="T21" s="130">
        <f t="shared" si="24"/>
        <v>0</v>
      </c>
      <c r="U21" s="177"/>
      <c r="V21" s="130"/>
      <c r="W21" s="179">
        <v>30.48</v>
      </c>
      <c r="X21" s="133">
        <f>+U21*W21+V21</f>
        <v>0</v>
      </c>
      <c r="Y21" s="130">
        <f t="shared" si="31"/>
        <v>0</v>
      </c>
      <c r="Z21" s="132"/>
      <c r="AA21" s="132">
        <f t="shared" si="32"/>
        <v>0</v>
      </c>
      <c r="AB21" s="132"/>
      <c r="AC21" s="131">
        <f t="shared" si="33"/>
        <v>0</v>
      </c>
      <c r="AD21" s="131"/>
      <c r="AE21" s="132" t="s">
        <v>612</v>
      </c>
      <c r="AF21" s="132">
        <v>3048</v>
      </c>
      <c r="AG21" s="168"/>
      <c r="AH21" s="134">
        <f t="shared" si="34"/>
        <v>0</v>
      </c>
      <c r="AI21" s="134">
        <f t="shared" si="35"/>
        <v>0</v>
      </c>
      <c r="AJ21" s="134">
        <f t="shared" si="36"/>
        <v>0</v>
      </c>
      <c r="AK21" s="134">
        <f t="shared" si="37"/>
        <v>0</v>
      </c>
      <c r="AL21" s="134">
        <f t="shared" si="38"/>
        <v>0</v>
      </c>
      <c r="AM21" s="134">
        <f t="shared" si="39"/>
        <v>0</v>
      </c>
      <c r="AN21" s="134">
        <f t="shared" si="40"/>
        <v>0</v>
      </c>
      <c r="AO21" s="134">
        <f t="shared" si="41"/>
        <v>0</v>
      </c>
      <c r="AP21" s="134">
        <f t="shared" si="42"/>
        <v>0</v>
      </c>
      <c r="AQ21" s="134">
        <f t="shared" si="43"/>
        <v>0</v>
      </c>
      <c r="AR21" s="134">
        <f t="shared" si="44"/>
        <v>0</v>
      </c>
      <c r="AS21" s="135">
        <f t="shared" si="27"/>
        <v>0</v>
      </c>
      <c r="AT21" s="137" t="str">
        <f t="shared" si="45"/>
        <v>0</v>
      </c>
      <c r="AU21" s="137" t="str">
        <f t="shared" si="46"/>
        <v>0</v>
      </c>
      <c r="AV21" s="137" t="str">
        <f t="shared" si="47"/>
        <v>0</v>
      </c>
      <c r="AW21" s="137" t="str">
        <f t="shared" si="48"/>
        <v>0</v>
      </c>
      <c r="AX21" s="137" t="str">
        <f t="shared" si="49"/>
        <v>0</v>
      </c>
      <c r="AY21" s="137" t="str">
        <f t="shared" si="50"/>
        <v>0</v>
      </c>
      <c r="AZ21" s="137" t="str">
        <f t="shared" si="51"/>
        <v>0</v>
      </c>
      <c r="BA21" s="137" t="str">
        <f t="shared" si="52"/>
        <v>0</v>
      </c>
      <c r="BB21" s="137" t="str">
        <f t="shared" si="53"/>
        <v>0</v>
      </c>
      <c r="BC21" s="137" t="str">
        <f t="shared" si="54"/>
        <v>0</v>
      </c>
      <c r="BD21" s="131">
        <f t="shared" si="28"/>
        <v>0</v>
      </c>
    </row>
    <row r="22" spans="1:56" x14ac:dyDescent="0.25">
      <c r="A22" s="23"/>
      <c r="B22" s="136">
        <v>8200104</v>
      </c>
      <c r="C22" s="128" t="s">
        <v>30</v>
      </c>
      <c r="D22" s="128"/>
      <c r="E22" s="136" t="s">
        <v>37</v>
      </c>
      <c r="F22" s="274"/>
      <c r="G22" s="130">
        <f>+SUMIFS(TablaIngresos[Cantidad],TablaIngresos[Código],'Inventario '!B22)</f>
        <v>0</v>
      </c>
      <c r="H22" s="130">
        <f t="shared" si="29"/>
        <v>0</v>
      </c>
      <c r="I22" s="131">
        <f>SUMIFS(TablaConsumos[[CANTIDAD ]:[CANTIDAD ]],TablaConsumos[[CÓDIGO]:[CÓDIGO]],'Inventario '!$B22,TablaConsumos[[Planta]:[Planta]],'Inventario '!I$1)</f>
        <v>0</v>
      </c>
      <c r="J22" s="131">
        <f>SUMIFS(TablaConsumos[[CANTIDAD ]:[CANTIDAD ]],TablaConsumos[[CÓDIGO]:[CÓDIGO]],'Inventario '!$B22,TablaConsumos[[Planta]:[Planta]],'Inventario '!J$1)</f>
        <v>0</v>
      </c>
      <c r="K22" s="131">
        <f>SUMIFS(TablaConsumos[[CANTIDAD ]:[CANTIDAD ]],TablaConsumos[[CÓDIGO]:[CÓDIGO]],'Inventario '!$B22,TablaConsumos[[Planta]:[Planta]],'Inventario '!K$1)</f>
        <v>0</v>
      </c>
      <c r="L22" s="131">
        <f>SUMIFS(TablaConsumos[[CANTIDAD ]:[CANTIDAD ]],TablaConsumos[[CÓDIGO]:[CÓDIGO]],'Inventario '!$B22,TablaConsumos[[Planta]:[Planta]],'Inventario '!L$1)</f>
        <v>0</v>
      </c>
      <c r="M22" s="131">
        <f>SUMIFS(TablaConsumos[[CANTIDAD ]:[CANTIDAD ]],TablaConsumos[[CÓDIGO]:[CÓDIGO]],'Inventario '!$B22,TablaConsumos[[Planta]:[Planta]],'Inventario '!M$1)</f>
        <v>0</v>
      </c>
      <c r="N22" s="131">
        <f>SUMIFS(TablaConsumos[[CANTIDAD ]:[CANTIDAD ]],TablaConsumos[[CÓDIGO]:[CÓDIGO]],'Inventario '!$B22,TablaConsumos[[Planta]:[Planta]],'Inventario '!N$1)</f>
        <v>0</v>
      </c>
      <c r="O22" s="131">
        <f>SUMIFS(TablaConsumos[[CANTIDAD ]:[CANTIDAD ]],TablaConsumos[[CÓDIGO]:[CÓDIGO]],'Inventario '!$B22,TablaConsumos[[Planta]:[Planta]],'Inventario '!O$1)</f>
        <v>0</v>
      </c>
      <c r="P22" s="131">
        <f>SUMIFS(TablaConsumos[[CANTIDAD ]:[CANTIDAD ]],TablaConsumos[[CÓDIGO]:[CÓDIGO]],'Inventario '!$B22,TablaConsumos[[Planta]:[Planta]],'Inventario '!P$1)</f>
        <v>0</v>
      </c>
      <c r="Q22" s="131">
        <f>SUMIFS(TablaConsumos[[CANTIDAD ]:[CANTIDAD ]],TablaConsumos[[CÓDIGO]:[CÓDIGO]],'Inventario '!$B22,TablaConsumos[[Planta]:[Planta]],'Inventario '!Q$1)</f>
        <v>0</v>
      </c>
      <c r="R22" s="131">
        <f>SUMIFS(TablaConsumos[[CANTIDAD ]:[CANTIDAD ]],TablaConsumos[[CÓDIGO]:[CÓDIGO]],'Inventario '!$B22,TablaConsumos[[Planta]:[Planta]],'Inventario '!R$1)</f>
        <v>0</v>
      </c>
      <c r="S22" s="130">
        <f t="shared" si="23"/>
        <v>0</v>
      </c>
      <c r="T22" s="130">
        <f t="shared" si="24"/>
        <v>0</v>
      </c>
      <c r="U22" s="177"/>
      <c r="V22" s="130"/>
      <c r="W22" s="179">
        <v>30.48</v>
      </c>
      <c r="X22" s="133">
        <f t="shared" ref="X22:X35" si="55">+U22*W22+V22</f>
        <v>0</v>
      </c>
      <c r="Y22" s="130">
        <f t="shared" si="31"/>
        <v>0</v>
      </c>
      <c r="Z22" s="132"/>
      <c r="AA22" s="132">
        <f t="shared" si="32"/>
        <v>0</v>
      </c>
      <c r="AB22" s="132"/>
      <c r="AC22" s="131">
        <f t="shared" si="33"/>
        <v>0</v>
      </c>
      <c r="AD22" s="131"/>
      <c r="AE22" s="132" t="s">
        <v>612</v>
      </c>
      <c r="AF22" s="132">
        <v>3048</v>
      </c>
      <c r="AG22" s="168"/>
      <c r="AH22" s="134">
        <f t="shared" si="34"/>
        <v>0</v>
      </c>
      <c r="AI22" s="134">
        <f t="shared" si="35"/>
        <v>0</v>
      </c>
      <c r="AJ22" s="134">
        <f t="shared" si="36"/>
        <v>0</v>
      </c>
      <c r="AK22" s="134">
        <f t="shared" si="37"/>
        <v>0</v>
      </c>
      <c r="AL22" s="134">
        <f t="shared" si="38"/>
        <v>0</v>
      </c>
      <c r="AM22" s="134">
        <f t="shared" si="39"/>
        <v>0</v>
      </c>
      <c r="AN22" s="134">
        <f t="shared" si="40"/>
        <v>0</v>
      </c>
      <c r="AO22" s="134">
        <f t="shared" si="41"/>
        <v>0</v>
      </c>
      <c r="AP22" s="134">
        <f t="shared" si="42"/>
        <v>0</v>
      </c>
      <c r="AQ22" s="134">
        <f t="shared" si="43"/>
        <v>0</v>
      </c>
      <c r="AR22" s="134">
        <f t="shared" si="44"/>
        <v>0</v>
      </c>
      <c r="AS22" s="135">
        <f t="shared" si="27"/>
        <v>0</v>
      </c>
      <c r="AT22" s="137" t="str">
        <f t="shared" si="45"/>
        <v>0</v>
      </c>
      <c r="AU22" s="137" t="str">
        <f t="shared" si="46"/>
        <v>0</v>
      </c>
      <c r="AV22" s="137" t="str">
        <f t="shared" si="47"/>
        <v>0</v>
      </c>
      <c r="AW22" s="137" t="str">
        <f t="shared" si="48"/>
        <v>0</v>
      </c>
      <c r="AX22" s="137" t="str">
        <f t="shared" si="49"/>
        <v>0</v>
      </c>
      <c r="AY22" s="137" t="str">
        <f t="shared" si="50"/>
        <v>0</v>
      </c>
      <c r="AZ22" s="137" t="str">
        <f t="shared" si="51"/>
        <v>0</v>
      </c>
      <c r="BA22" s="137" t="str">
        <f t="shared" si="52"/>
        <v>0</v>
      </c>
      <c r="BB22" s="137" t="str">
        <f t="shared" si="53"/>
        <v>0</v>
      </c>
      <c r="BC22" s="137" t="str">
        <f t="shared" si="54"/>
        <v>0</v>
      </c>
      <c r="BD22" s="131">
        <f t="shared" si="28"/>
        <v>0</v>
      </c>
    </row>
    <row r="23" spans="1:56" x14ac:dyDescent="0.25">
      <c r="B23" s="136">
        <v>8200106</v>
      </c>
      <c r="C23" s="128" t="s">
        <v>30</v>
      </c>
      <c r="D23" s="128"/>
      <c r="E23" s="136" t="s">
        <v>41</v>
      </c>
      <c r="F23" s="274"/>
      <c r="G23" s="130">
        <f>+SUMIFS(TablaIngresos[Cantidad],TablaIngresos[Código],'Inventario '!B23)</f>
        <v>0</v>
      </c>
      <c r="H23" s="130">
        <f t="shared" si="29"/>
        <v>0</v>
      </c>
      <c r="I23" s="131">
        <f>SUMIFS(TablaConsumos[[CANTIDAD ]:[CANTIDAD ]],TablaConsumos[[CÓDIGO]:[CÓDIGO]],'Inventario '!$B23,TablaConsumos[[Planta]:[Planta]],'Inventario '!I$1)</f>
        <v>0</v>
      </c>
      <c r="J23" s="131">
        <f>SUMIFS(TablaConsumos[[CANTIDAD ]:[CANTIDAD ]],TablaConsumos[[CÓDIGO]:[CÓDIGO]],'Inventario '!$B23,TablaConsumos[[Planta]:[Planta]],'Inventario '!J$1)</f>
        <v>0</v>
      </c>
      <c r="K23" s="131">
        <f>SUMIFS(TablaConsumos[[CANTIDAD ]:[CANTIDAD ]],TablaConsumos[[CÓDIGO]:[CÓDIGO]],'Inventario '!$B23,TablaConsumos[[Planta]:[Planta]],'Inventario '!K$1)</f>
        <v>0</v>
      </c>
      <c r="L23" s="131">
        <f>SUMIFS(TablaConsumos[[CANTIDAD ]:[CANTIDAD ]],TablaConsumos[[CÓDIGO]:[CÓDIGO]],'Inventario '!$B23,TablaConsumos[[Planta]:[Planta]],'Inventario '!L$1)</f>
        <v>0</v>
      </c>
      <c r="M23" s="131">
        <f>SUMIFS(TablaConsumos[[CANTIDAD ]:[CANTIDAD ]],TablaConsumos[[CÓDIGO]:[CÓDIGO]],'Inventario '!$B23,TablaConsumos[[Planta]:[Planta]],'Inventario '!M$1)</f>
        <v>0</v>
      </c>
      <c r="N23" s="131">
        <f>SUMIFS(TablaConsumos[[CANTIDAD ]:[CANTIDAD ]],TablaConsumos[[CÓDIGO]:[CÓDIGO]],'Inventario '!$B23,TablaConsumos[[Planta]:[Planta]],'Inventario '!N$1)</f>
        <v>0</v>
      </c>
      <c r="O23" s="131">
        <f>SUMIFS(TablaConsumos[[CANTIDAD ]:[CANTIDAD ]],TablaConsumos[[CÓDIGO]:[CÓDIGO]],'Inventario '!$B23,TablaConsumos[[Planta]:[Planta]],'Inventario '!O$1)</f>
        <v>0</v>
      </c>
      <c r="P23" s="131">
        <f>SUMIFS(TablaConsumos[[CANTIDAD ]:[CANTIDAD ]],TablaConsumos[[CÓDIGO]:[CÓDIGO]],'Inventario '!$B23,TablaConsumos[[Planta]:[Planta]],'Inventario '!P$1)</f>
        <v>0</v>
      </c>
      <c r="Q23" s="131">
        <f>SUMIFS(TablaConsumos[[CANTIDAD ]:[CANTIDAD ]],TablaConsumos[[CÓDIGO]:[CÓDIGO]],'Inventario '!$B23,TablaConsumos[[Planta]:[Planta]],'Inventario '!Q$1)</f>
        <v>0</v>
      </c>
      <c r="R23" s="131">
        <f>SUMIFS(TablaConsumos[[CANTIDAD ]:[CANTIDAD ]],TablaConsumos[[CÓDIGO]:[CÓDIGO]],'Inventario '!$B23,TablaConsumos[[Planta]:[Planta]],'Inventario '!R$1)</f>
        <v>0</v>
      </c>
      <c r="S23" s="130">
        <f t="shared" si="23"/>
        <v>0</v>
      </c>
      <c r="T23" s="130">
        <f t="shared" si="24"/>
        <v>0</v>
      </c>
      <c r="U23" s="177"/>
      <c r="V23" s="130"/>
      <c r="W23" s="179">
        <v>30.48</v>
      </c>
      <c r="X23" s="133">
        <f t="shared" si="55"/>
        <v>0</v>
      </c>
      <c r="Y23" s="130">
        <f t="shared" si="31"/>
        <v>0</v>
      </c>
      <c r="Z23" s="132"/>
      <c r="AA23" s="132">
        <f t="shared" si="32"/>
        <v>0</v>
      </c>
      <c r="AB23" s="132"/>
      <c r="AC23" s="131">
        <f t="shared" si="33"/>
        <v>0</v>
      </c>
      <c r="AD23" s="131"/>
      <c r="AE23" s="132" t="s">
        <v>612</v>
      </c>
      <c r="AF23" s="132">
        <v>3048</v>
      </c>
      <c r="AG23" s="168"/>
      <c r="AH23" s="134">
        <f t="shared" si="34"/>
        <v>0</v>
      </c>
      <c r="AI23" s="134">
        <f t="shared" si="35"/>
        <v>0</v>
      </c>
      <c r="AJ23" s="134">
        <f t="shared" si="36"/>
        <v>0</v>
      </c>
      <c r="AK23" s="134">
        <f t="shared" si="37"/>
        <v>0</v>
      </c>
      <c r="AL23" s="134">
        <f t="shared" si="38"/>
        <v>0</v>
      </c>
      <c r="AM23" s="134">
        <f t="shared" si="39"/>
        <v>0</v>
      </c>
      <c r="AN23" s="134">
        <f t="shared" si="40"/>
        <v>0</v>
      </c>
      <c r="AO23" s="134">
        <f t="shared" si="41"/>
        <v>0</v>
      </c>
      <c r="AP23" s="134">
        <f t="shared" si="42"/>
        <v>0</v>
      </c>
      <c r="AQ23" s="134">
        <f t="shared" si="43"/>
        <v>0</v>
      </c>
      <c r="AR23" s="134">
        <f t="shared" si="44"/>
        <v>0</v>
      </c>
      <c r="AS23" s="135">
        <f t="shared" si="27"/>
        <v>0</v>
      </c>
      <c r="AT23" s="137" t="str">
        <f t="shared" si="45"/>
        <v>0</v>
      </c>
      <c r="AU23" s="137" t="str">
        <f t="shared" si="46"/>
        <v>0</v>
      </c>
      <c r="AV23" s="137" t="str">
        <f t="shared" si="47"/>
        <v>0</v>
      </c>
      <c r="AW23" s="137" t="str">
        <f t="shared" si="48"/>
        <v>0</v>
      </c>
      <c r="AX23" s="137" t="str">
        <f t="shared" si="49"/>
        <v>0</v>
      </c>
      <c r="AY23" s="137" t="str">
        <f t="shared" si="50"/>
        <v>0</v>
      </c>
      <c r="AZ23" s="137" t="str">
        <f t="shared" si="51"/>
        <v>0</v>
      </c>
      <c r="BA23" s="137" t="str">
        <f t="shared" si="52"/>
        <v>0</v>
      </c>
      <c r="BB23" s="137" t="str">
        <f t="shared" si="53"/>
        <v>0</v>
      </c>
      <c r="BC23" s="137" t="str">
        <f t="shared" si="54"/>
        <v>0</v>
      </c>
      <c r="BD23" s="131">
        <f t="shared" si="28"/>
        <v>0</v>
      </c>
    </row>
    <row r="24" spans="1:56" x14ac:dyDescent="0.25">
      <c r="B24" s="136">
        <v>8200107</v>
      </c>
      <c r="C24" s="128" t="s">
        <v>30</v>
      </c>
      <c r="D24" s="128"/>
      <c r="E24" s="136" t="s">
        <v>43</v>
      </c>
      <c r="F24" s="274"/>
      <c r="G24" s="130">
        <f>+SUMIFS(TablaIngresos[Cantidad],TablaIngresos[Código],'Inventario '!B24)</f>
        <v>0</v>
      </c>
      <c r="H24" s="130">
        <f t="shared" si="29"/>
        <v>0</v>
      </c>
      <c r="I24" s="131">
        <f>SUMIFS(TablaConsumos[[CANTIDAD ]:[CANTIDAD ]],TablaConsumos[[CÓDIGO]:[CÓDIGO]],'Inventario '!$B24,TablaConsumos[[Planta]:[Planta]],'Inventario '!I$1)</f>
        <v>0</v>
      </c>
      <c r="J24" s="131">
        <f>SUMIFS(TablaConsumos[[CANTIDAD ]:[CANTIDAD ]],TablaConsumos[[CÓDIGO]:[CÓDIGO]],'Inventario '!$B24,TablaConsumos[[Planta]:[Planta]],'Inventario '!J$1)</f>
        <v>0</v>
      </c>
      <c r="K24" s="131">
        <f>SUMIFS(TablaConsumos[[CANTIDAD ]:[CANTIDAD ]],TablaConsumos[[CÓDIGO]:[CÓDIGO]],'Inventario '!$B24,TablaConsumos[[Planta]:[Planta]],'Inventario '!K$1)</f>
        <v>0</v>
      </c>
      <c r="L24" s="131">
        <f>SUMIFS(TablaConsumos[[CANTIDAD ]:[CANTIDAD ]],TablaConsumos[[CÓDIGO]:[CÓDIGO]],'Inventario '!$B24,TablaConsumos[[Planta]:[Planta]],'Inventario '!L$1)</f>
        <v>0</v>
      </c>
      <c r="M24" s="131">
        <f>SUMIFS(TablaConsumos[[CANTIDAD ]:[CANTIDAD ]],TablaConsumos[[CÓDIGO]:[CÓDIGO]],'Inventario '!$B24,TablaConsumos[[Planta]:[Planta]],'Inventario '!M$1)</f>
        <v>0</v>
      </c>
      <c r="N24" s="131">
        <f>SUMIFS(TablaConsumos[[CANTIDAD ]:[CANTIDAD ]],TablaConsumos[[CÓDIGO]:[CÓDIGO]],'Inventario '!$B24,TablaConsumos[[Planta]:[Planta]],'Inventario '!N$1)</f>
        <v>0</v>
      </c>
      <c r="O24" s="131">
        <f>SUMIFS(TablaConsumos[[CANTIDAD ]:[CANTIDAD ]],TablaConsumos[[CÓDIGO]:[CÓDIGO]],'Inventario '!$B24,TablaConsumos[[Planta]:[Planta]],'Inventario '!O$1)</f>
        <v>0</v>
      </c>
      <c r="P24" s="131">
        <f>SUMIFS(TablaConsumos[[CANTIDAD ]:[CANTIDAD ]],TablaConsumos[[CÓDIGO]:[CÓDIGO]],'Inventario '!$B24,TablaConsumos[[Planta]:[Planta]],'Inventario '!P$1)</f>
        <v>0</v>
      </c>
      <c r="Q24" s="131">
        <f>SUMIFS(TablaConsumos[[CANTIDAD ]:[CANTIDAD ]],TablaConsumos[[CÓDIGO]:[CÓDIGO]],'Inventario '!$B24,TablaConsumos[[Planta]:[Planta]],'Inventario '!Q$1)</f>
        <v>0</v>
      </c>
      <c r="R24" s="131">
        <f>SUMIFS(TablaConsumos[[CANTIDAD ]:[CANTIDAD ]],TablaConsumos[[CÓDIGO]:[CÓDIGO]],'Inventario '!$B24,TablaConsumos[[Planta]:[Planta]],'Inventario '!R$1)</f>
        <v>0</v>
      </c>
      <c r="S24" s="130">
        <f t="shared" si="23"/>
        <v>0</v>
      </c>
      <c r="T24" s="130">
        <f t="shared" si="24"/>
        <v>0</v>
      </c>
      <c r="U24" s="177"/>
      <c r="V24" s="132"/>
      <c r="W24" s="179">
        <v>30.48</v>
      </c>
      <c r="X24" s="133">
        <f t="shared" si="55"/>
        <v>0</v>
      </c>
      <c r="Y24" s="130">
        <f t="shared" si="31"/>
        <v>0</v>
      </c>
      <c r="Z24" s="132"/>
      <c r="AA24" s="132">
        <f t="shared" si="32"/>
        <v>0</v>
      </c>
      <c r="AB24" s="132"/>
      <c r="AC24" s="131">
        <f t="shared" si="33"/>
        <v>0</v>
      </c>
      <c r="AD24" s="188"/>
      <c r="AE24" s="132" t="s">
        <v>613</v>
      </c>
      <c r="AF24" s="132">
        <v>6096</v>
      </c>
      <c r="AG24" s="168"/>
      <c r="AH24" s="134">
        <f t="shared" si="34"/>
        <v>0</v>
      </c>
      <c r="AI24" s="134">
        <f t="shared" si="35"/>
        <v>0</v>
      </c>
      <c r="AJ24" s="134">
        <f t="shared" si="36"/>
        <v>0</v>
      </c>
      <c r="AK24" s="134">
        <f t="shared" si="37"/>
        <v>0</v>
      </c>
      <c r="AL24" s="134">
        <f t="shared" si="38"/>
        <v>0</v>
      </c>
      <c r="AM24" s="134">
        <f t="shared" si="39"/>
        <v>0</v>
      </c>
      <c r="AN24" s="134">
        <f t="shared" si="40"/>
        <v>0</v>
      </c>
      <c r="AO24" s="134">
        <f t="shared" si="41"/>
        <v>0</v>
      </c>
      <c r="AP24" s="134">
        <f t="shared" si="42"/>
        <v>0</v>
      </c>
      <c r="AQ24" s="134">
        <f t="shared" si="43"/>
        <v>0</v>
      </c>
      <c r="AR24" s="134">
        <f t="shared" si="44"/>
        <v>0</v>
      </c>
      <c r="AS24" s="135">
        <f t="shared" si="27"/>
        <v>0</v>
      </c>
      <c r="AT24" s="137" t="str">
        <f t="shared" si="45"/>
        <v>0</v>
      </c>
      <c r="AU24" s="137" t="str">
        <f t="shared" si="46"/>
        <v>0</v>
      </c>
      <c r="AV24" s="137" t="str">
        <f t="shared" si="47"/>
        <v>0</v>
      </c>
      <c r="AW24" s="137" t="str">
        <f t="shared" si="48"/>
        <v>0</v>
      </c>
      <c r="AX24" s="137" t="str">
        <f t="shared" si="49"/>
        <v>0</v>
      </c>
      <c r="AY24" s="137" t="str">
        <f t="shared" si="50"/>
        <v>0</v>
      </c>
      <c r="AZ24" s="137" t="str">
        <f t="shared" si="51"/>
        <v>0</v>
      </c>
      <c r="BA24" s="137" t="str">
        <f t="shared" si="52"/>
        <v>0</v>
      </c>
      <c r="BB24" s="137" t="str">
        <f t="shared" si="53"/>
        <v>0</v>
      </c>
      <c r="BC24" s="137" t="str">
        <f t="shared" si="54"/>
        <v>0</v>
      </c>
      <c r="BD24" s="131">
        <f t="shared" si="28"/>
        <v>0</v>
      </c>
    </row>
    <row r="25" spans="1:56" x14ac:dyDescent="0.25">
      <c r="B25" s="136">
        <v>8200108</v>
      </c>
      <c r="C25" s="128" t="s">
        <v>30</v>
      </c>
      <c r="D25" s="128"/>
      <c r="E25" s="136" t="s">
        <v>45</v>
      </c>
      <c r="F25" s="274"/>
      <c r="G25" s="130">
        <f>+SUMIFS(TablaIngresos[Cantidad],TablaIngresos[Código],'Inventario '!B25)</f>
        <v>0</v>
      </c>
      <c r="H25" s="130">
        <f t="shared" si="29"/>
        <v>0</v>
      </c>
      <c r="I25" s="131">
        <f>SUMIFS(TablaConsumos[[CANTIDAD ]:[CANTIDAD ]],TablaConsumos[[CÓDIGO]:[CÓDIGO]],'Inventario '!$B25,TablaConsumos[[Planta]:[Planta]],'Inventario '!I$1)</f>
        <v>0</v>
      </c>
      <c r="J25" s="131">
        <f>SUMIFS(TablaConsumos[[CANTIDAD ]:[CANTIDAD ]],TablaConsumos[[CÓDIGO]:[CÓDIGO]],'Inventario '!$B25,TablaConsumos[[Planta]:[Planta]],'Inventario '!J$1)</f>
        <v>0</v>
      </c>
      <c r="K25" s="131">
        <f>SUMIFS(TablaConsumos[[CANTIDAD ]:[CANTIDAD ]],TablaConsumos[[CÓDIGO]:[CÓDIGO]],'Inventario '!$B25,TablaConsumos[[Planta]:[Planta]],'Inventario '!K$1)</f>
        <v>0</v>
      </c>
      <c r="L25" s="131">
        <f>SUMIFS(TablaConsumos[[CANTIDAD ]:[CANTIDAD ]],TablaConsumos[[CÓDIGO]:[CÓDIGO]],'Inventario '!$B25,TablaConsumos[[Planta]:[Planta]],'Inventario '!L$1)</f>
        <v>0</v>
      </c>
      <c r="M25" s="131">
        <f>SUMIFS(TablaConsumos[[CANTIDAD ]:[CANTIDAD ]],TablaConsumos[[CÓDIGO]:[CÓDIGO]],'Inventario '!$B25,TablaConsumos[[Planta]:[Planta]],'Inventario '!M$1)</f>
        <v>0</v>
      </c>
      <c r="N25" s="131">
        <f>SUMIFS(TablaConsumos[[CANTIDAD ]:[CANTIDAD ]],TablaConsumos[[CÓDIGO]:[CÓDIGO]],'Inventario '!$B25,TablaConsumos[[Planta]:[Planta]],'Inventario '!N$1)</f>
        <v>0</v>
      </c>
      <c r="O25" s="131">
        <f>SUMIFS(TablaConsumos[[CANTIDAD ]:[CANTIDAD ]],TablaConsumos[[CÓDIGO]:[CÓDIGO]],'Inventario '!$B25,TablaConsumos[[Planta]:[Planta]],'Inventario '!O$1)</f>
        <v>0</v>
      </c>
      <c r="P25" s="131">
        <f>SUMIFS(TablaConsumos[[CANTIDAD ]:[CANTIDAD ]],TablaConsumos[[CÓDIGO]:[CÓDIGO]],'Inventario '!$B25,TablaConsumos[[Planta]:[Planta]],'Inventario '!P$1)</f>
        <v>0</v>
      </c>
      <c r="Q25" s="131">
        <f>SUMIFS(TablaConsumos[[CANTIDAD ]:[CANTIDAD ]],TablaConsumos[[CÓDIGO]:[CÓDIGO]],'Inventario '!$B25,TablaConsumos[[Planta]:[Planta]],'Inventario '!Q$1)</f>
        <v>0</v>
      </c>
      <c r="R25" s="131">
        <f>SUMIFS(TablaConsumos[[CANTIDAD ]:[CANTIDAD ]],TablaConsumos[[CÓDIGO]:[CÓDIGO]],'Inventario '!$B25,TablaConsumos[[Planta]:[Planta]],'Inventario '!R$1)</f>
        <v>0</v>
      </c>
      <c r="S25" s="130">
        <f>+SUM(I25:R25)</f>
        <v>0</v>
      </c>
      <c r="T25" s="130">
        <f t="shared" si="24"/>
        <v>0</v>
      </c>
      <c r="U25" s="177"/>
      <c r="V25" s="130"/>
      <c r="W25" s="179">
        <v>30.48</v>
      </c>
      <c r="X25" s="133">
        <f t="shared" si="55"/>
        <v>0</v>
      </c>
      <c r="Y25" s="130">
        <f t="shared" si="31"/>
        <v>0</v>
      </c>
      <c r="Z25" s="132"/>
      <c r="AA25" s="132">
        <f t="shared" si="32"/>
        <v>0</v>
      </c>
      <c r="AB25" s="132"/>
      <c r="AC25" s="131">
        <f t="shared" si="33"/>
        <v>0</v>
      </c>
      <c r="AD25" s="131"/>
      <c r="AE25" s="132" t="s">
        <v>613</v>
      </c>
      <c r="AF25" s="132">
        <v>6096</v>
      </c>
      <c r="AG25" s="168"/>
      <c r="AH25" s="134">
        <f t="shared" si="34"/>
        <v>0</v>
      </c>
      <c r="AI25" s="134">
        <f t="shared" si="35"/>
        <v>0</v>
      </c>
      <c r="AJ25" s="134">
        <f t="shared" si="36"/>
        <v>0</v>
      </c>
      <c r="AK25" s="134">
        <f t="shared" si="37"/>
        <v>0</v>
      </c>
      <c r="AL25" s="134">
        <f t="shared" si="38"/>
        <v>0</v>
      </c>
      <c r="AM25" s="134">
        <f t="shared" si="39"/>
        <v>0</v>
      </c>
      <c r="AN25" s="134">
        <f t="shared" si="40"/>
        <v>0</v>
      </c>
      <c r="AO25" s="134">
        <f t="shared" si="41"/>
        <v>0</v>
      </c>
      <c r="AP25" s="134">
        <f t="shared" si="42"/>
        <v>0</v>
      </c>
      <c r="AQ25" s="134">
        <f t="shared" si="43"/>
        <v>0</v>
      </c>
      <c r="AR25" s="134">
        <f t="shared" si="44"/>
        <v>0</v>
      </c>
      <c r="AS25" s="135">
        <f t="shared" si="27"/>
        <v>0</v>
      </c>
      <c r="AT25" s="137" t="str">
        <f t="shared" si="45"/>
        <v>0</v>
      </c>
      <c r="AU25" s="137" t="str">
        <f t="shared" si="46"/>
        <v>0</v>
      </c>
      <c r="AV25" s="137" t="str">
        <f t="shared" si="47"/>
        <v>0</v>
      </c>
      <c r="AW25" s="137" t="str">
        <f t="shared" si="48"/>
        <v>0</v>
      </c>
      <c r="AX25" s="137" t="str">
        <f t="shared" si="49"/>
        <v>0</v>
      </c>
      <c r="AY25" s="137" t="str">
        <f t="shared" si="50"/>
        <v>0</v>
      </c>
      <c r="AZ25" s="137" t="str">
        <f t="shared" si="51"/>
        <v>0</v>
      </c>
      <c r="BA25" s="137" t="str">
        <f t="shared" si="52"/>
        <v>0</v>
      </c>
      <c r="BB25" s="137" t="str">
        <f t="shared" si="53"/>
        <v>0</v>
      </c>
      <c r="BC25" s="137" t="str">
        <f t="shared" si="54"/>
        <v>0</v>
      </c>
      <c r="BD25" s="131">
        <f t="shared" si="28"/>
        <v>0</v>
      </c>
    </row>
    <row r="26" spans="1:56" x14ac:dyDescent="0.25">
      <c r="B26" s="136">
        <v>8200120</v>
      </c>
      <c r="C26" s="128" t="s">
        <v>30</v>
      </c>
      <c r="D26" s="128"/>
      <c r="E26" s="136" t="s">
        <v>51</v>
      </c>
      <c r="F26" s="274"/>
      <c r="G26" s="130">
        <f>+SUMIFS(TablaIngresos[Cantidad],TablaIngresos[Código],'Inventario '!B26)</f>
        <v>0</v>
      </c>
      <c r="H26" s="130">
        <f t="shared" si="29"/>
        <v>0</v>
      </c>
      <c r="I26" s="131">
        <f>SUMIFS(TablaConsumos[[CANTIDAD ]:[CANTIDAD ]],TablaConsumos[[CÓDIGO]:[CÓDIGO]],'Inventario '!$B26,TablaConsumos[[Planta]:[Planta]],'Inventario '!I$1)</f>
        <v>0</v>
      </c>
      <c r="J26" s="131">
        <f>SUMIFS(TablaConsumos[[CANTIDAD ]:[CANTIDAD ]],TablaConsumos[[CÓDIGO]:[CÓDIGO]],'Inventario '!$B26,TablaConsumos[[Planta]:[Planta]],'Inventario '!J$1)</f>
        <v>0</v>
      </c>
      <c r="K26" s="131">
        <f>SUMIFS(TablaConsumos[[CANTIDAD ]:[CANTIDAD ]],TablaConsumos[[CÓDIGO]:[CÓDIGO]],'Inventario '!$B26,TablaConsumos[[Planta]:[Planta]],'Inventario '!K$1)</f>
        <v>0</v>
      </c>
      <c r="L26" s="131">
        <f>SUMIFS(TablaConsumos[[CANTIDAD ]:[CANTIDAD ]],TablaConsumos[[CÓDIGO]:[CÓDIGO]],'Inventario '!$B26,TablaConsumos[[Planta]:[Planta]],'Inventario '!L$1)</f>
        <v>0</v>
      </c>
      <c r="M26" s="131">
        <f>SUMIFS(TablaConsumos[[CANTIDAD ]:[CANTIDAD ]],TablaConsumos[[CÓDIGO]:[CÓDIGO]],'Inventario '!$B26,TablaConsumos[[Planta]:[Planta]],'Inventario '!M$1)</f>
        <v>0</v>
      </c>
      <c r="N26" s="131">
        <f>SUMIFS(TablaConsumos[[CANTIDAD ]:[CANTIDAD ]],TablaConsumos[[CÓDIGO]:[CÓDIGO]],'Inventario '!$B26,TablaConsumos[[Planta]:[Planta]],'Inventario '!N$1)</f>
        <v>0</v>
      </c>
      <c r="O26" s="131">
        <f>SUMIFS(TablaConsumos[[CANTIDAD ]:[CANTIDAD ]],TablaConsumos[[CÓDIGO]:[CÓDIGO]],'Inventario '!$B26,TablaConsumos[[Planta]:[Planta]],'Inventario '!O$1)</f>
        <v>0</v>
      </c>
      <c r="P26" s="131">
        <f>SUMIFS(TablaConsumos[[CANTIDAD ]:[CANTIDAD ]],TablaConsumos[[CÓDIGO]:[CÓDIGO]],'Inventario '!$B26,TablaConsumos[[Planta]:[Planta]],'Inventario '!P$1)</f>
        <v>0</v>
      </c>
      <c r="Q26" s="131">
        <f>SUMIFS(TablaConsumos[[CANTIDAD ]:[CANTIDAD ]],TablaConsumos[[CÓDIGO]:[CÓDIGO]],'Inventario '!$B26,TablaConsumos[[Planta]:[Planta]],'Inventario '!Q$1)</f>
        <v>0</v>
      </c>
      <c r="R26" s="131">
        <f>SUMIFS(TablaConsumos[[CANTIDAD ]:[CANTIDAD ]],TablaConsumos[[CÓDIGO]:[CÓDIGO]],'Inventario '!$B26,TablaConsumos[[Planta]:[Planta]],'Inventario '!R$1)</f>
        <v>0</v>
      </c>
      <c r="S26" s="130">
        <f t="shared" si="23"/>
        <v>0</v>
      </c>
      <c r="T26" s="130">
        <f t="shared" si="24"/>
        <v>0</v>
      </c>
      <c r="U26" s="177"/>
      <c r="V26" s="130"/>
      <c r="W26" s="179">
        <v>30.48</v>
      </c>
      <c r="X26" s="133">
        <f t="shared" si="55"/>
        <v>0</v>
      </c>
      <c r="Y26" s="130">
        <f t="shared" si="31"/>
        <v>0</v>
      </c>
      <c r="Z26" s="132"/>
      <c r="AA26" s="132">
        <f t="shared" si="32"/>
        <v>0</v>
      </c>
      <c r="AB26" s="132"/>
      <c r="AC26" s="131">
        <f t="shared" si="33"/>
        <v>0</v>
      </c>
      <c r="AD26" s="131"/>
      <c r="AE26" s="132" t="s">
        <v>612</v>
      </c>
      <c r="AF26" s="132">
        <v>3048</v>
      </c>
      <c r="AG26" s="168"/>
      <c r="AH26" s="134">
        <f t="shared" si="34"/>
        <v>0</v>
      </c>
      <c r="AI26" s="134">
        <f t="shared" si="35"/>
        <v>0</v>
      </c>
      <c r="AJ26" s="134">
        <f t="shared" si="36"/>
        <v>0</v>
      </c>
      <c r="AK26" s="134">
        <f t="shared" si="37"/>
        <v>0</v>
      </c>
      <c r="AL26" s="134">
        <f t="shared" si="38"/>
        <v>0</v>
      </c>
      <c r="AM26" s="134">
        <f t="shared" si="39"/>
        <v>0</v>
      </c>
      <c r="AN26" s="134">
        <f t="shared" si="40"/>
        <v>0</v>
      </c>
      <c r="AO26" s="134">
        <f t="shared" si="41"/>
        <v>0</v>
      </c>
      <c r="AP26" s="134">
        <f t="shared" si="42"/>
        <v>0</v>
      </c>
      <c r="AQ26" s="134">
        <f t="shared" si="43"/>
        <v>0</v>
      </c>
      <c r="AR26" s="134">
        <f t="shared" si="44"/>
        <v>0</v>
      </c>
      <c r="AS26" s="135">
        <f t="shared" si="27"/>
        <v>0</v>
      </c>
      <c r="AT26" s="137" t="str">
        <f t="shared" si="45"/>
        <v>0</v>
      </c>
      <c r="AU26" s="137" t="str">
        <f t="shared" si="46"/>
        <v>0</v>
      </c>
      <c r="AV26" s="137" t="str">
        <f t="shared" si="47"/>
        <v>0</v>
      </c>
      <c r="AW26" s="137" t="str">
        <f t="shared" si="48"/>
        <v>0</v>
      </c>
      <c r="AX26" s="137" t="str">
        <f t="shared" si="49"/>
        <v>0</v>
      </c>
      <c r="AY26" s="137" t="str">
        <f t="shared" si="50"/>
        <v>0</v>
      </c>
      <c r="AZ26" s="137" t="str">
        <f t="shared" si="51"/>
        <v>0</v>
      </c>
      <c r="BA26" s="137" t="str">
        <f t="shared" si="52"/>
        <v>0</v>
      </c>
      <c r="BB26" s="137" t="str">
        <f t="shared" si="53"/>
        <v>0</v>
      </c>
      <c r="BC26" s="137" t="str">
        <f t="shared" si="54"/>
        <v>0</v>
      </c>
      <c r="BD26" s="131">
        <f t="shared" si="28"/>
        <v>0</v>
      </c>
    </row>
    <row r="27" spans="1:56" x14ac:dyDescent="0.25">
      <c r="B27" s="136">
        <v>8200142</v>
      </c>
      <c r="C27" s="128" t="s">
        <v>30</v>
      </c>
      <c r="D27" s="128"/>
      <c r="E27" s="136" t="s">
        <v>670</v>
      </c>
      <c r="F27" s="274"/>
      <c r="G27" s="130">
        <f>+SUMIFS(TablaIngresos[Cantidad],TablaIngresos[Código],'Inventario '!B27)</f>
        <v>0</v>
      </c>
      <c r="H27" s="130">
        <f t="shared" si="29"/>
        <v>0</v>
      </c>
      <c r="I27" s="131">
        <f>SUMIFS(TablaConsumos[[CANTIDAD ]:[CANTIDAD ]],TablaConsumos[[CÓDIGO]:[CÓDIGO]],'Inventario '!$B27,TablaConsumos[[Planta]:[Planta]],'Inventario '!I$1)</f>
        <v>0</v>
      </c>
      <c r="J27" s="131">
        <f>SUMIFS(TablaConsumos[[CANTIDAD ]:[CANTIDAD ]],TablaConsumos[[CÓDIGO]:[CÓDIGO]],'Inventario '!$B27,TablaConsumos[[Planta]:[Planta]],'Inventario '!J$1)</f>
        <v>0</v>
      </c>
      <c r="K27" s="131">
        <f>SUMIFS(TablaConsumos[[CANTIDAD ]:[CANTIDAD ]],TablaConsumos[[CÓDIGO]:[CÓDIGO]],'Inventario '!$B27,TablaConsumos[[Planta]:[Planta]],'Inventario '!K$1)</f>
        <v>0</v>
      </c>
      <c r="L27" s="131">
        <f>SUMIFS(TablaConsumos[[CANTIDAD ]:[CANTIDAD ]],TablaConsumos[[CÓDIGO]:[CÓDIGO]],'Inventario '!$B27,TablaConsumos[[Planta]:[Planta]],'Inventario '!L$1)</f>
        <v>0</v>
      </c>
      <c r="M27" s="131">
        <f>SUMIFS(TablaConsumos[[CANTIDAD ]:[CANTIDAD ]],TablaConsumos[[CÓDIGO]:[CÓDIGO]],'Inventario '!$B27,TablaConsumos[[Planta]:[Planta]],'Inventario '!M$1)</f>
        <v>0</v>
      </c>
      <c r="N27" s="131">
        <f>SUMIFS(TablaConsumos[[CANTIDAD ]:[CANTIDAD ]],TablaConsumos[[CÓDIGO]:[CÓDIGO]],'Inventario '!$B27,TablaConsumos[[Planta]:[Planta]],'Inventario '!N$1)</f>
        <v>0</v>
      </c>
      <c r="O27" s="131">
        <f>SUMIFS(TablaConsumos[[CANTIDAD ]:[CANTIDAD ]],TablaConsumos[[CÓDIGO]:[CÓDIGO]],'Inventario '!$B27,TablaConsumos[[Planta]:[Planta]],'Inventario '!O$1)</f>
        <v>0</v>
      </c>
      <c r="P27" s="131">
        <f>SUMIFS(TablaConsumos[[CANTIDAD ]:[CANTIDAD ]],TablaConsumos[[CÓDIGO]:[CÓDIGO]],'Inventario '!$B27,TablaConsumos[[Planta]:[Planta]],'Inventario '!P$1)</f>
        <v>0</v>
      </c>
      <c r="Q27" s="131">
        <f>SUMIFS(TablaConsumos[[CANTIDAD ]:[CANTIDAD ]],TablaConsumos[[CÓDIGO]:[CÓDIGO]],'Inventario '!$B27,TablaConsumos[[Planta]:[Planta]],'Inventario '!Q$1)</f>
        <v>0</v>
      </c>
      <c r="R27" s="131">
        <f>SUMIFS(TablaConsumos[[CANTIDAD ]:[CANTIDAD ]],TablaConsumos[[CÓDIGO]:[CÓDIGO]],'Inventario '!$B27,TablaConsumos[[Planta]:[Planta]],'Inventario '!R$1)</f>
        <v>0</v>
      </c>
      <c r="S27" s="130">
        <f t="shared" si="23"/>
        <v>0</v>
      </c>
      <c r="T27" s="130">
        <f>+H27-S27</f>
        <v>0</v>
      </c>
      <c r="U27" s="177"/>
      <c r="V27" s="132"/>
      <c r="W27" s="179">
        <v>30.48</v>
      </c>
      <c r="X27" s="133">
        <f t="shared" si="55"/>
        <v>0</v>
      </c>
      <c r="Y27" s="130">
        <f t="shared" si="31"/>
        <v>0</v>
      </c>
      <c r="Z27" s="132"/>
      <c r="AA27" s="132">
        <f t="shared" si="32"/>
        <v>0</v>
      </c>
      <c r="AB27" s="132"/>
      <c r="AC27" s="131">
        <f t="shared" si="33"/>
        <v>0</v>
      </c>
      <c r="AD27" s="131"/>
      <c r="AE27" s="132" t="s">
        <v>612</v>
      </c>
      <c r="AF27" s="132">
        <v>3048</v>
      </c>
      <c r="AG27" s="168"/>
      <c r="AH27" s="134">
        <f t="shared" si="34"/>
        <v>0</v>
      </c>
      <c r="AI27" s="134">
        <f t="shared" si="35"/>
        <v>0</v>
      </c>
      <c r="AJ27" s="134">
        <f t="shared" si="36"/>
        <v>0</v>
      </c>
      <c r="AK27" s="134">
        <f t="shared" si="37"/>
        <v>0</v>
      </c>
      <c r="AL27" s="134">
        <f t="shared" si="38"/>
        <v>0</v>
      </c>
      <c r="AM27" s="134">
        <f t="shared" si="39"/>
        <v>0</v>
      </c>
      <c r="AN27" s="134">
        <f t="shared" si="40"/>
        <v>0</v>
      </c>
      <c r="AO27" s="134">
        <f t="shared" si="41"/>
        <v>0</v>
      </c>
      <c r="AP27" s="134">
        <f t="shared" si="42"/>
        <v>0</v>
      </c>
      <c r="AQ27" s="134">
        <f t="shared" si="43"/>
        <v>0</v>
      </c>
      <c r="AR27" s="134">
        <f t="shared" si="44"/>
        <v>0</v>
      </c>
      <c r="AS27" s="135">
        <f t="shared" si="27"/>
        <v>0</v>
      </c>
      <c r="AT27" s="137" t="str">
        <f t="shared" si="45"/>
        <v>0</v>
      </c>
      <c r="AU27" s="137" t="str">
        <f t="shared" si="46"/>
        <v>0</v>
      </c>
      <c r="AV27" s="137" t="str">
        <f t="shared" si="47"/>
        <v>0</v>
      </c>
      <c r="AW27" s="137" t="str">
        <f t="shared" si="48"/>
        <v>0</v>
      </c>
      <c r="AX27" s="137" t="str">
        <f t="shared" si="49"/>
        <v>0</v>
      </c>
      <c r="AY27" s="137" t="str">
        <f t="shared" si="50"/>
        <v>0</v>
      </c>
      <c r="AZ27" s="137" t="str">
        <f t="shared" si="51"/>
        <v>0</v>
      </c>
      <c r="BA27" s="137" t="str">
        <f t="shared" si="52"/>
        <v>0</v>
      </c>
      <c r="BB27" s="137" t="str">
        <f t="shared" si="53"/>
        <v>0</v>
      </c>
      <c r="BC27" s="137" t="str">
        <f t="shared" si="54"/>
        <v>0</v>
      </c>
      <c r="BD27" s="131">
        <f t="shared" si="28"/>
        <v>0</v>
      </c>
    </row>
    <row r="28" spans="1:56" x14ac:dyDescent="0.25">
      <c r="B28" s="136">
        <v>8200143</v>
      </c>
      <c r="C28" s="128" t="s">
        <v>30</v>
      </c>
      <c r="D28" s="128"/>
      <c r="E28" s="136" t="s">
        <v>57</v>
      </c>
      <c r="F28" s="274"/>
      <c r="G28" s="130">
        <f>+SUMIFS(TablaIngresos[Cantidad],TablaIngresos[Código],'Inventario '!B28)</f>
        <v>0</v>
      </c>
      <c r="H28" s="130">
        <f t="shared" si="29"/>
        <v>0</v>
      </c>
      <c r="I28" s="131">
        <f>SUMIFS(TablaConsumos[[CANTIDAD ]:[CANTIDAD ]],TablaConsumos[[CÓDIGO]:[CÓDIGO]],'Inventario '!$B28,TablaConsumos[[Planta]:[Planta]],'Inventario '!I$1)</f>
        <v>0</v>
      </c>
      <c r="J28" s="131">
        <f>SUMIFS(TablaConsumos[[CANTIDAD ]:[CANTIDAD ]],TablaConsumos[[CÓDIGO]:[CÓDIGO]],'Inventario '!$B28,TablaConsumos[[Planta]:[Planta]],'Inventario '!J$1)</f>
        <v>0</v>
      </c>
      <c r="K28" s="131">
        <f>SUMIFS(TablaConsumos[[CANTIDAD ]:[CANTIDAD ]],TablaConsumos[[CÓDIGO]:[CÓDIGO]],'Inventario '!$B28,TablaConsumos[[Planta]:[Planta]],'Inventario '!K$1)</f>
        <v>0</v>
      </c>
      <c r="L28" s="131">
        <f>SUMIFS(TablaConsumos[[CANTIDAD ]:[CANTIDAD ]],TablaConsumos[[CÓDIGO]:[CÓDIGO]],'Inventario '!$B28,TablaConsumos[[Planta]:[Planta]],'Inventario '!L$1)</f>
        <v>0</v>
      </c>
      <c r="M28" s="131">
        <f>SUMIFS(TablaConsumos[[CANTIDAD ]:[CANTIDAD ]],TablaConsumos[[CÓDIGO]:[CÓDIGO]],'Inventario '!$B28,TablaConsumos[[Planta]:[Planta]],'Inventario '!M$1)</f>
        <v>0</v>
      </c>
      <c r="N28" s="131">
        <f>SUMIFS(TablaConsumos[[CANTIDAD ]:[CANTIDAD ]],TablaConsumos[[CÓDIGO]:[CÓDIGO]],'Inventario '!$B28,TablaConsumos[[Planta]:[Planta]],'Inventario '!N$1)</f>
        <v>0</v>
      </c>
      <c r="O28" s="131">
        <f>SUMIFS(TablaConsumos[[CANTIDAD ]:[CANTIDAD ]],TablaConsumos[[CÓDIGO]:[CÓDIGO]],'Inventario '!$B28,TablaConsumos[[Planta]:[Planta]],'Inventario '!O$1)</f>
        <v>0</v>
      </c>
      <c r="P28" s="131">
        <f>SUMIFS(TablaConsumos[[CANTIDAD ]:[CANTIDAD ]],TablaConsumos[[CÓDIGO]:[CÓDIGO]],'Inventario '!$B28,TablaConsumos[[Planta]:[Planta]],'Inventario '!P$1)</f>
        <v>0</v>
      </c>
      <c r="Q28" s="131">
        <f>SUMIFS(TablaConsumos[[CANTIDAD ]:[CANTIDAD ]],TablaConsumos[[CÓDIGO]:[CÓDIGO]],'Inventario '!$B28,TablaConsumos[[Planta]:[Planta]],'Inventario '!Q$1)</f>
        <v>0</v>
      </c>
      <c r="R28" s="131">
        <f>SUMIFS(TablaConsumos[[CANTIDAD ]:[CANTIDAD ]],TablaConsumos[[CÓDIGO]:[CÓDIGO]],'Inventario '!$B28,TablaConsumos[[Planta]:[Planta]],'Inventario '!R$1)</f>
        <v>0</v>
      </c>
      <c r="S28" s="130">
        <f t="shared" si="23"/>
        <v>0</v>
      </c>
      <c r="T28" s="130">
        <f t="shared" si="24"/>
        <v>0</v>
      </c>
      <c r="U28" s="177"/>
      <c r="V28" s="130"/>
      <c r="W28" s="179">
        <v>30.48</v>
      </c>
      <c r="X28" s="133">
        <f t="shared" si="55"/>
        <v>0</v>
      </c>
      <c r="Y28" s="130">
        <f t="shared" si="31"/>
        <v>0</v>
      </c>
      <c r="Z28" s="132"/>
      <c r="AA28" s="132">
        <f t="shared" si="32"/>
        <v>0</v>
      </c>
      <c r="AB28" s="132"/>
      <c r="AC28" s="131">
        <f t="shared" si="33"/>
        <v>0</v>
      </c>
      <c r="AD28" s="131"/>
      <c r="AE28" s="132" t="s">
        <v>612</v>
      </c>
      <c r="AF28" s="132">
        <v>3048</v>
      </c>
      <c r="AG28" s="168"/>
      <c r="AH28" s="134">
        <f t="shared" si="34"/>
        <v>0</v>
      </c>
      <c r="AI28" s="134">
        <f t="shared" si="35"/>
        <v>0</v>
      </c>
      <c r="AJ28" s="134">
        <f t="shared" si="36"/>
        <v>0</v>
      </c>
      <c r="AK28" s="134">
        <f t="shared" si="37"/>
        <v>0</v>
      </c>
      <c r="AL28" s="134">
        <f t="shared" si="38"/>
        <v>0</v>
      </c>
      <c r="AM28" s="134">
        <f t="shared" si="39"/>
        <v>0</v>
      </c>
      <c r="AN28" s="134">
        <f t="shared" si="40"/>
        <v>0</v>
      </c>
      <c r="AO28" s="134">
        <f t="shared" si="41"/>
        <v>0</v>
      </c>
      <c r="AP28" s="134">
        <f t="shared" si="42"/>
        <v>0</v>
      </c>
      <c r="AQ28" s="134">
        <f t="shared" si="43"/>
        <v>0</v>
      </c>
      <c r="AR28" s="134">
        <f t="shared" si="44"/>
        <v>0</v>
      </c>
      <c r="AS28" s="135">
        <f t="shared" si="27"/>
        <v>0</v>
      </c>
      <c r="AT28" s="137" t="str">
        <f t="shared" si="45"/>
        <v>0</v>
      </c>
      <c r="AU28" s="137" t="str">
        <f t="shared" si="46"/>
        <v>0</v>
      </c>
      <c r="AV28" s="137" t="str">
        <f t="shared" si="47"/>
        <v>0</v>
      </c>
      <c r="AW28" s="137" t="str">
        <f t="shared" si="48"/>
        <v>0</v>
      </c>
      <c r="AX28" s="137" t="str">
        <f t="shared" si="49"/>
        <v>0</v>
      </c>
      <c r="AY28" s="137" t="str">
        <f t="shared" si="50"/>
        <v>0</v>
      </c>
      <c r="AZ28" s="137" t="str">
        <f t="shared" si="51"/>
        <v>0</v>
      </c>
      <c r="BA28" s="137" t="str">
        <f t="shared" si="52"/>
        <v>0</v>
      </c>
      <c r="BB28" s="137" t="str">
        <f t="shared" si="53"/>
        <v>0</v>
      </c>
      <c r="BC28" s="137" t="str">
        <f t="shared" si="54"/>
        <v>0</v>
      </c>
      <c r="BD28" s="131">
        <f t="shared" si="28"/>
        <v>0</v>
      </c>
    </row>
    <row r="29" spans="1:56" x14ac:dyDescent="0.25">
      <c r="B29" s="136">
        <v>8200144</v>
      </c>
      <c r="C29" s="128" t="s">
        <v>30</v>
      </c>
      <c r="D29" s="128"/>
      <c r="E29" s="136" t="s">
        <v>59</v>
      </c>
      <c r="F29" s="274"/>
      <c r="G29" s="130">
        <f>+SUMIFS(TablaIngresos[Cantidad],TablaIngresos[Código],'Inventario '!B29)</f>
        <v>0</v>
      </c>
      <c r="H29" s="130">
        <f t="shared" si="29"/>
        <v>0</v>
      </c>
      <c r="I29" s="131">
        <f>SUMIFS(TablaConsumos[[CANTIDAD ]:[CANTIDAD ]],TablaConsumos[[CÓDIGO]:[CÓDIGO]],'Inventario '!$B29,TablaConsumos[[Planta]:[Planta]],'Inventario '!I$1)</f>
        <v>0</v>
      </c>
      <c r="J29" s="131">
        <f>SUMIFS(TablaConsumos[[CANTIDAD ]:[CANTIDAD ]],TablaConsumos[[CÓDIGO]:[CÓDIGO]],'Inventario '!$B29,TablaConsumos[[Planta]:[Planta]],'Inventario '!J$1)</f>
        <v>0</v>
      </c>
      <c r="K29" s="131">
        <f>SUMIFS(TablaConsumos[[CANTIDAD ]:[CANTIDAD ]],TablaConsumos[[CÓDIGO]:[CÓDIGO]],'Inventario '!$B29,TablaConsumos[[Planta]:[Planta]],'Inventario '!K$1)</f>
        <v>0</v>
      </c>
      <c r="L29" s="131">
        <f>SUMIFS(TablaConsumos[[CANTIDAD ]:[CANTIDAD ]],TablaConsumos[[CÓDIGO]:[CÓDIGO]],'Inventario '!$B29,TablaConsumos[[Planta]:[Planta]],'Inventario '!L$1)</f>
        <v>0</v>
      </c>
      <c r="M29" s="131">
        <f>SUMIFS(TablaConsumos[[CANTIDAD ]:[CANTIDAD ]],TablaConsumos[[CÓDIGO]:[CÓDIGO]],'Inventario '!$B29,TablaConsumos[[Planta]:[Planta]],'Inventario '!M$1)</f>
        <v>0</v>
      </c>
      <c r="N29" s="131">
        <f>SUMIFS(TablaConsumos[[CANTIDAD ]:[CANTIDAD ]],TablaConsumos[[CÓDIGO]:[CÓDIGO]],'Inventario '!$B29,TablaConsumos[[Planta]:[Planta]],'Inventario '!N$1)</f>
        <v>0</v>
      </c>
      <c r="O29" s="131">
        <f>SUMIFS(TablaConsumos[[CANTIDAD ]:[CANTIDAD ]],TablaConsumos[[CÓDIGO]:[CÓDIGO]],'Inventario '!$B29,TablaConsumos[[Planta]:[Planta]],'Inventario '!O$1)</f>
        <v>0</v>
      </c>
      <c r="P29" s="131">
        <f>SUMIFS(TablaConsumos[[CANTIDAD ]:[CANTIDAD ]],TablaConsumos[[CÓDIGO]:[CÓDIGO]],'Inventario '!$B29,TablaConsumos[[Planta]:[Planta]],'Inventario '!P$1)</f>
        <v>0</v>
      </c>
      <c r="Q29" s="131">
        <f>SUMIFS(TablaConsumos[[CANTIDAD ]:[CANTIDAD ]],TablaConsumos[[CÓDIGO]:[CÓDIGO]],'Inventario '!$B29,TablaConsumos[[Planta]:[Planta]],'Inventario '!Q$1)</f>
        <v>0</v>
      </c>
      <c r="R29" s="131">
        <f>SUMIFS(TablaConsumos[[CANTIDAD ]:[CANTIDAD ]],TablaConsumos[[CÓDIGO]:[CÓDIGO]],'Inventario '!$B29,TablaConsumos[[Planta]:[Planta]],'Inventario '!R$1)</f>
        <v>0</v>
      </c>
      <c r="S29" s="130">
        <f t="shared" si="23"/>
        <v>0</v>
      </c>
      <c r="T29" s="130">
        <f t="shared" si="24"/>
        <v>0</v>
      </c>
      <c r="U29" s="177"/>
      <c r="V29" s="130"/>
      <c r="W29" s="179">
        <v>30.48</v>
      </c>
      <c r="X29" s="133">
        <f t="shared" si="55"/>
        <v>0</v>
      </c>
      <c r="Y29" s="130">
        <f t="shared" si="31"/>
        <v>0</v>
      </c>
      <c r="Z29" s="132"/>
      <c r="AA29" s="132">
        <f t="shared" si="32"/>
        <v>0</v>
      </c>
      <c r="AB29" s="132"/>
      <c r="AC29" s="131">
        <f t="shared" si="33"/>
        <v>0</v>
      </c>
      <c r="AD29" s="131"/>
      <c r="AE29" s="132" t="s">
        <v>612</v>
      </c>
      <c r="AF29" s="132">
        <v>3048</v>
      </c>
      <c r="AG29" s="168"/>
      <c r="AH29" s="134">
        <f t="shared" si="34"/>
        <v>0</v>
      </c>
      <c r="AI29" s="134">
        <f t="shared" si="35"/>
        <v>0</v>
      </c>
      <c r="AJ29" s="134">
        <f t="shared" si="36"/>
        <v>0</v>
      </c>
      <c r="AK29" s="134">
        <f t="shared" si="37"/>
        <v>0</v>
      </c>
      <c r="AL29" s="134">
        <f t="shared" si="38"/>
        <v>0</v>
      </c>
      <c r="AM29" s="134">
        <f t="shared" si="39"/>
        <v>0</v>
      </c>
      <c r="AN29" s="134">
        <f t="shared" si="40"/>
        <v>0</v>
      </c>
      <c r="AO29" s="134">
        <f t="shared" si="41"/>
        <v>0</v>
      </c>
      <c r="AP29" s="134">
        <f t="shared" si="42"/>
        <v>0</v>
      </c>
      <c r="AQ29" s="134">
        <f t="shared" si="43"/>
        <v>0</v>
      </c>
      <c r="AR29" s="134">
        <f t="shared" si="44"/>
        <v>0</v>
      </c>
      <c r="AS29" s="135">
        <f t="shared" si="27"/>
        <v>0</v>
      </c>
      <c r="AT29" s="137" t="str">
        <f t="shared" si="45"/>
        <v>0</v>
      </c>
      <c r="AU29" s="137" t="str">
        <f t="shared" si="46"/>
        <v>0</v>
      </c>
      <c r="AV29" s="137" t="str">
        <f t="shared" si="47"/>
        <v>0</v>
      </c>
      <c r="AW29" s="137" t="str">
        <f t="shared" si="48"/>
        <v>0</v>
      </c>
      <c r="AX29" s="137" t="str">
        <f t="shared" si="49"/>
        <v>0</v>
      </c>
      <c r="AY29" s="137" t="str">
        <f t="shared" si="50"/>
        <v>0</v>
      </c>
      <c r="AZ29" s="137" t="str">
        <f t="shared" si="51"/>
        <v>0</v>
      </c>
      <c r="BA29" s="137" t="str">
        <f t="shared" si="52"/>
        <v>0</v>
      </c>
      <c r="BB29" s="137" t="str">
        <f t="shared" si="53"/>
        <v>0</v>
      </c>
      <c r="BC29" s="137" t="str">
        <f t="shared" si="54"/>
        <v>0</v>
      </c>
      <c r="BD29" s="131">
        <f t="shared" si="28"/>
        <v>0</v>
      </c>
    </row>
    <row r="30" spans="1:56" x14ac:dyDescent="0.25">
      <c r="B30" s="136">
        <v>8200147</v>
      </c>
      <c r="C30" s="128" t="s">
        <v>30</v>
      </c>
      <c r="D30" s="128"/>
      <c r="E30" s="136" t="s">
        <v>65</v>
      </c>
      <c r="F30" s="274"/>
      <c r="G30" s="130">
        <f>+SUMIFS(TablaIngresos[Cantidad],TablaIngresos[Código],'Inventario '!B30)</f>
        <v>0</v>
      </c>
      <c r="H30" s="130">
        <f t="shared" si="29"/>
        <v>0</v>
      </c>
      <c r="I30" s="131">
        <f>SUMIFS(TablaConsumos[[CANTIDAD ]:[CANTIDAD ]],TablaConsumos[[CÓDIGO]:[CÓDIGO]],'Inventario '!$B30,TablaConsumos[[Planta]:[Planta]],'Inventario '!I$1)</f>
        <v>0</v>
      </c>
      <c r="J30" s="131">
        <f>SUMIFS(TablaConsumos[[CANTIDAD ]:[CANTIDAD ]],TablaConsumos[[CÓDIGO]:[CÓDIGO]],'Inventario '!$B30,TablaConsumos[[Planta]:[Planta]],'Inventario '!J$1)</f>
        <v>0</v>
      </c>
      <c r="K30" s="131">
        <f>SUMIFS(TablaConsumos[[CANTIDAD ]:[CANTIDAD ]],TablaConsumos[[CÓDIGO]:[CÓDIGO]],'Inventario '!$B30,TablaConsumos[[Planta]:[Planta]],'Inventario '!K$1)</f>
        <v>0</v>
      </c>
      <c r="L30" s="131">
        <f>SUMIFS(TablaConsumos[[CANTIDAD ]:[CANTIDAD ]],TablaConsumos[[CÓDIGO]:[CÓDIGO]],'Inventario '!$B30,TablaConsumos[[Planta]:[Planta]],'Inventario '!L$1)</f>
        <v>0</v>
      </c>
      <c r="M30" s="131">
        <f>SUMIFS(TablaConsumos[[CANTIDAD ]:[CANTIDAD ]],TablaConsumos[[CÓDIGO]:[CÓDIGO]],'Inventario '!$B30,TablaConsumos[[Planta]:[Planta]],'Inventario '!M$1)</f>
        <v>0</v>
      </c>
      <c r="N30" s="131">
        <f>SUMIFS(TablaConsumos[[CANTIDAD ]:[CANTIDAD ]],TablaConsumos[[CÓDIGO]:[CÓDIGO]],'Inventario '!$B30,TablaConsumos[[Planta]:[Planta]],'Inventario '!N$1)</f>
        <v>0</v>
      </c>
      <c r="O30" s="131">
        <f>SUMIFS(TablaConsumos[[CANTIDAD ]:[CANTIDAD ]],TablaConsumos[[CÓDIGO]:[CÓDIGO]],'Inventario '!$B30,TablaConsumos[[Planta]:[Planta]],'Inventario '!O$1)</f>
        <v>0</v>
      </c>
      <c r="P30" s="131">
        <f>SUMIFS(TablaConsumos[[CANTIDAD ]:[CANTIDAD ]],TablaConsumos[[CÓDIGO]:[CÓDIGO]],'Inventario '!$B30,TablaConsumos[[Planta]:[Planta]],'Inventario '!P$1)</f>
        <v>0</v>
      </c>
      <c r="Q30" s="131">
        <f>SUMIFS(TablaConsumos[[CANTIDAD ]:[CANTIDAD ]],TablaConsumos[[CÓDIGO]:[CÓDIGO]],'Inventario '!$B30,TablaConsumos[[Planta]:[Planta]],'Inventario '!Q$1)</f>
        <v>0</v>
      </c>
      <c r="R30" s="131">
        <f>SUMIFS(TablaConsumos[[CANTIDAD ]:[CANTIDAD ]],TablaConsumos[[CÓDIGO]:[CÓDIGO]],'Inventario '!$B30,TablaConsumos[[Planta]:[Planta]],'Inventario '!R$1)</f>
        <v>0</v>
      </c>
      <c r="S30" s="130">
        <f t="shared" si="23"/>
        <v>0</v>
      </c>
      <c r="T30" s="130">
        <f t="shared" si="24"/>
        <v>0</v>
      </c>
      <c r="U30" s="177"/>
      <c r="V30" s="130"/>
      <c r="W30" s="179">
        <v>30.48</v>
      </c>
      <c r="X30" s="133">
        <f t="shared" si="55"/>
        <v>0</v>
      </c>
      <c r="Y30" s="130">
        <f t="shared" si="31"/>
        <v>0</v>
      </c>
      <c r="Z30" s="132"/>
      <c r="AA30" s="132">
        <f t="shared" si="32"/>
        <v>0</v>
      </c>
      <c r="AB30" s="132"/>
      <c r="AC30" s="131">
        <f t="shared" si="33"/>
        <v>0</v>
      </c>
      <c r="AD30" s="131"/>
      <c r="AE30" s="132" t="s">
        <v>612</v>
      </c>
      <c r="AF30" s="132">
        <v>3048</v>
      </c>
      <c r="AG30" s="168"/>
      <c r="AH30" s="134">
        <f t="shared" si="34"/>
        <v>0</v>
      </c>
      <c r="AI30" s="134">
        <f t="shared" si="35"/>
        <v>0</v>
      </c>
      <c r="AJ30" s="134">
        <f t="shared" si="36"/>
        <v>0</v>
      </c>
      <c r="AK30" s="134">
        <f t="shared" si="37"/>
        <v>0</v>
      </c>
      <c r="AL30" s="134">
        <f t="shared" si="38"/>
        <v>0</v>
      </c>
      <c r="AM30" s="134">
        <f t="shared" si="39"/>
        <v>0</v>
      </c>
      <c r="AN30" s="134">
        <f t="shared" si="40"/>
        <v>0</v>
      </c>
      <c r="AO30" s="134">
        <f t="shared" si="41"/>
        <v>0</v>
      </c>
      <c r="AP30" s="134">
        <f t="shared" si="42"/>
        <v>0</v>
      </c>
      <c r="AQ30" s="134">
        <f t="shared" si="43"/>
        <v>0</v>
      </c>
      <c r="AR30" s="134">
        <f t="shared" si="44"/>
        <v>0</v>
      </c>
      <c r="AS30" s="135">
        <f t="shared" si="27"/>
        <v>0</v>
      </c>
      <c r="AT30" s="137" t="str">
        <f t="shared" si="45"/>
        <v>0</v>
      </c>
      <c r="AU30" s="137" t="str">
        <f t="shared" si="46"/>
        <v>0</v>
      </c>
      <c r="AV30" s="137" t="str">
        <f t="shared" si="47"/>
        <v>0</v>
      </c>
      <c r="AW30" s="137" t="str">
        <f t="shared" si="48"/>
        <v>0</v>
      </c>
      <c r="AX30" s="137" t="str">
        <f t="shared" si="49"/>
        <v>0</v>
      </c>
      <c r="AY30" s="137" t="str">
        <f t="shared" si="50"/>
        <v>0</v>
      </c>
      <c r="AZ30" s="137" t="str">
        <f t="shared" si="51"/>
        <v>0</v>
      </c>
      <c r="BA30" s="137" t="str">
        <f t="shared" si="52"/>
        <v>0</v>
      </c>
      <c r="BB30" s="137" t="str">
        <f t="shared" si="53"/>
        <v>0</v>
      </c>
      <c r="BC30" s="137" t="str">
        <f t="shared" si="54"/>
        <v>0</v>
      </c>
      <c r="BD30" s="131">
        <f t="shared" si="28"/>
        <v>0</v>
      </c>
    </row>
    <row r="31" spans="1:56" x14ac:dyDescent="0.25">
      <c r="B31" s="136">
        <v>8200151</v>
      </c>
      <c r="C31" s="128" t="s">
        <v>30</v>
      </c>
      <c r="D31" s="128"/>
      <c r="E31" s="136" t="s">
        <v>73</v>
      </c>
      <c r="F31" s="274"/>
      <c r="G31" s="130">
        <f>+SUMIFS(TablaIngresos[Cantidad],TablaIngresos[Código],'Inventario '!B31)</f>
        <v>0</v>
      </c>
      <c r="H31" s="130">
        <f t="shared" si="29"/>
        <v>0</v>
      </c>
      <c r="I31" s="131">
        <f>SUMIFS(TablaConsumos[[CANTIDAD ]:[CANTIDAD ]],TablaConsumos[[CÓDIGO]:[CÓDIGO]],'Inventario '!$B31,TablaConsumos[[Planta]:[Planta]],'Inventario '!I$1)</f>
        <v>0</v>
      </c>
      <c r="J31" s="131">
        <f>SUMIFS(TablaConsumos[[CANTIDAD ]:[CANTIDAD ]],TablaConsumos[[CÓDIGO]:[CÓDIGO]],'Inventario '!$B31,TablaConsumos[[Planta]:[Planta]],'Inventario '!J$1)</f>
        <v>0</v>
      </c>
      <c r="K31" s="131">
        <f>SUMIFS(TablaConsumos[[CANTIDAD ]:[CANTIDAD ]],TablaConsumos[[CÓDIGO]:[CÓDIGO]],'Inventario '!$B31,TablaConsumos[[Planta]:[Planta]],'Inventario '!K$1)</f>
        <v>0</v>
      </c>
      <c r="L31" s="131">
        <f>SUMIFS(TablaConsumos[[CANTIDAD ]:[CANTIDAD ]],TablaConsumos[[CÓDIGO]:[CÓDIGO]],'Inventario '!$B31,TablaConsumos[[Planta]:[Planta]],'Inventario '!L$1)</f>
        <v>0</v>
      </c>
      <c r="M31" s="131">
        <f>SUMIFS(TablaConsumos[[CANTIDAD ]:[CANTIDAD ]],TablaConsumos[[CÓDIGO]:[CÓDIGO]],'Inventario '!$B31,TablaConsumos[[Planta]:[Planta]],'Inventario '!M$1)</f>
        <v>0</v>
      </c>
      <c r="N31" s="131">
        <f>SUMIFS(TablaConsumos[[CANTIDAD ]:[CANTIDAD ]],TablaConsumos[[CÓDIGO]:[CÓDIGO]],'Inventario '!$B31,TablaConsumos[[Planta]:[Planta]],'Inventario '!N$1)</f>
        <v>0</v>
      </c>
      <c r="O31" s="131">
        <f>SUMIFS(TablaConsumos[[CANTIDAD ]:[CANTIDAD ]],TablaConsumos[[CÓDIGO]:[CÓDIGO]],'Inventario '!$B31,TablaConsumos[[Planta]:[Planta]],'Inventario '!O$1)</f>
        <v>0</v>
      </c>
      <c r="P31" s="131">
        <f>SUMIFS(TablaConsumos[[CANTIDAD ]:[CANTIDAD ]],TablaConsumos[[CÓDIGO]:[CÓDIGO]],'Inventario '!$B31,TablaConsumos[[Planta]:[Planta]],'Inventario '!P$1)</f>
        <v>0</v>
      </c>
      <c r="Q31" s="131">
        <f>SUMIFS(TablaConsumos[[CANTIDAD ]:[CANTIDAD ]],TablaConsumos[[CÓDIGO]:[CÓDIGO]],'Inventario '!$B31,TablaConsumos[[Planta]:[Planta]],'Inventario '!Q$1)</f>
        <v>0</v>
      </c>
      <c r="R31" s="131">
        <f>SUMIFS(TablaConsumos[[CANTIDAD ]:[CANTIDAD ]],TablaConsumos[[CÓDIGO]:[CÓDIGO]],'Inventario '!$B31,TablaConsumos[[Planta]:[Planta]],'Inventario '!R$1)</f>
        <v>0</v>
      </c>
      <c r="S31" s="130">
        <f t="shared" si="23"/>
        <v>0</v>
      </c>
      <c r="T31" s="130">
        <f t="shared" si="24"/>
        <v>0</v>
      </c>
      <c r="U31" s="177"/>
      <c r="V31" s="132"/>
      <c r="W31" s="179">
        <v>30.48</v>
      </c>
      <c r="X31" s="133">
        <f t="shared" si="55"/>
        <v>0</v>
      </c>
      <c r="Y31" s="130">
        <f t="shared" si="31"/>
        <v>0</v>
      </c>
      <c r="Z31" s="132"/>
      <c r="AA31" s="132">
        <f t="shared" si="32"/>
        <v>0</v>
      </c>
      <c r="AB31" s="132"/>
      <c r="AC31" s="131">
        <f t="shared" si="33"/>
        <v>0</v>
      </c>
      <c r="AD31" s="131"/>
      <c r="AE31" s="132" t="s">
        <v>612</v>
      </c>
      <c r="AF31" s="132">
        <v>3048</v>
      </c>
      <c r="AG31" s="168"/>
      <c r="AH31" s="134">
        <f t="shared" si="34"/>
        <v>0</v>
      </c>
      <c r="AI31" s="134">
        <f t="shared" si="35"/>
        <v>0</v>
      </c>
      <c r="AJ31" s="134">
        <f t="shared" si="36"/>
        <v>0</v>
      </c>
      <c r="AK31" s="134">
        <f t="shared" si="37"/>
        <v>0</v>
      </c>
      <c r="AL31" s="134">
        <f t="shared" si="38"/>
        <v>0</v>
      </c>
      <c r="AM31" s="134">
        <f t="shared" si="39"/>
        <v>0</v>
      </c>
      <c r="AN31" s="134">
        <f t="shared" si="40"/>
        <v>0</v>
      </c>
      <c r="AO31" s="134">
        <f t="shared" si="41"/>
        <v>0</v>
      </c>
      <c r="AP31" s="134">
        <f t="shared" si="42"/>
        <v>0</v>
      </c>
      <c r="AQ31" s="134">
        <f t="shared" si="43"/>
        <v>0</v>
      </c>
      <c r="AR31" s="134">
        <f t="shared" si="44"/>
        <v>0</v>
      </c>
      <c r="AS31" s="135">
        <f t="shared" si="27"/>
        <v>0</v>
      </c>
      <c r="AT31" s="137" t="str">
        <f t="shared" si="45"/>
        <v>0</v>
      </c>
      <c r="AU31" s="137" t="str">
        <f t="shared" si="46"/>
        <v>0</v>
      </c>
      <c r="AV31" s="137" t="str">
        <f t="shared" si="47"/>
        <v>0</v>
      </c>
      <c r="AW31" s="137" t="str">
        <f t="shared" si="48"/>
        <v>0</v>
      </c>
      <c r="AX31" s="137" t="str">
        <f t="shared" si="49"/>
        <v>0</v>
      </c>
      <c r="AY31" s="137" t="str">
        <f t="shared" si="50"/>
        <v>0</v>
      </c>
      <c r="AZ31" s="137" t="str">
        <f t="shared" si="51"/>
        <v>0</v>
      </c>
      <c r="BA31" s="137" t="str">
        <f t="shared" si="52"/>
        <v>0</v>
      </c>
      <c r="BB31" s="137" t="str">
        <f t="shared" si="53"/>
        <v>0</v>
      </c>
      <c r="BC31" s="137" t="str">
        <f t="shared" si="54"/>
        <v>0</v>
      </c>
      <c r="BD31" s="131">
        <f t="shared" si="28"/>
        <v>0</v>
      </c>
    </row>
    <row r="32" spans="1:56" x14ac:dyDescent="0.25">
      <c r="B32" s="136">
        <v>8200152</v>
      </c>
      <c r="C32" s="128" t="s">
        <v>30</v>
      </c>
      <c r="D32" s="128"/>
      <c r="E32" s="136" t="s">
        <v>75</v>
      </c>
      <c r="F32" s="274"/>
      <c r="G32" s="130">
        <f>+SUMIFS(TablaIngresos[Cantidad],TablaIngresos[Código],'Inventario '!B32)</f>
        <v>0</v>
      </c>
      <c r="H32" s="130">
        <f t="shared" si="29"/>
        <v>0</v>
      </c>
      <c r="I32" s="131">
        <f>SUMIFS(TablaConsumos[[CANTIDAD ]:[CANTIDAD ]],TablaConsumos[[CÓDIGO]:[CÓDIGO]],'Inventario '!$B32,TablaConsumos[[Planta]:[Planta]],'Inventario '!I$1)</f>
        <v>0</v>
      </c>
      <c r="J32" s="131">
        <f>SUMIFS(TablaConsumos[[CANTIDAD ]:[CANTIDAD ]],TablaConsumos[[CÓDIGO]:[CÓDIGO]],'Inventario '!$B32,TablaConsumos[[Planta]:[Planta]],'Inventario '!J$1)</f>
        <v>0</v>
      </c>
      <c r="K32" s="131">
        <f>SUMIFS(TablaConsumos[[CANTIDAD ]:[CANTIDAD ]],TablaConsumos[[CÓDIGO]:[CÓDIGO]],'Inventario '!$B32,TablaConsumos[[Planta]:[Planta]],'Inventario '!K$1)</f>
        <v>0</v>
      </c>
      <c r="L32" s="131">
        <f>SUMIFS(TablaConsumos[[CANTIDAD ]:[CANTIDAD ]],TablaConsumos[[CÓDIGO]:[CÓDIGO]],'Inventario '!$B32,TablaConsumos[[Planta]:[Planta]],'Inventario '!L$1)</f>
        <v>0</v>
      </c>
      <c r="M32" s="131">
        <f>SUMIFS(TablaConsumos[[CANTIDAD ]:[CANTIDAD ]],TablaConsumos[[CÓDIGO]:[CÓDIGO]],'Inventario '!$B32,TablaConsumos[[Planta]:[Planta]],'Inventario '!M$1)</f>
        <v>0</v>
      </c>
      <c r="N32" s="131">
        <f>SUMIFS(TablaConsumos[[CANTIDAD ]:[CANTIDAD ]],TablaConsumos[[CÓDIGO]:[CÓDIGO]],'Inventario '!$B32,TablaConsumos[[Planta]:[Planta]],'Inventario '!N$1)</f>
        <v>0</v>
      </c>
      <c r="O32" s="131">
        <f>SUMIFS(TablaConsumos[[CANTIDAD ]:[CANTIDAD ]],TablaConsumos[[CÓDIGO]:[CÓDIGO]],'Inventario '!$B32,TablaConsumos[[Planta]:[Planta]],'Inventario '!O$1)</f>
        <v>0</v>
      </c>
      <c r="P32" s="131">
        <f>SUMIFS(TablaConsumos[[CANTIDAD ]:[CANTIDAD ]],TablaConsumos[[CÓDIGO]:[CÓDIGO]],'Inventario '!$B32,TablaConsumos[[Planta]:[Planta]],'Inventario '!P$1)</f>
        <v>0</v>
      </c>
      <c r="Q32" s="131">
        <f>SUMIFS(TablaConsumos[[CANTIDAD ]:[CANTIDAD ]],TablaConsumos[[CÓDIGO]:[CÓDIGO]],'Inventario '!$B32,TablaConsumos[[Planta]:[Planta]],'Inventario '!Q$1)</f>
        <v>0</v>
      </c>
      <c r="R32" s="131">
        <f>SUMIFS(TablaConsumos[[CANTIDAD ]:[CANTIDAD ]],TablaConsumos[[CÓDIGO]:[CÓDIGO]],'Inventario '!$B32,TablaConsumos[[Planta]:[Planta]],'Inventario '!R$1)</f>
        <v>0</v>
      </c>
      <c r="S32" s="130">
        <f t="shared" si="23"/>
        <v>0</v>
      </c>
      <c r="T32" s="130">
        <f t="shared" si="24"/>
        <v>0</v>
      </c>
      <c r="U32" s="177"/>
      <c r="V32" s="132"/>
      <c r="W32" s="179">
        <v>30.48</v>
      </c>
      <c r="X32" s="133">
        <f t="shared" si="55"/>
        <v>0</v>
      </c>
      <c r="Y32" s="130">
        <f t="shared" si="31"/>
        <v>0</v>
      </c>
      <c r="Z32" s="132"/>
      <c r="AA32" s="132">
        <f t="shared" si="32"/>
        <v>0</v>
      </c>
      <c r="AB32" s="132"/>
      <c r="AC32" s="132">
        <f t="shared" si="33"/>
        <v>0</v>
      </c>
      <c r="AD32" s="132"/>
      <c r="AE32" s="132" t="s">
        <v>612</v>
      </c>
      <c r="AF32" s="132">
        <v>3048</v>
      </c>
      <c r="AG32" s="168"/>
      <c r="AH32" s="134">
        <f t="shared" si="34"/>
        <v>0</v>
      </c>
      <c r="AI32" s="134">
        <f t="shared" si="35"/>
        <v>0</v>
      </c>
      <c r="AJ32" s="134">
        <f t="shared" si="36"/>
        <v>0</v>
      </c>
      <c r="AK32" s="134">
        <f t="shared" si="37"/>
        <v>0</v>
      </c>
      <c r="AL32" s="134">
        <f t="shared" si="38"/>
        <v>0</v>
      </c>
      <c r="AM32" s="134">
        <f t="shared" si="39"/>
        <v>0</v>
      </c>
      <c r="AN32" s="134">
        <f t="shared" si="40"/>
        <v>0</v>
      </c>
      <c r="AO32" s="134">
        <f t="shared" si="41"/>
        <v>0</v>
      </c>
      <c r="AP32" s="134">
        <f t="shared" si="42"/>
        <v>0</v>
      </c>
      <c r="AQ32" s="134">
        <f t="shared" si="43"/>
        <v>0</v>
      </c>
      <c r="AR32" s="134">
        <f t="shared" si="44"/>
        <v>0</v>
      </c>
      <c r="AS32" s="135">
        <f t="shared" si="27"/>
        <v>0</v>
      </c>
      <c r="AT32" s="137" t="str">
        <f t="shared" si="45"/>
        <v>0</v>
      </c>
      <c r="AU32" s="137" t="str">
        <f t="shared" si="46"/>
        <v>0</v>
      </c>
      <c r="AV32" s="137" t="str">
        <f t="shared" si="47"/>
        <v>0</v>
      </c>
      <c r="AW32" s="137" t="str">
        <f t="shared" si="48"/>
        <v>0</v>
      </c>
      <c r="AX32" s="137" t="str">
        <f t="shared" si="49"/>
        <v>0</v>
      </c>
      <c r="AY32" s="137" t="str">
        <f t="shared" si="50"/>
        <v>0</v>
      </c>
      <c r="AZ32" s="137" t="str">
        <f t="shared" si="51"/>
        <v>0</v>
      </c>
      <c r="BA32" s="137" t="str">
        <f t="shared" si="52"/>
        <v>0</v>
      </c>
      <c r="BB32" s="137" t="str">
        <f t="shared" si="53"/>
        <v>0</v>
      </c>
      <c r="BC32" s="137" t="str">
        <f t="shared" si="54"/>
        <v>0</v>
      </c>
      <c r="BD32" s="131">
        <f t="shared" si="28"/>
        <v>0</v>
      </c>
    </row>
    <row r="33" spans="2:56" x14ac:dyDescent="0.25">
      <c r="B33" s="136">
        <v>8200153</v>
      </c>
      <c r="C33" s="128" t="s">
        <v>30</v>
      </c>
      <c r="D33" s="128"/>
      <c r="E33" s="136" t="s">
        <v>77</v>
      </c>
      <c r="F33" s="274"/>
      <c r="G33" s="130">
        <f>+SUMIFS(TablaIngresos[Cantidad],TablaIngresos[Código],'Inventario '!B33)</f>
        <v>0</v>
      </c>
      <c r="H33" s="130">
        <f t="shared" si="29"/>
        <v>0</v>
      </c>
      <c r="I33" s="131">
        <f>SUMIFS(TablaConsumos[[CANTIDAD ]:[CANTIDAD ]],TablaConsumos[[CÓDIGO]:[CÓDIGO]],'Inventario '!$B33,TablaConsumos[[Planta]:[Planta]],'Inventario '!I$1)</f>
        <v>0</v>
      </c>
      <c r="J33" s="131">
        <f>SUMIFS(TablaConsumos[[CANTIDAD ]:[CANTIDAD ]],TablaConsumos[[CÓDIGO]:[CÓDIGO]],'Inventario '!$B33,TablaConsumos[[Planta]:[Planta]],'Inventario '!J$1)</f>
        <v>0</v>
      </c>
      <c r="K33" s="131">
        <f>SUMIFS(TablaConsumos[[CANTIDAD ]:[CANTIDAD ]],TablaConsumos[[CÓDIGO]:[CÓDIGO]],'Inventario '!$B33,TablaConsumos[[Planta]:[Planta]],'Inventario '!K$1)</f>
        <v>0</v>
      </c>
      <c r="L33" s="131">
        <f>SUMIFS(TablaConsumos[[CANTIDAD ]:[CANTIDAD ]],TablaConsumos[[CÓDIGO]:[CÓDIGO]],'Inventario '!$B33,TablaConsumos[[Planta]:[Planta]],'Inventario '!L$1)</f>
        <v>0</v>
      </c>
      <c r="M33" s="131">
        <f>SUMIFS(TablaConsumos[[CANTIDAD ]:[CANTIDAD ]],TablaConsumos[[CÓDIGO]:[CÓDIGO]],'Inventario '!$B33,TablaConsumos[[Planta]:[Planta]],'Inventario '!M$1)</f>
        <v>0</v>
      </c>
      <c r="N33" s="131">
        <f>SUMIFS(TablaConsumos[[CANTIDAD ]:[CANTIDAD ]],TablaConsumos[[CÓDIGO]:[CÓDIGO]],'Inventario '!$B33,TablaConsumos[[Planta]:[Planta]],'Inventario '!N$1)</f>
        <v>0</v>
      </c>
      <c r="O33" s="131">
        <f>SUMIFS(TablaConsumos[[CANTIDAD ]:[CANTIDAD ]],TablaConsumos[[CÓDIGO]:[CÓDIGO]],'Inventario '!$B33,TablaConsumos[[Planta]:[Planta]],'Inventario '!O$1)</f>
        <v>0</v>
      </c>
      <c r="P33" s="131">
        <f>SUMIFS(TablaConsumos[[CANTIDAD ]:[CANTIDAD ]],TablaConsumos[[CÓDIGO]:[CÓDIGO]],'Inventario '!$B33,TablaConsumos[[Planta]:[Planta]],'Inventario '!P$1)</f>
        <v>0</v>
      </c>
      <c r="Q33" s="131">
        <f>SUMIFS(TablaConsumos[[CANTIDAD ]:[CANTIDAD ]],TablaConsumos[[CÓDIGO]:[CÓDIGO]],'Inventario '!$B33,TablaConsumos[[Planta]:[Planta]],'Inventario '!Q$1)</f>
        <v>0</v>
      </c>
      <c r="R33" s="131">
        <f>SUMIFS(TablaConsumos[[CANTIDAD ]:[CANTIDAD ]],TablaConsumos[[CÓDIGO]:[CÓDIGO]],'Inventario '!$B33,TablaConsumos[[Planta]:[Planta]],'Inventario '!R$1)</f>
        <v>0</v>
      </c>
      <c r="S33" s="130">
        <f t="shared" si="23"/>
        <v>0</v>
      </c>
      <c r="T33" s="130">
        <f t="shared" si="24"/>
        <v>0</v>
      </c>
      <c r="U33" s="177"/>
      <c r="V33" s="130"/>
      <c r="W33" s="179">
        <v>30.48</v>
      </c>
      <c r="X33" s="133">
        <f t="shared" si="55"/>
        <v>0</v>
      </c>
      <c r="Y33" s="130">
        <f t="shared" si="31"/>
        <v>0</v>
      </c>
      <c r="Z33" s="132"/>
      <c r="AA33" s="132">
        <f t="shared" si="32"/>
        <v>0</v>
      </c>
      <c r="AB33" s="132"/>
      <c r="AC33" s="131">
        <f t="shared" si="33"/>
        <v>0</v>
      </c>
      <c r="AD33" s="131"/>
      <c r="AE33" s="132" t="s">
        <v>612</v>
      </c>
      <c r="AF33" s="132">
        <v>3048</v>
      </c>
      <c r="AG33" s="168"/>
      <c r="AH33" s="134">
        <f t="shared" si="34"/>
        <v>0</v>
      </c>
      <c r="AI33" s="134">
        <f t="shared" si="35"/>
        <v>0</v>
      </c>
      <c r="AJ33" s="134">
        <f t="shared" si="36"/>
        <v>0</v>
      </c>
      <c r="AK33" s="134">
        <f t="shared" si="37"/>
        <v>0</v>
      </c>
      <c r="AL33" s="134">
        <f t="shared" si="38"/>
        <v>0</v>
      </c>
      <c r="AM33" s="134">
        <f t="shared" si="39"/>
        <v>0</v>
      </c>
      <c r="AN33" s="134">
        <f t="shared" si="40"/>
        <v>0</v>
      </c>
      <c r="AO33" s="134">
        <f t="shared" si="41"/>
        <v>0</v>
      </c>
      <c r="AP33" s="134">
        <f t="shared" si="42"/>
        <v>0</v>
      </c>
      <c r="AQ33" s="134">
        <f t="shared" si="43"/>
        <v>0</v>
      </c>
      <c r="AR33" s="134">
        <f t="shared" si="44"/>
        <v>0</v>
      </c>
      <c r="AS33" s="135">
        <f t="shared" si="27"/>
        <v>0</v>
      </c>
      <c r="AT33" s="137" t="str">
        <f t="shared" si="45"/>
        <v>0</v>
      </c>
      <c r="AU33" s="137" t="str">
        <f t="shared" si="46"/>
        <v>0</v>
      </c>
      <c r="AV33" s="137" t="str">
        <f t="shared" si="47"/>
        <v>0</v>
      </c>
      <c r="AW33" s="137" t="str">
        <f t="shared" si="48"/>
        <v>0</v>
      </c>
      <c r="AX33" s="137" t="str">
        <f t="shared" si="49"/>
        <v>0</v>
      </c>
      <c r="AY33" s="137" t="str">
        <f t="shared" si="50"/>
        <v>0</v>
      </c>
      <c r="AZ33" s="137" t="str">
        <f t="shared" si="51"/>
        <v>0</v>
      </c>
      <c r="BA33" s="137" t="str">
        <f t="shared" si="52"/>
        <v>0</v>
      </c>
      <c r="BB33" s="137" t="str">
        <f t="shared" si="53"/>
        <v>0</v>
      </c>
      <c r="BC33" s="137" t="str">
        <f t="shared" si="54"/>
        <v>0</v>
      </c>
      <c r="BD33" s="131">
        <f t="shared" si="28"/>
        <v>0</v>
      </c>
    </row>
    <row r="34" spans="2:56" x14ac:dyDescent="0.25">
      <c r="B34" s="136">
        <v>8200154</v>
      </c>
      <c r="C34" s="128" t="s">
        <v>30</v>
      </c>
      <c r="D34" s="128"/>
      <c r="E34" s="136" t="s">
        <v>79</v>
      </c>
      <c r="F34" s="274"/>
      <c r="G34" s="130">
        <f>+SUMIFS(TablaIngresos[Cantidad],TablaIngresos[Código],'Inventario '!B34)</f>
        <v>0</v>
      </c>
      <c r="H34" s="130">
        <f t="shared" si="29"/>
        <v>0</v>
      </c>
      <c r="I34" s="131">
        <f>SUMIFS(TablaConsumos[[CANTIDAD ]:[CANTIDAD ]],TablaConsumos[[CÓDIGO]:[CÓDIGO]],'Inventario '!$B34,TablaConsumos[[Planta]:[Planta]],'Inventario '!I$1)</f>
        <v>0</v>
      </c>
      <c r="J34" s="131">
        <f>SUMIFS(TablaConsumos[[CANTIDAD ]:[CANTIDAD ]],TablaConsumos[[CÓDIGO]:[CÓDIGO]],'Inventario '!$B34,TablaConsumos[[Planta]:[Planta]],'Inventario '!J$1)</f>
        <v>0</v>
      </c>
      <c r="K34" s="131">
        <f>SUMIFS(TablaConsumos[[CANTIDAD ]:[CANTIDAD ]],TablaConsumos[[CÓDIGO]:[CÓDIGO]],'Inventario '!$B34,TablaConsumos[[Planta]:[Planta]],'Inventario '!K$1)</f>
        <v>0</v>
      </c>
      <c r="L34" s="131">
        <f>SUMIFS(TablaConsumos[[CANTIDAD ]:[CANTIDAD ]],TablaConsumos[[CÓDIGO]:[CÓDIGO]],'Inventario '!$B34,TablaConsumos[[Planta]:[Planta]],'Inventario '!L$1)</f>
        <v>0</v>
      </c>
      <c r="M34" s="131">
        <f>SUMIFS(TablaConsumos[[CANTIDAD ]:[CANTIDAD ]],TablaConsumos[[CÓDIGO]:[CÓDIGO]],'Inventario '!$B34,TablaConsumos[[Planta]:[Planta]],'Inventario '!M$1)</f>
        <v>0</v>
      </c>
      <c r="N34" s="131">
        <f>SUMIFS(TablaConsumos[[CANTIDAD ]:[CANTIDAD ]],TablaConsumos[[CÓDIGO]:[CÓDIGO]],'Inventario '!$B34,TablaConsumos[[Planta]:[Planta]],'Inventario '!N$1)</f>
        <v>0</v>
      </c>
      <c r="O34" s="131">
        <f>SUMIFS(TablaConsumos[[CANTIDAD ]:[CANTIDAD ]],TablaConsumos[[CÓDIGO]:[CÓDIGO]],'Inventario '!$B34,TablaConsumos[[Planta]:[Planta]],'Inventario '!O$1)</f>
        <v>0</v>
      </c>
      <c r="P34" s="131">
        <f>SUMIFS(TablaConsumos[[CANTIDAD ]:[CANTIDAD ]],TablaConsumos[[CÓDIGO]:[CÓDIGO]],'Inventario '!$B34,TablaConsumos[[Planta]:[Planta]],'Inventario '!P$1)</f>
        <v>0</v>
      </c>
      <c r="Q34" s="131">
        <f>SUMIFS(TablaConsumos[[CANTIDAD ]:[CANTIDAD ]],TablaConsumos[[CÓDIGO]:[CÓDIGO]],'Inventario '!$B34,TablaConsumos[[Planta]:[Planta]],'Inventario '!Q$1)</f>
        <v>0</v>
      </c>
      <c r="R34" s="131">
        <f>SUMIFS(TablaConsumos[[CANTIDAD ]:[CANTIDAD ]],TablaConsumos[[CÓDIGO]:[CÓDIGO]],'Inventario '!$B34,TablaConsumos[[Planta]:[Planta]],'Inventario '!R$1)</f>
        <v>0</v>
      </c>
      <c r="S34" s="130">
        <f t="shared" si="23"/>
        <v>0</v>
      </c>
      <c r="T34" s="130">
        <f t="shared" si="24"/>
        <v>0</v>
      </c>
      <c r="U34" s="177"/>
      <c r="V34" s="130"/>
      <c r="W34" s="179">
        <v>30.48</v>
      </c>
      <c r="X34" s="133">
        <f t="shared" si="55"/>
        <v>0</v>
      </c>
      <c r="Y34" s="130">
        <f t="shared" si="31"/>
        <v>0</v>
      </c>
      <c r="Z34" s="132"/>
      <c r="AA34" s="132">
        <f t="shared" si="32"/>
        <v>0</v>
      </c>
      <c r="AB34" s="132"/>
      <c r="AC34" s="131">
        <f t="shared" si="33"/>
        <v>0</v>
      </c>
      <c r="AD34" s="131"/>
      <c r="AE34" s="132" t="s">
        <v>612</v>
      </c>
      <c r="AF34" s="132">
        <v>3048</v>
      </c>
      <c r="AG34" s="168"/>
      <c r="AH34" s="134">
        <f t="shared" si="34"/>
        <v>0</v>
      </c>
      <c r="AI34" s="134">
        <f t="shared" si="35"/>
        <v>0</v>
      </c>
      <c r="AJ34" s="134">
        <f t="shared" si="36"/>
        <v>0</v>
      </c>
      <c r="AK34" s="134">
        <f t="shared" si="37"/>
        <v>0</v>
      </c>
      <c r="AL34" s="134">
        <f t="shared" si="38"/>
        <v>0</v>
      </c>
      <c r="AM34" s="134">
        <f t="shared" si="39"/>
        <v>0</v>
      </c>
      <c r="AN34" s="134">
        <f t="shared" si="40"/>
        <v>0</v>
      </c>
      <c r="AO34" s="134">
        <f t="shared" si="41"/>
        <v>0</v>
      </c>
      <c r="AP34" s="134">
        <f t="shared" si="42"/>
        <v>0</v>
      </c>
      <c r="AQ34" s="134">
        <f t="shared" si="43"/>
        <v>0</v>
      </c>
      <c r="AR34" s="134">
        <f t="shared" si="44"/>
        <v>0</v>
      </c>
      <c r="AS34" s="135">
        <f t="shared" si="27"/>
        <v>0</v>
      </c>
      <c r="AT34" s="137" t="str">
        <f t="shared" si="45"/>
        <v>0</v>
      </c>
      <c r="AU34" s="137" t="str">
        <f t="shared" si="46"/>
        <v>0</v>
      </c>
      <c r="AV34" s="137" t="str">
        <f t="shared" si="47"/>
        <v>0</v>
      </c>
      <c r="AW34" s="137" t="str">
        <f t="shared" si="48"/>
        <v>0</v>
      </c>
      <c r="AX34" s="137" t="str">
        <f t="shared" si="49"/>
        <v>0</v>
      </c>
      <c r="AY34" s="137" t="str">
        <f t="shared" si="50"/>
        <v>0</v>
      </c>
      <c r="AZ34" s="137" t="str">
        <f t="shared" si="51"/>
        <v>0</v>
      </c>
      <c r="BA34" s="137" t="str">
        <f t="shared" si="52"/>
        <v>0</v>
      </c>
      <c r="BB34" s="137" t="str">
        <f t="shared" si="53"/>
        <v>0</v>
      </c>
      <c r="BC34" s="137" t="str">
        <f t="shared" si="54"/>
        <v>0</v>
      </c>
      <c r="BD34" s="131">
        <f t="shared" si="28"/>
        <v>0</v>
      </c>
    </row>
    <row r="35" spans="2:56" x14ac:dyDescent="0.25">
      <c r="B35" s="136">
        <v>8200155</v>
      </c>
      <c r="C35" s="128" t="s">
        <v>30</v>
      </c>
      <c r="D35" s="128"/>
      <c r="E35" s="136" t="s">
        <v>81</v>
      </c>
      <c r="F35" s="274"/>
      <c r="G35" s="130">
        <f>+SUMIFS(TablaIngresos[Cantidad],TablaIngresos[Código],'Inventario '!B35)</f>
        <v>0</v>
      </c>
      <c r="H35" s="130">
        <f t="shared" si="29"/>
        <v>0</v>
      </c>
      <c r="I35" s="131">
        <f>SUMIFS(TablaConsumos[[CANTIDAD ]:[CANTIDAD ]],TablaConsumos[[CÓDIGO]:[CÓDIGO]],'Inventario '!$B35,TablaConsumos[[Planta]:[Planta]],'Inventario '!I$1)</f>
        <v>0</v>
      </c>
      <c r="J35" s="131">
        <f>SUMIFS(TablaConsumos[[CANTIDAD ]:[CANTIDAD ]],TablaConsumos[[CÓDIGO]:[CÓDIGO]],'Inventario '!$B35,TablaConsumos[[Planta]:[Planta]],'Inventario '!J$1)</f>
        <v>0</v>
      </c>
      <c r="K35" s="131">
        <f>SUMIFS(TablaConsumos[[CANTIDAD ]:[CANTIDAD ]],TablaConsumos[[CÓDIGO]:[CÓDIGO]],'Inventario '!$B35,TablaConsumos[[Planta]:[Planta]],'Inventario '!K$1)</f>
        <v>0</v>
      </c>
      <c r="L35" s="131">
        <f>SUMIFS(TablaConsumos[[CANTIDAD ]:[CANTIDAD ]],TablaConsumos[[CÓDIGO]:[CÓDIGO]],'Inventario '!$B35,TablaConsumos[[Planta]:[Planta]],'Inventario '!L$1)</f>
        <v>0</v>
      </c>
      <c r="M35" s="131">
        <f>SUMIFS(TablaConsumos[[CANTIDAD ]:[CANTIDAD ]],TablaConsumos[[CÓDIGO]:[CÓDIGO]],'Inventario '!$B35,TablaConsumos[[Planta]:[Planta]],'Inventario '!M$1)</f>
        <v>0</v>
      </c>
      <c r="N35" s="131">
        <f>SUMIFS(TablaConsumos[[CANTIDAD ]:[CANTIDAD ]],TablaConsumos[[CÓDIGO]:[CÓDIGO]],'Inventario '!$B35,TablaConsumos[[Planta]:[Planta]],'Inventario '!N$1)</f>
        <v>0</v>
      </c>
      <c r="O35" s="131">
        <f>SUMIFS(TablaConsumos[[CANTIDAD ]:[CANTIDAD ]],TablaConsumos[[CÓDIGO]:[CÓDIGO]],'Inventario '!$B35,TablaConsumos[[Planta]:[Planta]],'Inventario '!O$1)</f>
        <v>0</v>
      </c>
      <c r="P35" s="131">
        <f>SUMIFS(TablaConsumos[[CANTIDAD ]:[CANTIDAD ]],TablaConsumos[[CÓDIGO]:[CÓDIGO]],'Inventario '!$B35,TablaConsumos[[Planta]:[Planta]],'Inventario '!P$1)</f>
        <v>0</v>
      </c>
      <c r="Q35" s="131">
        <f>SUMIFS(TablaConsumos[[CANTIDAD ]:[CANTIDAD ]],TablaConsumos[[CÓDIGO]:[CÓDIGO]],'Inventario '!$B35,TablaConsumos[[Planta]:[Planta]],'Inventario '!Q$1)</f>
        <v>0</v>
      </c>
      <c r="R35" s="131">
        <f>SUMIFS(TablaConsumos[[CANTIDAD ]:[CANTIDAD ]],TablaConsumos[[CÓDIGO]:[CÓDIGO]],'Inventario '!$B35,TablaConsumos[[Planta]:[Planta]],'Inventario '!R$1)</f>
        <v>0</v>
      </c>
      <c r="S35" s="130">
        <f t="shared" si="23"/>
        <v>0</v>
      </c>
      <c r="T35" s="130">
        <f t="shared" si="24"/>
        <v>0</v>
      </c>
      <c r="U35" s="177"/>
      <c r="V35" s="130"/>
      <c r="W35" s="179">
        <v>30.48</v>
      </c>
      <c r="X35" s="133">
        <f t="shared" si="55"/>
        <v>0</v>
      </c>
      <c r="Y35" s="130">
        <f t="shared" si="31"/>
        <v>0</v>
      </c>
      <c r="Z35" s="132"/>
      <c r="AA35" s="132">
        <f t="shared" si="32"/>
        <v>0</v>
      </c>
      <c r="AB35" s="132"/>
      <c r="AC35" s="131">
        <f t="shared" si="33"/>
        <v>0</v>
      </c>
      <c r="AD35" s="131"/>
      <c r="AE35" s="132" t="s">
        <v>612</v>
      </c>
      <c r="AF35" s="132">
        <v>3048</v>
      </c>
      <c r="AG35" s="168"/>
      <c r="AH35" s="134">
        <f t="shared" si="34"/>
        <v>0</v>
      </c>
      <c r="AI35" s="134">
        <f t="shared" si="35"/>
        <v>0</v>
      </c>
      <c r="AJ35" s="134">
        <f t="shared" si="36"/>
        <v>0</v>
      </c>
      <c r="AK35" s="134">
        <f t="shared" si="37"/>
        <v>0</v>
      </c>
      <c r="AL35" s="134">
        <f t="shared" si="38"/>
        <v>0</v>
      </c>
      <c r="AM35" s="134">
        <f t="shared" si="39"/>
        <v>0</v>
      </c>
      <c r="AN35" s="134">
        <f t="shared" si="40"/>
        <v>0</v>
      </c>
      <c r="AO35" s="134">
        <f t="shared" si="41"/>
        <v>0</v>
      </c>
      <c r="AP35" s="134">
        <f t="shared" si="42"/>
        <v>0</v>
      </c>
      <c r="AQ35" s="134">
        <f t="shared" si="43"/>
        <v>0</v>
      </c>
      <c r="AR35" s="134">
        <f t="shared" si="44"/>
        <v>0</v>
      </c>
      <c r="AS35" s="135">
        <f t="shared" si="27"/>
        <v>0</v>
      </c>
      <c r="AT35" s="137" t="str">
        <f t="shared" si="45"/>
        <v>0</v>
      </c>
      <c r="AU35" s="137" t="str">
        <f t="shared" si="46"/>
        <v>0</v>
      </c>
      <c r="AV35" s="137" t="str">
        <f t="shared" si="47"/>
        <v>0</v>
      </c>
      <c r="AW35" s="137" t="str">
        <f t="shared" si="48"/>
        <v>0</v>
      </c>
      <c r="AX35" s="137" t="str">
        <f t="shared" si="49"/>
        <v>0</v>
      </c>
      <c r="AY35" s="137" t="str">
        <f t="shared" si="50"/>
        <v>0</v>
      </c>
      <c r="AZ35" s="137" t="str">
        <f t="shared" si="51"/>
        <v>0</v>
      </c>
      <c r="BA35" s="137" t="str">
        <f t="shared" si="52"/>
        <v>0</v>
      </c>
      <c r="BB35" s="137" t="str">
        <f t="shared" si="53"/>
        <v>0</v>
      </c>
      <c r="BC35" s="137" t="str">
        <f t="shared" si="54"/>
        <v>0</v>
      </c>
      <c r="BD35" s="131">
        <f t="shared" si="28"/>
        <v>0</v>
      </c>
    </row>
    <row r="36" spans="2:56" x14ac:dyDescent="0.25">
      <c r="B36" s="136">
        <v>8200521</v>
      </c>
      <c r="C36" s="128" t="s">
        <v>17</v>
      </c>
      <c r="D36" s="128"/>
      <c r="E36" s="136" t="s">
        <v>671</v>
      </c>
      <c r="F36" s="274"/>
      <c r="G36" s="130">
        <f>+SUMIFS(TablaIngresos[Cantidad],TablaIngresos[Código],'Inventario '!B36)</f>
        <v>0</v>
      </c>
      <c r="H36" s="130">
        <f t="shared" si="29"/>
        <v>0</v>
      </c>
      <c r="I36" s="131">
        <f>SUMIFS(TablaConsumos[[CANTIDAD ]:[CANTIDAD ]],TablaConsumos[[CÓDIGO]:[CÓDIGO]],'Inventario '!$B36,TablaConsumos[[Planta]:[Planta]],'Inventario '!I$1)</f>
        <v>0</v>
      </c>
      <c r="J36" s="131">
        <f>SUMIFS(TablaConsumos[[CANTIDAD ]:[CANTIDAD ]],TablaConsumos[[CÓDIGO]:[CÓDIGO]],'Inventario '!$B36,TablaConsumos[[Planta]:[Planta]],'Inventario '!J$1)</f>
        <v>0</v>
      </c>
      <c r="K36" s="131">
        <f>SUMIFS(TablaConsumos[[CANTIDAD ]:[CANTIDAD ]],TablaConsumos[[CÓDIGO]:[CÓDIGO]],'Inventario '!$B36,TablaConsumos[[Planta]:[Planta]],'Inventario '!K$1)</f>
        <v>0</v>
      </c>
      <c r="L36" s="131">
        <f>SUMIFS(TablaConsumos[[CANTIDAD ]:[CANTIDAD ]],TablaConsumos[[CÓDIGO]:[CÓDIGO]],'Inventario '!$B36,TablaConsumos[[Planta]:[Planta]],'Inventario '!L$1)</f>
        <v>0</v>
      </c>
      <c r="M36" s="131">
        <f>SUMIFS(TablaConsumos[[CANTIDAD ]:[CANTIDAD ]],TablaConsumos[[CÓDIGO]:[CÓDIGO]],'Inventario '!$B36,TablaConsumos[[Planta]:[Planta]],'Inventario '!M$1)</f>
        <v>0</v>
      </c>
      <c r="N36" s="131">
        <f>SUMIFS(TablaConsumos[[CANTIDAD ]:[CANTIDAD ]],TablaConsumos[[CÓDIGO]:[CÓDIGO]],'Inventario '!$B36,TablaConsumos[[Planta]:[Planta]],'Inventario '!N$1)</f>
        <v>0</v>
      </c>
      <c r="O36" s="131">
        <f>SUMIFS(TablaConsumos[[CANTIDAD ]:[CANTIDAD ]],TablaConsumos[[CÓDIGO]:[CÓDIGO]],'Inventario '!$B36,TablaConsumos[[Planta]:[Planta]],'Inventario '!O$1)</f>
        <v>0</v>
      </c>
      <c r="P36" s="131">
        <f>SUMIFS(TablaConsumos[[CANTIDAD ]:[CANTIDAD ]],TablaConsumos[[CÓDIGO]:[CÓDIGO]],'Inventario '!$B36,TablaConsumos[[Planta]:[Planta]],'Inventario '!P$1)</f>
        <v>0</v>
      </c>
      <c r="Q36" s="131">
        <f>SUMIFS(TablaConsumos[[CANTIDAD ]:[CANTIDAD ]],TablaConsumos[[CÓDIGO]:[CÓDIGO]],'Inventario '!$B36,TablaConsumos[[Planta]:[Planta]],'Inventario '!Q$1)</f>
        <v>0</v>
      </c>
      <c r="R36" s="131">
        <f>SUMIFS(TablaConsumos[[CANTIDAD ]:[CANTIDAD ]],TablaConsumos[[CÓDIGO]:[CÓDIGO]],'Inventario '!$B36,TablaConsumos[[Planta]:[Planta]],'Inventario '!R$1)</f>
        <v>0</v>
      </c>
      <c r="S36" s="130">
        <f t="shared" si="23"/>
        <v>0</v>
      </c>
      <c r="T36" s="130">
        <f t="shared" si="24"/>
        <v>0</v>
      </c>
      <c r="U36" s="177"/>
      <c r="V36" s="130"/>
      <c r="W36" s="132">
        <v>1</v>
      </c>
      <c r="X36" s="133">
        <f>+U36*W36</f>
        <v>0</v>
      </c>
      <c r="Y36" s="130">
        <f t="shared" si="31"/>
        <v>0</v>
      </c>
      <c r="Z36" s="132"/>
      <c r="AA36" s="132">
        <f t="shared" si="32"/>
        <v>0</v>
      </c>
      <c r="AB36" s="132"/>
      <c r="AC36" s="131">
        <f t="shared" si="33"/>
        <v>0</v>
      </c>
      <c r="AD36" s="131"/>
      <c r="AE36" s="132" t="s">
        <v>614</v>
      </c>
      <c r="AF36" s="132">
        <v>5</v>
      </c>
      <c r="AG36" s="168"/>
      <c r="AH36" s="134">
        <f t="shared" si="34"/>
        <v>0</v>
      </c>
      <c r="AI36" s="134">
        <f t="shared" si="35"/>
        <v>0</v>
      </c>
      <c r="AJ36" s="134">
        <f t="shared" si="36"/>
        <v>0</v>
      </c>
      <c r="AK36" s="134">
        <f t="shared" si="37"/>
        <v>0</v>
      </c>
      <c r="AL36" s="134">
        <f t="shared" si="38"/>
        <v>0</v>
      </c>
      <c r="AM36" s="134">
        <f t="shared" si="39"/>
        <v>0</v>
      </c>
      <c r="AN36" s="134">
        <f t="shared" si="40"/>
        <v>0</v>
      </c>
      <c r="AO36" s="134">
        <f t="shared" si="41"/>
        <v>0</v>
      </c>
      <c r="AP36" s="134">
        <f t="shared" si="42"/>
        <v>0</v>
      </c>
      <c r="AQ36" s="134">
        <f t="shared" si="43"/>
        <v>0</v>
      </c>
      <c r="AR36" s="134">
        <f t="shared" si="44"/>
        <v>0</v>
      </c>
      <c r="AS36" s="135">
        <f t="shared" si="27"/>
        <v>0</v>
      </c>
      <c r="AT36" s="137" t="str">
        <f t="shared" si="45"/>
        <v>0</v>
      </c>
      <c r="AU36" s="137" t="str">
        <f t="shared" si="46"/>
        <v>0</v>
      </c>
      <c r="AV36" s="137" t="str">
        <f t="shared" si="47"/>
        <v>0</v>
      </c>
      <c r="AW36" s="137" t="str">
        <f t="shared" si="48"/>
        <v>0</v>
      </c>
      <c r="AX36" s="137" t="str">
        <f t="shared" si="49"/>
        <v>0</v>
      </c>
      <c r="AY36" s="137" t="str">
        <f t="shared" si="50"/>
        <v>0</v>
      </c>
      <c r="AZ36" s="137" t="str">
        <f t="shared" si="51"/>
        <v>0</v>
      </c>
      <c r="BA36" s="137" t="str">
        <f t="shared" si="52"/>
        <v>0</v>
      </c>
      <c r="BB36" s="137" t="str">
        <f t="shared" si="53"/>
        <v>0</v>
      </c>
      <c r="BC36" s="137" t="str">
        <f t="shared" si="54"/>
        <v>0</v>
      </c>
      <c r="BD36" s="131">
        <f t="shared" si="28"/>
        <v>0</v>
      </c>
    </row>
    <row r="37" spans="2:56" x14ac:dyDescent="0.25">
      <c r="B37" s="136">
        <v>8200522</v>
      </c>
      <c r="C37" s="128" t="s">
        <v>17</v>
      </c>
      <c r="D37" s="128"/>
      <c r="E37" s="136" t="s">
        <v>672</v>
      </c>
      <c r="F37" s="274"/>
      <c r="G37" s="130">
        <f>+SUMIFS(TablaIngresos[Cantidad],TablaIngresos[Código],'Inventario '!B37)</f>
        <v>0</v>
      </c>
      <c r="H37" s="130">
        <f t="shared" si="29"/>
        <v>0</v>
      </c>
      <c r="I37" s="131">
        <f>SUMIFS(TablaConsumos[[CANTIDAD ]:[CANTIDAD ]],TablaConsumos[[CÓDIGO]:[CÓDIGO]],'Inventario '!$B37,TablaConsumos[[Planta]:[Planta]],'Inventario '!I$1)</f>
        <v>0</v>
      </c>
      <c r="J37" s="131">
        <f>SUMIFS(TablaConsumos[[CANTIDAD ]:[CANTIDAD ]],TablaConsumos[[CÓDIGO]:[CÓDIGO]],'Inventario '!$B37,TablaConsumos[[Planta]:[Planta]],'Inventario '!J$1)</f>
        <v>0</v>
      </c>
      <c r="K37" s="131">
        <f>SUMIFS(TablaConsumos[[CANTIDAD ]:[CANTIDAD ]],TablaConsumos[[CÓDIGO]:[CÓDIGO]],'Inventario '!$B37,TablaConsumos[[Planta]:[Planta]],'Inventario '!K$1)</f>
        <v>0</v>
      </c>
      <c r="L37" s="131">
        <f>SUMIFS(TablaConsumos[[CANTIDAD ]:[CANTIDAD ]],TablaConsumos[[CÓDIGO]:[CÓDIGO]],'Inventario '!$B37,TablaConsumos[[Planta]:[Planta]],'Inventario '!L$1)</f>
        <v>0</v>
      </c>
      <c r="M37" s="131">
        <f>SUMIFS(TablaConsumos[[CANTIDAD ]:[CANTIDAD ]],TablaConsumos[[CÓDIGO]:[CÓDIGO]],'Inventario '!$B37,TablaConsumos[[Planta]:[Planta]],'Inventario '!M$1)</f>
        <v>0</v>
      </c>
      <c r="N37" s="131">
        <f>SUMIFS(TablaConsumos[[CANTIDAD ]:[CANTIDAD ]],TablaConsumos[[CÓDIGO]:[CÓDIGO]],'Inventario '!$B37,TablaConsumos[[Planta]:[Planta]],'Inventario '!N$1)</f>
        <v>0</v>
      </c>
      <c r="O37" s="131">
        <f>SUMIFS(TablaConsumos[[CANTIDAD ]:[CANTIDAD ]],TablaConsumos[[CÓDIGO]:[CÓDIGO]],'Inventario '!$B37,TablaConsumos[[Planta]:[Planta]],'Inventario '!O$1)</f>
        <v>0</v>
      </c>
      <c r="P37" s="131">
        <f>SUMIFS(TablaConsumos[[CANTIDAD ]:[CANTIDAD ]],TablaConsumos[[CÓDIGO]:[CÓDIGO]],'Inventario '!$B37,TablaConsumos[[Planta]:[Planta]],'Inventario '!P$1)</f>
        <v>0</v>
      </c>
      <c r="Q37" s="131">
        <f>SUMIFS(TablaConsumos[[CANTIDAD ]:[CANTIDAD ]],TablaConsumos[[CÓDIGO]:[CÓDIGO]],'Inventario '!$B37,TablaConsumos[[Planta]:[Planta]],'Inventario '!Q$1)</f>
        <v>0</v>
      </c>
      <c r="R37" s="131">
        <f>SUMIFS(TablaConsumos[[CANTIDAD ]:[CANTIDAD ]],TablaConsumos[[CÓDIGO]:[CÓDIGO]],'Inventario '!$B37,TablaConsumos[[Planta]:[Planta]],'Inventario '!R$1)</f>
        <v>0</v>
      </c>
      <c r="S37" s="130">
        <f t="shared" si="23"/>
        <v>0</v>
      </c>
      <c r="T37" s="130">
        <f t="shared" si="24"/>
        <v>0</v>
      </c>
      <c r="U37" s="177"/>
      <c r="V37" s="130"/>
      <c r="W37" s="132">
        <v>1</v>
      </c>
      <c r="X37" s="133">
        <f>+U37*W37</f>
        <v>0</v>
      </c>
      <c r="Y37" s="130">
        <f t="shared" si="31"/>
        <v>0</v>
      </c>
      <c r="Z37" s="132"/>
      <c r="AA37" s="132">
        <f t="shared" si="32"/>
        <v>0</v>
      </c>
      <c r="AB37" s="132"/>
      <c r="AC37" s="131">
        <f t="shared" si="33"/>
        <v>0</v>
      </c>
      <c r="AD37" s="131"/>
      <c r="AE37" s="132" t="s">
        <v>614</v>
      </c>
      <c r="AF37" s="132">
        <v>5</v>
      </c>
      <c r="AG37" s="168"/>
      <c r="AH37" s="134">
        <f t="shared" si="34"/>
        <v>0</v>
      </c>
      <c r="AI37" s="134">
        <f t="shared" si="35"/>
        <v>0</v>
      </c>
      <c r="AJ37" s="134">
        <f t="shared" si="36"/>
        <v>0</v>
      </c>
      <c r="AK37" s="134">
        <f t="shared" si="37"/>
        <v>0</v>
      </c>
      <c r="AL37" s="134">
        <f t="shared" si="38"/>
        <v>0</v>
      </c>
      <c r="AM37" s="134">
        <f t="shared" si="39"/>
        <v>0</v>
      </c>
      <c r="AN37" s="134">
        <f t="shared" si="40"/>
        <v>0</v>
      </c>
      <c r="AO37" s="134">
        <f t="shared" si="41"/>
        <v>0</v>
      </c>
      <c r="AP37" s="134">
        <f t="shared" si="42"/>
        <v>0</v>
      </c>
      <c r="AQ37" s="134">
        <f t="shared" si="43"/>
        <v>0</v>
      </c>
      <c r="AR37" s="134">
        <f t="shared" si="44"/>
        <v>0</v>
      </c>
      <c r="AS37" s="135">
        <f t="shared" si="27"/>
        <v>0</v>
      </c>
      <c r="AT37" s="137" t="str">
        <f t="shared" si="45"/>
        <v>0</v>
      </c>
      <c r="AU37" s="137" t="str">
        <f t="shared" si="46"/>
        <v>0</v>
      </c>
      <c r="AV37" s="137" t="str">
        <f t="shared" si="47"/>
        <v>0</v>
      </c>
      <c r="AW37" s="137" t="str">
        <f t="shared" si="48"/>
        <v>0</v>
      </c>
      <c r="AX37" s="137" t="str">
        <f t="shared" si="49"/>
        <v>0</v>
      </c>
      <c r="AY37" s="137" t="str">
        <f t="shared" si="50"/>
        <v>0</v>
      </c>
      <c r="AZ37" s="137" t="str">
        <f t="shared" si="51"/>
        <v>0</v>
      </c>
      <c r="BA37" s="137" t="str">
        <f t="shared" si="52"/>
        <v>0</v>
      </c>
      <c r="BB37" s="137" t="str">
        <f t="shared" si="53"/>
        <v>0</v>
      </c>
      <c r="BC37" s="137" t="str">
        <f t="shared" si="54"/>
        <v>0</v>
      </c>
      <c r="BD37" s="131">
        <f t="shared" si="28"/>
        <v>0</v>
      </c>
    </row>
    <row r="38" spans="2:56" x14ac:dyDescent="0.25">
      <c r="B38" s="136">
        <v>8200523</v>
      </c>
      <c r="C38" s="128" t="s">
        <v>17</v>
      </c>
      <c r="D38" s="128"/>
      <c r="E38" s="136" t="s">
        <v>673</v>
      </c>
      <c r="F38" s="274"/>
      <c r="G38" s="130">
        <f>+SUMIFS(TablaIngresos[Cantidad],TablaIngresos[Código],'Inventario '!B38)</f>
        <v>0</v>
      </c>
      <c r="H38" s="130">
        <f t="shared" si="29"/>
        <v>0</v>
      </c>
      <c r="I38" s="131">
        <f>SUMIFS(TablaConsumos[[CANTIDAD ]:[CANTIDAD ]],TablaConsumos[[CÓDIGO]:[CÓDIGO]],'Inventario '!$B38,TablaConsumos[[Planta]:[Planta]],'Inventario '!I$1)</f>
        <v>0</v>
      </c>
      <c r="J38" s="131">
        <f>SUMIFS(TablaConsumos[[CANTIDAD ]:[CANTIDAD ]],TablaConsumos[[CÓDIGO]:[CÓDIGO]],'Inventario '!$B38,TablaConsumos[[Planta]:[Planta]],'Inventario '!J$1)</f>
        <v>0</v>
      </c>
      <c r="K38" s="131">
        <f>SUMIFS(TablaConsumos[[CANTIDAD ]:[CANTIDAD ]],TablaConsumos[[CÓDIGO]:[CÓDIGO]],'Inventario '!$B38,TablaConsumos[[Planta]:[Planta]],'Inventario '!K$1)</f>
        <v>0</v>
      </c>
      <c r="L38" s="131">
        <f>SUMIFS(TablaConsumos[[CANTIDAD ]:[CANTIDAD ]],TablaConsumos[[CÓDIGO]:[CÓDIGO]],'Inventario '!$B38,TablaConsumos[[Planta]:[Planta]],'Inventario '!L$1)</f>
        <v>0</v>
      </c>
      <c r="M38" s="131">
        <f>SUMIFS(TablaConsumos[[CANTIDAD ]:[CANTIDAD ]],TablaConsumos[[CÓDIGO]:[CÓDIGO]],'Inventario '!$B38,TablaConsumos[[Planta]:[Planta]],'Inventario '!M$1)</f>
        <v>0</v>
      </c>
      <c r="N38" s="131">
        <f>SUMIFS(TablaConsumos[[CANTIDAD ]:[CANTIDAD ]],TablaConsumos[[CÓDIGO]:[CÓDIGO]],'Inventario '!$B38,TablaConsumos[[Planta]:[Planta]],'Inventario '!N$1)</f>
        <v>0</v>
      </c>
      <c r="O38" s="131">
        <f>SUMIFS(TablaConsumos[[CANTIDAD ]:[CANTIDAD ]],TablaConsumos[[CÓDIGO]:[CÓDIGO]],'Inventario '!$B38,TablaConsumos[[Planta]:[Planta]],'Inventario '!O$1)</f>
        <v>0</v>
      </c>
      <c r="P38" s="131">
        <f>SUMIFS(TablaConsumos[[CANTIDAD ]:[CANTIDAD ]],TablaConsumos[[CÓDIGO]:[CÓDIGO]],'Inventario '!$B38,TablaConsumos[[Planta]:[Planta]],'Inventario '!P$1)</f>
        <v>0</v>
      </c>
      <c r="Q38" s="131">
        <f>SUMIFS(TablaConsumos[[CANTIDAD ]:[CANTIDAD ]],TablaConsumos[[CÓDIGO]:[CÓDIGO]],'Inventario '!$B38,TablaConsumos[[Planta]:[Planta]],'Inventario '!Q$1)</f>
        <v>0</v>
      </c>
      <c r="R38" s="131">
        <f>SUMIFS(TablaConsumos[[CANTIDAD ]:[CANTIDAD ]],TablaConsumos[[CÓDIGO]:[CÓDIGO]],'Inventario '!$B38,TablaConsumos[[Planta]:[Planta]],'Inventario '!R$1)</f>
        <v>0</v>
      </c>
      <c r="S38" s="130">
        <f t="shared" si="23"/>
        <v>0</v>
      </c>
      <c r="T38" s="130">
        <f t="shared" si="24"/>
        <v>0</v>
      </c>
      <c r="U38" s="177"/>
      <c r="V38" s="130"/>
      <c r="W38" s="132">
        <v>1</v>
      </c>
      <c r="X38" s="133">
        <f t="shared" ref="X38:X45" si="56">+U38*W38</f>
        <v>0</v>
      </c>
      <c r="Y38" s="130">
        <f t="shared" si="31"/>
        <v>0</v>
      </c>
      <c r="Z38" s="132"/>
      <c r="AA38" s="132">
        <f t="shared" si="32"/>
        <v>0</v>
      </c>
      <c r="AB38" s="132"/>
      <c r="AC38" s="131">
        <f t="shared" si="33"/>
        <v>0</v>
      </c>
      <c r="AD38" s="131"/>
      <c r="AE38" s="132" t="s">
        <v>614</v>
      </c>
      <c r="AF38" s="132">
        <v>5</v>
      </c>
      <c r="AG38" s="168"/>
      <c r="AH38" s="134">
        <f t="shared" si="34"/>
        <v>0</v>
      </c>
      <c r="AI38" s="134">
        <f t="shared" si="35"/>
        <v>0</v>
      </c>
      <c r="AJ38" s="134">
        <f t="shared" si="36"/>
        <v>0</v>
      </c>
      <c r="AK38" s="134">
        <f t="shared" si="37"/>
        <v>0</v>
      </c>
      <c r="AL38" s="134">
        <f t="shared" si="38"/>
        <v>0</v>
      </c>
      <c r="AM38" s="134">
        <f t="shared" si="39"/>
        <v>0</v>
      </c>
      <c r="AN38" s="134">
        <f t="shared" si="40"/>
        <v>0</v>
      </c>
      <c r="AO38" s="134">
        <f t="shared" si="41"/>
        <v>0</v>
      </c>
      <c r="AP38" s="134">
        <f t="shared" si="42"/>
        <v>0</v>
      </c>
      <c r="AQ38" s="134">
        <f t="shared" si="43"/>
        <v>0</v>
      </c>
      <c r="AR38" s="134">
        <f t="shared" si="44"/>
        <v>0</v>
      </c>
      <c r="AS38" s="135">
        <f t="shared" si="27"/>
        <v>0</v>
      </c>
      <c r="AT38" s="137" t="str">
        <f t="shared" si="45"/>
        <v>0</v>
      </c>
      <c r="AU38" s="137" t="str">
        <f t="shared" si="46"/>
        <v>0</v>
      </c>
      <c r="AV38" s="137" t="str">
        <f t="shared" si="47"/>
        <v>0</v>
      </c>
      <c r="AW38" s="137" t="str">
        <f t="shared" si="48"/>
        <v>0</v>
      </c>
      <c r="AX38" s="137" t="str">
        <f t="shared" si="49"/>
        <v>0</v>
      </c>
      <c r="AY38" s="137" t="str">
        <f t="shared" si="50"/>
        <v>0</v>
      </c>
      <c r="AZ38" s="137" t="str">
        <f t="shared" si="51"/>
        <v>0</v>
      </c>
      <c r="BA38" s="137" t="str">
        <f t="shared" si="52"/>
        <v>0</v>
      </c>
      <c r="BB38" s="137" t="str">
        <f t="shared" si="53"/>
        <v>0</v>
      </c>
      <c r="BC38" s="137" t="str">
        <f t="shared" si="54"/>
        <v>0</v>
      </c>
      <c r="BD38" s="131">
        <f t="shared" si="28"/>
        <v>0</v>
      </c>
    </row>
    <row r="39" spans="2:56" x14ac:dyDescent="0.25">
      <c r="B39" s="136">
        <v>8200524</v>
      </c>
      <c r="C39" s="128" t="s">
        <v>17</v>
      </c>
      <c r="D39" s="128"/>
      <c r="E39" s="136" t="s">
        <v>674</v>
      </c>
      <c r="F39" s="274"/>
      <c r="G39" s="130">
        <f>+SUMIFS(TablaIngresos[Cantidad],TablaIngresos[Código],'Inventario '!B39)</f>
        <v>0</v>
      </c>
      <c r="H39" s="130">
        <f t="shared" si="29"/>
        <v>0</v>
      </c>
      <c r="I39" s="131">
        <f>SUMIFS(TablaConsumos[[CANTIDAD ]:[CANTIDAD ]],TablaConsumos[[CÓDIGO]:[CÓDIGO]],'Inventario '!$B39,TablaConsumos[[Planta]:[Planta]],'Inventario '!I$1)</f>
        <v>0</v>
      </c>
      <c r="J39" s="131">
        <f>SUMIFS(TablaConsumos[[CANTIDAD ]:[CANTIDAD ]],TablaConsumos[[CÓDIGO]:[CÓDIGO]],'Inventario '!$B39,TablaConsumos[[Planta]:[Planta]],'Inventario '!J$1)</f>
        <v>0</v>
      </c>
      <c r="K39" s="131">
        <f>SUMIFS(TablaConsumos[[CANTIDAD ]:[CANTIDAD ]],TablaConsumos[[CÓDIGO]:[CÓDIGO]],'Inventario '!$B39,TablaConsumos[[Planta]:[Planta]],'Inventario '!K$1)</f>
        <v>0</v>
      </c>
      <c r="L39" s="131">
        <f>SUMIFS(TablaConsumos[[CANTIDAD ]:[CANTIDAD ]],TablaConsumos[[CÓDIGO]:[CÓDIGO]],'Inventario '!$B39,TablaConsumos[[Planta]:[Planta]],'Inventario '!L$1)</f>
        <v>0</v>
      </c>
      <c r="M39" s="131">
        <f>SUMIFS(TablaConsumos[[CANTIDAD ]:[CANTIDAD ]],TablaConsumos[[CÓDIGO]:[CÓDIGO]],'Inventario '!$B39,TablaConsumos[[Planta]:[Planta]],'Inventario '!M$1)</f>
        <v>0</v>
      </c>
      <c r="N39" s="131">
        <f>SUMIFS(TablaConsumos[[CANTIDAD ]:[CANTIDAD ]],TablaConsumos[[CÓDIGO]:[CÓDIGO]],'Inventario '!$B39,TablaConsumos[[Planta]:[Planta]],'Inventario '!N$1)</f>
        <v>0</v>
      </c>
      <c r="O39" s="131">
        <f>SUMIFS(TablaConsumos[[CANTIDAD ]:[CANTIDAD ]],TablaConsumos[[CÓDIGO]:[CÓDIGO]],'Inventario '!$B39,TablaConsumos[[Planta]:[Planta]],'Inventario '!O$1)</f>
        <v>0</v>
      </c>
      <c r="P39" s="131">
        <f>SUMIFS(TablaConsumos[[CANTIDAD ]:[CANTIDAD ]],TablaConsumos[[CÓDIGO]:[CÓDIGO]],'Inventario '!$B39,TablaConsumos[[Planta]:[Planta]],'Inventario '!P$1)</f>
        <v>0</v>
      </c>
      <c r="Q39" s="131">
        <f>SUMIFS(TablaConsumos[[CANTIDAD ]:[CANTIDAD ]],TablaConsumos[[CÓDIGO]:[CÓDIGO]],'Inventario '!$B39,TablaConsumos[[Planta]:[Planta]],'Inventario '!Q$1)</f>
        <v>0</v>
      </c>
      <c r="R39" s="131">
        <f>SUMIFS(TablaConsumos[[CANTIDAD ]:[CANTIDAD ]],TablaConsumos[[CÓDIGO]:[CÓDIGO]],'Inventario '!$B39,TablaConsumos[[Planta]:[Planta]],'Inventario '!R$1)</f>
        <v>0</v>
      </c>
      <c r="S39" s="130">
        <f t="shared" si="23"/>
        <v>0</v>
      </c>
      <c r="T39" s="130">
        <f t="shared" si="24"/>
        <v>0</v>
      </c>
      <c r="U39" s="177"/>
      <c r="V39" s="130"/>
      <c r="W39" s="132">
        <v>1</v>
      </c>
      <c r="X39" s="133">
        <f t="shared" si="56"/>
        <v>0</v>
      </c>
      <c r="Y39" s="130">
        <f t="shared" si="31"/>
        <v>0</v>
      </c>
      <c r="Z39" s="132"/>
      <c r="AA39" s="132">
        <f t="shared" si="32"/>
        <v>0</v>
      </c>
      <c r="AB39" s="132"/>
      <c r="AC39" s="132">
        <f t="shared" si="33"/>
        <v>0</v>
      </c>
      <c r="AD39" s="131"/>
      <c r="AE39" s="132" t="s">
        <v>614</v>
      </c>
      <c r="AF39" s="132">
        <v>5</v>
      </c>
      <c r="AG39" s="168"/>
      <c r="AH39" s="134">
        <f t="shared" si="34"/>
        <v>0</v>
      </c>
      <c r="AI39" s="134">
        <f t="shared" si="35"/>
        <v>0</v>
      </c>
      <c r="AJ39" s="134">
        <f t="shared" si="36"/>
        <v>0</v>
      </c>
      <c r="AK39" s="134">
        <f t="shared" si="37"/>
        <v>0</v>
      </c>
      <c r="AL39" s="134">
        <f t="shared" si="38"/>
        <v>0</v>
      </c>
      <c r="AM39" s="134">
        <f t="shared" si="39"/>
        <v>0</v>
      </c>
      <c r="AN39" s="134">
        <f t="shared" si="40"/>
        <v>0</v>
      </c>
      <c r="AO39" s="134">
        <f t="shared" si="41"/>
        <v>0</v>
      </c>
      <c r="AP39" s="134">
        <f t="shared" si="42"/>
        <v>0</v>
      </c>
      <c r="AQ39" s="134">
        <f t="shared" si="43"/>
        <v>0</v>
      </c>
      <c r="AR39" s="134">
        <f t="shared" si="44"/>
        <v>0</v>
      </c>
      <c r="AS39" s="135">
        <f t="shared" si="27"/>
        <v>0</v>
      </c>
      <c r="AT39" s="137" t="str">
        <f t="shared" si="45"/>
        <v>0</v>
      </c>
      <c r="AU39" s="137" t="str">
        <f t="shared" si="46"/>
        <v>0</v>
      </c>
      <c r="AV39" s="137" t="str">
        <f t="shared" si="47"/>
        <v>0</v>
      </c>
      <c r="AW39" s="137" t="str">
        <f t="shared" si="48"/>
        <v>0</v>
      </c>
      <c r="AX39" s="137" t="str">
        <f t="shared" si="49"/>
        <v>0</v>
      </c>
      <c r="AY39" s="137" t="str">
        <f t="shared" si="50"/>
        <v>0</v>
      </c>
      <c r="AZ39" s="137" t="str">
        <f t="shared" si="51"/>
        <v>0</v>
      </c>
      <c r="BA39" s="137" t="str">
        <f t="shared" si="52"/>
        <v>0</v>
      </c>
      <c r="BB39" s="137" t="str">
        <f t="shared" si="53"/>
        <v>0</v>
      </c>
      <c r="BC39" s="137" t="str">
        <f t="shared" si="54"/>
        <v>0</v>
      </c>
      <c r="BD39" s="131">
        <f t="shared" si="28"/>
        <v>0</v>
      </c>
    </row>
    <row r="40" spans="2:56" x14ac:dyDescent="0.25">
      <c r="B40" s="136">
        <v>8200525</v>
      </c>
      <c r="C40" s="128" t="s">
        <v>17</v>
      </c>
      <c r="D40" s="128"/>
      <c r="E40" s="136" t="s">
        <v>675</v>
      </c>
      <c r="F40" s="274"/>
      <c r="G40" s="130">
        <f>+SUMIFS(TablaIngresos[Cantidad],TablaIngresos[Código],'Inventario '!B40)</f>
        <v>0</v>
      </c>
      <c r="H40" s="130">
        <f t="shared" si="29"/>
        <v>0</v>
      </c>
      <c r="I40" s="131">
        <f>SUMIFS(TablaConsumos[[CANTIDAD ]:[CANTIDAD ]],TablaConsumos[[CÓDIGO]:[CÓDIGO]],'Inventario '!$B40,TablaConsumos[[Planta]:[Planta]],'Inventario '!I$1)</f>
        <v>0</v>
      </c>
      <c r="J40" s="131">
        <f>SUMIFS(TablaConsumos[[CANTIDAD ]:[CANTIDAD ]],TablaConsumos[[CÓDIGO]:[CÓDIGO]],'Inventario '!$B40,TablaConsumos[[Planta]:[Planta]],'Inventario '!J$1)</f>
        <v>0</v>
      </c>
      <c r="K40" s="131">
        <f>SUMIFS(TablaConsumos[[CANTIDAD ]:[CANTIDAD ]],TablaConsumos[[CÓDIGO]:[CÓDIGO]],'Inventario '!$B40,TablaConsumos[[Planta]:[Planta]],'Inventario '!K$1)</f>
        <v>0</v>
      </c>
      <c r="L40" s="131">
        <f>SUMIFS(TablaConsumos[[CANTIDAD ]:[CANTIDAD ]],TablaConsumos[[CÓDIGO]:[CÓDIGO]],'Inventario '!$B40,TablaConsumos[[Planta]:[Planta]],'Inventario '!L$1)</f>
        <v>0</v>
      </c>
      <c r="M40" s="131">
        <f>SUMIFS(TablaConsumos[[CANTIDAD ]:[CANTIDAD ]],TablaConsumos[[CÓDIGO]:[CÓDIGO]],'Inventario '!$B40,TablaConsumos[[Planta]:[Planta]],'Inventario '!M$1)</f>
        <v>0</v>
      </c>
      <c r="N40" s="131">
        <f>SUMIFS(TablaConsumos[[CANTIDAD ]:[CANTIDAD ]],TablaConsumos[[CÓDIGO]:[CÓDIGO]],'Inventario '!$B40,TablaConsumos[[Planta]:[Planta]],'Inventario '!N$1)</f>
        <v>0</v>
      </c>
      <c r="O40" s="131">
        <f>SUMIFS(TablaConsumos[[CANTIDAD ]:[CANTIDAD ]],TablaConsumos[[CÓDIGO]:[CÓDIGO]],'Inventario '!$B40,TablaConsumos[[Planta]:[Planta]],'Inventario '!O$1)</f>
        <v>0</v>
      </c>
      <c r="P40" s="131">
        <f>SUMIFS(TablaConsumos[[CANTIDAD ]:[CANTIDAD ]],TablaConsumos[[CÓDIGO]:[CÓDIGO]],'Inventario '!$B40,TablaConsumos[[Planta]:[Planta]],'Inventario '!P$1)</f>
        <v>0</v>
      </c>
      <c r="Q40" s="131">
        <f>SUMIFS(TablaConsumos[[CANTIDAD ]:[CANTIDAD ]],TablaConsumos[[CÓDIGO]:[CÓDIGO]],'Inventario '!$B40,TablaConsumos[[Planta]:[Planta]],'Inventario '!Q$1)</f>
        <v>0</v>
      </c>
      <c r="R40" s="131">
        <f>SUMIFS(TablaConsumos[[CANTIDAD ]:[CANTIDAD ]],TablaConsumos[[CÓDIGO]:[CÓDIGO]],'Inventario '!$B40,TablaConsumos[[Planta]:[Planta]],'Inventario '!R$1)</f>
        <v>0</v>
      </c>
      <c r="S40" s="130">
        <f t="shared" si="23"/>
        <v>0</v>
      </c>
      <c r="T40" s="130">
        <f t="shared" si="24"/>
        <v>0</v>
      </c>
      <c r="U40" s="177"/>
      <c r="V40" s="130"/>
      <c r="W40" s="132">
        <v>1</v>
      </c>
      <c r="X40" s="133">
        <f t="shared" si="56"/>
        <v>0</v>
      </c>
      <c r="Y40" s="130">
        <f t="shared" si="31"/>
        <v>0</v>
      </c>
      <c r="Z40" s="132"/>
      <c r="AA40" s="132">
        <f t="shared" si="32"/>
        <v>0</v>
      </c>
      <c r="AB40" s="132"/>
      <c r="AC40" s="131">
        <f t="shared" si="33"/>
        <v>0</v>
      </c>
      <c r="AD40" s="131"/>
      <c r="AE40" s="132" t="s">
        <v>614</v>
      </c>
      <c r="AF40" s="132">
        <v>5</v>
      </c>
      <c r="AG40" s="168"/>
      <c r="AH40" s="134">
        <f t="shared" si="34"/>
        <v>0</v>
      </c>
      <c r="AI40" s="134">
        <f t="shared" si="35"/>
        <v>0</v>
      </c>
      <c r="AJ40" s="134">
        <f t="shared" si="36"/>
        <v>0</v>
      </c>
      <c r="AK40" s="134">
        <f t="shared" si="37"/>
        <v>0</v>
      </c>
      <c r="AL40" s="134">
        <f t="shared" si="38"/>
        <v>0</v>
      </c>
      <c r="AM40" s="134">
        <f t="shared" si="39"/>
        <v>0</v>
      </c>
      <c r="AN40" s="134">
        <f t="shared" si="40"/>
        <v>0</v>
      </c>
      <c r="AO40" s="134">
        <f t="shared" si="41"/>
        <v>0</v>
      </c>
      <c r="AP40" s="134">
        <f t="shared" si="42"/>
        <v>0</v>
      </c>
      <c r="AQ40" s="134">
        <f t="shared" si="43"/>
        <v>0</v>
      </c>
      <c r="AR40" s="134">
        <f t="shared" si="44"/>
        <v>0</v>
      </c>
      <c r="AS40" s="135">
        <f t="shared" si="27"/>
        <v>0</v>
      </c>
      <c r="AT40" s="137" t="str">
        <f t="shared" si="45"/>
        <v>0</v>
      </c>
      <c r="AU40" s="137" t="str">
        <f t="shared" si="46"/>
        <v>0</v>
      </c>
      <c r="AV40" s="137" t="str">
        <f t="shared" si="47"/>
        <v>0</v>
      </c>
      <c r="AW40" s="137" t="str">
        <f t="shared" si="48"/>
        <v>0</v>
      </c>
      <c r="AX40" s="137" t="str">
        <f t="shared" si="49"/>
        <v>0</v>
      </c>
      <c r="AY40" s="137" t="str">
        <f t="shared" si="50"/>
        <v>0</v>
      </c>
      <c r="AZ40" s="137" t="str">
        <f t="shared" si="51"/>
        <v>0</v>
      </c>
      <c r="BA40" s="137" t="str">
        <f t="shared" si="52"/>
        <v>0</v>
      </c>
      <c r="BB40" s="137" t="str">
        <f t="shared" si="53"/>
        <v>0</v>
      </c>
      <c r="BC40" s="137" t="str">
        <f t="shared" si="54"/>
        <v>0</v>
      </c>
      <c r="BD40" s="131">
        <f t="shared" si="28"/>
        <v>0</v>
      </c>
    </row>
    <row r="41" spans="2:56" x14ac:dyDescent="0.25">
      <c r="B41" s="136">
        <v>8200526</v>
      </c>
      <c r="C41" s="128" t="s">
        <v>17</v>
      </c>
      <c r="D41" s="128"/>
      <c r="E41" s="136" t="s">
        <v>676</v>
      </c>
      <c r="F41" s="274"/>
      <c r="G41" s="130">
        <f>+SUMIFS(TablaIngresos[Cantidad],TablaIngresos[Código],'Inventario '!B41)</f>
        <v>0</v>
      </c>
      <c r="H41" s="130">
        <f t="shared" si="29"/>
        <v>0</v>
      </c>
      <c r="I41" s="131">
        <f>SUMIFS(TablaConsumos[[CANTIDAD ]:[CANTIDAD ]],TablaConsumos[[CÓDIGO]:[CÓDIGO]],'Inventario '!$B41,TablaConsumos[[Planta]:[Planta]],'Inventario '!I$1)</f>
        <v>0</v>
      </c>
      <c r="J41" s="131">
        <f>SUMIFS(TablaConsumos[[CANTIDAD ]:[CANTIDAD ]],TablaConsumos[[CÓDIGO]:[CÓDIGO]],'Inventario '!$B41,TablaConsumos[[Planta]:[Planta]],'Inventario '!J$1)</f>
        <v>0</v>
      </c>
      <c r="K41" s="131">
        <f>SUMIFS(TablaConsumos[[CANTIDAD ]:[CANTIDAD ]],TablaConsumos[[CÓDIGO]:[CÓDIGO]],'Inventario '!$B41,TablaConsumos[[Planta]:[Planta]],'Inventario '!K$1)</f>
        <v>0</v>
      </c>
      <c r="L41" s="131">
        <f>SUMIFS(TablaConsumos[[CANTIDAD ]:[CANTIDAD ]],TablaConsumos[[CÓDIGO]:[CÓDIGO]],'Inventario '!$B41,TablaConsumos[[Planta]:[Planta]],'Inventario '!L$1)</f>
        <v>0</v>
      </c>
      <c r="M41" s="131">
        <f>SUMIFS(TablaConsumos[[CANTIDAD ]:[CANTIDAD ]],TablaConsumos[[CÓDIGO]:[CÓDIGO]],'Inventario '!$B41,TablaConsumos[[Planta]:[Planta]],'Inventario '!M$1)</f>
        <v>0</v>
      </c>
      <c r="N41" s="131">
        <f>SUMIFS(TablaConsumos[[CANTIDAD ]:[CANTIDAD ]],TablaConsumos[[CÓDIGO]:[CÓDIGO]],'Inventario '!$B41,TablaConsumos[[Planta]:[Planta]],'Inventario '!N$1)</f>
        <v>0</v>
      </c>
      <c r="O41" s="131">
        <f>SUMIFS(TablaConsumos[[CANTIDAD ]:[CANTIDAD ]],TablaConsumos[[CÓDIGO]:[CÓDIGO]],'Inventario '!$B41,TablaConsumos[[Planta]:[Planta]],'Inventario '!O$1)</f>
        <v>0</v>
      </c>
      <c r="P41" s="131">
        <f>SUMIFS(TablaConsumos[[CANTIDAD ]:[CANTIDAD ]],TablaConsumos[[CÓDIGO]:[CÓDIGO]],'Inventario '!$B41,TablaConsumos[[Planta]:[Planta]],'Inventario '!P$1)</f>
        <v>0</v>
      </c>
      <c r="Q41" s="131">
        <f>SUMIFS(TablaConsumos[[CANTIDAD ]:[CANTIDAD ]],TablaConsumos[[CÓDIGO]:[CÓDIGO]],'Inventario '!$B41,TablaConsumos[[Planta]:[Planta]],'Inventario '!Q$1)</f>
        <v>0</v>
      </c>
      <c r="R41" s="131">
        <f>SUMIFS(TablaConsumos[[CANTIDAD ]:[CANTIDAD ]],TablaConsumos[[CÓDIGO]:[CÓDIGO]],'Inventario '!$B41,TablaConsumos[[Planta]:[Planta]],'Inventario '!R$1)</f>
        <v>0</v>
      </c>
      <c r="S41" s="130">
        <f t="shared" si="23"/>
        <v>0</v>
      </c>
      <c r="T41" s="130">
        <f t="shared" si="24"/>
        <v>0</v>
      </c>
      <c r="U41" s="177"/>
      <c r="V41" s="130"/>
      <c r="W41" s="132">
        <v>1</v>
      </c>
      <c r="X41" s="133">
        <f t="shared" si="56"/>
        <v>0</v>
      </c>
      <c r="Y41" s="130">
        <f t="shared" si="31"/>
        <v>0</v>
      </c>
      <c r="Z41" s="132"/>
      <c r="AA41" s="132">
        <f t="shared" si="32"/>
        <v>0</v>
      </c>
      <c r="AB41" s="132"/>
      <c r="AC41" s="131">
        <f t="shared" si="33"/>
        <v>0</v>
      </c>
      <c r="AD41" s="131"/>
      <c r="AE41" s="132" t="s">
        <v>614</v>
      </c>
      <c r="AF41" s="132">
        <v>5</v>
      </c>
      <c r="AG41" s="168"/>
      <c r="AH41" s="134">
        <f t="shared" si="34"/>
        <v>0</v>
      </c>
      <c r="AI41" s="134">
        <f t="shared" si="35"/>
        <v>0</v>
      </c>
      <c r="AJ41" s="134">
        <f t="shared" si="36"/>
        <v>0</v>
      </c>
      <c r="AK41" s="134">
        <f t="shared" si="37"/>
        <v>0</v>
      </c>
      <c r="AL41" s="134">
        <f t="shared" si="38"/>
        <v>0</v>
      </c>
      <c r="AM41" s="134">
        <f t="shared" si="39"/>
        <v>0</v>
      </c>
      <c r="AN41" s="134">
        <f t="shared" si="40"/>
        <v>0</v>
      </c>
      <c r="AO41" s="134">
        <f t="shared" si="41"/>
        <v>0</v>
      </c>
      <c r="AP41" s="134">
        <f t="shared" si="42"/>
        <v>0</v>
      </c>
      <c r="AQ41" s="134">
        <f t="shared" si="43"/>
        <v>0</v>
      </c>
      <c r="AR41" s="134">
        <f t="shared" si="44"/>
        <v>0</v>
      </c>
      <c r="AS41" s="135">
        <f t="shared" si="27"/>
        <v>0</v>
      </c>
      <c r="AT41" s="137" t="str">
        <f t="shared" si="45"/>
        <v>0</v>
      </c>
      <c r="AU41" s="137" t="str">
        <f t="shared" si="46"/>
        <v>0</v>
      </c>
      <c r="AV41" s="137" t="str">
        <f t="shared" si="47"/>
        <v>0</v>
      </c>
      <c r="AW41" s="137" t="str">
        <f t="shared" si="48"/>
        <v>0</v>
      </c>
      <c r="AX41" s="137" t="str">
        <f t="shared" si="49"/>
        <v>0</v>
      </c>
      <c r="AY41" s="137" t="str">
        <f t="shared" si="50"/>
        <v>0</v>
      </c>
      <c r="AZ41" s="137" t="str">
        <f t="shared" si="51"/>
        <v>0</v>
      </c>
      <c r="BA41" s="137" t="str">
        <f t="shared" si="52"/>
        <v>0</v>
      </c>
      <c r="BB41" s="137" t="str">
        <f t="shared" si="53"/>
        <v>0</v>
      </c>
      <c r="BC41" s="137" t="str">
        <f t="shared" si="54"/>
        <v>0</v>
      </c>
      <c r="BD41" s="131">
        <f t="shared" si="28"/>
        <v>0</v>
      </c>
    </row>
    <row r="42" spans="2:56" x14ac:dyDescent="0.25">
      <c r="B42" s="136">
        <v>8200527</v>
      </c>
      <c r="C42" s="128" t="s">
        <v>17</v>
      </c>
      <c r="D42" s="128"/>
      <c r="E42" s="136" t="s">
        <v>677</v>
      </c>
      <c r="F42" s="274"/>
      <c r="G42" s="130">
        <f>+SUMIFS(TablaIngresos[Cantidad],TablaIngresos[Código],'Inventario '!B42)</f>
        <v>0</v>
      </c>
      <c r="H42" s="130">
        <f t="shared" si="29"/>
        <v>0</v>
      </c>
      <c r="I42" s="131">
        <f>SUMIFS(TablaConsumos[[CANTIDAD ]:[CANTIDAD ]],TablaConsumos[[CÓDIGO]:[CÓDIGO]],'Inventario '!$B42,TablaConsumos[[Planta]:[Planta]],'Inventario '!I$1)</f>
        <v>0</v>
      </c>
      <c r="J42" s="131">
        <f>SUMIFS(TablaConsumos[[CANTIDAD ]:[CANTIDAD ]],TablaConsumos[[CÓDIGO]:[CÓDIGO]],'Inventario '!$B42,TablaConsumos[[Planta]:[Planta]],'Inventario '!J$1)</f>
        <v>0</v>
      </c>
      <c r="K42" s="131">
        <f>SUMIFS(TablaConsumos[[CANTIDAD ]:[CANTIDAD ]],TablaConsumos[[CÓDIGO]:[CÓDIGO]],'Inventario '!$B42,TablaConsumos[[Planta]:[Planta]],'Inventario '!K$1)</f>
        <v>0</v>
      </c>
      <c r="L42" s="131">
        <f>SUMIFS(TablaConsumos[[CANTIDAD ]:[CANTIDAD ]],TablaConsumos[[CÓDIGO]:[CÓDIGO]],'Inventario '!$B42,TablaConsumos[[Planta]:[Planta]],'Inventario '!L$1)</f>
        <v>0</v>
      </c>
      <c r="M42" s="131">
        <f>SUMIFS(TablaConsumos[[CANTIDAD ]:[CANTIDAD ]],TablaConsumos[[CÓDIGO]:[CÓDIGO]],'Inventario '!$B42,TablaConsumos[[Planta]:[Planta]],'Inventario '!M$1)</f>
        <v>0</v>
      </c>
      <c r="N42" s="131">
        <f>SUMIFS(TablaConsumos[[CANTIDAD ]:[CANTIDAD ]],TablaConsumos[[CÓDIGO]:[CÓDIGO]],'Inventario '!$B42,TablaConsumos[[Planta]:[Planta]],'Inventario '!N$1)</f>
        <v>0</v>
      </c>
      <c r="O42" s="131">
        <f>SUMIFS(TablaConsumos[[CANTIDAD ]:[CANTIDAD ]],TablaConsumos[[CÓDIGO]:[CÓDIGO]],'Inventario '!$B42,TablaConsumos[[Planta]:[Planta]],'Inventario '!O$1)</f>
        <v>0</v>
      </c>
      <c r="P42" s="131">
        <f>SUMIFS(TablaConsumos[[CANTIDAD ]:[CANTIDAD ]],TablaConsumos[[CÓDIGO]:[CÓDIGO]],'Inventario '!$B42,TablaConsumos[[Planta]:[Planta]],'Inventario '!P$1)</f>
        <v>0</v>
      </c>
      <c r="Q42" s="131">
        <f>SUMIFS(TablaConsumos[[CANTIDAD ]:[CANTIDAD ]],TablaConsumos[[CÓDIGO]:[CÓDIGO]],'Inventario '!$B42,TablaConsumos[[Planta]:[Planta]],'Inventario '!Q$1)</f>
        <v>0</v>
      </c>
      <c r="R42" s="131">
        <f>SUMIFS(TablaConsumos[[CANTIDAD ]:[CANTIDAD ]],TablaConsumos[[CÓDIGO]:[CÓDIGO]],'Inventario '!$B42,TablaConsumos[[Planta]:[Planta]],'Inventario '!R$1)</f>
        <v>0</v>
      </c>
      <c r="S42" s="130">
        <f t="shared" si="23"/>
        <v>0</v>
      </c>
      <c r="T42" s="130">
        <f t="shared" si="24"/>
        <v>0</v>
      </c>
      <c r="U42" s="177"/>
      <c r="V42" s="130"/>
      <c r="W42" s="132">
        <v>1</v>
      </c>
      <c r="X42" s="133">
        <f t="shared" si="56"/>
        <v>0</v>
      </c>
      <c r="Y42" s="130">
        <f t="shared" si="31"/>
        <v>0</v>
      </c>
      <c r="Z42" s="132"/>
      <c r="AA42" s="132">
        <f t="shared" si="32"/>
        <v>0</v>
      </c>
      <c r="AB42" s="132"/>
      <c r="AC42" s="131">
        <f t="shared" si="33"/>
        <v>0</v>
      </c>
      <c r="AD42" s="131"/>
      <c r="AE42" s="132" t="s">
        <v>614</v>
      </c>
      <c r="AF42" s="132">
        <v>5</v>
      </c>
      <c r="AG42" s="168"/>
      <c r="AH42" s="134">
        <f t="shared" si="34"/>
        <v>0</v>
      </c>
      <c r="AI42" s="134">
        <f t="shared" si="35"/>
        <v>0</v>
      </c>
      <c r="AJ42" s="134">
        <f t="shared" si="36"/>
        <v>0</v>
      </c>
      <c r="AK42" s="134">
        <f t="shared" si="37"/>
        <v>0</v>
      </c>
      <c r="AL42" s="134">
        <f t="shared" si="38"/>
        <v>0</v>
      </c>
      <c r="AM42" s="134">
        <f t="shared" si="39"/>
        <v>0</v>
      </c>
      <c r="AN42" s="134">
        <f t="shared" si="40"/>
        <v>0</v>
      </c>
      <c r="AO42" s="134">
        <f t="shared" si="41"/>
        <v>0</v>
      </c>
      <c r="AP42" s="134">
        <f t="shared" si="42"/>
        <v>0</v>
      </c>
      <c r="AQ42" s="134">
        <f t="shared" si="43"/>
        <v>0</v>
      </c>
      <c r="AR42" s="134">
        <f t="shared" si="44"/>
        <v>0</v>
      </c>
      <c r="AS42" s="135">
        <f t="shared" si="27"/>
        <v>0</v>
      </c>
      <c r="AT42" s="137" t="str">
        <f t="shared" si="45"/>
        <v>0</v>
      </c>
      <c r="AU42" s="137" t="str">
        <f t="shared" si="46"/>
        <v>0</v>
      </c>
      <c r="AV42" s="137" t="str">
        <f t="shared" si="47"/>
        <v>0</v>
      </c>
      <c r="AW42" s="137" t="str">
        <f t="shared" si="48"/>
        <v>0</v>
      </c>
      <c r="AX42" s="137" t="str">
        <f t="shared" si="49"/>
        <v>0</v>
      </c>
      <c r="AY42" s="137" t="str">
        <f t="shared" si="50"/>
        <v>0</v>
      </c>
      <c r="AZ42" s="137" t="str">
        <f t="shared" si="51"/>
        <v>0</v>
      </c>
      <c r="BA42" s="137" t="str">
        <f t="shared" si="52"/>
        <v>0</v>
      </c>
      <c r="BB42" s="137" t="str">
        <f t="shared" si="53"/>
        <v>0</v>
      </c>
      <c r="BC42" s="137" t="str">
        <f t="shared" si="54"/>
        <v>0</v>
      </c>
      <c r="BD42" s="131">
        <f t="shared" si="28"/>
        <v>0</v>
      </c>
    </row>
    <row r="43" spans="2:56" x14ac:dyDescent="0.25">
      <c r="B43" s="136">
        <v>8200528</v>
      </c>
      <c r="C43" s="128" t="s">
        <v>17</v>
      </c>
      <c r="D43" s="128"/>
      <c r="E43" s="136" t="s">
        <v>678</v>
      </c>
      <c r="F43" s="274"/>
      <c r="G43" s="130">
        <f>+SUMIFS(TablaIngresos[Cantidad],TablaIngresos[Código],'Inventario '!B43)</f>
        <v>0</v>
      </c>
      <c r="H43" s="130">
        <f t="shared" si="29"/>
        <v>0</v>
      </c>
      <c r="I43" s="131">
        <f>SUMIFS(TablaConsumos[[CANTIDAD ]:[CANTIDAD ]],TablaConsumos[[CÓDIGO]:[CÓDIGO]],'Inventario '!$B43,TablaConsumos[[Planta]:[Planta]],'Inventario '!I$1)</f>
        <v>0</v>
      </c>
      <c r="J43" s="131">
        <f>SUMIFS(TablaConsumos[[CANTIDAD ]:[CANTIDAD ]],TablaConsumos[[CÓDIGO]:[CÓDIGO]],'Inventario '!$B43,TablaConsumos[[Planta]:[Planta]],'Inventario '!J$1)</f>
        <v>0</v>
      </c>
      <c r="K43" s="131">
        <f>SUMIFS(TablaConsumos[[CANTIDAD ]:[CANTIDAD ]],TablaConsumos[[CÓDIGO]:[CÓDIGO]],'Inventario '!$B43,TablaConsumos[[Planta]:[Planta]],'Inventario '!K$1)</f>
        <v>0</v>
      </c>
      <c r="L43" s="131">
        <f>SUMIFS(TablaConsumos[[CANTIDAD ]:[CANTIDAD ]],TablaConsumos[[CÓDIGO]:[CÓDIGO]],'Inventario '!$B43,TablaConsumos[[Planta]:[Planta]],'Inventario '!L$1)</f>
        <v>0</v>
      </c>
      <c r="M43" s="131">
        <f>SUMIFS(TablaConsumos[[CANTIDAD ]:[CANTIDAD ]],TablaConsumos[[CÓDIGO]:[CÓDIGO]],'Inventario '!$B43,TablaConsumos[[Planta]:[Planta]],'Inventario '!M$1)</f>
        <v>0</v>
      </c>
      <c r="N43" s="131">
        <f>SUMIFS(TablaConsumos[[CANTIDAD ]:[CANTIDAD ]],TablaConsumos[[CÓDIGO]:[CÓDIGO]],'Inventario '!$B43,TablaConsumos[[Planta]:[Planta]],'Inventario '!N$1)</f>
        <v>0</v>
      </c>
      <c r="O43" s="131">
        <f>SUMIFS(TablaConsumos[[CANTIDAD ]:[CANTIDAD ]],TablaConsumos[[CÓDIGO]:[CÓDIGO]],'Inventario '!$B43,TablaConsumos[[Planta]:[Planta]],'Inventario '!O$1)</f>
        <v>0</v>
      </c>
      <c r="P43" s="131">
        <f>SUMIFS(TablaConsumos[[CANTIDAD ]:[CANTIDAD ]],TablaConsumos[[CÓDIGO]:[CÓDIGO]],'Inventario '!$B43,TablaConsumos[[Planta]:[Planta]],'Inventario '!P$1)</f>
        <v>0</v>
      </c>
      <c r="Q43" s="131">
        <f>SUMIFS(TablaConsumos[[CANTIDAD ]:[CANTIDAD ]],TablaConsumos[[CÓDIGO]:[CÓDIGO]],'Inventario '!$B43,TablaConsumos[[Planta]:[Planta]],'Inventario '!Q$1)</f>
        <v>0</v>
      </c>
      <c r="R43" s="131">
        <f>SUMIFS(TablaConsumos[[CANTIDAD ]:[CANTIDAD ]],TablaConsumos[[CÓDIGO]:[CÓDIGO]],'Inventario '!$B43,TablaConsumos[[Planta]:[Planta]],'Inventario '!R$1)</f>
        <v>0</v>
      </c>
      <c r="S43" s="130">
        <f t="shared" si="23"/>
        <v>0</v>
      </c>
      <c r="T43" s="130">
        <f t="shared" si="24"/>
        <v>0</v>
      </c>
      <c r="U43" s="177"/>
      <c r="V43" s="130"/>
      <c r="W43" s="132">
        <v>1</v>
      </c>
      <c r="X43" s="133">
        <f t="shared" si="56"/>
        <v>0</v>
      </c>
      <c r="Y43" s="130">
        <f t="shared" si="31"/>
        <v>0</v>
      </c>
      <c r="Z43" s="132"/>
      <c r="AA43" s="132">
        <f t="shared" si="32"/>
        <v>0</v>
      </c>
      <c r="AB43" s="132"/>
      <c r="AC43" s="131">
        <f t="shared" si="33"/>
        <v>0</v>
      </c>
      <c r="AD43" s="131"/>
      <c r="AE43" s="132" t="s">
        <v>614</v>
      </c>
      <c r="AF43" s="132">
        <v>5</v>
      </c>
      <c r="AG43" s="168"/>
      <c r="AH43" s="134">
        <f t="shared" si="34"/>
        <v>0</v>
      </c>
      <c r="AI43" s="134">
        <f t="shared" si="35"/>
        <v>0</v>
      </c>
      <c r="AJ43" s="134">
        <f t="shared" si="36"/>
        <v>0</v>
      </c>
      <c r="AK43" s="134">
        <f t="shared" si="37"/>
        <v>0</v>
      </c>
      <c r="AL43" s="134">
        <f t="shared" si="38"/>
        <v>0</v>
      </c>
      <c r="AM43" s="134">
        <f t="shared" si="39"/>
        <v>0</v>
      </c>
      <c r="AN43" s="134">
        <f t="shared" si="40"/>
        <v>0</v>
      </c>
      <c r="AO43" s="134">
        <f t="shared" si="41"/>
        <v>0</v>
      </c>
      <c r="AP43" s="134">
        <f t="shared" si="42"/>
        <v>0</v>
      </c>
      <c r="AQ43" s="134">
        <f t="shared" si="43"/>
        <v>0</v>
      </c>
      <c r="AR43" s="134">
        <f t="shared" si="44"/>
        <v>0</v>
      </c>
      <c r="AS43" s="135">
        <f t="shared" si="27"/>
        <v>0</v>
      </c>
      <c r="AT43" s="137" t="str">
        <f t="shared" si="45"/>
        <v>0</v>
      </c>
      <c r="AU43" s="137" t="str">
        <f t="shared" si="46"/>
        <v>0</v>
      </c>
      <c r="AV43" s="137" t="str">
        <f t="shared" si="47"/>
        <v>0</v>
      </c>
      <c r="AW43" s="137" t="str">
        <f t="shared" si="48"/>
        <v>0</v>
      </c>
      <c r="AX43" s="137" t="str">
        <f t="shared" si="49"/>
        <v>0</v>
      </c>
      <c r="AY43" s="137" t="str">
        <f t="shared" si="50"/>
        <v>0</v>
      </c>
      <c r="AZ43" s="137" t="str">
        <f t="shared" si="51"/>
        <v>0</v>
      </c>
      <c r="BA43" s="137" t="str">
        <f t="shared" si="52"/>
        <v>0</v>
      </c>
      <c r="BB43" s="137" t="str">
        <f t="shared" si="53"/>
        <v>0</v>
      </c>
      <c r="BC43" s="137" t="str">
        <f t="shared" si="54"/>
        <v>0</v>
      </c>
      <c r="BD43" s="131">
        <f t="shared" si="28"/>
        <v>0</v>
      </c>
    </row>
    <row r="44" spans="2:56" x14ac:dyDescent="0.25">
      <c r="B44" s="136">
        <v>8200529</v>
      </c>
      <c r="C44" s="128" t="s">
        <v>17</v>
      </c>
      <c r="D44" s="128"/>
      <c r="E44" s="136" t="s">
        <v>679</v>
      </c>
      <c r="F44" s="274"/>
      <c r="G44" s="130">
        <f>+SUMIFS(TablaIngresos[Cantidad],TablaIngresos[Código],'Inventario '!B44)</f>
        <v>0</v>
      </c>
      <c r="H44" s="130">
        <f t="shared" si="29"/>
        <v>0</v>
      </c>
      <c r="I44" s="131">
        <f>SUMIFS(TablaConsumos[[CANTIDAD ]:[CANTIDAD ]],TablaConsumos[[CÓDIGO]:[CÓDIGO]],'Inventario '!$B44,TablaConsumos[[Planta]:[Planta]],'Inventario '!I$1)</f>
        <v>0</v>
      </c>
      <c r="J44" s="131">
        <f>SUMIFS(TablaConsumos[[CANTIDAD ]:[CANTIDAD ]],TablaConsumos[[CÓDIGO]:[CÓDIGO]],'Inventario '!$B44,TablaConsumos[[Planta]:[Planta]],'Inventario '!J$1)</f>
        <v>0</v>
      </c>
      <c r="K44" s="131">
        <f>SUMIFS(TablaConsumos[[CANTIDAD ]:[CANTIDAD ]],TablaConsumos[[CÓDIGO]:[CÓDIGO]],'Inventario '!$B44,TablaConsumos[[Planta]:[Planta]],'Inventario '!K$1)</f>
        <v>0</v>
      </c>
      <c r="L44" s="131">
        <f>SUMIFS(TablaConsumos[[CANTIDAD ]:[CANTIDAD ]],TablaConsumos[[CÓDIGO]:[CÓDIGO]],'Inventario '!$B44,TablaConsumos[[Planta]:[Planta]],'Inventario '!L$1)</f>
        <v>0</v>
      </c>
      <c r="M44" s="131">
        <f>SUMIFS(TablaConsumos[[CANTIDAD ]:[CANTIDAD ]],TablaConsumos[[CÓDIGO]:[CÓDIGO]],'Inventario '!$B44,TablaConsumos[[Planta]:[Planta]],'Inventario '!M$1)</f>
        <v>0</v>
      </c>
      <c r="N44" s="131">
        <f>SUMIFS(TablaConsumos[[CANTIDAD ]:[CANTIDAD ]],TablaConsumos[[CÓDIGO]:[CÓDIGO]],'Inventario '!$B44,TablaConsumos[[Planta]:[Planta]],'Inventario '!N$1)</f>
        <v>0</v>
      </c>
      <c r="O44" s="131">
        <f>SUMIFS(TablaConsumos[[CANTIDAD ]:[CANTIDAD ]],TablaConsumos[[CÓDIGO]:[CÓDIGO]],'Inventario '!$B44,TablaConsumos[[Planta]:[Planta]],'Inventario '!O$1)</f>
        <v>0</v>
      </c>
      <c r="P44" s="131">
        <f>SUMIFS(TablaConsumos[[CANTIDAD ]:[CANTIDAD ]],TablaConsumos[[CÓDIGO]:[CÓDIGO]],'Inventario '!$B44,TablaConsumos[[Planta]:[Planta]],'Inventario '!P$1)</f>
        <v>0</v>
      </c>
      <c r="Q44" s="131">
        <f>SUMIFS(TablaConsumos[[CANTIDAD ]:[CANTIDAD ]],TablaConsumos[[CÓDIGO]:[CÓDIGO]],'Inventario '!$B44,TablaConsumos[[Planta]:[Planta]],'Inventario '!Q$1)</f>
        <v>0</v>
      </c>
      <c r="R44" s="131">
        <f>SUMIFS(TablaConsumos[[CANTIDAD ]:[CANTIDAD ]],TablaConsumos[[CÓDIGO]:[CÓDIGO]],'Inventario '!$B44,TablaConsumos[[Planta]:[Planta]],'Inventario '!R$1)</f>
        <v>0</v>
      </c>
      <c r="S44" s="130">
        <f t="shared" si="23"/>
        <v>0</v>
      </c>
      <c r="T44" s="130">
        <f t="shared" si="24"/>
        <v>0</v>
      </c>
      <c r="U44" s="177"/>
      <c r="V44" s="130"/>
      <c r="W44" s="132">
        <v>1</v>
      </c>
      <c r="X44" s="133">
        <f t="shared" si="56"/>
        <v>0</v>
      </c>
      <c r="Y44" s="130">
        <f t="shared" si="31"/>
        <v>0</v>
      </c>
      <c r="Z44" s="132"/>
      <c r="AA44" s="132">
        <f t="shared" si="32"/>
        <v>0</v>
      </c>
      <c r="AB44" s="132"/>
      <c r="AC44" s="131">
        <f t="shared" si="33"/>
        <v>0</v>
      </c>
      <c r="AD44" s="131"/>
      <c r="AE44" s="132" t="s">
        <v>614</v>
      </c>
      <c r="AF44" s="132">
        <v>5</v>
      </c>
      <c r="AG44" s="168"/>
      <c r="AH44" s="134">
        <f t="shared" si="34"/>
        <v>0</v>
      </c>
      <c r="AI44" s="134">
        <f t="shared" si="35"/>
        <v>0</v>
      </c>
      <c r="AJ44" s="134">
        <f t="shared" si="36"/>
        <v>0</v>
      </c>
      <c r="AK44" s="134">
        <f t="shared" si="37"/>
        <v>0</v>
      </c>
      <c r="AL44" s="134">
        <f t="shared" si="38"/>
        <v>0</v>
      </c>
      <c r="AM44" s="134">
        <f t="shared" si="39"/>
        <v>0</v>
      </c>
      <c r="AN44" s="134">
        <f t="shared" si="40"/>
        <v>0</v>
      </c>
      <c r="AO44" s="134">
        <f t="shared" si="41"/>
        <v>0</v>
      </c>
      <c r="AP44" s="134">
        <f t="shared" si="42"/>
        <v>0</v>
      </c>
      <c r="AQ44" s="134">
        <f t="shared" si="43"/>
        <v>0</v>
      </c>
      <c r="AR44" s="134">
        <f t="shared" si="44"/>
        <v>0</v>
      </c>
      <c r="AS44" s="135">
        <f t="shared" si="27"/>
        <v>0</v>
      </c>
      <c r="AT44" s="137" t="str">
        <f t="shared" si="45"/>
        <v>0</v>
      </c>
      <c r="AU44" s="137" t="str">
        <f t="shared" si="46"/>
        <v>0</v>
      </c>
      <c r="AV44" s="137" t="str">
        <f t="shared" si="47"/>
        <v>0</v>
      </c>
      <c r="AW44" s="137" t="str">
        <f t="shared" si="48"/>
        <v>0</v>
      </c>
      <c r="AX44" s="137" t="str">
        <f t="shared" si="49"/>
        <v>0</v>
      </c>
      <c r="AY44" s="137" t="str">
        <f t="shared" si="50"/>
        <v>0</v>
      </c>
      <c r="AZ44" s="137" t="str">
        <f t="shared" si="51"/>
        <v>0</v>
      </c>
      <c r="BA44" s="137" t="str">
        <f t="shared" si="52"/>
        <v>0</v>
      </c>
      <c r="BB44" s="137" t="str">
        <f t="shared" si="53"/>
        <v>0</v>
      </c>
      <c r="BC44" s="137" t="str">
        <f t="shared" si="54"/>
        <v>0</v>
      </c>
      <c r="BD44" s="131">
        <f t="shared" si="28"/>
        <v>0</v>
      </c>
    </row>
    <row r="45" spans="2:56" x14ac:dyDescent="0.25">
      <c r="B45" s="136">
        <v>8200530</v>
      </c>
      <c r="C45" s="128" t="s">
        <v>17</v>
      </c>
      <c r="D45" s="128"/>
      <c r="E45" s="136" t="s">
        <v>680</v>
      </c>
      <c r="F45" s="274"/>
      <c r="G45" s="130">
        <f>+SUMIFS(TablaIngresos[Cantidad],TablaIngresos[Código],'Inventario '!B45)</f>
        <v>0</v>
      </c>
      <c r="H45" s="130">
        <f t="shared" si="29"/>
        <v>0</v>
      </c>
      <c r="I45" s="131">
        <f>SUMIFS(TablaConsumos[[CANTIDAD ]:[CANTIDAD ]],TablaConsumos[[CÓDIGO]:[CÓDIGO]],'Inventario '!$B45,TablaConsumos[[Planta]:[Planta]],'Inventario '!I$1)</f>
        <v>0</v>
      </c>
      <c r="J45" s="131">
        <f>SUMIFS(TablaConsumos[[CANTIDAD ]:[CANTIDAD ]],TablaConsumos[[CÓDIGO]:[CÓDIGO]],'Inventario '!$B45,TablaConsumos[[Planta]:[Planta]],'Inventario '!J$1)</f>
        <v>0</v>
      </c>
      <c r="K45" s="131">
        <f>SUMIFS(TablaConsumos[[CANTIDAD ]:[CANTIDAD ]],TablaConsumos[[CÓDIGO]:[CÓDIGO]],'Inventario '!$B45,TablaConsumos[[Planta]:[Planta]],'Inventario '!K$1)</f>
        <v>0</v>
      </c>
      <c r="L45" s="131">
        <f>SUMIFS(TablaConsumos[[CANTIDAD ]:[CANTIDAD ]],TablaConsumos[[CÓDIGO]:[CÓDIGO]],'Inventario '!$B45,TablaConsumos[[Planta]:[Planta]],'Inventario '!L$1)</f>
        <v>0</v>
      </c>
      <c r="M45" s="131">
        <f>SUMIFS(TablaConsumos[[CANTIDAD ]:[CANTIDAD ]],TablaConsumos[[CÓDIGO]:[CÓDIGO]],'Inventario '!$B45,TablaConsumos[[Planta]:[Planta]],'Inventario '!M$1)</f>
        <v>0</v>
      </c>
      <c r="N45" s="131">
        <f>SUMIFS(TablaConsumos[[CANTIDAD ]:[CANTIDAD ]],TablaConsumos[[CÓDIGO]:[CÓDIGO]],'Inventario '!$B45,TablaConsumos[[Planta]:[Planta]],'Inventario '!N$1)</f>
        <v>0</v>
      </c>
      <c r="O45" s="131">
        <f>SUMIFS(TablaConsumos[[CANTIDAD ]:[CANTIDAD ]],TablaConsumos[[CÓDIGO]:[CÓDIGO]],'Inventario '!$B45,TablaConsumos[[Planta]:[Planta]],'Inventario '!O$1)</f>
        <v>0</v>
      </c>
      <c r="P45" s="131">
        <f>SUMIFS(TablaConsumos[[CANTIDAD ]:[CANTIDAD ]],TablaConsumos[[CÓDIGO]:[CÓDIGO]],'Inventario '!$B45,TablaConsumos[[Planta]:[Planta]],'Inventario '!P$1)</f>
        <v>0</v>
      </c>
      <c r="Q45" s="131">
        <f>SUMIFS(TablaConsumos[[CANTIDAD ]:[CANTIDAD ]],TablaConsumos[[CÓDIGO]:[CÓDIGO]],'Inventario '!$B45,TablaConsumos[[Planta]:[Planta]],'Inventario '!Q$1)</f>
        <v>0</v>
      </c>
      <c r="R45" s="131">
        <f>SUMIFS(TablaConsumos[[CANTIDAD ]:[CANTIDAD ]],TablaConsumos[[CÓDIGO]:[CÓDIGO]],'Inventario '!$B45,TablaConsumos[[Planta]:[Planta]],'Inventario '!R$1)</f>
        <v>0</v>
      </c>
      <c r="S45" s="130">
        <f t="shared" si="23"/>
        <v>0</v>
      </c>
      <c r="T45" s="130">
        <f t="shared" si="24"/>
        <v>0</v>
      </c>
      <c r="U45" s="177"/>
      <c r="V45" s="130"/>
      <c r="W45" s="132">
        <v>1</v>
      </c>
      <c r="X45" s="133">
        <f t="shared" si="56"/>
        <v>0</v>
      </c>
      <c r="Y45" s="130">
        <f t="shared" si="31"/>
        <v>0</v>
      </c>
      <c r="Z45" s="132"/>
      <c r="AA45" s="132">
        <f t="shared" si="32"/>
        <v>0</v>
      </c>
      <c r="AB45" s="132"/>
      <c r="AC45" s="131">
        <f t="shared" si="33"/>
        <v>0</v>
      </c>
      <c r="AD45" s="131"/>
      <c r="AE45" s="132" t="s">
        <v>614</v>
      </c>
      <c r="AF45" s="132">
        <v>5</v>
      </c>
      <c r="AG45" s="168"/>
      <c r="AH45" s="134">
        <f t="shared" si="34"/>
        <v>0</v>
      </c>
      <c r="AI45" s="134">
        <f t="shared" si="35"/>
        <v>0</v>
      </c>
      <c r="AJ45" s="134">
        <f t="shared" si="36"/>
        <v>0</v>
      </c>
      <c r="AK45" s="134">
        <f t="shared" si="37"/>
        <v>0</v>
      </c>
      <c r="AL45" s="134">
        <f t="shared" si="38"/>
        <v>0</v>
      </c>
      <c r="AM45" s="134">
        <f t="shared" si="39"/>
        <v>0</v>
      </c>
      <c r="AN45" s="134">
        <f t="shared" si="40"/>
        <v>0</v>
      </c>
      <c r="AO45" s="134">
        <f t="shared" si="41"/>
        <v>0</v>
      </c>
      <c r="AP45" s="134">
        <f t="shared" si="42"/>
        <v>0</v>
      </c>
      <c r="AQ45" s="134">
        <f t="shared" si="43"/>
        <v>0</v>
      </c>
      <c r="AR45" s="134">
        <f t="shared" si="44"/>
        <v>0</v>
      </c>
      <c r="AS45" s="135">
        <f t="shared" si="27"/>
        <v>0</v>
      </c>
      <c r="AT45" s="137" t="str">
        <f t="shared" si="45"/>
        <v>0</v>
      </c>
      <c r="AU45" s="137" t="str">
        <f t="shared" si="46"/>
        <v>0</v>
      </c>
      <c r="AV45" s="137" t="str">
        <f t="shared" si="47"/>
        <v>0</v>
      </c>
      <c r="AW45" s="137" t="str">
        <f t="shared" si="48"/>
        <v>0</v>
      </c>
      <c r="AX45" s="137" t="str">
        <f t="shared" si="49"/>
        <v>0</v>
      </c>
      <c r="AY45" s="137" t="str">
        <f t="shared" si="50"/>
        <v>0</v>
      </c>
      <c r="AZ45" s="137" t="str">
        <f t="shared" si="51"/>
        <v>0</v>
      </c>
      <c r="BA45" s="137" t="str">
        <f t="shared" si="52"/>
        <v>0</v>
      </c>
      <c r="BB45" s="137" t="str">
        <f t="shared" si="53"/>
        <v>0</v>
      </c>
      <c r="BC45" s="137" t="str">
        <f t="shared" si="54"/>
        <v>0</v>
      </c>
      <c r="BD45" s="131">
        <f t="shared" si="28"/>
        <v>0</v>
      </c>
    </row>
    <row r="46" spans="2:56" x14ac:dyDescent="0.25">
      <c r="B46" s="136">
        <v>8200531</v>
      </c>
      <c r="C46" s="128" t="s">
        <v>17</v>
      </c>
      <c r="D46" s="128"/>
      <c r="E46" s="136" t="s">
        <v>103</v>
      </c>
      <c r="F46" s="274"/>
      <c r="G46" s="130">
        <f>+SUMIFS(TablaIngresos[Cantidad],TablaIngresos[Código],'Inventario '!B46)</f>
        <v>0</v>
      </c>
      <c r="H46" s="130">
        <f t="shared" si="29"/>
        <v>0</v>
      </c>
      <c r="I46" s="131">
        <f>SUMIFS(TablaConsumos[[CANTIDAD ]:[CANTIDAD ]],TablaConsumos[[CÓDIGO]:[CÓDIGO]],'Inventario '!$B46,TablaConsumos[[Planta]:[Planta]],'Inventario '!I$1)</f>
        <v>0</v>
      </c>
      <c r="J46" s="131">
        <f>SUMIFS(TablaConsumos[[CANTIDAD ]:[CANTIDAD ]],TablaConsumos[[CÓDIGO]:[CÓDIGO]],'Inventario '!$B46,TablaConsumos[[Planta]:[Planta]],'Inventario '!J$1)</f>
        <v>0</v>
      </c>
      <c r="K46" s="131">
        <f>SUMIFS(TablaConsumos[[CANTIDAD ]:[CANTIDAD ]],TablaConsumos[[CÓDIGO]:[CÓDIGO]],'Inventario '!$B46,TablaConsumos[[Planta]:[Planta]],'Inventario '!K$1)</f>
        <v>0</v>
      </c>
      <c r="L46" s="131">
        <f>SUMIFS(TablaConsumos[[CANTIDAD ]:[CANTIDAD ]],TablaConsumos[[CÓDIGO]:[CÓDIGO]],'Inventario '!$B46,TablaConsumos[[Planta]:[Planta]],'Inventario '!L$1)</f>
        <v>0</v>
      </c>
      <c r="M46" s="131">
        <f>SUMIFS(TablaConsumos[[CANTIDAD ]:[CANTIDAD ]],TablaConsumos[[CÓDIGO]:[CÓDIGO]],'Inventario '!$B46,TablaConsumos[[Planta]:[Planta]],'Inventario '!M$1)</f>
        <v>0</v>
      </c>
      <c r="N46" s="131">
        <f>SUMIFS(TablaConsumos[[CANTIDAD ]:[CANTIDAD ]],TablaConsumos[[CÓDIGO]:[CÓDIGO]],'Inventario '!$B46,TablaConsumos[[Planta]:[Planta]],'Inventario '!N$1)</f>
        <v>0</v>
      </c>
      <c r="O46" s="131">
        <f>SUMIFS(TablaConsumos[[CANTIDAD ]:[CANTIDAD ]],TablaConsumos[[CÓDIGO]:[CÓDIGO]],'Inventario '!$B46,TablaConsumos[[Planta]:[Planta]],'Inventario '!O$1)</f>
        <v>0</v>
      </c>
      <c r="P46" s="131">
        <f>SUMIFS(TablaConsumos[[CANTIDAD ]:[CANTIDAD ]],TablaConsumos[[CÓDIGO]:[CÓDIGO]],'Inventario '!$B46,TablaConsumos[[Planta]:[Planta]],'Inventario '!P$1)</f>
        <v>0</v>
      </c>
      <c r="Q46" s="131">
        <f>SUMIFS(TablaConsumos[[CANTIDAD ]:[CANTIDAD ]],TablaConsumos[[CÓDIGO]:[CÓDIGO]],'Inventario '!$B46,TablaConsumos[[Planta]:[Planta]],'Inventario '!Q$1)</f>
        <v>0</v>
      </c>
      <c r="R46" s="131">
        <f>SUMIFS(TablaConsumos[[CANTIDAD ]:[CANTIDAD ]],TablaConsumos[[CÓDIGO]:[CÓDIGO]],'Inventario '!$B46,TablaConsumos[[Planta]:[Planta]],'Inventario '!R$1)</f>
        <v>0</v>
      </c>
      <c r="S46" s="130">
        <f t="shared" si="23"/>
        <v>0</v>
      </c>
      <c r="T46" s="130">
        <f t="shared" si="24"/>
        <v>0</v>
      </c>
      <c r="U46" s="177"/>
      <c r="V46" s="130"/>
      <c r="W46" s="132">
        <v>1</v>
      </c>
      <c r="X46" s="133">
        <f>+U46*W46</f>
        <v>0</v>
      </c>
      <c r="Y46" s="130">
        <f t="shared" si="31"/>
        <v>0</v>
      </c>
      <c r="Z46" s="132"/>
      <c r="AA46" s="132">
        <f t="shared" si="32"/>
        <v>0</v>
      </c>
      <c r="AB46" s="132"/>
      <c r="AC46" s="131">
        <f t="shared" si="33"/>
        <v>0</v>
      </c>
      <c r="AD46" s="131"/>
      <c r="AE46" s="132" t="s">
        <v>614</v>
      </c>
      <c r="AF46" s="132">
        <v>5</v>
      </c>
      <c r="AG46" s="168"/>
      <c r="AH46" s="134">
        <f t="shared" si="34"/>
        <v>0</v>
      </c>
      <c r="AI46" s="134">
        <f t="shared" si="35"/>
        <v>0</v>
      </c>
      <c r="AJ46" s="134">
        <f t="shared" si="36"/>
        <v>0</v>
      </c>
      <c r="AK46" s="134">
        <f t="shared" si="37"/>
        <v>0</v>
      </c>
      <c r="AL46" s="134">
        <f t="shared" si="38"/>
        <v>0</v>
      </c>
      <c r="AM46" s="134">
        <f t="shared" si="39"/>
        <v>0</v>
      </c>
      <c r="AN46" s="134">
        <f t="shared" si="40"/>
        <v>0</v>
      </c>
      <c r="AO46" s="134">
        <f t="shared" si="41"/>
        <v>0</v>
      </c>
      <c r="AP46" s="134">
        <f t="shared" si="42"/>
        <v>0</v>
      </c>
      <c r="AQ46" s="134">
        <f t="shared" si="43"/>
        <v>0</v>
      </c>
      <c r="AR46" s="134">
        <f t="shared" si="44"/>
        <v>0</v>
      </c>
      <c r="AS46" s="135">
        <f t="shared" si="27"/>
        <v>0</v>
      </c>
      <c r="AT46" s="137" t="str">
        <f t="shared" si="45"/>
        <v>0</v>
      </c>
      <c r="AU46" s="137" t="str">
        <f t="shared" si="46"/>
        <v>0</v>
      </c>
      <c r="AV46" s="137" t="str">
        <f t="shared" si="47"/>
        <v>0</v>
      </c>
      <c r="AW46" s="137" t="str">
        <f t="shared" si="48"/>
        <v>0</v>
      </c>
      <c r="AX46" s="137" t="str">
        <f t="shared" si="49"/>
        <v>0</v>
      </c>
      <c r="AY46" s="137" t="str">
        <f t="shared" si="50"/>
        <v>0</v>
      </c>
      <c r="AZ46" s="137" t="str">
        <f t="shared" si="51"/>
        <v>0</v>
      </c>
      <c r="BA46" s="137" t="str">
        <f t="shared" si="52"/>
        <v>0</v>
      </c>
      <c r="BB46" s="137" t="str">
        <f t="shared" si="53"/>
        <v>0</v>
      </c>
      <c r="BC46" s="137" t="str">
        <f t="shared" si="54"/>
        <v>0</v>
      </c>
      <c r="BD46" s="131">
        <f t="shared" si="28"/>
        <v>0</v>
      </c>
    </row>
    <row r="47" spans="2:56" x14ac:dyDescent="0.25">
      <c r="B47" s="136">
        <v>8200532</v>
      </c>
      <c r="C47" s="128" t="s">
        <v>17</v>
      </c>
      <c r="D47" s="128"/>
      <c r="E47" s="136" t="s">
        <v>105</v>
      </c>
      <c r="F47" s="274"/>
      <c r="G47" s="130">
        <f>+SUMIFS(TablaIngresos[Cantidad],TablaIngresos[Código],'Inventario '!B47)</f>
        <v>0</v>
      </c>
      <c r="H47" s="130">
        <f t="shared" si="29"/>
        <v>0</v>
      </c>
      <c r="I47" s="131">
        <f>SUMIFS(TablaConsumos[[CANTIDAD ]:[CANTIDAD ]],TablaConsumos[[CÓDIGO]:[CÓDIGO]],'Inventario '!$B47,TablaConsumos[[Planta]:[Planta]],'Inventario '!I$1)</f>
        <v>0</v>
      </c>
      <c r="J47" s="131">
        <f>SUMIFS(TablaConsumos[[CANTIDAD ]:[CANTIDAD ]],TablaConsumos[[CÓDIGO]:[CÓDIGO]],'Inventario '!$B47,TablaConsumos[[Planta]:[Planta]],'Inventario '!J$1)</f>
        <v>0</v>
      </c>
      <c r="K47" s="131">
        <f>SUMIFS(TablaConsumos[[CANTIDAD ]:[CANTIDAD ]],TablaConsumos[[CÓDIGO]:[CÓDIGO]],'Inventario '!$B47,TablaConsumos[[Planta]:[Planta]],'Inventario '!K$1)</f>
        <v>0</v>
      </c>
      <c r="L47" s="131">
        <f>SUMIFS(TablaConsumos[[CANTIDAD ]:[CANTIDAD ]],TablaConsumos[[CÓDIGO]:[CÓDIGO]],'Inventario '!$B47,TablaConsumos[[Planta]:[Planta]],'Inventario '!L$1)</f>
        <v>0</v>
      </c>
      <c r="M47" s="131">
        <f>SUMIFS(TablaConsumos[[CANTIDAD ]:[CANTIDAD ]],TablaConsumos[[CÓDIGO]:[CÓDIGO]],'Inventario '!$B47,TablaConsumos[[Planta]:[Planta]],'Inventario '!M$1)</f>
        <v>0</v>
      </c>
      <c r="N47" s="131">
        <f>SUMIFS(TablaConsumos[[CANTIDAD ]:[CANTIDAD ]],TablaConsumos[[CÓDIGO]:[CÓDIGO]],'Inventario '!$B47,TablaConsumos[[Planta]:[Planta]],'Inventario '!N$1)</f>
        <v>0</v>
      </c>
      <c r="O47" s="131">
        <f>SUMIFS(TablaConsumos[[CANTIDAD ]:[CANTIDAD ]],TablaConsumos[[CÓDIGO]:[CÓDIGO]],'Inventario '!$B47,TablaConsumos[[Planta]:[Planta]],'Inventario '!O$1)</f>
        <v>0</v>
      </c>
      <c r="P47" s="131">
        <f>SUMIFS(TablaConsumos[[CANTIDAD ]:[CANTIDAD ]],TablaConsumos[[CÓDIGO]:[CÓDIGO]],'Inventario '!$B47,TablaConsumos[[Planta]:[Planta]],'Inventario '!P$1)</f>
        <v>0</v>
      </c>
      <c r="Q47" s="131">
        <f>SUMIFS(TablaConsumos[[CANTIDAD ]:[CANTIDAD ]],TablaConsumos[[CÓDIGO]:[CÓDIGO]],'Inventario '!$B47,TablaConsumos[[Planta]:[Planta]],'Inventario '!Q$1)</f>
        <v>0</v>
      </c>
      <c r="R47" s="131">
        <f>SUMIFS(TablaConsumos[[CANTIDAD ]:[CANTIDAD ]],TablaConsumos[[CÓDIGO]:[CÓDIGO]],'Inventario '!$B47,TablaConsumos[[Planta]:[Planta]],'Inventario '!R$1)</f>
        <v>0</v>
      </c>
      <c r="S47" s="130">
        <f t="shared" si="23"/>
        <v>0</v>
      </c>
      <c r="T47" s="130">
        <f t="shared" si="24"/>
        <v>0</v>
      </c>
      <c r="U47" s="177"/>
      <c r="V47" s="130"/>
      <c r="W47" s="132">
        <v>1</v>
      </c>
      <c r="X47" s="133">
        <f>+U47*W47</f>
        <v>0</v>
      </c>
      <c r="Y47" s="130">
        <f t="shared" si="31"/>
        <v>0</v>
      </c>
      <c r="Z47" s="132"/>
      <c r="AA47" s="132">
        <f t="shared" si="32"/>
        <v>0</v>
      </c>
      <c r="AB47" s="132"/>
      <c r="AC47" s="131">
        <f t="shared" si="33"/>
        <v>0</v>
      </c>
      <c r="AD47" s="131"/>
      <c r="AE47" s="132" t="s">
        <v>614</v>
      </c>
      <c r="AF47" s="132">
        <v>5</v>
      </c>
      <c r="AG47" s="168"/>
      <c r="AH47" s="134">
        <f t="shared" si="34"/>
        <v>0</v>
      </c>
      <c r="AI47" s="134">
        <f t="shared" si="35"/>
        <v>0</v>
      </c>
      <c r="AJ47" s="134">
        <f t="shared" si="36"/>
        <v>0</v>
      </c>
      <c r="AK47" s="134">
        <f t="shared" si="37"/>
        <v>0</v>
      </c>
      <c r="AL47" s="134">
        <f t="shared" si="38"/>
        <v>0</v>
      </c>
      <c r="AM47" s="134">
        <f t="shared" si="39"/>
        <v>0</v>
      </c>
      <c r="AN47" s="134">
        <f t="shared" si="40"/>
        <v>0</v>
      </c>
      <c r="AO47" s="134">
        <f t="shared" si="41"/>
        <v>0</v>
      </c>
      <c r="AP47" s="134">
        <f t="shared" si="42"/>
        <v>0</v>
      </c>
      <c r="AQ47" s="134">
        <f t="shared" si="43"/>
        <v>0</v>
      </c>
      <c r="AR47" s="134">
        <f t="shared" si="44"/>
        <v>0</v>
      </c>
      <c r="AS47" s="135">
        <f t="shared" si="27"/>
        <v>0</v>
      </c>
      <c r="AT47" s="137" t="str">
        <f t="shared" si="45"/>
        <v>0</v>
      </c>
      <c r="AU47" s="137" t="str">
        <f t="shared" si="46"/>
        <v>0</v>
      </c>
      <c r="AV47" s="137" t="str">
        <f t="shared" si="47"/>
        <v>0</v>
      </c>
      <c r="AW47" s="137" t="str">
        <f t="shared" si="48"/>
        <v>0</v>
      </c>
      <c r="AX47" s="137" t="str">
        <f t="shared" si="49"/>
        <v>0</v>
      </c>
      <c r="AY47" s="137" t="str">
        <f t="shared" si="50"/>
        <v>0</v>
      </c>
      <c r="AZ47" s="137" t="str">
        <f t="shared" si="51"/>
        <v>0</v>
      </c>
      <c r="BA47" s="137" t="str">
        <f t="shared" si="52"/>
        <v>0</v>
      </c>
      <c r="BB47" s="137" t="str">
        <f t="shared" si="53"/>
        <v>0</v>
      </c>
      <c r="BC47" s="137" t="str">
        <f t="shared" si="54"/>
        <v>0</v>
      </c>
      <c r="BD47" s="131">
        <f t="shared" si="28"/>
        <v>0</v>
      </c>
    </row>
    <row r="48" spans="2:56" x14ac:dyDescent="0.25">
      <c r="B48" s="136">
        <v>8200533</v>
      </c>
      <c r="C48" s="128" t="s">
        <v>17</v>
      </c>
      <c r="D48" s="128"/>
      <c r="E48" s="136" t="s">
        <v>107</v>
      </c>
      <c r="F48" s="274"/>
      <c r="G48" s="130">
        <f>+SUMIFS(TablaIngresos[Cantidad],TablaIngresos[Código],'Inventario '!B48)</f>
        <v>0</v>
      </c>
      <c r="H48" s="130">
        <f t="shared" si="29"/>
        <v>0</v>
      </c>
      <c r="I48" s="131">
        <f>SUMIFS(TablaConsumos[[CANTIDAD ]:[CANTIDAD ]],TablaConsumos[[CÓDIGO]:[CÓDIGO]],'Inventario '!$B48,TablaConsumos[[Planta]:[Planta]],'Inventario '!I$1)</f>
        <v>0</v>
      </c>
      <c r="J48" s="131">
        <f>SUMIFS(TablaConsumos[[CANTIDAD ]:[CANTIDAD ]],TablaConsumos[[CÓDIGO]:[CÓDIGO]],'Inventario '!$B48,TablaConsumos[[Planta]:[Planta]],'Inventario '!J$1)</f>
        <v>0</v>
      </c>
      <c r="K48" s="131">
        <f>SUMIFS(TablaConsumos[[CANTIDAD ]:[CANTIDAD ]],TablaConsumos[[CÓDIGO]:[CÓDIGO]],'Inventario '!$B48,TablaConsumos[[Planta]:[Planta]],'Inventario '!K$1)</f>
        <v>0</v>
      </c>
      <c r="L48" s="131">
        <f>SUMIFS(TablaConsumos[[CANTIDAD ]:[CANTIDAD ]],TablaConsumos[[CÓDIGO]:[CÓDIGO]],'Inventario '!$B48,TablaConsumos[[Planta]:[Planta]],'Inventario '!L$1)</f>
        <v>0</v>
      </c>
      <c r="M48" s="131">
        <f>SUMIFS(TablaConsumos[[CANTIDAD ]:[CANTIDAD ]],TablaConsumos[[CÓDIGO]:[CÓDIGO]],'Inventario '!$B48,TablaConsumos[[Planta]:[Planta]],'Inventario '!M$1)</f>
        <v>0</v>
      </c>
      <c r="N48" s="131">
        <f>SUMIFS(TablaConsumos[[CANTIDAD ]:[CANTIDAD ]],TablaConsumos[[CÓDIGO]:[CÓDIGO]],'Inventario '!$B48,TablaConsumos[[Planta]:[Planta]],'Inventario '!N$1)</f>
        <v>0</v>
      </c>
      <c r="O48" s="131">
        <f>SUMIFS(TablaConsumos[[CANTIDAD ]:[CANTIDAD ]],TablaConsumos[[CÓDIGO]:[CÓDIGO]],'Inventario '!$B48,TablaConsumos[[Planta]:[Planta]],'Inventario '!O$1)</f>
        <v>0</v>
      </c>
      <c r="P48" s="131">
        <f>SUMIFS(TablaConsumos[[CANTIDAD ]:[CANTIDAD ]],TablaConsumos[[CÓDIGO]:[CÓDIGO]],'Inventario '!$B48,TablaConsumos[[Planta]:[Planta]],'Inventario '!P$1)</f>
        <v>0</v>
      </c>
      <c r="Q48" s="131">
        <f>SUMIFS(TablaConsumos[[CANTIDAD ]:[CANTIDAD ]],TablaConsumos[[CÓDIGO]:[CÓDIGO]],'Inventario '!$B48,TablaConsumos[[Planta]:[Planta]],'Inventario '!Q$1)</f>
        <v>0</v>
      </c>
      <c r="R48" s="131">
        <f>SUMIFS(TablaConsumos[[CANTIDAD ]:[CANTIDAD ]],TablaConsumos[[CÓDIGO]:[CÓDIGO]],'Inventario '!$B48,TablaConsumos[[Planta]:[Planta]],'Inventario '!R$1)</f>
        <v>0</v>
      </c>
      <c r="S48" s="130">
        <f t="shared" si="23"/>
        <v>0</v>
      </c>
      <c r="T48" s="130">
        <f t="shared" si="24"/>
        <v>0</v>
      </c>
      <c r="U48" s="177"/>
      <c r="V48" s="130"/>
      <c r="W48" s="132">
        <v>1</v>
      </c>
      <c r="X48" s="133">
        <f>+U48*W48</f>
        <v>0</v>
      </c>
      <c r="Y48" s="130">
        <f t="shared" si="31"/>
        <v>0</v>
      </c>
      <c r="Z48" s="132"/>
      <c r="AA48" s="132">
        <f t="shared" si="32"/>
        <v>0</v>
      </c>
      <c r="AB48" s="132"/>
      <c r="AC48" s="131">
        <f t="shared" si="33"/>
        <v>0</v>
      </c>
      <c r="AD48" s="131"/>
      <c r="AE48" s="132" t="s">
        <v>614</v>
      </c>
      <c r="AF48" s="132">
        <v>5</v>
      </c>
      <c r="AG48" s="168"/>
      <c r="AH48" s="134">
        <f t="shared" si="34"/>
        <v>0</v>
      </c>
      <c r="AI48" s="134">
        <f t="shared" si="35"/>
        <v>0</v>
      </c>
      <c r="AJ48" s="134">
        <f t="shared" si="36"/>
        <v>0</v>
      </c>
      <c r="AK48" s="134">
        <f t="shared" si="37"/>
        <v>0</v>
      </c>
      <c r="AL48" s="134">
        <f t="shared" si="38"/>
        <v>0</v>
      </c>
      <c r="AM48" s="134">
        <f t="shared" si="39"/>
        <v>0</v>
      </c>
      <c r="AN48" s="134">
        <f t="shared" si="40"/>
        <v>0</v>
      </c>
      <c r="AO48" s="134">
        <f t="shared" si="41"/>
        <v>0</v>
      </c>
      <c r="AP48" s="134">
        <f t="shared" si="42"/>
        <v>0</v>
      </c>
      <c r="AQ48" s="134">
        <f t="shared" si="43"/>
        <v>0</v>
      </c>
      <c r="AR48" s="134">
        <f t="shared" si="44"/>
        <v>0</v>
      </c>
      <c r="AS48" s="135">
        <f t="shared" si="27"/>
        <v>0</v>
      </c>
      <c r="AT48" s="137" t="str">
        <f t="shared" si="45"/>
        <v>0</v>
      </c>
      <c r="AU48" s="137" t="str">
        <f t="shared" si="46"/>
        <v>0</v>
      </c>
      <c r="AV48" s="137" t="str">
        <f t="shared" si="47"/>
        <v>0</v>
      </c>
      <c r="AW48" s="137" t="str">
        <f t="shared" si="48"/>
        <v>0</v>
      </c>
      <c r="AX48" s="137" t="str">
        <f t="shared" si="49"/>
        <v>0</v>
      </c>
      <c r="AY48" s="137" t="str">
        <f t="shared" si="50"/>
        <v>0</v>
      </c>
      <c r="AZ48" s="137" t="str">
        <f t="shared" si="51"/>
        <v>0</v>
      </c>
      <c r="BA48" s="137" t="str">
        <f t="shared" si="52"/>
        <v>0</v>
      </c>
      <c r="BB48" s="137" t="str">
        <f t="shared" si="53"/>
        <v>0</v>
      </c>
      <c r="BC48" s="137" t="str">
        <f t="shared" si="54"/>
        <v>0</v>
      </c>
      <c r="BD48" s="131">
        <f t="shared" si="28"/>
        <v>0</v>
      </c>
    </row>
    <row r="49" spans="2:56" x14ac:dyDescent="0.25">
      <c r="B49" s="136">
        <v>8200535</v>
      </c>
      <c r="C49" s="128" t="s">
        <v>17</v>
      </c>
      <c r="D49" s="128"/>
      <c r="E49" s="136" t="s">
        <v>681</v>
      </c>
      <c r="F49" s="274"/>
      <c r="G49" s="130">
        <f>+SUMIFS(TablaIngresos[Cantidad],TablaIngresos[Código],'Inventario '!B49)</f>
        <v>0</v>
      </c>
      <c r="H49" s="130">
        <f t="shared" si="29"/>
        <v>0</v>
      </c>
      <c r="I49" s="131">
        <f>SUMIFS(TablaConsumos[[CANTIDAD ]:[CANTIDAD ]],TablaConsumos[[CÓDIGO]:[CÓDIGO]],'Inventario '!$B49,TablaConsumos[[Planta]:[Planta]],'Inventario '!I$1)</f>
        <v>0</v>
      </c>
      <c r="J49" s="131">
        <f>SUMIFS(TablaConsumos[[CANTIDAD ]:[CANTIDAD ]],TablaConsumos[[CÓDIGO]:[CÓDIGO]],'Inventario '!$B49,TablaConsumos[[Planta]:[Planta]],'Inventario '!J$1)</f>
        <v>0</v>
      </c>
      <c r="K49" s="131">
        <f>SUMIFS(TablaConsumos[[CANTIDAD ]:[CANTIDAD ]],TablaConsumos[[CÓDIGO]:[CÓDIGO]],'Inventario '!$B49,TablaConsumos[[Planta]:[Planta]],'Inventario '!K$1)</f>
        <v>0</v>
      </c>
      <c r="L49" s="131">
        <f>SUMIFS(TablaConsumos[[CANTIDAD ]:[CANTIDAD ]],TablaConsumos[[CÓDIGO]:[CÓDIGO]],'Inventario '!$B49,TablaConsumos[[Planta]:[Planta]],'Inventario '!L$1)</f>
        <v>0</v>
      </c>
      <c r="M49" s="131">
        <f>SUMIFS(TablaConsumos[[CANTIDAD ]:[CANTIDAD ]],TablaConsumos[[CÓDIGO]:[CÓDIGO]],'Inventario '!$B49,TablaConsumos[[Planta]:[Planta]],'Inventario '!M$1)</f>
        <v>0</v>
      </c>
      <c r="N49" s="131">
        <f>SUMIFS(TablaConsumos[[CANTIDAD ]:[CANTIDAD ]],TablaConsumos[[CÓDIGO]:[CÓDIGO]],'Inventario '!$B49,TablaConsumos[[Planta]:[Planta]],'Inventario '!N$1)</f>
        <v>0</v>
      </c>
      <c r="O49" s="131">
        <f>SUMIFS(TablaConsumos[[CANTIDAD ]:[CANTIDAD ]],TablaConsumos[[CÓDIGO]:[CÓDIGO]],'Inventario '!$B49,TablaConsumos[[Planta]:[Planta]],'Inventario '!O$1)</f>
        <v>0</v>
      </c>
      <c r="P49" s="131">
        <f>SUMIFS(TablaConsumos[[CANTIDAD ]:[CANTIDAD ]],TablaConsumos[[CÓDIGO]:[CÓDIGO]],'Inventario '!$B49,TablaConsumos[[Planta]:[Planta]],'Inventario '!P$1)</f>
        <v>0</v>
      </c>
      <c r="Q49" s="131">
        <f>SUMIFS(TablaConsumos[[CANTIDAD ]:[CANTIDAD ]],TablaConsumos[[CÓDIGO]:[CÓDIGO]],'Inventario '!$B49,TablaConsumos[[Planta]:[Planta]],'Inventario '!Q$1)</f>
        <v>0</v>
      </c>
      <c r="R49" s="131">
        <f>SUMIFS(TablaConsumos[[CANTIDAD ]:[CANTIDAD ]],TablaConsumos[[CÓDIGO]:[CÓDIGO]],'Inventario '!$B49,TablaConsumos[[Planta]:[Planta]],'Inventario '!R$1)</f>
        <v>0</v>
      </c>
      <c r="S49" s="130">
        <f t="shared" si="23"/>
        <v>0</v>
      </c>
      <c r="T49" s="130">
        <f t="shared" si="24"/>
        <v>0</v>
      </c>
      <c r="U49" s="177"/>
      <c r="V49" s="130"/>
      <c r="W49" s="132">
        <v>1</v>
      </c>
      <c r="X49" s="133">
        <f t="shared" ref="X49:X56" si="57">+U49*W49/W49</f>
        <v>0</v>
      </c>
      <c r="Y49" s="130">
        <f t="shared" si="31"/>
        <v>0</v>
      </c>
      <c r="Z49" s="132"/>
      <c r="AA49" s="132">
        <f t="shared" si="32"/>
        <v>0</v>
      </c>
      <c r="AB49" s="132"/>
      <c r="AC49" s="131">
        <f t="shared" si="33"/>
        <v>0</v>
      </c>
      <c r="AD49" s="131"/>
      <c r="AE49" s="132" t="s">
        <v>614</v>
      </c>
      <c r="AF49" s="132">
        <v>5</v>
      </c>
      <c r="AG49" s="168"/>
      <c r="AH49" s="134">
        <f t="shared" si="34"/>
        <v>0</v>
      </c>
      <c r="AI49" s="134">
        <f t="shared" si="35"/>
        <v>0</v>
      </c>
      <c r="AJ49" s="134">
        <f t="shared" si="36"/>
        <v>0</v>
      </c>
      <c r="AK49" s="134">
        <f t="shared" si="37"/>
        <v>0</v>
      </c>
      <c r="AL49" s="134">
        <f t="shared" si="38"/>
        <v>0</v>
      </c>
      <c r="AM49" s="134">
        <f t="shared" si="39"/>
        <v>0</v>
      </c>
      <c r="AN49" s="134">
        <f t="shared" si="40"/>
        <v>0</v>
      </c>
      <c r="AO49" s="134">
        <f t="shared" si="41"/>
        <v>0</v>
      </c>
      <c r="AP49" s="134">
        <f t="shared" si="42"/>
        <v>0</v>
      </c>
      <c r="AQ49" s="134">
        <f t="shared" si="43"/>
        <v>0</v>
      </c>
      <c r="AR49" s="134">
        <f t="shared" si="44"/>
        <v>0</v>
      </c>
      <c r="AS49" s="135">
        <f t="shared" si="27"/>
        <v>0</v>
      </c>
      <c r="AT49" s="137" t="str">
        <f t="shared" si="45"/>
        <v>0</v>
      </c>
      <c r="AU49" s="137" t="str">
        <f t="shared" si="46"/>
        <v>0</v>
      </c>
      <c r="AV49" s="137" t="str">
        <f t="shared" si="47"/>
        <v>0</v>
      </c>
      <c r="AW49" s="137" t="str">
        <f t="shared" si="48"/>
        <v>0</v>
      </c>
      <c r="AX49" s="137" t="str">
        <f t="shared" si="49"/>
        <v>0</v>
      </c>
      <c r="AY49" s="137" t="str">
        <f t="shared" si="50"/>
        <v>0</v>
      </c>
      <c r="AZ49" s="137" t="str">
        <f t="shared" si="51"/>
        <v>0</v>
      </c>
      <c r="BA49" s="137" t="str">
        <f t="shared" si="52"/>
        <v>0</v>
      </c>
      <c r="BB49" s="137" t="str">
        <f t="shared" si="53"/>
        <v>0</v>
      </c>
      <c r="BC49" s="137" t="str">
        <f t="shared" si="54"/>
        <v>0</v>
      </c>
      <c r="BD49" s="131">
        <f t="shared" si="28"/>
        <v>0</v>
      </c>
    </row>
    <row r="50" spans="2:56" x14ac:dyDescent="0.25">
      <c r="B50" s="136">
        <v>8200536</v>
      </c>
      <c r="C50" s="128" t="s">
        <v>17</v>
      </c>
      <c r="D50" s="128"/>
      <c r="E50" s="136" t="s">
        <v>113</v>
      </c>
      <c r="F50" s="274"/>
      <c r="G50" s="130">
        <f>+SUMIFS(TablaIngresos[Cantidad],TablaIngresos[Código],'Inventario '!B50)</f>
        <v>0</v>
      </c>
      <c r="H50" s="130">
        <f t="shared" si="29"/>
        <v>0</v>
      </c>
      <c r="I50" s="131">
        <f>SUMIFS(TablaConsumos[[CANTIDAD ]:[CANTIDAD ]],TablaConsumos[[CÓDIGO]:[CÓDIGO]],'Inventario '!$B50,TablaConsumos[[Planta]:[Planta]],'Inventario '!I$1)</f>
        <v>0</v>
      </c>
      <c r="J50" s="131">
        <f>SUMIFS(TablaConsumos[[CANTIDAD ]:[CANTIDAD ]],TablaConsumos[[CÓDIGO]:[CÓDIGO]],'Inventario '!$B50,TablaConsumos[[Planta]:[Planta]],'Inventario '!J$1)</f>
        <v>0</v>
      </c>
      <c r="K50" s="131">
        <f>SUMIFS(TablaConsumos[[CANTIDAD ]:[CANTIDAD ]],TablaConsumos[[CÓDIGO]:[CÓDIGO]],'Inventario '!$B50,TablaConsumos[[Planta]:[Planta]],'Inventario '!K$1)</f>
        <v>0</v>
      </c>
      <c r="L50" s="131">
        <f>SUMIFS(TablaConsumos[[CANTIDAD ]:[CANTIDAD ]],TablaConsumos[[CÓDIGO]:[CÓDIGO]],'Inventario '!$B50,TablaConsumos[[Planta]:[Planta]],'Inventario '!L$1)</f>
        <v>0</v>
      </c>
      <c r="M50" s="131">
        <f>SUMIFS(TablaConsumos[[CANTIDAD ]:[CANTIDAD ]],TablaConsumos[[CÓDIGO]:[CÓDIGO]],'Inventario '!$B50,TablaConsumos[[Planta]:[Planta]],'Inventario '!M$1)</f>
        <v>0</v>
      </c>
      <c r="N50" s="131">
        <f>SUMIFS(TablaConsumos[[CANTIDAD ]:[CANTIDAD ]],TablaConsumos[[CÓDIGO]:[CÓDIGO]],'Inventario '!$B50,TablaConsumos[[Planta]:[Planta]],'Inventario '!N$1)</f>
        <v>0</v>
      </c>
      <c r="O50" s="131">
        <f>SUMIFS(TablaConsumos[[CANTIDAD ]:[CANTIDAD ]],TablaConsumos[[CÓDIGO]:[CÓDIGO]],'Inventario '!$B50,TablaConsumos[[Planta]:[Planta]],'Inventario '!O$1)</f>
        <v>0</v>
      </c>
      <c r="P50" s="131">
        <f>SUMIFS(TablaConsumos[[CANTIDAD ]:[CANTIDAD ]],TablaConsumos[[CÓDIGO]:[CÓDIGO]],'Inventario '!$B50,TablaConsumos[[Planta]:[Planta]],'Inventario '!P$1)</f>
        <v>0</v>
      </c>
      <c r="Q50" s="131">
        <f>SUMIFS(TablaConsumos[[CANTIDAD ]:[CANTIDAD ]],TablaConsumos[[CÓDIGO]:[CÓDIGO]],'Inventario '!$B50,TablaConsumos[[Planta]:[Planta]],'Inventario '!Q$1)</f>
        <v>0</v>
      </c>
      <c r="R50" s="131">
        <f>SUMIFS(TablaConsumos[[CANTIDAD ]:[CANTIDAD ]],TablaConsumos[[CÓDIGO]:[CÓDIGO]],'Inventario '!$B50,TablaConsumos[[Planta]:[Planta]],'Inventario '!R$1)</f>
        <v>0</v>
      </c>
      <c r="S50" s="130">
        <f t="shared" si="23"/>
        <v>0</v>
      </c>
      <c r="T50" s="130">
        <f t="shared" si="24"/>
        <v>0</v>
      </c>
      <c r="U50" s="177"/>
      <c r="V50" s="130"/>
      <c r="W50" s="132">
        <v>1</v>
      </c>
      <c r="X50" s="133">
        <f t="shared" si="57"/>
        <v>0</v>
      </c>
      <c r="Y50" s="130">
        <f t="shared" si="31"/>
        <v>0</v>
      </c>
      <c r="Z50" s="132"/>
      <c r="AA50" s="132">
        <f t="shared" si="32"/>
        <v>0</v>
      </c>
      <c r="AB50" s="132"/>
      <c r="AC50" s="131">
        <f t="shared" si="33"/>
        <v>0</v>
      </c>
      <c r="AD50" s="131"/>
      <c r="AE50" s="132" t="s">
        <v>614</v>
      </c>
      <c r="AF50" s="132">
        <v>5</v>
      </c>
      <c r="AG50" s="168"/>
      <c r="AH50" s="134">
        <f t="shared" si="34"/>
        <v>0</v>
      </c>
      <c r="AI50" s="134">
        <f t="shared" si="35"/>
        <v>0</v>
      </c>
      <c r="AJ50" s="134">
        <f t="shared" si="36"/>
        <v>0</v>
      </c>
      <c r="AK50" s="134">
        <f t="shared" si="37"/>
        <v>0</v>
      </c>
      <c r="AL50" s="134">
        <f t="shared" si="38"/>
        <v>0</v>
      </c>
      <c r="AM50" s="134">
        <f t="shared" si="39"/>
        <v>0</v>
      </c>
      <c r="AN50" s="134">
        <f t="shared" si="40"/>
        <v>0</v>
      </c>
      <c r="AO50" s="134">
        <f t="shared" si="41"/>
        <v>0</v>
      </c>
      <c r="AP50" s="134">
        <f t="shared" si="42"/>
        <v>0</v>
      </c>
      <c r="AQ50" s="134">
        <f t="shared" si="43"/>
        <v>0</v>
      </c>
      <c r="AR50" s="134">
        <f t="shared" si="44"/>
        <v>0</v>
      </c>
      <c r="AS50" s="135">
        <f t="shared" si="27"/>
        <v>0</v>
      </c>
      <c r="AT50" s="137" t="str">
        <f t="shared" si="45"/>
        <v>0</v>
      </c>
      <c r="AU50" s="137" t="str">
        <f t="shared" si="46"/>
        <v>0</v>
      </c>
      <c r="AV50" s="137" t="str">
        <f t="shared" si="47"/>
        <v>0</v>
      </c>
      <c r="AW50" s="137" t="str">
        <f t="shared" si="48"/>
        <v>0</v>
      </c>
      <c r="AX50" s="137" t="str">
        <f t="shared" si="49"/>
        <v>0</v>
      </c>
      <c r="AY50" s="137" t="str">
        <f t="shared" si="50"/>
        <v>0</v>
      </c>
      <c r="AZ50" s="137" t="str">
        <f t="shared" si="51"/>
        <v>0</v>
      </c>
      <c r="BA50" s="137" t="str">
        <f t="shared" si="52"/>
        <v>0</v>
      </c>
      <c r="BB50" s="137" t="str">
        <f t="shared" si="53"/>
        <v>0</v>
      </c>
      <c r="BC50" s="137" t="str">
        <f t="shared" si="54"/>
        <v>0</v>
      </c>
      <c r="BD50" s="131">
        <f t="shared" si="28"/>
        <v>0</v>
      </c>
    </row>
    <row r="51" spans="2:56" x14ac:dyDescent="0.25">
      <c r="B51" s="136">
        <v>8200537</v>
      </c>
      <c r="C51" s="128" t="s">
        <v>17</v>
      </c>
      <c r="D51" s="128"/>
      <c r="E51" s="136" t="s">
        <v>115</v>
      </c>
      <c r="F51" s="274"/>
      <c r="G51" s="130">
        <f>+SUMIFS(TablaIngresos[Cantidad],TablaIngresos[Código],'Inventario '!B51)</f>
        <v>0</v>
      </c>
      <c r="H51" s="130">
        <f t="shared" si="29"/>
        <v>0</v>
      </c>
      <c r="I51" s="131">
        <f>SUMIFS(TablaConsumos[[CANTIDAD ]:[CANTIDAD ]],TablaConsumos[[CÓDIGO]:[CÓDIGO]],'Inventario '!$B51,TablaConsumos[[Planta]:[Planta]],'Inventario '!I$1)</f>
        <v>0</v>
      </c>
      <c r="J51" s="131">
        <f>SUMIFS(TablaConsumos[[CANTIDAD ]:[CANTIDAD ]],TablaConsumos[[CÓDIGO]:[CÓDIGO]],'Inventario '!$B51,TablaConsumos[[Planta]:[Planta]],'Inventario '!J$1)</f>
        <v>0</v>
      </c>
      <c r="K51" s="131">
        <f>SUMIFS(TablaConsumos[[CANTIDAD ]:[CANTIDAD ]],TablaConsumos[[CÓDIGO]:[CÓDIGO]],'Inventario '!$B51,TablaConsumos[[Planta]:[Planta]],'Inventario '!K$1)</f>
        <v>0</v>
      </c>
      <c r="L51" s="131">
        <f>SUMIFS(TablaConsumos[[CANTIDAD ]:[CANTIDAD ]],TablaConsumos[[CÓDIGO]:[CÓDIGO]],'Inventario '!$B51,TablaConsumos[[Planta]:[Planta]],'Inventario '!L$1)</f>
        <v>0</v>
      </c>
      <c r="M51" s="131">
        <f>SUMIFS(TablaConsumos[[CANTIDAD ]:[CANTIDAD ]],TablaConsumos[[CÓDIGO]:[CÓDIGO]],'Inventario '!$B51,TablaConsumos[[Planta]:[Planta]],'Inventario '!M$1)</f>
        <v>0</v>
      </c>
      <c r="N51" s="131">
        <f>SUMIFS(TablaConsumos[[CANTIDAD ]:[CANTIDAD ]],TablaConsumos[[CÓDIGO]:[CÓDIGO]],'Inventario '!$B51,TablaConsumos[[Planta]:[Planta]],'Inventario '!N$1)</f>
        <v>0</v>
      </c>
      <c r="O51" s="131">
        <f>SUMIFS(TablaConsumos[[CANTIDAD ]:[CANTIDAD ]],TablaConsumos[[CÓDIGO]:[CÓDIGO]],'Inventario '!$B51,TablaConsumos[[Planta]:[Planta]],'Inventario '!O$1)</f>
        <v>0</v>
      </c>
      <c r="P51" s="131">
        <f>SUMIFS(TablaConsumos[[CANTIDAD ]:[CANTIDAD ]],TablaConsumos[[CÓDIGO]:[CÓDIGO]],'Inventario '!$B51,TablaConsumos[[Planta]:[Planta]],'Inventario '!P$1)</f>
        <v>0</v>
      </c>
      <c r="Q51" s="131">
        <f>SUMIFS(TablaConsumos[[CANTIDAD ]:[CANTIDAD ]],TablaConsumos[[CÓDIGO]:[CÓDIGO]],'Inventario '!$B51,TablaConsumos[[Planta]:[Planta]],'Inventario '!Q$1)</f>
        <v>0</v>
      </c>
      <c r="R51" s="131">
        <f>SUMIFS(TablaConsumos[[CANTIDAD ]:[CANTIDAD ]],TablaConsumos[[CÓDIGO]:[CÓDIGO]],'Inventario '!$B51,TablaConsumos[[Planta]:[Planta]],'Inventario '!R$1)</f>
        <v>0</v>
      </c>
      <c r="S51" s="130">
        <f t="shared" si="23"/>
        <v>0</v>
      </c>
      <c r="T51" s="130">
        <f t="shared" si="24"/>
        <v>0</v>
      </c>
      <c r="U51" s="177"/>
      <c r="V51" s="130"/>
      <c r="W51" s="132">
        <v>1</v>
      </c>
      <c r="X51" s="133">
        <f t="shared" si="57"/>
        <v>0</v>
      </c>
      <c r="Y51" s="130">
        <f t="shared" si="31"/>
        <v>0</v>
      </c>
      <c r="Z51" s="132"/>
      <c r="AA51" s="132">
        <f t="shared" si="32"/>
        <v>0</v>
      </c>
      <c r="AB51" s="132"/>
      <c r="AC51" s="131">
        <f t="shared" si="33"/>
        <v>0</v>
      </c>
      <c r="AD51" s="131"/>
      <c r="AE51" s="132" t="s">
        <v>614</v>
      </c>
      <c r="AF51" s="132">
        <v>5</v>
      </c>
      <c r="AG51" s="168"/>
      <c r="AH51" s="134">
        <f t="shared" si="34"/>
        <v>0</v>
      </c>
      <c r="AI51" s="134">
        <f t="shared" si="35"/>
        <v>0</v>
      </c>
      <c r="AJ51" s="134">
        <f t="shared" si="36"/>
        <v>0</v>
      </c>
      <c r="AK51" s="134">
        <f t="shared" si="37"/>
        <v>0</v>
      </c>
      <c r="AL51" s="134">
        <f t="shared" si="38"/>
        <v>0</v>
      </c>
      <c r="AM51" s="134">
        <f t="shared" si="39"/>
        <v>0</v>
      </c>
      <c r="AN51" s="134">
        <f t="shared" si="40"/>
        <v>0</v>
      </c>
      <c r="AO51" s="134">
        <f t="shared" si="41"/>
        <v>0</v>
      </c>
      <c r="AP51" s="134">
        <f t="shared" si="42"/>
        <v>0</v>
      </c>
      <c r="AQ51" s="134">
        <f t="shared" si="43"/>
        <v>0</v>
      </c>
      <c r="AR51" s="134">
        <f t="shared" si="44"/>
        <v>0</v>
      </c>
      <c r="AS51" s="135">
        <f t="shared" si="27"/>
        <v>0</v>
      </c>
      <c r="AT51" s="137" t="str">
        <f t="shared" si="45"/>
        <v>0</v>
      </c>
      <c r="AU51" s="137" t="str">
        <f t="shared" si="46"/>
        <v>0</v>
      </c>
      <c r="AV51" s="137" t="str">
        <f t="shared" si="47"/>
        <v>0</v>
      </c>
      <c r="AW51" s="137" t="str">
        <f t="shared" si="48"/>
        <v>0</v>
      </c>
      <c r="AX51" s="137" t="str">
        <f t="shared" si="49"/>
        <v>0</v>
      </c>
      <c r="AY51" s="137" t="str">
        <f t="shared" si="50"/>
        <v>0</v>
      </c>
      <c r="AZ51" s="137" t="str">
        <f t="shared" si="51"/>
        <v>0</v>
      </c>
      <c r="BA51" s="137" t="str">
        <f t="shared" si="52"/>
        <v>0</v>
      </c>
      <c r="BB51" s="137" t="str">
        <f t="shared" si="53"/>
        <v>0</v>
      </c>
      <c r="BC51" s="137" t="str">
        <f t="shared" si="54"/>
        <v>0</v>
      </c>
      <c r="BD51" s="131">
        <f t="shared" si="28"/>
        <v>0</v>
      </c>
    </row>
    <row r="52" spans="2:56" x14ac:dyDescent="0.25">
      <c r="B52" s="136">
        <v>8200538</v>
      </c>
      <c r="C52" s="128" t="s">
        <v>17</v>
      </c>
      <c r="D52" s="128"/>
      <c r="E52" s="136" t="s">
        <v>117</v>
      </c>
      <c r="F52" s="274"/>
      <c r="G52" s="130">
        <f>+SUMIFS(TablaIngresos[Cantidad],TablaIngresos[Código],'Inventario '!B52)</f>
        <v>0</v>
      </c>
      <c r="H52" s="130">
        <f t="shared" si="29"/>
        <v>0</v>
      </c>
      <c r="I52" s="131">
        <f>SUMIFS(TablaConsumos[[CANTIDAD ]:[CANTIDAD ]],TablaConsumos[[CÓDIGO]:[CÓDIGO]],'Inventario '!$B52,TablaConsumos[[Planta]:[Planta]],'Inventario '!I$1)</f>
        <v>0</v>
      </c>
      <c r="J52" s="131">
        <f>SUMIFS(TablaConsumos[[CANTIDAD ]:[CANTIDAD ]],TablaConsumos[[CÓDIGO]:[CÓDIGO]],'Inventario '!$B52,TablaConsumos[[Planta]:[Planta]],'Inventario '!J$1)</f>
        <v>0</v>
      </c>
      <c r="K52" s="131">
        <f>SUMIFS(TablaConsumos[[CANTIDAD ]:[CANTIDAD ]],TablaConsumos[[CÓDIGO]:[CÓDIGO]],'Inventario '!$B52,TablaConsumos[[Planta]:[Planta]],'Inventario '!K$1)</f>
        <v>0</v>
      </c>
      <c r="L52" s="131">
        <f>SUMIFS(TablaConsumos[[CANTIDAD ]:[CANTIDAD ]],TablaConsumos[[CÓDIGO]:[CÓDIGO]],'Inventario '!$B52,TablaConsumos[[Planta]:[Planta]],'Inventario '!L$1)</f>
        <v>0</v>
      </c>
      <c r="M52" s="131">
        <f>SUMIFS(TablaConsumos[[CANTIDAD ]:[CANTIDAD ]],TablaConsumos[[CÓDIGO]:[CÓDIGO]],'Inventario '!$B52,TablaConsumos[[Planta]:[Planta]],'Inventario '!M$1)</f>
        <v>0</v>
      </c>
      <c r="N52" s="131">
        <f>SUMIFS(TablaConsumos[[CANTIDAD ]:[CANTIDAD ]],TablaConsumos[[CÓDIGO]:[CÓDIGO]],'Inventario '!$B52,TablaConsumos[[Planta]:[Planta]],'Inventario '!N$1)</f>
        <v>0</v>
      </c>
      <c r="O52" s="131">
        <f>SUMIFS(TablaConsumos[[CANTIDAD ]:[CANTIDAD ]],TablaConsumos[[CÓDIGO]:[CÓDIGO]],'Inventario '!$B52,TablaConsumos[[Planta]:[Planta]],'Inventario '!O$1)</f>
        <v>0</v>
      </c>
      <c r="P52" s="131">
        <f>SUMIFS(TablaConsumos[[CANTIDAD ]:[CANTIDAD ]],TablaConsumos[[CÓDIGO]:[CÓDIGO]],'Inventario '!$B52,TablaConsumos[[Planta]:[Planta]],'Inventario '!P$1)</f>
        <v>0</v>
      </c>
      <c r="Q52" s="131">
        <f>SUMIFS(TablaConsumos[[CANTIDAD ]:[CANTIDAD ]],TablaConsumos[[CÓDIGO]:[CÓDIGO]],'Inventario '!$B52,TablaConsumos[[Planta]:[Planta]],'Inventario '!Q$1)</f>
        <v>0</v>
      </c>
      <c r="R52" s="131">
        <f>SUMIFS(TablaConsumos[[CANTIDAD ]:[CANTIDAD ]],TablaConsumos[[CÓDIGO]:[CÓDIGO]],'Inventario '!$B52,TablaConsumos[[Planta]:[Planta]],'Inventario '!R$1)</f>
        <v>0</v>
      </c>
      <c r="S52" s="130">
        <f t="shared" si="23"/>
        <v>0</v>
      </c>
      <c r="T52" s="130">
        <f t="shared" si="24"/>
        <v>0</v>
      </c>
      <c r="U52" s="177"/>
      <c r="V52" s="130"/>
      <c r="W52" s="132">
        <v>1</v>
      </c>
      <c r="X52" s="133">
        <f t="shared" si="57"/>
        <v>0</v>
      </c>
      <c r="Y52" s="130">
        <f t="shared" ref="Y52:Y83" si="58">+T52-X52</f>
        <v>0</v>
      </c>
      <c r="Z52" s="132"/>
      <c r="AA52" s="132">
        <f t="shared" ref="AA52:AA83" si="59">(Z52-X52)</f>
        <v>0</v>
      </c>
      <c r="AB52" s="132"/>
      <c r="AC52" s="131">
        <f t="shared" ref="AC52:AC83" si="60">+Z52-AA52</f>
        <v>0</v>
      </c>
      <c r="AD52" s="131"/>
      <c r="AE52" s="132" t="s">
        <v>614</v>
      </c>
      <c r="AF52" s="132">
        <v>5</v>
      </c>
      <c r="AG52" s="168"/>
      <c r="AH52" s="134">
        <f t="shared" ref="AH52:AH83" si="61">+IF(S52=0,0,AF52/S52)</f>
        <v>0</v>
      </c>
      <c r="AI52" s="134">
        <f t="shared" ref="AI52:AI83" si="62">+IF(I52=0,0,I52/$S52)</f>
        <v>0</v>
      </c>
      <c r="AJ52" s="134">
        <f t="shared" ref="AJ52:AJ83" si="63">+IF(J52=0,0,J52/$S52)</f>
        <v>0</v>
      </c>
      <c r="AK52" s="134">
        <f t="shared" ref="AK52:AK83" si="64">+IF(K52=0,0,K52/$S52)</f>
        <v>0</v>
      </c>
      <c r="AL52" s="134">
        <f t="shared" ref="AL52:AL83" si="65">+IF(L52=0,0,L52/$S52)</f>
        <v>0</v>
      </c>
      <c r="AM52" s="134">
        <f t="shared" ref="AM52:AM83" si="66">+IF(M52=0,0,M52/$S52)</f>
        <v>0</v>
      </c>
      <c r="AN52" s="134">
        <f t="shared" ref="AN52:AN83" si="67">+IF(N52=0,0,N52/$S52)</f>
        <v>0</v>
      </c>
      <c r="AO52" s="134">
        <f t="shared" ref="AO52:AO83" si="68">+IF(O52=0,0,O52/$S52)</f>
        <v>0</v>
      </c>
      <c r="AP52" s="134">
        <f t="shared" ref="AP52:AP83" si="69">+IF(P52=0,0,P52/$S52)</f>
        <v>0</v>
      </c>
      <c r="AQ52" s="134">
        <f t="shared" ref="AQ52:AQ83" si="70">+IF(Q52=0,0,Q52/$S52)</f>
        <v>0</v>
      </c>
      <c r="AR52" s="134">
        <f t="shared" ref="AR52:AR83" si="71">+IF(R52=0,0,R52/$S52)</f>
        <v>0</v>
      </c>
      <c r="AS52" s="135">
        <f t="shared" si="27"/>
        <v>0</v>
      </c>
      <c r="AT52" s="137" t="str">
        <f t="shared" ref="AT52:AT83" si="72">+IF(I52=-I52,"0",I52+$Y52*AI52)</f>
        <v>0</v>
      </c>
      <c r="AU52" s="137" t="str">
        <f t="shared" ref="AU52:AU83" si="73">+IF(J52=-J52,"0",J52+$Y52*AJ52)</f>
        <v>0</v>
      </c>
      <c r="AV52" s="137" t="str">
        <f t="shared" ref="AV52:AV83" si="74">+IF(K52=-K52,"0",K52+$Y52*AK52)</f>
        <v>0</v>
      </c>
      <c r="AW52" s="137" t="str">
        <f t="shared" ref="AW52:AW83" si="75">+IF(L52=-L52,"0",L52+$Y52*AL52)</f>
        <v>0</v>
      </c>
      <c r="AX52" s="137" t="str">
        <f t="shared" ref="AX52:AX83" si="76">+IF(M52=-M52,"0",M52+$Y52*AM52)</f>
        <v>0</v>
      </c>
      <c r="AY52" s="137" t="str">
        <f t="shared" ref="AY52:AY83" si="77">+IF(N52=-N52,"0",N52+$Y52*AN52)</f>
        <v>0</v>
      </c>
      <c r="AZ52" s="137" t="str">
        <f t="shared" ref="AZ52:AZ83" si="78">+IF(O52=-O52,"0",O52+$Y52*AO52)</f>
        <v>0</v>
      </c>
      <c r="BA52" s="137" t="str">
        <f t="shared" ref="BA52:BA83" si="79">+IF(P52=-P52,"0",P52+$Y52*AP52)</f>
        <v>0</v>
      </c>
      <c r="BB52" s="137" t="str">
        <f t="shared" ref="BB52:BB83" si="80">+IF(Q52=-Q52,"0",Q52+$Y52*AQ52)</f>
        <v>0</v>
      </c>
      <c r="BC52" s="137" t="str">
        <f t="shared" ref="BC52:BC83" si="81">+IF(R52=-R52,"0",R52+$Y52*AR52)</f>
        <v>0</v>
      </c>
      <c r="BD52" s="131">
        <f t="shared" si="28"/>
        <v>0</v>
      </c>
    </row>
    <row r="53" spans="2:56" x14ac:dyDescent="0.25">
      <c r="B53" s="136">
        <v>8200539</v>
      </c>
      <c r="C53" s="128" t="s">
        <v>17</v>
      </c>
      <c r="D53" s="128"/>
      <c r="E53" s="136" t="s">
        <v>119</v>
      </c>
      <c r="F53" s="274"/>
      <c r="G53" s="130">
        <f>+SUMIFS(TablaIngresos[Cantidad],TablaIngresos[Código],'Inventario '!B53)</f>
        <v>0</v>
      </c>
      <c r="H53" s="130">
        <f t="shared" si="29"/>
        <v>0</v>
      </c>
      <c r="I53" s="131">
        <f>SUMIFS(TablaConsumos[[CANTIDAD ]:[CANTIDAD ]],TablaConsumos[[CÓDIGO]:[CÓDIGO]],'Inventario '!$B53,TablaConsumos[[Planta]:[Planta]],'Inventario '!I$1)</f>
        <v>0</v>
      </c>
      <c r="J53" s="131">
        <f>SUMIFS(TablaConsumos[[CANTIDAD ]:[CANTIDAD ]],TablaConsumos[[CÓDIGO]:[CÓDIGO]],'Inventario '!$B53,TablaConsumos[[Planta]:[Planta]],'Inventario '!J$1)</f>
        <v>0</v>
      </c>
      <c r="K53" s="131">
        <f>SUMIFS(TablaConsumos[[CANTIDAD ]:[CANTIDAD ]],TablaConsumos[[CÓDIGO]:[CÓDIGO]],'Inventario '!$B53,TablaConsumos[[Planta]:[Planta]],'Inventario '!K$1)</f>
        <v>0</v>
      </c>
      <c r="L53" s="131">
        <f>SUMIFS(TablaConsumos[[CANTIDAD ]:[CANTIDAD ]],TablaConsumos[[CÓDIGO]:[CÓDIGO]],'Inventario '!$B53,TablaConsumos[[Planta]:[Planta]],'Inventario '!L$1)</f>
        <v>0</v>
      </c>
      <c r="M53" s="131">
        <f>SUMIFS(TablaConsumos[[CANTIDAD ]:[CANTIDAD ]],TablaConsumos[[CÓDIGO]:[CÓDIGO]],'Inventario '!$B53,TablaConsumos[[Planta]:[Planta]],'Inventario '!M$1)</f>
        <v>0</v>
      </c>
      <c r="N53" s="131">
        <f>SUMIFS(TablaConsumos[[CANTIDAD ]:[CANTIDAD ]],TablaConsumos[[CÓDIGO]:[CÓDIGO]],'Inventario '!$B53,TablaConsumos[[Planta]:[Planta]],'Inventario '!N$1)</f>
        <v>0</v>
      </c>
      <c r="O53" s="131">
        <f>SUMIFS(TablaConsumos[[CANTIDAD ]:[CANTIDAD ]],TablaConsumos[[CÓDIGO]:[CÓDIGO]],'Inventario '!$B53,TablaConsumos[[Planta]:[Planta]],'Inventario '!O$1)</f>
        <v>0</v>
      </c>
      <c r="P53" s="131">
        <f>SUMIFS(TablaConsumos[[CANTIDAD ]:[CANTIDAD ]],TablaConsumos[[CÓDIGO]:[CÓDIGO]],'Inventario '!$B53,TablaConsumos[[Planta]:[Planta]],'Inventario '!P$1)</f>
        <v>0</v>
      </c>
      <c r="Q53" s="131">
        <f>SUMIFS(TablaConsumos[[CANTIDAD ]:[CANTIDAD ]],TablaConsumos[[CÓDIGO]:[CÓDIGO]],'Inventario '!$B53,TablaConsumos[[Planta]:[Planta]],'Inventario '!Q$1)</f>
        <v>0</v>
      </c>
      <c r="R53" s="131">
        <f>SUMIFS(TablaConsumos[[CANTIDAD ]:[CANTIDAD ]],TablaConsumos[[CÓDIGO]:[CÓDIGO]],'Inventario '!$B53,TablaConsumos[[Planta]:[Planta]],'Inventario '!R$1)</f>
        <v>0</v>
      </c>
      <c r="S53" s="130">
        <f t="shared" si="23"/>
        <v>0</v>
      </c>
      <c r="T53" s="130">
        <f t="shared" si="24"/>
        <v>0</v>
      </c>
      <c r="U53" s="177"/>
      <c r="V53" s="130"/>
      <c r="W53" s="132">
        <v>1</v>
      </c>
      <c r="X53" s="133">
        <f t="shared" si="57"/>
        <v>0</v>
      </c>
      <c r="Y53" s="130">
        <f t="shared" si="58"/>
        <v>0</v>
      </c>
      <c r="Z53" s="132"/>
      <c r="AA53" s="132">
        <f t="shared" si="59"/>
        <v>0</v>
      </c>
      <c r="AB53" s="132"/>
      <c r="AC53" s="131">
        <f t="shared" si="60"/>
        <v>0</v>
      </c>
      <c r="AD53" s="131"/>
      <c r="AE53" s="132" t="s">
        <v>614</v>
      </c>
      <c r="AF53" s="132">
        <v>5</v>
      </c>
      <c r="AG53" s="168"/>
      <c r="AH53" s="134">
        <f t="shared" si="61"/>
        <v>0</v>
      </c>
      <c r="AI53" s="134">
        <f t="shared" si="62"/>
        <v>0</v>
      </c>
      <c r="AJ53" s="134">
        <f t="shared" si="63"/>
        <v>0</v>
      </c>
      <c r="AK53" s="134">
        <f t="shared" si="64"/>
        <v>0</v>
      </c>
      <c r="AL53" s="134">
        <f t="shared" si="65"/>
        <v>0</v>
      </c>
      <c r="AM53" s="134">
        <f t="shared" si="66"/>
        <v>0</v>
      </c>
      <c r="AN53" s="134">
        <f t="shared" si="67"/>
        <v>0</v>
      </c>
      <c r="AO53" s="134">
        <f t="shared" si="68"/>
        <v>0</v>
      </c>
      <c r="AP53" s="134">
        <f t="shared" si="69"/>
        <v>0</v>
      </c>
      <c r="AQ53" s="134">
        <f t="shared" si="70"/>
        <v>0</v>
      </c>
      <c r="AR53" s="134">
        <f t="shared" si="71"/>
        <v>0</v>
      </c>
      <c r="AS53" s="135">
        <f t="shared" si="27"/>
        <v>0</v>
      </c>
      <c r="AT53" s="137" t="str">
        <f t="shared" si="72"/>
        <v>0</v>
      </c>
      <c r="AU53" s="137" t="str">
        <f t="shared" si="73"/>
        <v>0</v>
      </c>
      <c r="AV53" s="137" t="str">
        <f t="shared" si="74"/>
        <v>0</v>
      </c>
      <c r="AW53" s="137" t="str">
        <f t="shared" si="75"/>
        <v>0</v>
      </c>
      <c r="AX53" s="137" t="str">
        <f t="shared" si="76"/>
        <v>0</v>
      </c>
      <c r="AY53" s="137" t="str">
        <f t="shared" si="77"/>
        <v>0</v>
      </c>
      <c r="AZ53" s="137" t="str">
        <f t="shared" si="78"/>
        <v>0</v>
      </c>
      <c r="BA53" s="137" t="str">
        <f t="shared" si="79"/>
        <v>0</v>
      </c>
      <c r="BB53" s="137" t="str">
        <f t="shared" si="80"/>
        <v>0</v>
      </c>
      <c r="BC53" s="137" t="str">
        <f t="shared" si="81"/>
        <v>0</v>
      </c>
      <c r="BD53" s="131">
        <f t="shared" si="28"/>
        <v>0</v>
      </c>
    </row>
    <row r="54" spans="2:56" x14ac:dyDescent="0.25">
      <c r="B54" s="136">
        <v>8201891</v>
      </c>
      <c r="C54" s="128" t="s">
        <v>17</v>
      </c>
      <c r="D54" s="128"/>
      <c r="E54" s="136" t="s">
        <v>120</v>
      </c>
      <c r="F54" s="274"/>
      <c r="G54" s="130">
        <f>+SUMIFS(TablaIngresos[Cantidad],TablaIngresos[Código],'Inventario '!B54)</f>
        <v>0</v>
      </c>
      <c r="H54" s="130">
        <f t="shared" si="29"/>
        <v>0</v>
      </c>
      <c r="I54" s="131">
        <f>SUMIFS(TablaConsumos[[CANTIDAD ]:[CANTIDAD ]],TablaConsumos[[CÓDIGO]:[CÓDIGO]],'Inventario '!$B54,TablaConsumos[[Planta]:[Planta]],'Inventario '!I$1)</f>
        <v>0</v>
      </c>
      <c r="J54" s="131">
        <f>SUMIFS(TablaConsumos[[CANTIDAD ]:[CANTIDAD ]],TablaConsumos[[CÓDIGO]:[CÓDIGO]],'Inventario '!$B54,TablaConsumos[[Planta]:[Planta]],'Inventario '!J$1)</f>
        <v>0</v>
      </c>
      <c r="K54" s="131">
        <f>SUMIFS(TablaConsumos[[CANTIDAD ]:[CANTIDAD ]],TablaConsumos[[CÓDIGO]:[CÓDIGO]],'Inventario '!$B54,TablaConsumos[[Planta]:[Planta]],'Inventario '!K$1)</f>
        <v>0</v>
      </c>
      <c r="L54" s="131">
        <f>SUMIFS(TablaConsumos[[CANTIDAD ]:[CANTIDAD ]],TablaConsumos[[CÓDIGO]:[CÓDIGO]],'Inventario '!$B54,TablaConsumos[[Planta]:[Planta]],'Inventario '!L$1)</f>
        <v>0</v>
      </c>
      <c r="M54" s="131">
        <f>SUMIFS(TablaConsumos[[CANTIDAD ]:[CANTIDAD ]],TablaConsumos[[CÓDIGO]:[CÓDIGO]],'Inventario '!$B54,TablaConsumos[[Planta]:[Planta]],'Inventario '!M$1)</f>
        <v>0</v>
      </c>
      <c r="N54" s="131">
        <f>SUMIFS(TablaConsumos[[CANTIDAD ]:[CANTIDAD ]],TablaConsumos[[CÓDIGO]:[CÓDIGO]],'Inventario '!$B54,TablaConsumos[[Planta]:[Planta]],'Inventario '!N$1)</f>
        <v>0</v>
      </c>
      <c r="O54" s="131">
        <f>SUMIFS(TablaConsumos[[CANTIDAD ]:[CANTIDAD ]],TablaConsumos[[CÓDIGO]:[CÓDIGO]],'Inventario '!$B54,TablaConsumos[[Planta]:[Planta]],'Inventario '!O$1)</f>
        <v>0</v>
      </c>
      <c r="P54" s="131">
        <f>SUMIFS(TablaConsumos[[CANTIDAD ]:[CANTIDAD ]],TablaConsumos[[CÓDIGO]:[CÓDIGO]],'Inventario '!$B54,TablaConsumos[[Planta]:[Planta]],'Inventario '!P$1)</f>
        <v>0</v>
      </c>
      <c r="Q54" s="131">
        <f>SUMIFS(TablaConsumos[[CANTIDAD ]:[CANTIDAD ]],TablaConsumos[[CÓDIGO]:[CÓDIGO]],'Inventario '!$B54,TablaConsumos[[Planta]:[Planta]],'Inventario '!Q$1)</f>
        <v>0</v>
      </c>
      <c r="R54" s="131">
        <f>SUMIFS(TablaConsumos[[CANTIDAD ]:[CANTIDAD ]],TablaConsumos[[CÓDIGO]:[CÓDIGO]],'Inventario '!$B54,TablaConsumos[[Planta]:[Planta]],'Inventario '!R$1)</f>
        <v>0</v>
      </c>
      <c r="S54" s="130">
        <f t="shared" si="23"/>
        <v>0</v>
      </c>
      <c r="T54" s="130">
        <f t="shared" si="24"/>
        <v>0</v>
      </c>
      <c r="U54" s="177"/>
      <c r="V54" s="130"/>
      <c r="W54" s="132">
        <v>1</v>
      </c>
      <c r="X54" s="133">
        <f t="shared" si="57"/>
        <v>0</v>
      </c>
      <c r="Y54" s="130">
        <f t="shared" si="58"/>
        <v>0</v>
      </c>
      <c r="Z54" s="132"/>
      <c r="AA54" s="132">
        <f t="shared" si="59"/>
        <v>0</v>
      </c>
      <c r="AB54" s="132"/>
      <c r="AC54" s="131">
        <f t="shared" si="60"/>
        <v>0</v>
      </c>
      <c r="AD54" s="131"/>
      <c r="AE54" s="132" t="s">
        <v>614</v>
      </c>
      <c r="AF54" s="132">
        <v>5</v>
      </c>
      <c r="AG54" s="168"/>
      <c r="AH54" s="134">
        <f t="shared" si="61"/>
        <v>0</v>
      </c>
      <c r="AI54" s="134">
        <f t="shared" si="62"/>
        <v>0</v>
      </c>
      <c r="AJ54" s="134">
        <f t="shared" si="63"/>
        <v>0</v>
      </c>
      <c r="AK54" s="134">
        <f t="shared" si="64"/>
        <v>0</v>
      </c>
      <c r="AL54" s="134">
        <f t="shared" si="65"/>
        <v>0</v>
      </c>
      <c r="AM54" s="134">
        <f t="shared" si="66"/>
        <v>0</v>
      </c>
      <c r="AN54" s="134">
        <f t="shared" si="67"/>
        <v>0</v>
      </c>
      <c r="AO54" s="134">
        <f t="shared" si="68"/>
        <v>0</v>
      </c>
      <c r="AP54" s="134">
        <f t="shared" si="69"/>
        <v>0</v>
      </c>
      <c r="AQ54" s="134">
        <f t="shared" si="70"/>
        <v>0</v>
      </c>
      <c r="AR54" s="134">
        <f t="shared" si="71"/>
        <v>0</v>
      </c>
      <c r="AS54" s="135">
        <f t="shared" si="27"/>
        <v>0</v>
      </c>
      <c r="AT54" s="137" t="str">
        <f t="shared" si="72"/>
        <v>0</v>
      </c>
      <c r="AU54" s="137" t="str">
        <f t="shared" si="73"/>
        <v>0</v>
      </c>
      <c r="AV54" s="137" t="str">
        <f t="shared" si="74"/>
        <v>0</v>
      </c>
      <c r="AW54" s="137" t="str">
        <f t="shared" si="75"/>
        <v>0</v>
      </c>
      <c r="AX54" s="137" t="str">
        <f t="shared" si="76"/>
        <v>0</v>
      </c>
      <c r="AY54" s="137" t="str">
        <f t="shared" si="77"/>
        <v>0</v>
      </c>
      <c r="AZ54" s="137" t="str">
        <f t="shared" si="78"/>
        <v>0</v>
      </c>
      <c r="BA54" s="137" t="str">
        <f t="shared" si="79"/>
        <v>0</v>
      </c>
      <c r="BB54" s="137" t="str">
        <f t="shared" si="80"/>
        <v>0</v>
      </c>
      <c r="BC54" s="137" t="str">
        <f t="shared" si="81"/>
        <v>0</v>
      </c>
      <c r="BD54" s="131">
        <f t="shared" ref="BD54:BD100" si="82">+SUM(AT54:BC54)</f>
        <v>0</v>
      </c>
    </row>
    <row r="55" spans="2:56" x14ac:dyDescent="0.25">
      <c r="B55" s="136">
        <v>8204952</v>
      </c>
      <c r="C55" s="128" t="s">
        <v>17</v>
      </c>
      <c r="D55" s="128"/>
      <c r="E55" s="136" t="s">
        <v>682</v>
      </c>
      <c r="F55" s="274"/>
      <c r="G55" s="130">
        <f>+SUMIFS(TablaIngresos[Cantidad],TablaIngresos[Código],'Inventario '!B55)</f>
        <v>0</v>
      </c>
      <c r="H55" s="130">
        <f t="shared" si="29"/>
        <v>0</v>
      </c>
      <c r="I55" s="131">
        <f>SUMIFS(TablaConsumos[[CANTIDAD ]:[CANTIDAD ]],TablaConsumos[[CÓDIGO]:[CÓDIGO]],'Inventario '!$B55,TablaConsumos[[Planta]:[Planta]],'Inventario '!I$1)</f>
        <v>0</v>
      </c>
      <c r="J55" s="131">
        <f>SUMIFS(TablaConsumos[[CANTIDAD ]:[CANTIDAD ]],TablaConsumos[[CÓDIGO]:[CÓDIGO]],'Inventario '!$B55,TablaConsumos[[Planta]:[Planta]],'Inventario '!J$1)</f>
        <v>0</v>
      </c>
      <c r="K55" s="131">
        <f>SUMIFS(TablaConsumos[[CANTIDAD ]:[CANTIDAD ]],TablaConsumos[[CÓDIGO]:[CÓDIGO]],'Inventario '!$B55,TablaConsumos[[Planta]:[Planta]],'Inventario '!K$1)</f>
        <v>0</v>
      </c>
      <c r="L55" s="131">
        <f>SUMIFS(TablaConsumos[[CANTIDAD ]:[CANTIDAD ]],TablaConsumos[[CÓDIGO]:[CÓDIGO]],'Inventario '!$B55,TablaConsumos[[Planta]:[Planta]],'Inventario '!L$1)</f>
        <v>0</v>
      </c>
      <c r="M55" s="131">
        <f>SUMIFS(TablaConsumos[[CANTIDAD ]:[CANTIDAD ]],TablaConsumos[[CÓDIGO]:[CÓDIGO]],'Inventario '!$B55,TablaConsumos[[Planta]:[Planta]],'Inventario '!M$1)</f>
        <v>0</v>
      </c>
      <c r="N55" s="131">
        <f>SUMIFS(TablaConsumos[[CANTIDAD ]:[CANTIDAD ]],TablaConsumos[[CÓDIGO]:[CÓDIGO]],'Inventario '!$B55,TablaConsumos[[Planta]:[Planta]],'Inventario '!N$1)</f>
        <v>0</v>
      </c>
      <c r="O55" s="131">
        <f>SUMIFS(TablaConsumos[[CANTIDAD ]:[CANTIDAD ]],TablaConsumos[[CÓDIGO]:[CÓDIGO]],'Inventario '!$B55,TablaConsumos[[Planta]:[Planta]],'Inventario '!O$1)</f>
        <v>0</v>
      </c>
      <c r="P55" s="131">
        <f>SUMIFS(TablaConsumos[[CANTIDAD ]:[CANTIDAD ]],TablaConsumos[[CÓDIGO]:[CÓDIGO]],'Inventario '!$B55,TablaConsumos[[Planta]:[Planta]],'Inventario '!P$1)</f>
        <v>0</v>
      </c>
      <c r="Q55" s="131">
        <f>SUMIFS(TablaConsumos[[CANTIDAD ]:[CANTIDAD ]],TablaConsumos[[CÓDIGO]:[CÓDIGO]],'Inventario '!$B55,TablaConsumos[[Planta]:[Planta]],'Inventario '!Q$1)</f>
        <v>0</v>
      </c>
      <c r="R55" s="131">
        <f>SUMIFS(TablaConsumos[[CANTIDAD ]:[CANTIDAD ]],TablaConsumos[[CÓDIGO]:[CÓDIGO]],'Inventario '!$B55,TablaConsumos[[Planta]:[Planta]],'Inventario '!R$1)</f>
        <v>0</v>
      </c>
      <c r="S55" s="130">
        <f t="shared" si="23"/>
        <v>0</v>
      </c>
      <c r="T55" s="130">
        <f t="shared" si="24"/>
        <v>0</v>
      </c>
      <c r="U55" s="177"/>
      <c r="V55" s="130"/>
      <c r="W55" s="132">
        <v>1</v>
      </c>
      <c r="X55" s="133">
        <f t="shared" si="57"/>
        <v>0</v>
      </c>
      <c r="Y55" s="130">
        <f t="shared" si="58"/>
        <v>0</v>
      </c>
      <c r="Z55" s="132"/>
      <c r="AA55" s="132">
        <f t="shared" si="59"/>
        <v>0</v>
      </c>
      <c r="AB55" s="132"/>
      <c r="AC55" s="131">
        <f t="shared" si="60"/>
        <v>0</v>
      </c>
      <c r="AD55" s="131"/>
      <c r="AE55" s="132" t="s">
        <v>614</v>
      </c>
      <c r="AF55" s="132">
        <v>5</v>
      </c>
      <c r="AG55" s="168"/>
      <c r="AH55" s="134">
        <f t="shared" si="61"/>
        <v>0</v>
      </c>
      <c r="AI55" s="134">
        <f t="shared" si="62"/>
        <v>0</v>
      </c>
      <c r="AJ55" s="134">
        <f t="shared" si="63"/>
        <v>0</v>
      </c>
      <c r="AK55" s="134">
        <f t="shared" si="64"/>
        <v>0</v>
      </c>
      <c r="AL55" s="134">
        <f t="shared" si="65"/>
        <v>0</v>
      </c>
      <c r="AM55" s="134">
        <f t="shared" si="66"/>
        <v>0</v>
      </c>
      <c r="AN55" s="134">
        <f t="shared" si="67"/>
        <v>0</v>
      </c>
      <c r="AO55" s="134">
        <f t="shared" si="68"/>
        <v>0</v>
      </c>
      <c r="AP55" s="134">
        <f t="shared" si="69"/>
        <v>0</v>
      </c>
      <c r="AQ55" s="134">
        <f t="shared" si="70"/>
        <v>0</v>
      </c>
      <c r="AR55" s="134">
        <f t="shared" si="71"/>
        <v>0</v>
      </c>
      <c r="AS55" s="135">
        <f t="shared" si="27"/>
        <v>0</v>
      </c>
      <c r="AT55" s="137" t="str">
        <f t="shared" si="72"/>
        <v>0</v>
      </c>
      <c r="AU55" s="137" t="str">
        <f t="shared" si="73"/>
        <v>0</v>
      </c>
      <c r="AV55" s="137" t="str">
        <f t="shared" si="74"/>
        <v>0</v>
      </c>
      <c r="AW55" s="137" t="str">
        <f t="shared" si="75"/>
        <v>0</v>
      </c>
      <c r="AX55" s="137" t="str">
        <f t="shared" si="76"/>
        <v>0</v>
      </c>
      <c r="AY55" s="137" t="str">
        <f t="shared" si="77"/>
        <v>0</v>
      </c>
      <c r="AZ55" s="137" t="str">
        <f t="shared" si="78"/>
        <v>0</v>
      </c>
      <c r="BA55" s="137" t="str">
        <f t="shared" si="79"/>
        <v>0</v>
      </c>
      <c r="BB55" s="137" t="str">
        <f t="shared" si="80"/>
        <v>0</v>
      </c>
      <c r="BC55" s="137" t="str">
        <f t="shared" si="81"/>
        <v>0</v>
      </c>
      <c r="BD55" s="131">
        <f t="shared" si="82"/>
        <v>0</v>
      </c>
    </row>
    <row r="56" spans="2:56" x14ac:dyDescent="0.25">
      <c r="B56" s="136">
        <v>8204989</v>
      </c>
      <c r="C56" s="128" t="s">
        <v>17</v>
      </c>
      <c r="D56" s="128"/>
      <c r="E56" s="136" t="s">
        <v>122</v>
      </c>
      <c r="F56" s="274"/>
      <c r="G56" s="130">
        <f>+SUMIFS(TablaIngresos[Cantidad],TablaIngresos[Código],'Inventario '!B56)</f>
        <v>0</v>
      </c>
      <c r="H56" s="130">
        <f t="shared" si="29"/>
        <v>0</v>
      </c>
      <c r="I56" s="131">
        <f>SUMIFS(TablaConsumos[[CANTIDAD ]:[CANTIDAD ]],TablaConsumos[[CÓDIGO]:[CÓDIGO]],'Inventario '!$B56,TablaConsumos[[Planta]:[Planta]],'Inventario '!I$1)</f>
        <v>0</v>
      </c>
      <c r="J56" s="131">
        <f>SUMIFS(TablaConsumos[[CANTIDAD ]:[CANTIDAD ]],TablaConsumos[[CÓDIGO]:[CÓDIGO]],'Inventario '!$B56,TablaConsumos[[Planta]:[Planta]],'Inventario '!J$1)</f>
        <v>0</v>
      </c>
      <c r="K56" s="131">
        <f>SUMIFS(TablaConsumos[[CANTIDAD ]:[CANTIDAD ]],TablaConsumos[[CÓDIGO]:[CÓDIGO]],'Inventario '!$B56,TablaConsumos[[Planta]:[Planta]],'Inventario '!K$1)</f>
        <v>0</v>
      </c>
      <c r="L56" s="131">
        <f>SUMIFS(TablaConsumos[[CANTIDAD ]:[CANTIDAD ]],TablaConsumos[[CÓDIGO]:[CÓDIGO]],'Inventario '!$B56,TablaConsumos[[Planta]:[Planta]],'Inventario '!L$1)</f>
        <v>0</v>
      </c>
      <c r="M56" s="131">
        <f>SUMIFS(TablaConsumos[[CANTIDAD ]:[CANTIDAD ]],TablaConsumos[[CÓDIGO]:[CÓDIGO]],'Inventario '!$B56,TablaConsumos[[Planta]:[Planta]],'Inventario '!M$1)</f>
        <v>0</v>
      </c>
      <c r="N56" s="131">
        <f>SUMIFS(TablaConsumos[[CANTIDAD ]:[CANTIDAD ]],TablaConsumos[[CÓDIGO]:[CÓDIGO]],'Inventario '!$B56,TablaConsumos[[Planta]:[Planta]],'Inventario '!N$1)</f>
        <v>0</v>
      </c>
      <c r="O56" s="131">
        <f>SUMIFS(TablaConsumos[[CANTIDAD ]:[CANTIDAD ]],TablaConsumos[[CÓDIGO]:[CÓDIGO]],'Inventario '!$B56,TablaConsumos[[Planta]:[Planta]],'Inventario '!O$1)</f>
        <v>0</v>
      </c>
      <c r="P56" s="131">
        <f>SUMIFS(TablaConsumos[[CANTIDAD ]:[CANTIDAD ]],TablaConsumos[[CÓDIGO]:[CÓDIGO]],'Inventario '!$B56,TablaConsumos[[Planta]:[Planta]],'Inventario '!P$1)</f>
        <v>0</v>
      </c>
      <c r="Q56" s="131">
        <f>SUMIFS(TablaConsumos[[CANTIDAD ]:[CANTIDAD ]],TablaConsumos[[CÓDIGO]:[CÓDIGO]],'Inventario '!$B56,TablaConsumos[[Planta]:[Planta]],'Inventario '!Q$1)</f>
        <v>0</v>
      </c>
      <c r="R56" s="131">
        <f>SUMIFS(TablaConsumos[[CANTIDAD ]:[CANTIDAD ]],TablaConsumos[[CÓDIGO]:[CÓDIGO]],'Inventario '!$B56,TablaConsumos[[Planta]:[Planta]],'Inventario '!R$1)</f>
        <v>0</v>
      </c>
      <c r="S56" s="130">
        <f t="shared" si="23"/>
        <v>0</v>
      </c>
      <c r="T56" s="130">
        <f t="shared" si="24"/>
        <v>0</v>
      </c>
      <c r="U56" s="177"/>
      <c r="V56" s="130"/>
      <c r="W56" s="132">
        <v>1</v>
      </c>
      <c r="X56" s="133">
        <f t="shared" si="57"/>
        <v>0</v>
      </c>
      <c r="Y56" s="130">
        <f t="shared" si="58"/>
        <v>0</v>
      </c>
      <c r="Z56" s="132"/>
      <c r="AA56" s="132">
        <f t="shared" si="59"/>
        <v>0</v>
      </c>
      <c r="AB56" s="132"/>
      <c r="AC56" s="131">
        <f t="shared" si="60"/>
        <v>0</v>
      </c>
      <c r="AD56" s="131"/>
      <c r="AE56" s="132" t="s">
        <v>614</v>
      </c>
      <c r="AF56" s="132">
        <v>5</v>
      </c>
      <c r="AG56" s="168"/>
      <c r="AH56" s="134">
        <f t="shared" si="61"/>
        <v>0</v>
      </c>
      <c r="AI56" s="134">
        <f t="shared" si="62"/>
        <v>0</v>
      </c>
      <c r="AJ56" s="134">
        <f t="shared" si="63"/>
        <v>0</v>
      </c>
      <c r="AK56" s="134">
        <f t="shared" si="64"/>
        <v>0</v>
      </c>
      <c r="AL56" s="134">
        <f t="shared" si="65"/>
        <v>0</v>
      </c>
      <c r="AM56" s="134">
        <f t="shared" si="66"/>
        <v>0</v>
      </c>
      <c r="AN56" s="134">
        <f t="shared" si="67"/>
        <v>0</v>
      </c>
      <c r="AO56" s="134">
        <f t="shared" si="68"/>
        <v>0</v>
      </c>
      <c r="AP56" s="134">
        <f t="shared" si="69"/>
        <v>0</v>
      </c>
      <c r="AQ56" s="134">
        <f t="shared" si="70"/>
        <v>0</v>
      </c>
      <c r="AR56" s="134">
        <f t="shared" si="71"/>
        <v>0</v>
      </c>
      <c r="AS56" s="135">
        <f t="shared" si="27"/>
        <v>0</v>
      </c>
      <c r="AT56" s="137" t="str">
        <f t="shared" si="72"/>
        <v>0</v>
      </c>
      <c r="AU56" s="137" t="str">
        <f t="shared" si="73"/>
        <v>0</v>
      </c>
      <c r="AV56" s="137" t="str">
        <f t="shared" si="74"/>
        <v>0</v>
      </c>
      <c r="AW56" s="137" t="str">
        <f t="shared" si="75"/>
        <v>0</v>
      </c>
      <c r="AX56" s="137" t="str">
        <f t="shared" si="76"/>
        <v>0</v>
      </c>
      <c r="AY56" s="137" t="str">
        <f t="shared" si="77"/>
        <v>0</v>
      </c>
      <c r="AZ56" s="137" t="str">
        <f t="shared" si="78"/>
        <v>0</v>
      </c>
      <c r="BA56" s="137" t="str">
        <f t="shared" si="79"/>
        <v>0</v>
      </c>
      <c r="BB56" s="137" t="str">
        <f t="shared" si="80"/>
        <v>0</v>
      </c>
      <c r="BC56" s="137" t="str">
        <f t="shared" si="81"/>
        <v>0</v>
      </c>
      <c r="BD56" s="131">
        <f t="shared" si="82"/>
        <v>0</v>
      </c>
    </row>
    <row r="57" spans="2:56" x14ac:dyDescent="0.25">
      <c r="B57" s="136">
        <v>8204990</v>
      </c>
      <c r="C57" s="128" t="s">
        <v>17</v>
      </c>
      <c r="D57" s="128"/>
      <c r="E57" s="136" t="s">
        <v>123</v>
      </c>
      <c r="F57" s="274"/>
      <c r="G57" s="130">
        <f>+SUMIFS(TablaIngresos[Cantidad],TablaIngresos[Código],'Inventario '!B57)</f>
        <v>0</v>
      </c>
      <c r="H57" s="130">
        <f t="shared" si="29"/>
        <v>0</v>
      </c>
      <c r="I57" s="131">
        <f>SUMIFS(TablaConsumos[[CANTIDAD ]:[CANTIDAD ]],TablaConsumos[[CÓDIGO]:[CÓDIGO]],'Inventario '!$B57,TablaConsumos[[Planta]:[Planta]],'Inventario '!I$1)</f>
        <v>0</v>
      </c>
      <c r="J57" s="131">
        <f>SUMIFS(TablaConsumos[[CANTIDAD ]:[CANTIDAD ]],TablaConsumos[[CÓDIGO]:[CÓDIGO]],'Inventario '!$B57,TablaConsumos[[Planta]:[Planta]],'Inventario '!J$1)</f>
        <v>0</v>
      </c>
      <c r="K57" s="131">
        <f>SUMIFS(TablaConsumos[[CANTIDAD ]:[CANTIDAD ]],TablaConsumos[[CÓDIGO]:[CÓDIGO]],'Inventario '!$B57,TablaConsumos[[Planta]:[Planta]],'Inventario '!K$1)</f>
        <v>0</v>
      </c>
      <c r="L57" s="131">
        <f>SUMIFS(TablaConsumos[[CANTIDAD ]:[CANTIDAD ]],TablaConsumos[[CÓDIGO]:[CÓDIGO]],'Inventario '!$B57,TablaConsumos[[Planta]:[Planta]],'Inventario '!L$1)</f>
        <v>0</v>
      </c>
      <c r="M57" s="131">
        <f>SUMIFS(TablaConsumos[[CANTIDAD ]:[CANTIDAD ]],TablaConsumos[[CÓDIGO]:[CÓDIGO]],'Inventario '!$B57,TablaConsumos[[Planta]:[Planta]],'Inventario '!M$1)</f>
        <v>0</v>
      </c>
      <c r="N57" s="131">
        <f>SUMIFS(TablaConsumos[[CANTIDAD ]:[CANTIDAD ]],TablaConsumos[[CÓDIGO]:[CÓDIGO]],'Inventario '!$B57,TablaConsumos[[Planta]:[Planta]],'Inventario '!N$1)</f>
        <v>0</v>
      </c>
      <c r="O57" s="131">
        <f>SUMIFS(TablaConsumos[[CANTIDAD ]:[CANTIDAD ]],TablaConsumos[[CÓDIGO]:[CÓDIGO]],'Inventario '!$B57,TablaConsumos[[Planta]:[Planta]],'Inventario '!O$1)</f>
        <v>0</v>
      </c>
      <c r="P57" s="131">
        <f>SUMIFS(TablaConsumos[[CANTIDAD ]:[CANTIDAD ]],TablaConsumos[[CÓDIGO]:[CÓDIGO]],'Inventario '!$B57,TablaConsumos[[Planta]:[Planta]],'Inventario '!P$1)</f>
        <v>0</v>
      </c>
      <c r="Q57" s="131">
        <f>SUMIFS(TablaConsumos[[CANTIDAD ]:[CANTIDAD ]],TablaConsumos[[CÓDIGO]:[CÓDIGO]],'Inventario '!$B57,TablaConsumos[[Planta]:[Planta]],'Inventario '!Q$1)</f>
        <v>0</v>
      </c>
      <c r="R57" s="131">
        <f>SUMIFS(TablaConsumos[[CANTIDAD ]:[CANTIDAD ]],TablaConsumos[[CÓDIGO]:[CÓDIGO]],'Inventario '!$B57,TablaConsumos[[Planta]:[Planta]],'Inventario '!R$1)</f>
        <v>0</v>
      </c>
      <c r="S57" s="130">
        <f t="shared" si="23"/>
        <v>0</v>
      </c>
      <c r="T57" s="130">
        <f t="shared" si="24"/>
        <v>0</v>
      </c>
      <c r="U57" s="177"/>
      <c r="V57" s="130"/>
      <c r="W57" s="132">
        <v>1</v>
      </c>
      <c r="X57" s="133">
        <f t="shared" ref="X57:X72" si="83">+U57*W57/W57</f>
        <v>0</v>
      </c>
      <c r="Y57" s="130">
        <f t="shared" si="58"/>
        <v>0</v>
      </c>
      <c r="Z57" s="132"/>
      <c r="AA57" s="132">
        <f t="shared" si="59"/>
        <v>0</v>
      </c>
      <c r="AB57" s="132"/>
      <c r="AC57" s="131">
        <f t="shared" si="60"/>
        <v>0</v>
      </c>
      <c r="AD57" s="131"/>
      <c r="AE57" s="132" t="s">
        <v>614</v>
      </c>
      <c r="AF57" s="132">
        <v>5</v>
      </c>
      <c r="AG57" s="168"/>
      <c r="AH57" s="134">
        <f t="shared" si="61"/>
        <v>0</v>
      </c>
      <c r="AI57" s="134">
        <f t="shared" si="62"/>
        <v>0</v>
      </c>
      <c r="AJ57" s="134">
        <f t="shared" si="63"/>
        <v>0</v>
      </c>
      <c r="AK57" s="134">
        <f t="shared" si="64"/>
        <v>0</v>
      </c>
      <c r="AL57" s="134">
        <f t="shared" si="65"/>
        <v>0</v>
      </c>
      <c r="AM57" s="134">
        <f t="shared" si="66"/>
        <v>0</v>
      </c>
      <c r="AN57" s="134">
        <f t="shared" si="67"/>
        <v>0</v>
      </c>
      <c r="AO57" s="134">
        <f t="shared" si="68"/>
        <v>0</v>
      </c>
      <c r="AP57" s="134">
        <f t="shared" si="69"/>
        <v>0</v>
      </c>
      <c r="AQ57" s="134">
        <f t="shared" si="70"/>
        <v>0</v>
      </c>
      <c r="AR57" s="134">
        <f t="shared" si="71"/>
        <v>0</v>
      </c>
      <c r="AS57" s="135">
        <f t="shared" si="27"/>
        <v>0</v>
      </c>
      <c r="AT57" s="137" t="str">
        <f t="shared" si="72"/>
        <v>0</v>
      </c>
      <c r="AU57" s="137" t="str">
        <f t="shared" si="73"/>
        <v>0</v>
      </c>
      <c r="AV57" s="137" t="str">
        <f t="shared" si="74"/>
        <v>0</v>
      </c>
      <c r="AW57" s="137" t="str">
        <f t="shared" si="75"/>
        <v>0</v>
      </c>
      <c r="AX57" s="137" t="str">
        <f t="shared" si="76"/>
        <v>0</v>
      </c>
      <c r="AY57" s="137" t="str">
        <f t="shared" si="77"/>
        <v>0</v>
      </c>
      <c r="AZ57" s="137" t="str">
        <f t="shared" si="78"/>
        <v>0</v>
      </c>
      <c r="BA57" s="137" t="str">
        <f t="shared" si="79"/>
        <v>0</v>
      </c>
      <c r="BB57" s="137" t="str">
        <f t="shared" si="80"/>
        <v>0</v>
      </c>
      <c r="BC57" s="137" t="str">
        <f t="shared" si="81"/>
        <v>0</v>
      </c>
      <c r="BD57" s="131">
        <f t="shared" si="82"/>
        <v>0</v>
      </c>
    </row>
    <row r="58" spans="2:56" x14ac:dyDescent="0.25">
      <c r="B58" s="136">
        <v>8204991</v>
      </c>
      <c r="C58" s="128" t="s">
        <v>17</v>
      </c>
      <c r="D58" s="128"/>
      <c r="E58" s="136" t="s">
        <v>124</v>
      </c>
      <c r="F58" s="274"/>
      <c r="G58" s="130">
        <f>+SUMIFS(TablaIngresos[Cantidad],TablaIngresos[Código],'Inventario '!B58)</f>
        <v>0</v>
      </c>
      <c r="H58" s="130">
        <f t="shared" si="29"/>
        <v>0</v>
      </c>
      <c r="I58" s="131">
        <f>SUMIFS(TablaConsumos[[CANTIDAD ]:[CANTIDAD ]],TablaConsumos[[CÓDIGO]:[CÓDIGO]],'Inventario '!$B58,TablaConsumos[[Planta]:[Planta]],'Inventario '!I$1)</f>
        <v>0</v>
      </c>
      <c r="J58" s="131">
        <f>SUMIFS(TablaConsumos[[CANTIDAD ]:[CANTIDAD ]],TablaConsumos[[CÓDIGO]:[CÓDIGO]],'Inventario '!$B58,TablaConsumos[[Planta]:[Planta]],'Inventario '!J$1)</f>
        <v>0</v>
      </c>
      <c r="K58" s="131">
        <f>SUMIFS(TablaConsumos[[CANTIDAD ]:[CANTIDAD ]],TablaConsumos[[CÓDIGO]:[CÓDIGO]],'Inventario '!$B58,TablaConsumos[[Planta]:[Planta]],'Inventario '!K$1)</f>
        <v>0</v>
      </c>
      <c r="L58" s="131">
        <f>SUMIFS(TablaConsumos[[CANTIDAD ]:[CANTIDAD ]],TablaConsumos[[CÓDIGO]:[CÓDIGO]],'Inventario '!$B58,TablaConsumos[[Planta]:[Planta]],'Inventario '!L$1)</f>
        <v>0</v>
      </c>
      <c r="M58" s="131">
        <f>SUMIFS(TablaConsumos[[CANTIDAD ]:[CANTIDAD ]],TablaConsumos[[CÓDIGO]:[CÓDIGO]],'Inventario '!$B58,TablaConsumos[[Planta]:[Planta]],'Inventario '!M$1)</f>
        <v>0</v>
      </c>
      <c r="N58" s="131">
        <f>SUMIFS(TablaConsumos[[CANTIDAD ]:[CANTIDAD ]],TablaConsumos[[CÓDIGO]:[CÓDIGO]],'Inventario '!$B58,TablaConsumos[[Planta]:[Planta]],'Inventario '!N$1)</f>
        <v>0</v>
      </c>
      <c r="O58" s="131">
        <f>SUMIFS(TablaConsumos[[CANTIDAD ]:[CANTIDAD ]],TablaConsumos[[CÓDIGO]:[CÓDIGO]],'Inventario '!$B58,TablaConsumos[[Planta]:[Planta]],'Inventario '!O$1)</f>
        <v>0</v>
      </c>
      <c r="P58" s="131">
        <f>SUMIFS(TablaConsumos[[CANTIDAD ]:[CANTIDAD ]],TablaConsumos[[CÓDIGO]:[CÓDIGO]],'Inventario '!$B58,TablaConsumos[[Planta]:[Planta]],'Inventario '!P$1)</f>
        <v>0</v>
      </c>
      <c r="Q58" s="131">
        <f>SUMIFS(TablaConsumos[[CANTIDAD ]:[CANTIDAD ]],TablaConsumos[[CÓDIGO]:[CÓDIGO]],'Inventario '!$B58,TablaConsumos[[Planta]:[Planta]],'Inventario '!Q$1)</f>
        <v>0</v>
      </c>
      <c r="R58" s="131">
        <f>SUMIFS(TablaConsumos[[CANTIDAD ]:[CANTIDAD ]],TablaConsumos[[CÓDIGO]:[CÓDIGO]],'Inventario '!$B58,TablaConsumos[[Planta]:[Planta]],'Inventario '!R$1)</f>
        <v>0</v>
      </c>
      <c r="S58" s="130">
        <f t="shared" si="23"/>
        <v>0</v>
      </c>
      <c r="T58" s="130">
        <f t="shared" si="24"/>
        <v>0</v>
      </c>
      <c r="U58" s="177"/>
      <c r="V58" s="130"/>
      <c r="W58" s="132">
        <v>1</v>
      </c>
      <c r="X58" s="133">
        <f t="shared" si="83"/>
        <v>0</v>
      </c>
      <c r="Y58" s="130">
        <f t="shared" si="58"/>
        <v>0</v>
      </c>
      <c r="Z58" s="132"/>
      <c r="AA58" s="132">
        <f t="shared" si="59"/>
        <v>0</v>
      </c>
      <c r="AB58" s="132"/>
      <c r="AC58" s="131">
        <f t="shared" si="60"/>
        <v>0</v>
      </c>
      <c r="AD58" s="131"/>
      <c r="AE58" s="132" t="s">
        <v>614</v>
      </c>
      <c r="AF58" s="132">
        <v>5</v>
      </c>
      <c r="AG58" s="168"/>
      <c r="AH58" s="134">
        <f t="shared" si="61"/>
        <v>0</v>
      </c>
      <c r="AI58" s="134">
        <f t="shared" si="62"/>
        <v>0</v>
      </c>
      <c r="AJ58" s="134">
        <f t="shared" si="63"/>
        <v>0</v>
      </c>
      <c r="AK58" s="134">
        <f t="shared" si="64"/>
        <v>0</v>
      </c>
      <c r="AL58" s="134">
        <f t="shared" si="65"/>
        <v>0</v>
      </c>
      <c r="AM58" s="134">
        <f t="shared" si="66"/>
        <v>0</v>
      </c>
      <c r="AN58" s="134">
        <f t="shared" si="67"/>
        <v>0</v>
      </c>
      <c r="AO58" s="134">
        <f t="shared" si="68"/>
        <v>0</v>
      </c>
      <c r="AP58" s="134">
        <f t="shared" si="69"/>
        <v>0</v>
      </c>
      <c r="AQ58" s="134">
        <f t="shared" si="70"/>
        <v>0</v>
      </c>
      <c r="AR58" s="134">
        <f t="shared" si="71"/>
        <v>0</v>
      </c>
      <c r="AS58" s="135">
        <f t="shared" si="27"/>
        <v>0</v>
      </c>
      <c r="AT58" s="137" t="str">
        <f t="shared" si="72"/>
        <v>0</v>
      </c>
      <c r="AU58" s="137" t="str">
        <f t="shared" si="73"/>
        <v>0</v>
      </c>
      <c r="AV58" s="137" t="str">
        <f t="shared" si="74"/>
        <v>0</v>
      </c>
      <c r="AW58" s="137" t="str">
        <f t="shared" si="75"/>
        <v>0</v>
      </c>
      <c r="AX58" s="137" t="str">
        <f t="shared" si="76"/>
        <v>0</v>
      </c>
      <c r="AY58" s="137" t="str">
        <f t="shared" si="77"/>
        <v>0</v>
      </c>
      <c r="AZ58" s="137" t="str">
        <f t="shared" si="78"/>
        <v>0</v>
      </c>
      <c r="BA58" s="137" t="str">
        <f t="shared" si="79"/>
        <v>0</v>
      </c>
      <c r="BB58" s="137" t="str">
        <f t="shared" si="80"/>
        <v>0</v>
      </c>
      <c r="BC58" s="137" t="str">
        <f t="shared" si="81"/>
        <v>0</v>
      </c>
      <c r="BD58" s="131">
        <f t="shared" si="82"/>
        <v>0</v>
      </c>
    </row>
    <row r="59" spans="2:56" x14ac:dyDescent="0.25">
      <c r="B59" s="136">
        <v>8204992</v>
      </c>
      <c r="C59" s="128" t="s">
        <v>17</v>
      </c>
      <c r="D59" s="128"/>
      <c r="E59" s="136" t="s">
        <v>125</v>
      </c>
      <c r="F59" s="274"/>
      <c r="G59" s="130">
        <f>+SUMIFS(TablaIngresos[Cantidad],TablaIngresos[Código],'Inventario '!B59)</f>
        <v>0</v>
      </c>
      <c r="H59" s="130">
        <f t="shared" si="29"/>
        <v>0</v>
      </c>
      <c r="I59" s="131">
        <f>SUMIFS(TablaConsumos[[CANTIDAD ]:[CANTIDAD ]],TablaConsumos[[CÓDIGO]:[CÓDIGO]],'Inventario '!$B59,TablaConsumos[[Planta]:[Planta]],'Inventario '!I$1)</f>
        <v>0</v>
      </c>
      <c r="J59" s="131">
        <f>SUMIFS(TablaConsumos[[CANTIDAD ]:[CANTIDAD ]],TablaConsumos[[CÓDIGO]:[CÓDIGO]],'Inventario '!$B59,TablaConsumos[[Planta]:[Planta]],'Inventario '!J$1)</f>
        <v>0</v>
      </c>
      <c r="K59" s="131">
        <f>SUMIFS(TablaConsumos[[CANTIDAD ]:[CANTIDAD ]],TablaConsumos[[CÓDIGO]:[CÓDIGO]],'Inventario '!$B59,TablaConsumos[[Planta]:[Planta]],'Inventario '!K$1)</f>
        <v>0</v>
      </c>
      <c r="L59" s="131">
        <f>SUMIFS(TablaConsumos[[CANTIDAD ]:[CANTIDAD ]],TablaConsumos[[CÓDIGO]:[CÓDIGO]],'Inventario '!$B59,TablaConsumos[[Planta]:[Planta]],'Inventario '!L$1)</f>
        <v>0</v>
      </c>
      <c r="M59" s="131">
        <f>SUMIFS(TablaConsumos[[CANTIDAD ]:[CANTIDAD ]],TablaConsumos[[CÓDIGO]:[CÓDIGO]],'Inventario '!$B59,TablaConsumos[[Planta]:[Planta]],'Inventario '!M$1)</f>
        <v>0</v>
      </c>
      <c r="N59" s="131">
        <f>SUMIFS(TablaConsumos[[CANTIDAD ]:[CANTIDAD ]],TablaConsumos[[CÓDIGO]:[CÓDIGO]],'Inventario '!$B59,TablaConsumos[[Planta]:[Planta]],'Inventario '!N$1)</f>
        <v>0</v>
      </c>
      <c r="O59" s="131">
        <f>SUMIFS(TablaConsumos[[CANTIDAD ]:[CANTIDAD ]],TablaConsumos[[CÓDIGO]:[CÓDIGO]],'Inventario '!$B59,TablaConsumos[[Planta]:[Planta]],'Inventario '!O$1)</f>
        <v>0</v>
      </c>
      <c r="P59" s="131">
        <f>SUMIFS(TablaConsumos[[CANTIDAD ]:[CANTIDAD ]],TablaConsumos[[CÓDIGO]:[CÓDIGO]],'Inventario '!$B59,TablaConsumos[[Planta]:[Planta]],'Inventario '!P$1)</f>
        <v>0</v>
      </c>
      <c r="Q59" s="131">
        <f>SUMIFS(TablaConsumos[[CANTIDAD ]:[CANTIDAD ]],TablaConsumos[[CÓDIGO]:[CÓDIGO]],'Inventario '!$B59,TablaConsumos[[Planta]:[Planta]],'Inventario '!Q$1)</f>
        <v>0</v>
      </c>
      <c r="R59" s="131">
        <f>SUMIFS(TablaConsumos[[CANTIDAD ]:[CANTIDAD ]],TablaConsumos[[CÓDIGO]:[CÓDIGO]],'Inventario '!$B59,TablaConsumos[[Planta]:[Planta]],'Inventario '!R$1)</f>
        <v>0</v>
      </c>
      <c r="S59" s="130">
        <f t="shared" ref="S59:S100" si="84">+SUM(I59:R59)</f>
        <v>0</v>
      </c>
      <c r="T59" s="130">
        <f t="shared" ref="T59:T105" si="85">+H59-S59</f>
        <v>0</v>
      </c>
      <c r="U59" s="177"/>
      <c r="V59" s="130"/>
      <c r="W59" s="132">
        <v>1</v>
      </c>
      <c r="X59" s="133">
        <f t="shared" si="83"/>
        <v>0</v>
      </c>
      <c r="Y59" s="130">
        <f t="shared" si="58"/>
        <v>0</v>
      </c>
      <c r="Z59" s="132"/>
      <c r="AA59" s="132">
        <f t="shared" si="59"/>
        <v>0</v>
      </c>
      <c r="AB59" s="132"/>
      <c r="AC59" s="131">
        <f t="shared" si="60"/>
        <v>0</v>
      </c>
      <c r="AD59" s="131"/>
      <c r="AE59" s="132" t="s">
        <v>614</v>
      </c>
      <c r="AF59" s="132">
        <v>5</v>
      </c>
      <c r="AG59" s="168"/>
      <c r="AH59" s="134">
        <f t="shared" si="61"/>
        <v>0</v>
      </c>
      <c r="AI59" s="134">
        <f t="shared" si="62"/>
        <v>0</v>
      </c>
      <c r="AJ59" s="134">
        <f t="shared" si="63"/>
        <v>0</v>
      </c>
      <c r="AK59" s="134">
        <f t="shared" si="64"/>
        <v>0</v>
      </c>
      <c r="AL59" s="134">
        <f t="shared" si="65"/>
        <v>0</v>
      </c>
      <c r="AM59" s="134">
        <f t="shared" si="66"/>
        <v>0</v>
      </c>
      <c r="AN59" s="134">
        <f t="shared" si="67"/>
        <v>0</v>
      </c>
      <c r="AO59" s="134">
        <f t="shared" si="68"/>
        <v>0</v>
      </c>
      <c r="AP59" s="134">
        <f t="shared" si="69"/>
        <v>0</v>
      </c>
      <c r="AQ59" s="134">
        <f t="shared" si="70"/>
        <v>0</v>
      </c>
      <c r="AR59" s="134">
        <f t="shared" si="71"/>
        <v>0</v>
      </c>
      <c r="AS59" s="135">
        <f t="shared" ref="AS59:AS100" si="86">+SUM(AI59:AR59)</f>
        <v>0</v>
      </c>
      <c r="AT59" s="137" t="str">
        <f t="shared" si="72"/>
        <v>0</v>
      </c>
      <c r="AU59" s="137" t="str">
        <f t="shared" si="73"/>
        <v>0</v>
      </c>
      <c r="AV59" s="137" t="str">
        <f t="shared" si="74"/>
        <v>0</v>
      </c>
      <c r="AW59" s="137" t="str">
        <f t="shared" si="75"/>
        <v>0</v>
      </c>
      <c r="AX59" s="137" t="str">
        <f t="shared" si="76"/>
        <v>0</v>
      </c>
      <c r="AY59" s="137" t="str">
        <f t="shared" si="77"/>
        <v>0</v>
      </c>
      <c r="AZ59" s="137" t="str">
        <f t="shared" si="78"/>
        <v>0</v>
      </c>
      <c r="BA59" s="137" t="str">
        <f t="shared" si="79"/>
        <v>0</v>
      </c>
      <c r="BB59" s="137" t="str">
        <f t="shared" si="80"/>
        <v>0</v>
      </c>
      <c r="BC59" s="137" t="str">
        <f t="shared" si="81"/>
        <v>0</v>
      </c>
      <c r="BD59" s="131">
        <f t="shared" si="82"/>
        <v>0</v>
      </c>
    </row>
    <row r="60" spans="2:56" x14ac:dyDescent="0.25">
      <c r="B60" s="136">
        <v>8204993</v>
      </c>
      <c r="C60" s="128" t="s">
        <v>17</v>
      </c>
      <c r="D60" s="128"/>
      <c r="E60" s="136" t="s">
        <v>126</v>
      </c>
      <c r="F60" s="274"/>
      <c r="G60" s="130">
        <f>+SUMIFS(TablaIngresos[Cantidad],TablaIngresos[Código],'Inventario '!B60)</f>
        <v>0</v>
      </c>
      <c r="H60" s="130">
        <f t="shared" ref="H60:H106" si="87">+F60+G60</f>
        <v>0</v>
      </c>
      <c r="I60" s="131">
        <f>SUMIFS(TablaConsumos[[CANTIDAD ]:[CANTIDAD ]],TablaConsumos[[CÓDIGO]:[CÓDIGO]],'Inventario '!$B60,TablaConsumos[[Planta]:[Planta]],'Inventario '!I$1)</f>
        <v>0</v>
      </c>
      <c r="J60" s="131">
        <f>SUMIFS(TablaConsumos[[CANTIDAD ]:[CANTIDAD ]],TablaConsumos[[CÓDIGO]:[CÓDIGO]],'Inventario '!$B60,TablaConsumos[[Planta]:[Planta]],'Inventario '!J$1)</f>
        <v>0</v>
      </c>
      <c r="K60" s="131">
        <f>SUMIFS(TablaConsumos[[CANTIDAD ]:[CANTIDAD ]],TablaConsumos[[CÓDIGO]:[CÓDIGO]],'Inventario '!$B60,TablaConsumos[[Planta]:[Planta]],'Inventario '!K$1)</f>
        <v>0</v>
      </c>
      <c r="L60" s="131">
        <f>SUMIFS(TablaConsumos[[CANTIDAD ]:[CANTIDAD ]],TablaConsumos[[CÓDIGO]:[CÓDIGO]],'Inventario '!$B60,TablaConsumos[[Planta]:[Planta]],'Inventario '!L$1)</f>
        <v>0</v>
      </c>
      <c r="M60" s="131">
        <f>SUMIFS(TablaConsumos[[CANTIDAD ]:[CANTIDAD ]],TablaConsumos[[CÓDIGO]:[CÓDIGO]],'Inventario '!$B60,TablaConsumos[[Planta]:[Planta]],'Inventario '!M$1)</f>
        <v>0</v>
      </c>
      <c r="N60" s="131">
        <f>SUMIFS(TablaConsumos[[CANTIDAD ]:[CANTIDAD ]],TablaConsumos[[CÓDIGO]:[CÓDIGO]],'Inventario '!$B60,TablaConsumos[[Planta]:[Planta]],'Inventario '!N$1)</f>
        <v>0</v>
      </c>
      <c r="O60" s="131">
        <f>SUMIFS(TablaConsumos[[CANTIDAD ]:[CANTIDAD ]],TablaConsumos[[CÓDIGO]:[CÓDIGO]],'Inventario '!$B60,TablaConsumos[[Planta]:[Planta]],'Inventario '!O$1)</f>
        <v>0</v>
      </c>
      <c r="P60" s="131">
        <f>SUMIFS(TablaConsumos[[CANTIDAD ]:[CANTIDAD ]],TablaConsumos[[CÓDIGO]:[CÓDIGO]],'Inventario '!$B60,TablaConsumos[[Planta]:[Planta]],'Inventario '!P$1)</f>
        <v>0</v>
      </c>
      <c r="Q60" s="131">
        <f>SUMIFS(TablaConsumos[[CANTIDAD ]:[CANTIDAD ]],TablaConsumos[[CÓDIGO]:[CÓDIGO]],'Inventario '!$B60,TablaConsumos[[Planta]:[Planta]],'Inventario '!Q$1)</f>
        <v>0</v>
      </c>
      <c r="R60" s="131">
        <f>SUMIFS(TablaConsumos[[CANTIDAD ]:[CANTIDAD ]],TablaConsumos[[CÓDIGO]:[CÓDIGO]],'Inventario '!$B60,TablaConsumos[[Planta]:[Planta]],'Inventario '!R$1)</f>
        <v>0</v>
      </c>
      <c r="S60" s="130">
        <f t="shared" si="84"/>
        <v>0</v>
      </c>
      <c r="T60" s="130">
        <f t="shared" si="85"/>
        <v>0</v>
      </c>
      <c r="U60" s="177"/>
      <c r="V60" s="130"/>
      <c r="W60" s="132">
        <v>1</v>
      </c>
      <c r="X60" s="133">
        <f t="shared" si="83"/>
        <v>0</v>
      </c>
      <c r="Y60" s="130">
        <f t="shared" si="58"/>
        <v>0</v>
      </c>
      <c r="Z60" s="132"/>
      <c r="AA60" s="132">
        <f t="shared" si="59"/>
        <v>0</v>
      </c>
      <c r="AB60" s="132"/>
      <c r="AC60" s="131">
        <f t="shared" si="60"/>
        <v>0</v>
      </c>
      <c r="AD60" s="131"/>
      <c r="AE60" s="132" t="s">
        <v>614</v>
      </c>
      <c r="AF60" s="132">
        <v>5</v>
      </c>
      <c r="AG60" s="168"/>
      <c r="AH60" s="134">
        <f t="shared" si="61"/>
        <v>0</v>
      </c>
      <c r="AI60" s="134">
        <f t="shared" si="62"/>
        <v>0</v>
      </c>
      <c r="AJ60" s="134">
        <f t="shared" si="63"/>
        <v>0</v>
      </c>
      <c r="AK60" s="134">
        <f t="shared" si="64"/>
        <v>0</v>
      </c>
      <c r="AL60" s="134">
        <f t="shared" si="65"/>
        <v>0</v>
      </c>
      <c r="AM60" s="134">
        <f t="shared" si="66"/>
        <v>0</v>
      </c>
      <c r="AN60" s="134">
        <f t="shared" si="67"/>
        <v>0</v>
      </c>
      <c r="AO60" s="134">
        <f t="shared" si="68"/>
        <v>0</v>
      </c>
      <c r="AP60" s="134">
        <f t="shared" si="69"/>
        <v>0</v>
      </c>
      <c r="AQ60" s="134">
        <f t="shared" si="70"/>
        <v>0</v>
      </c>
      <c r="AR60" s="134">
        <f t="shared" si="71"/>
        <v>0</v>
      </c>
      <c r="AS60" s="135">
        <f t="shared" si="86"/>
        <v>0</v>
      </c>
      <c r="AT60" s="137" t="str">
        <f t="shared" si="72"/>
        <v>0</v>
      </c>
      <c r="AU60" s="137" t="str">
        <f t="shared" si="73"/>
        <v>0</v>
      </c>
      <c r="AV60" s="137" t="str">
        <f t="shared" si="74"/>
        <v>0</v>
      </c>
      <c r="AW60" s="137" t="str">
        <f t="shared" si="75"/>
        <v>0</v>
      </c>
      <c r="AX60" s="137" t="str">
        <f t="shared" si="76"/>
        <v>0</v>
      </c>
      <c r="AY60" s="137" t="str">
        <f t="shared" si="77"/>
        <v>0</v>
      </c>
      <c r="AZ60" s="137" t="str">
        <f t="shared" si="78"/>
        <v>0</v>
      </c>
      <c r="BA60" s="137" t="str">
        <f t="shared" si="79"/>
        <v>0</v>
      </c>
      <c r="BB60" s="137" t="str">
        <f t="shared" si="80"/>
        <v>0</v>
      </c>
      <c r="BC60" s="137" t="str">
        <f t="shared" si="81"/>
        <v>0</v>
      </c>
      <c r="BD60" s="131">
        <f t="shared" si="82"/>
        <v>0</v>
      </c>
    </row>
    <row r="61" spans="2:56" x14ac:dyDescent="0.25">
      <c r="B61" s="136">
        <v>8204994</v>
      </c>
      <c r="C61" s="128" t="s">
        <v>17</v>
      </c>
      <c r="D61" s="128"/>
      <c r="E61" s="136" t="s">
        <v>127</v>
      </c>
      <c r="F61" s="274"/>
      <c r="G61" s="130">
        <f>+SUMIFS(TablaIngresos[Cantidad],TablaIngresos[Código],'Inventario '!B61)</f>
        <v>0</v>
      </c>
      <c r="H61" s="130">
        <f t="shared" si="87"/>
        <v>0</v>
      </c>
      <c r="I61" s="131">
        <f>SUMIFS(TablaConsumos[[CANTIDAD ]:[CANTIDAD ]],TablaConsumos[[CÓDIGO]:[CÓDIGO]],'Inventario '!$B61,TablaConsumos[[Planta]:[Planta]],'Inventario '!I$1)</f>
        <v>0</v>
      </c>
      <c r="J61" s="131">
        <f>SUMIFS(TablaConsumos[[CANTIDAD ]:[CANTIDAD ]],TablaConsumos[[CÓDIGO]:[CÓDIGO]],'Inventario '!$B61,TablaConsumos[[Planta]:[Planta]],'Inventario '!J$1)</f>
        <v>0</v>
      </c>
      <c r="K61" s="131">
        <f>SUMIFS(TablaConsumos[[CANTIDAD ]:[CANTIDAD ]],TablaConsumos[[CÓDIGO]:[CÓDIGO]],'Inventario '!$B61,TablaConsumos[[Planta]:[Planta]],'Inventario '!K$1)</f>
        <v>0</v>
      </c>
      <c r="L61" s="131">
        <f>SUMIFS(TablaConsumos[[CANTIDAD ]:[CANTIDAD ]],TablaConsumos[[CÓDIGO]:[CÓDIGO]],'Inventario '!$B61,TablaConsumos[[Planta]:[Planta]],'Inventario '!L$1)</f>
        <v>0</v>
      </c>
      <c r="M61" s="131">
        <f>SUMIFS(TablaConsumos[[CANTIDAD ]:[CANTIDAD ]],TablaConsumos[[CÓDIGO]:[CÓDIGO]],'Inventario '!$B61,TablaConsumos[[Planta]:[Planta]],'Inventario '!M$1)</f>
        <v>0</v>
      </c>
      <c r="N61" s="131">
        <f>SUMIFS(TablaConsumos[[CANTIDAD ]:[CANTIDAD ]],TablaConsumos[[CÓDIGO]:[CÓDIGO]],'Inventario '!$B61,TablaConsumos[[Planta]:[Planta]],'Inventario '!N$1)</f>
        <v>0</v>
      </c>
      <c r="O61" s="131">
        <f>SUMIFS(TablaConsumos[[CANTIDAD ]:[CANTIDAD ]],TablaConsumos[[CÓDIGO]:[CÓDIGO]],'Inventario '!$B61,TablaConsumos[[Planta]:[Planta]],'Inventario '!O$1)</f>
        <v>0</v>
      </c>
      <c r="P61" s="131">
        <f>SUMIFS(TablaConsumos[[CANTIDAD ]:[CANTIDAD ]],TablaConsumos[[CÓDIGO]:[CÓDIGO]],'Inventario '!$B61,TablaConsumos[[Planta]:[Planta]],'Inventario '!P$1)</f>
        <v>0</v>
      </c>
      <c r="Q61" s="131">
        <f>SUMIFS(TablaConsumos[[CANTIDAD ]:[CANTIDAD ]],TablaConsumos[[CÓDIGO]:[CÓDIGO]],'Inventario '!$B61,TablaConsumos[[Planta]:[Planta]],'Inventario '!Q$1)</f>
        <v>0</v>
      </c>
      <c r="R61" s="131">
        <f>SUMIFS(TablaConsumos[[CANTIDAD ]:[CANTIDAD ]],TablaConsumos[[CÓDIGO]:[CÓDIGO]],'Inventario '!$B61,TablaConsumos[[Planta]:[Planta]],'Inventario '!R$1)</f>
        <v>0</v>
      </c>
      <c r="S61" s="130">
        <f t="shared" si="84"/>
        <v>0</v>
      </c>
      <c r="T61" s="130">
        <f t="shared" si="85"/>
        <v>0</v>
      </c>
      <c r="U61" s="177"/>
      <c r="V61" s="130"/>
      <c r="W61" s="132">
        <v>1</v>
      </c>
      <c r="X61" s="133">
        <f t="shared" si="83"/>
        <v>0</v>
      </c>
      <c r="Y61" s="130">
        <f t="shared" si="58"/>
        <v>0</v>
      </c>
      <c r="Z61" s="132"/>
      <c r="AA61" s="132">
        <f t="shared" si="59"/>
        <v>0</v>
      </c>
      <c r="AB61" s="132"/>
      <c r="AC61" s="131">
        <f t="shared" si="60"/>
        <v>0</v>
      </c>
      <c r="AD61" s="131"/>
      <c r="AE61" s="132" t="s">
        <v>614</v>
      </c>
      <c r="AF61" s="132">
        <v>5</v>
      </c>
      <c r="AG61" s="168"/>
      <c r="AH61" s="134">
        <f t="shared" si="61"/>
        <v>0</v>
      </c>
      <c r="AI61" s="134">
        <f t="shared" si="62"/>
        <v>0</v>
      </c>
      <c r="AJ61" s="134">
        <f t="shared" si="63"/>
        <v>0</v>
      </c>
      <c r="AK61" s="134">
        <f t="shared" si="64"/>
        <v>0</v>
      </c>
      <c r="AL61" s="134">
        <f t="shared" si="65"/>
        <v>0</v>
      </c>
      <c r="AM61" s="134">
        <f t="shared" si="66"/>
        <v>0</v>
      </c>
      <c r="AN61" s="134">
        <f t="shared" si="67"/>
        <v>0</v>
      </c>
      <c r="AO61" s="134">
        <f t="shared" si="68"/>
        <v>0</v>
      </c>
      <c r="AP61" s="134">
        <f t="shared" si="69"/>
        <v>0</v>
      </c>
      <c r="AQ61" s="134">
        <f t="shared" si="70"/>
        <v>0</v>
      </c>
      <c r="AR61" s="134">
        <f t="shared" si="71"/>
        <v>0</v>
      </c>
      <c r="AS61" s="135">
        <f t="shared" si="86"/>
        <v>0</v>
      </c>
      <c r="AT61" s="137" t="str">
        <f t="shared" si="72"/>
        <v>0</v>
      </c>
      <c r="AU61" s="137" t="str">
        <f t="shared" si="73"/>
        <v>0</v>
      </c>
      <c r="AV61" s="137" t="str">
        <f t="shared" si="74"/>
        <v>0</v>
      </c>
      <c r="AW61" s="137" t="str">
        <f t="shared" si="75"/>
        <v>0</v>
      </c>
      <c r="AX61" s="137" t="str">
        <f t="shared" si="76"/>
        <v>0</v>
      </c>
      <c r="AY61" s="137" t="str">
        <f t="shared" si="77"/>
        <v>0</v>
      </c>
      <c r="AZ61" s="137" t="str">
        <f t="shared" si="78"/>
        <v>0</v>
      </c>
      <c r="BA61" s="137" t="str">
        <f t="shared" si="79"/>
        <v>0</v>
      </c>
      <c r="BB61" s="137" t="str">
        <f t="shared" si="80"/>
        <v>0</v>
      </c>
      <c r="BC61" s="137" t="str">
        <f t="shared" si="81"/>
        <v>0</v>
      </c>
      <c r="BD61" s="131">
        <f t="shared" si="82"/>
        <v>0</v>
      </c>
    </row>
    <row r="62" spans="2:56" x14ac:dyDescent="0.25">
      <c r="B62" s="136">
        <v>8204995</v>
      </c>
      <c r="C62" s="128" t="s">
        <v>17</v>
      </c>
      <c r="D62" s="128"/>
      <c r="E62" s="136" t="s">
        <v>128</v>
      </c>
      <c r="F62" s="274"/>
      <c r="G62" s="130">
        <f>+SUMIFS(TablaIngresos[Cantidad],TablaIngresos[Código],'Inventario '!B62)</f>
        <v>0</v>
      </c>
      <c r="H62" s="130">
        <f t="shared" si="87"/>
        <v>0</v>
      </c>
      <c r="I62" s="131">
        <f>SUMIFS(TablaConsumos[[CANTIDAD ]:[CANTIDAD ]],TablaConsumos[[CÓDIGO]:[CÓDIGO]],'Inventario '!$B62,TablaConsumos[[Planta]:[Planta]],'Inventario '!I$1)</f>
        <v>0</v>
      </c>
      <c r="J62" s="131">
        <f>SUMIFS(TablaConsumos[[CANTIDAD ]:[CANTIDAD ]],TablaConsumos[[CÓDIGO]:[CÓDIGO]],'Inventario '!$B62,TablaConsumos[[Planta]:[Planta]],'Inventario '!J$1)</f>
        <v>0</v>
      </c>
      <c r="K62" s="131">
        <f>SUMIFS(TablaConsumos[[CANTIDAD ]:[CANTIDAD ]],TablaConsumos[[CÓDIGO]:[CÓDIGO]],'Inventario '!$B62,TablaConsumos[[Planta]:[Planta]],'Inventario '!K$1)</f>
        <v>0</v>
      </c>
      <c r="L62" s="131">
        <f>SUMIFS(TablaConsumos[[CANTIDAD ]:[CANTIDAD ]],TablaConsumos[[CÓDIGO]:[CÓDIGO]],'Inventario '!$B62,TablaConsumos[[Planta]:[Planta]],'Inventario '!L$1)</f>
        <v>0</v>
      </c>
      <c r="M62" s="131">
        <f>SUMIFS(TablaConsumos[[CANTIDAD ]:[CANTIDAD ]],TablaConsumos[[CÓDIGO]:[CÓDIGO]],'Inventario '!$B62,TablaConsumos[[Planta]:[Planta]],'Inventario '!M$1)</f>
        <v>0</v>
      </c>
      <c r="N62" s="131">
        <f>SUMIFS(TablaConsumos[[CANTIDAD ]:[CANTIDAD ]],TablaConsumos[[CÓDIGO]:[CÓDIGO]],'Inventario '!$B62,TablaConsumos[[Planta]:[Planta]],'Inventario '!N$1)</f>
        <v>0</v>
      </c>
      <c r="O62" s="131">
        <f>SUMIFS(TablaConsumos[[CANTIDAD ]:[CANTIDAD ]],TablaConsumos[[CÓDIGO]:[CÓDIGO]],'Inventario '!$B62,TablaConsumos[[Planta]:[Planta]],'Inventario '!O$1)</f>
        <v>0</v>
      </c>
      <c r="P62" s="131">
        <f>SUMIFS(TablaConsumos[[CANTIDAD ]:[CANTIDAD ]],TablaConsumos[[CÓDIGO]:[CÓDIGO]],'Inventario '!$B62,TablaConsumos[[Planta]:[Planta]],'Inventario '!P$1)</f>
        <v>0</v>
      </c>
      <c r="Q62" s="131">
        <f>SUMIFS(TablaConsumos[[CANTIDAD ]:[CANTIDAD ]],TablaConsumos[[CÓDIGO]:[CÓDIGO]],'Inventario '!$B62,TablaConsumos[[Planta]:[Planta]],'Inventario '!Q$1)</f>
        <v>0</v>
      </c>
      <c r="R62" s="131">
        <f>SUMIFS(TablaConsumos[[CANTIDAD ]:[CANTIDAD ]],TablaConsumos[[CÓDIGO]:[CÓDIGO]],'Inventario '!$B62,TablaConsumos[[Planta]:[Planta]],'Inventario '!R$1)</f>
        <v>0</v>
      </c>
      <c r="S62" s="130">
        <f t="shared" si="84"/>
        <v>0</v>
      </c>
      <c r="T62" s="130">
        <f t="shared" si="85"/>
        <v>0</v>
      </c>
      <c r="U62" s="177"/>
      <c r="V62" s="130"/>
      <c r="W62" s="132">
        <v>1</v>
      </c>
      <c r="X62" s="133">
        <f t="shared" si="83"/>
        <v>0</v>
      </c>
      <c r="Y62" s="130">
        <f t="shared" si="58"/>
        <v>0</v>
      </c>
      <c r="Z62" s="132"/>
      <c r="AA62" s="132">
        <f t="shared" si="59"/>
        <v>0</v>
      </c>
      <c r="AB62" s="132"/>
      <c r="AC62" s="131">
        <f t="shared" si="60"/>
        <v>0</v>
      </c>
      <c r="AD62" s="131"/>
      <c r="AE62" s="132" t="s">
        <v>614</v>
      </c>
      <c r="AF62" s="132">
        <v>5</v>
      </c>
      <c r="AG62" s="168"/>
      <c r="AH62" s="134">
        <f t="shared" si="61"/>
        <v>0</v>
      </c>
      <c r="AI62" s="134">
        <f t="shared" si="62"/>
        <v>0</v>
      </c>
      <c r="AJ62" s="134">
        <f t="shared" si="63"/>
        <v>0</v>
      </c>
      <c r="AK62" s="134">
        <f t="shared" si="64"/>
        <v>0</v>
      </c>
      <c r="AL62" s="134">
        <f t="shared" si="65"/>
        <v>0</v>
      </c>
      <c r="AM62" s="134">
        <f t="shared" si="66"/>
        <v>0</v>
      </c>
      <c r="AN62" s="134">
        <f t="shared" si="67"/>
        <v>0</v>
      </c>
      <c r="AO62" s="134">
        <f t="shared" si="68"/>
        <v>0</v>
      </c>
      <c r="AP62" s="134">
        <f t="shared" si="69"/>
        <v>0</v>
      </c>
      <c r="AQ62" s="134">
        <f t="shared" si="70"/>
        <v>0</v>
      </c>
      <c r="AR62" s="134">
        <f t="shared" si="71"/>
        <v>0</v>
      </c>
      <c r="AS62" s="135">
        <f t="shared" si="86"/>
        <v>0</v>
      </c>
      <c r="AT62" s="137" t="str">
        <f t="shared" si="72"/>
        <v>0</v>
      </c>
      <c r="AU62" s="137" t="str">
        <f t="shared" si="73"/>
        <v>0</v>
      </c>
      <c r="AV62" s="137" t="str">
        <f t="shared" si="74"/>
        <v>0</v>
      </c>
      <c r="AW62" s="137" t="str">
        <f t="shared" si="75"/>
        <v>0</v>
      </c>
      <c r="AX62" s="137" t="str">
        <f t="shared" si="76"/>
        <v>0</v>
      </c>
      <c r="AY62" s="137" t="str">
        <f t="shared" si="77"/>
        <v>0</v>
      </c>
      <c r="AZ62" s="137" t="str">
        <f t="shared" si="78"/>
        <v>0</v>
      </c>
      <c r="BA62" s="137" t="str">
        <f t="shared" si="79"/>
        <v>0</v>
      </c>
      <c r="BB62" s="137" t="str">
        <f t="shared" si="80"/>
        <v>0</v>
      </c>
      <c r="BC62" s="137" t="str">
        <f t="shared" si="81"/>
        <v>0</v>
      </c>
      <c r="BD62" s="131">
        <f t="shared" si="82"/>
        <v>0</v>
      </c>
    </row>
    <row r="63" spans="2:56" x14ac:dyDescent="0.25">
      <c r="B63" s="136">
        <v>8204996</v>
      </c>
      <c r="C63" s="128" t="s">
        <v>17</v>
      </c>
      <c r="D63" s="128"/>
      <c r="E63" s="136" t="s">
        <v>129</v>
      </c>
      <c r="F63" s="274"/>
      <c r="G63" s="130">
        <f>+SUMIFS(TablaIngresos[Cantidad],TablaIngresos[Código],'Inventario '!B63)</f>
        <v>0</v>
      </c>
      <c r="H63" s="130">
        <f t="shared" si="87"/>
        <v>0</v>
      </c>
      <c r="I63" s="131">
        <f>SUMIFS(TablaConsumos[[CANTIDAD ]:[CANTIDAD ]],TablaConsumos[[CÓDIGO]:[CÓDIGO]],'Inventario '!$B63,TablaConsumos[[Planta]:[Planta]],'Inventario '!I$1)</f>
        <v>0</v>
      </c>
      <c r="J63" s="131">
        <f>SUMIFS(TablaConsumos[[CANTIDAD ]:[CANTIDAD ]],TablaConsumos[[CÓDIGO]:[CÓDIGO]],'Inventario '!$B63,TablaConsumos[[Planta]:[Planta]],'Inventario '!J$1)</f>
        <v>0</v>
      </c>
      <c r="K63" s="131">
        <f>SUMIFS(TablaConsumos[[CANTIDAD ]:[CANTIDAD ]],TablaConsumos[[CÓDIGO]:[CÓDIGO]],'Inventario '!$B63,TablaConsumos[[Planta]:[Planta]],'Inventario '!K$1)</f>
        <v>0</v>
      </c>
      <c r="L63" s="131">
        <f>SUMIFS(TablaConsumos[[CANTIDAD ]:[CANTIDAD ]],TablaConsumos[[CÓDIGO]:[CÓDIGO]],'Inventario '!$B63,TablaConsumos[[Planta]:[Planta]],'Inventario '!L$1)</f>
        <v>0</v>
      </c>
      <c r="M63" s="131">
        <f>SUMIFS(TablaConsumos[[CANTIDAD ]:[CANTIDAD ]],TablaConsumos[[CÓDIGO]:[CÓDIGO]],'Inventario '!$B63,TablaConsumos[[Planta]:[Planta]],'Inventario '!M$1)</f>
        <v>0</v>
      </c>
      <c r="N63" s="131">
        <f>SUMIFS(TablaConsumos[[CANTIDAD ]:[CANTIDAD ]],TablaConsumos[[CÓDIGO]:[CÓDIGO]],'Inventario '!$B63,TablaConsumos[[Planta]:[Planta]],'Inventario '!N$1)</f>
        <v>0</v>
      </c>
      <c r="O63" s="131">
        <f>SUMIFS(TablaConsumos[[CANTIDAD ]:[CANTIDAD ]],TablaConsumos[[CÓDIGO]:[CÓDIGO]],'Inventario '!$B63,TablaConsumos[[Planta]:[Planta]],'Inventario '!O$1)</f>
        <v>0</v>
      </c>
      <c r="P63" s="131">
        <f>SUMIFS(TablaConsumos[[CANTIDAD ]:[CANTIDAD ]],TablaConsumos[[CÓDIGO]:[CÓDIGO]],'Inventario '!$B63,TablaConsumos[[Planta]:[Planta]],'Inventario '!P$1)</f>
        <v>0</v>
      </c>
      <c r="Q63" s="131">
        <f>SUMIFS(TablaConsumos[[CANTIDAD ]:[CANTIDAD ]],TablaConsumos[[CÓDIGO]:[CÓDIGO]],'Inventario '!$B63,TablaConsumos[[Planta]:[Planta]],'Inventario '!Q$1)</f>
        <v>0</v>
      </c>
      <c r="R63" s="131">
        <f>SUMIFS(TablaConsumos[[CANTIDAD ]:[CANTIDAD ]],TablaConsumos[[CÓDIGO]:[CÓDIGO]],'Inventario '!$B63,TablaConsumos[[Planta]:[Planta]],'Inventario '!R$1)</f>
        <v>0</v>
      </c>
      <c r="S63" s="130">
        <f t="shared" si="84"/>
        <v>0</v>
      </c>
      <c r="T63" s="130">
        <f t="shared" si="85"/>
        <v>0</v>
      </c>
      <c r="U63" s="177"/>
      <c r="V63" s="130"/>
      <c r="W63" s="132">
        <v>1</v>
      </c>
      <c r="X63" s="133">
        <f t="shared" si="83"/>
        <v>0</v>
      </c>
      <c r="Y63" s="130">
        <f t="shared" si="58"/>
        <v>0</v>
      </c>
      <c r="Z63" s="132"/>
      <c r="AA63" s="132">
        <f t="shared" si="59"/>
        <v>0</v>
      </c>
      <c r="AB63" s="132"/>
      <c r="AC63" s="131">
        <f t="shared" si="60"/>
        <v>0</v>
      </c>
      <c r="AD63" s="131"/>
      <c r="AE63" s="132" t="s">
        <v>614</v>
      </c>
      <c r="AF63" s="132">
        <v>5</v>
      </c>
      <c r="AG63" s="168"/>
      <c r="AH63" s="134">
        <f t="shared" si="61"/>
        <v>0</v>
      </c>
      <c r="AI63" s="134">
        <f t="shared" si="62"/>
        <v>0</v>
      </c>
      <c r="AJ63" s="134">
        <f t="shared" si="63"/>
        <v>0</v>
      </c>
      <c r="AK63" s="134">
        <f t="shared" si="64"/>
        <v>0</v>
      </c>
      <c r="AL63" s="134">
        <f t="shared" si="65"/>
        <v>0</v>
      </c>
      <c r="AM63" s="134">
        <f t="shared" si="66"/>
        <v>0</v>
      </c>
      <c r="AN63" s="134">
        <f t="shared" si="67"/>
        <v>0</v>
      </c>
      <c r="AO63" s="134">
        <f t="shared" si="68"/>
        <v>0</v>
      </c>
      <c r="AP63" s="134">
        <f t="shared" si="69"/>
        <v>0</v>
      </c>
      <c r="AQ63" s="134">
        <f t="shared" si="70"/>
        <v>0</v>
      </c>
      <c r="AR63" s="134">
        <f t="shared" si="71"/>
        <v>0</v>
      </c>
      <c r="AS63" s="135">
        <f t="shared" si="86"/>
        <v>0</v>
      </c>
      <c r="AT63" s="137" t="str">
        <f t="shared" si="72"/>
        <v>0</v>
      </c>
      <c r="AU63" s="137" t="str">
        <f t="shared" si="73"/>
        <v>0</v>
      </c>
      <c r="AV63" s="137" t="str">
        <f t="shared" si="74"/>
        <v>0</v>
      </c>
      <c r="AW63" s="137" t="str">
        <f t="shared" si="75"/>
        <v>0</v>
      </c>
      <c r="AX63" s="137" t="str">
        <f t="shared" si="76"/>
        <v>0</v>
      </c>
      <c r="AY63" s="137" t="str">
        <f t="shared" si="77"/>
        <v>0</v>
      </c>
      <c r="AZ63" s="137" t="str">
        <f t="shared" si="78"/>
        <v>0</v>
      </c>
      <c r="BA63" s="137" t="str">
        <f t="shared" si="79"/>
        <v>0</v>
      </c>
      <c r="BB63" s="137" t="str">
        <f t="shared" si="80"/>
        <v>0</v>
      </c>
      <c r="BC63" s="137" t="str">
        <f t="shared" si="81"/>
        <v>0</v>
      </c>
      <c r="BD63" s="131">
        <f t="shared" si="82"/>
        <v>0</v>
      </c>
    </row>
    <row r="64" spans="2:56" x14ac:dyDescent="0.25">
      <c r="B64" s="136">
        <v>8204997</v>
      </c>
      <c r="C64" s="128" t="s">
        <v>17</v>
      </c>
      <c r="D64" s="128"/>
      <c r="E64" s="136" t="s">
        <v>683</v>
      </c>
      <c r="F64" s="274"/>
      <c r="G64" s="130">
        <f>+SUMIFS(TablaIngresos[Cantidad],TablaIngresos[Código],'Inventario '!B64)</f>
        <v>0</v>
      </c>
      <c r="H64" s="130">
        <f t="shared" si="87"/>
        <v>0</v>
      </c>
      <c r="I64" s="131">
        <f>SUMIFS(TablaConsumos[[CANTIDAD ]:[CANTIDAD ]],TablaConsumos[[CÓDIGO]:[CÓDIGO]],'Inventario '!$B64,TablaConsumos[[Planta]:[Planta]],'Inventario '!I$1)</f>
        <v>0</v>
      </c>
      <c r="J64" s="131">
        <f>SUMIFS(TablaConsumos[[CANTIDAD ]:[CANTIDAD ]],TablaConsumos[[CÓDIGO]:[CÓDIGO]],'Inventario '!$B64,TablaConsumos[[Planta]:[Planta]],'Inventario '!J$1)</f>
        <v>0</v>
      </c>
      <c r="K64" s="131">
        <f>SUMIFS(TablaConsumos[[CANTIDAD ]:[CANTIDAD ]],TablaConsumos[[CÓDIGO]:[CÓDIGO]],'Inventario '!$B64,TablaConsumos[[Planta]:[Planta]],'Inventario '!K$1)</f>
        <v>0</v>
      </c>
      <c r="L64" s="131">
        <f>SUMIFS(TablaConsumos[[CANTIDAD ]:[CANTIDAD ]],TablaConsumos[[CÓDIGO]:[CÓDIGO]],'Inventario '!$B64,TablaConsumos[[Planta]:[Planta]],'Inventario '!L$1)</f>
        <v>0</v>
      </c>
      <c r="M64" s="131">
        <f>SUMIFS(TablaConsumos[[CANTIDAD ]:[CANTIDAD ]],TablaConsumos[[CÓDIGO]:[CÓDIGO]],'Inventario '!$B64,TablaConsumos[[Planta]:[Planta]],'Inventario '!M$1)</f>
        <v>0</v>
      </c>
      <c r="N64" s="131">
        <f>SUMIFS(TablaConsumos[[CANTIDAD ]:[CANTIDAD ]],TablaConsumos[[CÓDIGO]:[CÓDIGO]],'Inventario '!$B64,TablaConsumos[[Planta]:[Planta]],'Inventario '!N$1)</f>
        <v>0</v>
      </c>
      <c r="O64" s="131">
        <f>SUMIFS(TablaConsumos[[CANTIDAD ]:[CANTIDAD ]],TablaConsumos[[CÓDIGO]:[CÓDIGO]],'Inventario '!$B64,TablaConsumos[[Planta]:[Planta]],'Inventario '!O$1)</f>
        <v>0</v>
      </c>
      <c r="P64" s="131">
        <f>SUMIFS(TablaConsumos[[CANTIDAD ]:[CANTIDAD ]],TablaConsumos[[CÓDIGO]:[CÓDIGO]],'Inventario '!$B64,TablaConsumos[[Planta]:[Planta]],'Inventario '!P$1)</f>
        <v>0</v>
      </c>
      <c r="Q64" s="131">
        <f>SUMIFS(TablaConsumos[[CANTIDAD ]:[CANTIDAD ]],TablaConsumos[[CÓDIGO]:[CÓDIGO]],'Inventario '!$B64,TablaConsumos[[Planta]:[Planta]],'Inventario '!Q$1)</f>
        <v>0</v>
      </c>
      <c r="R64" s="131">
        <f>SUMIFS(TablaConsumos[[CANTIDAD ]:[CANTIDAD ]],TablaConsumos[[CÓDIGO]:[CÓDIGO]],'Inventario '!$B64,TablaConsumos[[Planta]:[Planta]],'Inventario '!R$1)</f>
        <v>0</v>
      </c>
      <c r="S64" s="130">
        <f t="shared" si="84"/>
        <v>0</v>
      </c>
      <c r="T64" s="130">
        <f t="shared" si="85"/>
        <v>0</v>
      </c>
      <c r="U64" s="177"/>
      <c r="V64" s="130"/>
      <c r="W64" s="132">
        <v>1</v>
      </c>
      <c r="X64" s="133">
        <f t="shared" si="83"/>
        <v>0</v>
      </c>
      <c r="Y64" s="130">
        <f t="shared" si="58"/>
        <v>0</v>
      </c>
      <c r="Z64" s="132"/>
      <c r="AA64" s="132">
        <f t="shared" si="59"/>
        <v>0</v>
      </c>
      <c r="AB64" s="132"/>
      <c r="AC64" s="131">
        <f t="shared" si="60"/>
        <v>0</v>
      </c>
      <c r="AD64" s="131"/>
      <c r="AE64" s="132" t="s">
        <v>614</v>
      </c>
      <c r="AF64" s="132">
        <v>5</v>
      </c>
      <c r="AG64" s="168"/>
      <c r="AH64" s="134">
        <f t="shared" si="61"/>
        <v>0</v>
      </c>
      <c r="AI64" s="134">
        <f t="shared" si="62"/>
        <v>0</v>
      </c>
      <c r="AJ64" s="134">
        <f t="shared" si="63"/>
        <v>0</v>
      </c>
      <c r="AK64" s="134">
        <f t="shared" si="64"/>
        <v>0</v>
      </c>
      <c r="AL64" s="134">
        <f t="shared" si="65"/>
        <v>0</v>
      </c>
      <c r="AM64" s="134">
        <f t="shared" si="66"/>
        <v>0</v>
      </c>
      <c r="AN64" s="134">
        <f t="shared" si="67"/>
        <v>0</v>
      </c>
      <c r="AO64" s="134">
        <f t="shared" si="68"/>
        <v>0</v>
      </c>
      <c r="AP64" s="134">
        <f t="shared" si="69"/>
        <v>0</v>
      </c>
      <c r="AQ64" s="134">
        <f t="shared" si="70"/>
        <v>0</v>
      </c>
      <c r="AR64" s="134">
        <f t="shared" si="71"/>
        <v>0</v>
      </c>
      <c r="AS64" s="135">
        <f t="shared" si="86"/>
        <v>0</v>
      </c>
      <c r="AT64" s="137" t="str">
        <f t="shared" si="72"/>
        <v>0</v>
      </c>
      <c r="AU64" s="137" t="str">
        <f t="shared" si="73"/>
        <v>0</v>
      </c>
      <c r="AV64" s="137" t="str">
        <f t="shared" si="74"/>
        <v>0</v>
      </c>
      <c r="AW64" s="137" t="str">
        <f t="shared" si="75"/>
        <v>0</v>
      </c>
      <c r="AX64" s="137" t="str">
        <f t="shared" si="76"/>
        <v>0</v>
      </c>
      <c r="AY64" s="137" t="str">
        <f t="shared" si="77"/>
        <v>0</v>
      </c>
      <c r="AZ64" s="137" t="str">
        <f t="shared" si="78"/>
        <v>0</v>
      </c>
      <c r="BA64" s="137" t="str">
        <f t="shared" si="79"/>
        <v>0</v>
      </c>
      <c r="BB64" s="137" t="str">
        <f t="shared" si="80"/>
        <v>0</v>
      </c>
      <c r="BC64" s="137" t="str">
        <f t="shared" si="81"/>
        <v>0</v>
      </c>
      <c r="BD64" s="131">
        <f t="shared" si="82"/>
        <v>0</v>
      </c>
    </row>
    <row r="65" spans="2:56" x14ac:dyDescent="0.25">
      <c r="B65" s="136">
        <v>8204998</v>
      </c>
      <c r="C65" s="128" t="s">
        <v>17</v>
      </c>
      <c r="D65" s="128"/>
      <c r="E65" s="136" t="s">
        <v>131</v>
      </c>
      <c r="F65" s="274"/>
      <c r="G65" s="130">
        <f>+SUMIFS(TablaIngresos[Cantidad],TablaIngresos[Código],'Inventario '!B65)</f>
        <v>0</v>
      </c>
      <c r="H65" s="130">
        <f t="shared" si="87"/>
        <v>0</v>
      </c>
      <c r="I65" s="131">
        <f>SUMIFS(TablaConsumos[[CANTIDAD ]:[CANTIDAD ]],TablaConsumos[[CÓDIGO]:[CÓDIGO]],'Inventario '!$B65,TablaConsumos[[Planta]:[Planta]],'Inventario '!I$1)</f>
        <v>0</v>
      </c>
      <c r="J65" s="131">
        <f>SUMIFS(TablaConsumos[[CANTIDAD ]:[CANTIDAD ]],TablaConsumos[[CÓDIGO]:[CÓDIGO]],'Inventario '!$B65,TablaConsumos[[Planta]:[Planta]],'Inventario '!J$1)</f>
        <v>0</v>
      </c>
      <c r="K65" s="131">
        <f>SUMIFS(TablaConsumos[[CANTIDAD ]:[CANTIDAD ]],TablaConsumos[[CÓDIGO]:[CÓDIGO]],'Inventario '!$B65,TablaConsumos[[Planta]:[Planta]],'Inventario '!K$1)</f>
        <v>0</v>
      </c>
      <c r="L65" s="131">
        <f>SUMIFS(TablaConsumos[[CANTIDAD ]:[CANTIDAD ]],TablaConsumos[[CÓDIGO]:[CÓDIGO]],'Inventario '!$B65,TablaConsumos[[Planta]:[Planta]],'Inventario '!L$1)</f>
        <v>0</v>
      </c>
      <c r="M65" s="131">
        <f>SUMIFS(TablaConsumos[[CANTIDAD ]:[CANTIDAD ]],TablaConsumos[[CÓDIGO]:[CÓDIGO]],'Inventario '!$B65,TablaConsumos[[Planta]:[Planta]],'Inventario '!M$1)</f>
        <v>0</v>
      </c>
      <c r="N65" s="131">
        <f>SUMIFS(TablaConsumos[[CANTIDAD ]:[CANTIDAD ]],TablaConsumos[[CÓDIGO]:[CÓDIGO]],'Inventario '!$B65,TablaConsumos[[Planta]:[Planta]],'Inventario '!N$1)</f>
        <v>0</v>
      </c>
      <c r="O65" s="131">
        <f>SUMIFS(TablaConsumos[[CANTIDAD ]:[CANTIDAD ]],TablaConsumos[[CÓDIGO]:[CÓDIGO]],'Inventario '!$B65,TablaConsumos[[Planta]:[Planta]],'Inventario '!O$1)</f>
        <v>0</v>
      </c>
      <c r="P65" s="131">
        <f>SUMIFS(TablaConsumos[[CANTIDAD ]:[CANTIDAD ]],TablaConsumos[[CÓDIGO]:[CÓDIGO]],'Inventario '!$B65,TablaConsumos[[Planta]:[Planta]],'Inventario '!P$1)</f>
        <v>0</v>
      </c>
      <c r="Q65" s="131">
        <f>SUMIFS(TablaConsumos[[CANTIDAD ]:[CANTIDAD ]],TablaConsumos[[CÓDIGO]:[CÓDIGO]],'Inventario '!$B65,TablaConsumos[[Planta]:[Planta]],'Inventario '!Q$1)</f>
        <v>0</v>
      </c>
      <c r="R65" s="131">
        <f>SUMIFS(TablaConsumos[[CANTIDAD ]:[CANTIDAD ]],TablaConsumos[[CÓDIGO]:[CÓDIGO]],'Inventario '!$B65,TablaConsumos[[Planta]:[Planta]],'Inventario '!R$1)</f>
        <v>0</v>
      </c>
      <c r="S65" s="130">
        <f t="shared" si="84"/>
        <v>0</v>
      </c>
      <c r="T65" s="130">
        <f t="shared" si="85"/>
        <v>0</v>
      </c>
      <c r="U65" s="177"/>
      <c r="V65" s="130"/>
      <c r="W65" s="132">
        <v>1</v>
      </c>
      <c r="X65" s="133">
        <f t="shared" si="83"/>
        <v>0</v>
      </c>
      <c r="Y65" s="130">
        <f t="shared" si="58"/>
        <v>0</v>
      </c>
      <c r="Z65" s="132"/>
      <c r="AA65" s="132">
        <f t="shared" si="59"/>
        <v>0</v>
      </c>
      <c r="AB65" s="132"/>
      <c r="AC65" s="131">
        <f t="shared" si="60"/>
        <v>0</v>
      </c>
      <c r="AD65" s="131"/>
      <c r="AE65" s="132" t="s">
        <v>614</v>
      </c>
      <c r="AF65" s="132">
        <v>5</v>
      </c>
      <c r="AG65" s="168"/>
      <c r="AH65" s="134">
        <f t="shared" si="61"/>
        <v>0</v>
      </c>
      <c r="AI65" s="134">
        <f t="shared" si="62"/>
        <v>0</v>
      </c>
      <c r="AJ65" s="134">
        <f t="shared" si="63"/>
        <v>0</v>
      </c>
      <c r="AK65" s="134">
        <f t="shared" si="64"/>
        <v>0</v>
      </c>
      <c r="AL65" s="134">
        <f t="shared" si="65"/>
        <v>0</v>
      </c>
      <c r="AM65" s="134">
        <f t="shared" si="66"/>
        <v>0</v>
      </c>
      <c r="AN65" s="134">
        <f t="shared" si="67"/>
        <v>0</v>
      </c>
      <c r="AO65" s="134">
        <f t="shared" si="68"/>
        <v>0</v>
      </c>
      <c r="AP65" s="134">
        <f t="shared" si="69"/>
        <v>0</v>
      </c>
      <c r="AQ65" s="134">
        <f t="shared" si="70"/>
        <v>0</v>
      </c>
      <c r="AR65" s="134">
        <f t="shared" si="71"/>
        <v>0</v>
      </c>
      <c r="AS65" s="135">
        <f t="shared" si="86"/>
        <v>0</v>
      </c>
      <c r="AT65" s="137" t="str">
        <f t="shared" si="72"/>
        <v>0</v>
      </c>
      <c r="AU65" s="137" t="str">
        <f t="shared" si="73"/>
        <v>0</v>
      </c>
      <c r="AV65" s="137" t="str">
        <f t="shared" si="74"/>
        <v>0</v>
      </c>
      <c r="AW65" s="137" t="str">
        <f t="shared" si="75"/>
        <v>0</v>
      </c>
      <c r="AX65" s="137" t="str">
        <f t="shared" si="76"/>
        <v>0</v>
      </c>
      <c r="AY65" s="137" t="str">
        <f t="shared" si="77"/>
        <v>0</v>
      </c>
      <c r="AZ65" s="137" t="str">
        <f t="shared" si="78"/>
        <v>0</v>
      </c>
      <c r="BA65" s="137" t="str">
        <f t="shared" si="79"/>
        <v>0</v>
      </c>
      <c r="BB65" s="137" t="str">
        <f t="shared" si="80"/>
        <v>0</v>
      </c>
      <c r="BC65" s="137" t="str">
        <f t="shared" si="81"/>
        <v>0</v>
      </c>
      <c r="BD65" s="131">
        <f t="shared" si="82"/>
        <v>0</v>
      </c>
    </row>
    <row r="66" spans="2:56" x14ac:dyDescent="0.25">
      <c r="B66" s="136">
        <v>8204999</v>
      </c>
      <c r="C66" s="128" t="s">
        <v>17</v>
      </c>
      <c r="D66" s="128"/>
      <c r="E66" s="136" t="s">
        <v>132</v>
      </c>
      <c r="F66" s="274"/>
      <c r="G66" s="130">
        <f>+SUMIFS(TablaIngresos[Cantidad],TablaIngresos[Código],'Inventario '!B66)</f>
        <v>0</v>
      </c>
      <c r="H66" s="130">
        <f t="shared" si="87"/>
        <v>0</v>
      </c>
      <c r="I66" s="131">
        <f>SUMIFS(TablaConsumos[[CANTIDAD ]:[CANTIDAD ]],TablaConsumos[[CÓDIGO]:[CÓDIGO]],'Inventario '!$B66,TablaConsumos[[Planta]:[Planta]],'Inventario '!I$1)</f>
        <v>0</v>
      </c>
      <c r="J66" s="131">
        <f>SUMIFS(TablaConsumos[[CANTIDAD ]:[CANTIDAD ]],TablaConsumos[[CÓDIGO]:[CÓDIGO]],'Inventario '!$B66,TablaConsumos[[Planta]:[Planta]],'Inventario '!J$1)</f>
        <v>0</v>
      </c>
      <c r="K66" s="131">
        <f>SUMIFS(TablaConsumos[[CANTIDAD ]:[CANTIDAD ]],TablaConsumos[[CÓDIGO]:[CÓDIGO]],'Inventario '!$B66,TablaConsumos[[Planta]:[Planta]],'Inventario '!K$1)</f>
        <v>0</v>
      </c>
      <c r="L66" s="131">
        <f>SUMIFS(TablaConsumos[[CANTIDAD ]:[CANTIDAD ]],TablaConsumos[[CÓDIGO]:[CÓDIGO]],'Inventario '!$B66,TablaConsumos[[Planta]:[Planta]],'Inventario '!L$1)</f>
        <v>0</v>
      </c>
      <c r="M66" s="131">
        <f>SUMIFS(TablaConsumos[[CANTIDAD ]:[CANTIDAD ]],TablaConsumos[[CÓDIGO]:[CÓDIGO]],'Inventario '!$B66,TablaConsumos[[Planta]:[Planta]],'Inventario '!M$1)</f>
        <v>0</v>
      </c>
      <c r="N66" s="131">
        <f>SUMIFS(TablaConsumos[[CANTIDAD ]:[CANTIDAD ]],TablaConsumos[[CÓDIGO]:[CÓDIGO]],'Inventario '!$B66,TablaConsumos[[Planta]:[Planta]],'Inventario '!N$1)</f>
        <v>0</v>
      </c>
      <c r="O66" s="131">
        <f>SUMIFS(TablaConsumos[[CANTIDAD ]:[CANTIDAD ]],TablaConsumos[[CÓDIGO]:[CÓDIGO]],'Inventario '!$B66,TablaConsumos[[Planta]:[Planta]],'Inventario '!O$1)</f>
        <v>0</v>
      </c>
      <c r="P66" s="131">
        <f>SUMIFS(TablaConsumos[[CANTIDAD ]:[CANTIDAD ]],TablaConsumos[[CÓDIGO]:[CÓDIGO]],'Inventario '!$B66,TablaConsumos[[Planta]:[Planta]],'Inventario '!P$1)</f>
        <v>0</v>
      </c>
      <c r="Q66" s="131">
        <f>SUMIFS(TablaConsumos[[CANTIDAD ]:[CANTIDAD ]],TablaConsumos[[CÓDIGO]:[CÓDIGO]],'Inventario '!$B66,TablaConsumos[[Planta]:[Planta]],'Inventario '!Q$1)</f>
        <v>0</v>
      </c>
      <c r="R66" s="131">
        <f>SUMIFS(TablaConsumos[[CANTIDAD ]:[CANTIDAD ]],TablaConsumos[[CÓDIGO]:[CÓDIGO]],'Inventario '!$B66,TablaConsumos[[Planta]:[Planta]],'Inventario '!R$1)</f>
        <v>0</v>
      </c>
      <c r="S66" s="130">
        <f t="shared" si="84"/>
        <v>0</v>
      </c>
      <c r="T66" s="130">
        <f t="shared" si="85"/>
        <v>0</v>
      </c>
      <c r="U66" s="177"/>
      <c r="V66" s="130"/>
      <c r="W66" s="132">
        <v>1</v>
      </c>
      <c r="X66" s="133">
        <f t="shared" si="83"/>
        <v>0</v>
      </c>
      <c r="Y66" s="130">
        <f t="shared" si="58"/>
        <v>0</v>
      </c>
      <c r="Z66" s="132"/>
      <c r="AA66" s="132">
        <f t="shared" si="59"/>
        <v>0</v>
      </c>
      <c r="AB66" s="132"/>
      <c r="AC66" s="131">
        <f t="shared" si="60"/>
        <v>0</v>
      </c>
      <c r="AD66" s="131"/>
      <c r="AE66" s="132" t="s">
        <v>614</v>
      </c>
      <c r="AF66" s="132">
        <v>5</v>
      </c>
      <c r="AG66" s="168"/>
      <c r="AH66" s="134">
        <f t="shared" si="61"/>
        <v>0</v>
      </c>
      <c r="AI66" s="134">
        <f t="shared" si="62"/>
        <v>0</v>
      </c>
      <c r="AJ66" s="134">
        <f t="shared" si="63"/>
        <v>0</v>
      </c>
      <c r="AK66" s="134">
        <f t="shared" si="64"/>
        <v>0</v>
      </c>
      <c r="AL66" s="134">
        <f t="shared" si="65"/>
        <v>0</v>
      </c>
      <c r="AM66" s="134">
        <f t="shared" si="66"/>
        <v>0</v>
      </c>
      <c r="AN66" s="134">
        <f t="shared" si="67"/>
        <v>0</v>
      </c>
      <c r="AO66" s="134">
        <f t="shared" si="68"/>
        <v>0</v>
      </c>
      <c r="AP66" s="134">
        <f t="shared" si="69"/>
        <v>0</v>
      </c>
      <c r="AQ66" s="134">
        <f t="shared" si="70"/>
        <v>0</v>
      </c>
      <c r="AR66" s="134">
        <f t="shared" si="71"/>
        <v>0</v>
      </c>
      <c r="AS66" s="135">
        <f t="shared" si="86"/>
        <v>0</v>
      </c>
      <c r="AT66" s="137" t="str">
        <f t="shared" si="72"/>
        <v>0</v>
      </c>
      <c r="AU66" s="137" t="str">
        <f t="shared" si="73"/>
        <v>0</v>
      </c>
      <c r="AV66" s="137" t="str">
        <f t="shared" si="74"/>
        <v>0</v>
      </c>
      <c r="AW66" s="137" t="str">
        <f t="shared" si="75"/>
        <v>0</v>
      </c>
      <c r="AX66" s="137" t="str">
        <f t="shared" si="76"/>
        <v>0</v>
      </c>
      <c r="AY66" s="137" t="str">
        <f t="shared" si="77"/>
        <v>0</v>
      </c>
      <c r="AZ66" s="137" t="str">
        <f t="shared" si="78"/>
        <v>0</v>
      </c>
      <c r="BA66" s="137" t="str">
        <f t="shared" si="79"/>
        <v>0</v>
      </c>
      <c r="BB66" s="137" t="str">
        <f t="shared" si="80"/>
        <v>0</v>
      </c>
      <c r="BC66" s="137" t="str">
        <f t="shared" si="81"/>
        <v>0</v>
      </c>
      <c r="BD66" s="131">
        <f t="shared" si="82"/>
        <v>0</v>
      </c>
    </row>
    <row r="67" spans="2:56" x14ac:dyDescent="0.25">
      <c r="B67" s="136">
        <v>8205000</v>
      </c>
      <c r="C67" s="128" t="s">
        <v>17</v>
      </c>
      <c r="D67" s="128"/>
      <c r="E67" s="136" t="s">
        <v>133</v>
      </c>
      <c r="F67" s="274"/>
      <c r="G67" s="130">
        <f>+SUMIFS(TablaIngresos[Cantidad],TablaIngresos[Código],'Inventario '!B67)</f>
        <v>0</v>
      </c>
      <c r="H67" s="130">
        <f t="shared" si="87"/>
        <v>0</v>
      </c>
      <c r="I67" s="131">
        <f>SUMIFS(TablaConsumos[[CANTIDAD ]:[CANTIDAD ]],TablaConsumos[[CÓDIGO]:[CÓDIGO]],'Inventario '!$B67,TablaConsumos[[Planta]:[Planta]],'Inventario '!I$1)</f>
        <v>0</v>
      </c>
      <c r="J67" s="131">
        <f>SUMIFS(TablaConsumos[[CANTIDAD ]:[CANTIDAD ]],TablaConsumos[[CÓDIGO]:[CÓDIGO]],'Inventario '!$B67,TablaConsumos[[Planta]:[Planta]],'Inventario '!J$1)</f>
        <v>0</v>
      </c>
      <c r="K67" s="131">
        <f>SUMIFS(TablaConsumos[[CANTIDAD ]:[CANTIDAD ]],TablaConsumos[[CÓDIGO]:[CÓDIGO]],'Inventario '!$B67,TablaConsumos[[Planta]:[Planta]],'Inventario '!K$1)</f>
        <v>0</v>
      </c>
      <c r="L67" s="131">
        <f>SUMIFS(TablaConsumos[[CANTIDAD ]:[CANTIDAD ]],TablaConsumos[[CÓDIGO]:[CÓDIGO]],'Inventario '!$B67,TablaConsumos[[Planta]:[Planta]],'Inventario '!L$1)</f>
        <v>0</v>
      </c>
      <c r="M67" s="131">
        <f>SUMIFS(TablaConsumos[[CANTIDAD ]:[CANTIDAD ]],TablaConsumos[[CÓDIGO]:[CÓDIGO]],'Inventario '!$B67,TablaConsumos[[Planta]:[Planta]],'Inventario '!M$1)</f>
        <v>0</v>
      </c>
      <c r="N67" s="131">
        <f>SUMIFS(TablaConsumos[[CANTIDAD ]:[CANTIDAD ]],TablaConsumos[[CÓDIGO]:[CÓDIGO]],'Inventario '!$B67,TablaConsumos[[Planta]:[Planta]],'Inventario '!N$1)</f>
        <v>0</v>
      </c>
      <c r="O67" s="131">
        <f>SUMIFS(TablaConsumos[[CANTIDAD ]:[CANTIDAD ]],TablaConsumos[[CÓDIGO]:[CÓDIGO]],'Inventario '!$B67,TablaConsumos[[Planta]:[Planta]],'Inventario '!O$1)</f>
        <v>0</v>
      </c>
      <c r="P67" s="131">
        <f>SUMIFS(TablaConsumos[[CANTIDAD ]:[CANTIDAD ]],TablaConsumos[[CÓDIGO]:[CÓDIGO]],'Inventario '!$B67,TablaConsumos[[Planta]:[Planta]],'Inventario '!P$1)</f>
        <v>0</v>
      </c>
      <c r="Q67" s="131">
        <f>SUMIFS(TablaConsumos[[CANTIDAD ]:[CANTIDAD ]],TablaConsumos[[CÓDIGO]:[CÓDIGO]],'Inventario '!$B67,TablaConsumos[[Planta]:[Planta]],'Inventario '!Q$1)</f>
        <v>0</v>
      </c>
      <c r="R67" s="131">
        <f>SUMIFS(TablaConsumos[[CANTIDAD ]:[CANTIDAD ]],TablaConsumos[[CÓDIGO]:[CÓDIGO]],'Inventario '!$B67,TablaConsumos[[Planta]:[Planta]],'Inventario '!R$1)</f>
        <v>0</v>
      </c>
      <c r="S67" s="130">
        <f t="shared" si="84"/>
        <v>0</v>
      </c>
      <c r="T67" s="130">
        <f t="shared" si="85"/>
        <v>0</v>
      </c>
      <c r="U67" s="177"/>
      <c r="V67" s="130"/>
      <c r="W67" s="132">
        <v>1</v>
      </c>
      <c r="X67" s="133">
        <f t="shared" si="83"/>
        <v>0</v>
      </c>
      <c r="Y67" s="130">
        <f t="shared" si="58"/>
        <v>0</v>
      </c>
      <c r="Z67" s="132"/>
      <c r="AA67" s="132">
        <f t="shared" si="59"/>
        <v>0</v>
      </c>
      <c r="AB67" s="132"/>
      <c r="AC67" s="131">
        <f t="shared" si="60"/>
        <v>0</v>
      </c>
      <c r="AD67" s="131"/>
      <c r="AE67" s="132" t="s">
        <v>614</v>
      </c>
      <c r="AF67" s="132">
        <v>5</v>
      </c>
      <c r="AG67" s="168"/>
      <c r="AH67" s="134">
        <f t="shared" si="61"/>
        <v>0</v>
      </c>
      <c r="AI67" s="134">
        <f t="shared" si="62"/>
        <v>0</v>
      </c>
      <c r="AJ67" s="134">
        <f t="shared" si="63"/>
        <v>0</v>
      </c>
      <c r="AK67" s="134">
        <f t="shared" si="64"/>
        <v>0</v>
      </c>
      <c r="AL67" s="134">
        <f t="shared" si="65"/>
        <v>0</v>
      </c>
      <c r="AM67" s="134">
        <f t="shared" si="66"/>
        <v>0</v>
      </c>
      <c r="AN67" s="134">
        <f t="shared" si="67"/>
        <v>0</v>
      </c>
      <c r="AO67" s="134">
        <f t="shared" si="68"/>
        <v>0</v>
      </c>
      <c r="AP67" s="134">
        <f t="shared" si="69"/>
        <v>0</v>
      </c>
      <c r="AQ67" s="134">
        <f t="shared" si="70"/>
        <v>0</v>
      </c>
      <c r="AR67" s="134">
        <f t="shared" si="71"/>
        <v>0</v>
      </c>
      <c r="AS67" s="135">
        <f t="shared" si="86"/>
        <v>0</v>
      </c>
      <c r="AT67" s="137" t="str">
        <f t="shared" si="72"/>
        <v>0</v>
      </c>
      <c r="AU67" s="137" t="str">
        <f t="shared" si="73"/>
        <v>0</v>
      </c>
      <c r="AV67" s="137" t="str">
        <f t="shared" si="74"/>
        <v>0</v>
      </c>
      <c r="AW67" s="137" t="str">
        <f t="shared" si="75"/>
        <v>0</v>
      </c>
      <c r="AX67" s="137" t="str">
        <f t="shared" si="76"/>
        <v>0</v>
      </c>
      <c r="AY67" s="137" t="str">
        <f t="shared" si="77"/>
        <v>0</v>
      </c>
      <c r="AZ67" s="137" t="str">
        <f t="shared" si="78"/>
        <v>0</v>
      </c>
      <c r="BA67" s="137" t="str">
        <f t="shared" si="79"/>
        <v>0</v>
      </c>
      <c r="BB67" s="137" t="str">
        <f t="shared" si="80"/>
        <v>0</v>
      </c>
      <c r="BC67" s="137" t="str">
        <f t="shared" si="81"/>
        <v>0</v>
      </c>
      <c r="BD67" s="131">
        <f t="shared" si="82"/>
        <v>0</v>
      </c>
    </row>
    <row r="68" spans="2:56" x14ac:dyDescent="0.25">
      <c r="B68" s="136">
        <v>8205001</v>
      </c>
      <c r="C68" s="128" t="s">
        <v>17</v>
      </c>
      <c r="D68" s="128"/>
      <c r="E68" s="136" t="s">
        <v>134</v>
      </c>
      <c r="F68" s="274"/>
      <c r="G68" s="130">
        <f>+SUMIFS(TablaIngresos[Cantidad],TablaIngresos[Código],'Inventario '!B68)</f>
        <v>0</v>
      </c>
      <c r="H68" s="130">
        <f t="shared" si="87"/>
        <v>0</v>
      </c>
      <c r="I68" s="131">
        <f>SUMIFS(TablaConsumos[[CANTIDAD ]:[CANTIDAD ]],TablaConsumos[[CÓDIGO]:[CÓDIGO]],'Inventario '!$B68,TablaConsumos[[Planta]:[Planta]],'Inventario '!I$1)</f>
        <v>0</v>
      </c>
      <c r="J68" s="131">
        <f>SUMIFS(TablaConsumos[[CANTIDAD ]:[CANTIDAD ]],TablaConsumos[[CÓDIGO]:[CÓDIGO]],'Inventario '!$B68,TablaConsumos[[Planta]:[Planta]],'Inventario '!J$1)</f>
        <v>0</v>
      </c>
      <c r="K68" s="131">
        <f>SUMIFS(TablaConsumos[[CANTIDAD ]:[CANTIDAD ]],TablaConsumos[[CÓDIGO]:[CÓDIGO]],'Inventario '!$B68,TablaConsumos[[Planta]:[Planta]],'Inventario '!K$1)</f>
        <v>0</v>
      </c>
      <c r="L68" s="131">
        <f>SUMIFS(TablaConsumos[[CANTIDAD ]:[CANTIDAD ]],TablaConsumos[[CÓDIGO]:[CÓDIGO]],'Inventario '!$B68,TablaConsumos[[Planta]:[Planta]],'Inventario '!L$1)</f>
        <v>0</v>
      </c>
      <c r="M68" s="131">
        <f>SUMIFS(TablaConsumos[[CANTIDAD ]:[CANTIDAD ]],TablaConsumos[[CÓDIGO]:[CÓDIGO]],'Inventario '!$B68,TablaConsumos[[Planta]:[Planta]],'Inventario '!M$1)</f>
        <v>0</v>
      </c>
      <c r="N68" s="131">
        <f>SUMIFS(TablaConsumos[[CANTIDAD ]:[CANTIDAD ]],TablaConsumos[[CÓDIGO]:[CÓDIGO]],'Inventario '!$B68,TablaConsumos[[Planta]:[Planta]],'Inventario '!N$1)</f>
        <v>0</v>
      </c>
      <c r="O68" s="131">
        <f>SUMIFS(TablaConsumos[[CANTIDAD ]:[CANTIDAD ]],TablaConsumos[[CÓDIGO]:[CÓDIGO]],'Inventario '!$B68,TablaConsumos[[Planta]:[Planta]],'Inventario '!O$1)</f>
        <v>0</v>
      </c>
      <c r="P68" s="131">
        <f>SUMIFS(TablaConsumos[[CANTIDAD ]:[CANTIDAD ]],TablaConsumos[[CÓDIGO]:[CÓDIGO]],'Inventario '!$B68,TablaConsumos[[Planta]:[Planta]],'Inventario '!P$1)</f>
        <v>0</v>
      </c>
      <c r="Q68" s="131">
        <f>SUMIFS(TablaConsumos[[CANTIDAD ]:[CANTIDAD ]],TablaConsumos[[CÓDIGO]:[CÓDIGO]],'Inventario '!$B68,TablaConsumos[[Planta]:[Planta]],'Inventario '!Q$1)</f>
        <v>0</v>
      </c>
      <c r="R68" s="131">
        <f>SUMIFS(TablaConsumos[[CANTIDAD ]:[CANTIDAD ]],TablaConsumos[[CÓDIGO]:[CÓDIGO]],'Inventario '!$B68,TablaConsumos[[Planta]:[Planta]],'Inventario '!R$1)</f>
        <v>0</v>
      </c>
      <c r="S68" s="130">
        <f t="shared" si="84"/>
        <v>0</v>
      </c>
      <c r="T68" s="130">
        <f t="shared" si="85"/>
        <v>0</v>
      </c>
      <c r="U68" s="177"/>
      <c r="V68" s="130"/>
      <c r="W68" s="132">
        <v>1</v>
      </c>
      <c r="X68" s="133">
        <f t="shared" si="83"/>
        <v>0</v>
      </c>
      <c r="Y68" s="130">
        <f t="shared" si="58"/>
        <v>0</v>
      </c>
      <c r="Z68" s="132"/>
      <c r="AA68" s="132">
        <f t="shared" si="59"/>
        <v>0</v>
      </c>
      <c r="AB68" s="132"/>
      <c r="AC68" s="131">
        <f t="shared" si="60"/>
        <v>0</v>
      </c>
      <c r="AD68" s="131"/>
      <c r="AE68" s="132" t="s">
        <v>614</v>
      </c>
      <c r="AF68" s="132">
        <v>5</v>
      </c>
      <c r="AG68" s="168"/>
      <c r="AH68" s="134">
        <f t="shared" si="61"/>
        <v>0</v>
      </c>
      <c r="AI68" s="134">
        <f t="shared" si="62"/>
        <v>0</v>
      </c>
      <c r="AJ68" s="134">
        <f t="shared" si="63"/>
        <v>0</v>
      </c>
      <c r="AK68" s="134">
        <f t="shared" si="64"/>
        <v>0</v>
      </c>
      <c r="AL68" s="134">
        <f t="shared" si="65"/>
        <v>0</v>
      </c>
      <c r="AM68" s="134">
        <f t="shared" si="66"/>
        <v>0</v>
      </c>
      <c r="AN68" s="134">
        <f t="shared" si="67"/>
        <v>0</v>
      </c>
      <c r="AO68" s="134">
        <f t="shared" si="68"/>
        <v>0</v>
      </c>
      <c r="AP68" s="134">
        <f t="shared" si="69"/>
        <v>0</v>
      </c>
      <c r="AQ68" s="134">
        <f t="shared" si="70"/>
        <v>0</v>
      </c>
      <c r="AR68" s="134">
        <f t="shared" si="71"/>
        <v>0</v>
      </c>
      <c r="AS68" s="135">
        <f t="shared" si="86"/>
        <v>0</v>
      </c>
      <c r="AT68" s="137" t="str">
        <f t="shared" si="72"/>
        <v>0</v>
      </c>
      <c r="AU68" s="137" t="str">
        <f t="shared" si="73"/>
        <v>0</v>
      </c>
      <c r="AV68" s="137" t="str">
        <f t="shared" si="74"/>
        <v>0</v>
      </c>
      <c r="AW68" s="137" t="str">
        <f t="shared" si="75"/>
        <v>0</v>
      </c>
      <c r="AX68" s="137" t="str">
        <f t="shared" si="76"/>
        <v>0</v>
      </c>
      <c r="AY68" s="137" t="str">
        <f t="shared" si="77"/>
        <v>0</v>
      </c>
      <c r="AZ68" s="137" t="str">
        <f t="shared" si="78"/>
        <v>0</v>
      </c>
      <c r="BA68" s="137" t="str">
        <f t="shared" si="79"/>
        <v>0</v>
      </c>
      <c r="BB68" s="137" t="str">
        <f t="shared" si="80"/>
        <v>0</v>
      </c>
      <c r="BC68" s="137" t="str">
        <f t="shared" si="81"/>
        <v>0</v>
      </c>
      <c r="BD68" s="131">
        <f t="shared" si="82"/>
        <v>0</v>
      </c>
    </row>
    <row r="69" spans="2:56" x14ac:dyDescent="0.25">
      <c r="B69" s="136">
        <v>8205002</v>
      </c>
      <c r="C69" s="128" t="s">
        <v>17</v>
      </c>
      <c r="D69" s="128"/>
      <c r="E69" s="136" t="s">
        <v>135</v>
      </c>
      <c r="F69" s="274"/>
      <c r="G69" s="130">
        <f>+SUMIFS(TablaIngresos[Cantidad],TablaIngresos[Código],'Inventario '!B69)</f>
        <v>0</v>
      </c>
      <c r="H69" s="130">
        <f t="shared" si="87"/>
        <v>0</v>
      </c>
      <c r="I69" s="131">
        <f>SUMIFS(TablaConsumos[[CANTIDAD ]:[CANTIDAD ]],TablaConsumos[[CÓDIGO]:[CÓDIGO]],'Inventario '!$B69,TablaConsumos[[Planta]:[Planta]],'Inventario '!I$1)</f>
        <v>0</v>
      </c>
      <c r="J69" s="131">
        <f>SUMIFS(TablaConsumos[[CANTIDAD ]:[CANTIDAD ]],TablaConsumos[[CÓDIGO]:[CÓDIGO]],'Inventario '!$B69,TablaConsumos[[Planta]:[Planta]],'Inventario '!J$1)</f>
        <v>0</v>
      </c>
      <c r="K69" s="131">
        <f>SUMIFS(TablaConsumos[[CANTIDAD ]:[CANTIDAD ]],TablaConsumos[[CÓDIGO]:[CÓDIGO]],'Inventario '!$B69,TablaConsumos[[Planta]:[Planta]],'Inventario '!K$1)</f>
        <v>0</v>
      </c>
      <c r="L69" s="131">
        <f>SUMIFS(TablaConsumos[[CANTIDAD ]:[CANTIDAD ]],TablaConsumos[[CÓDIGO]:[CÓDIGO]],'Inventario '!$B69,TablaConsumos[[Planta]:[Planta]],'Inventario '!L$1)</f>
        <v>0</v>
      </c>
      <c r="M69" s="131">
        <f>SUMIFS(TablaConsumos[[CANTIDAD ]:[CANTIDAD ]],TablaConsumos[[CÓDIGO]:[CÓDIGO]],'Inventario '!$B69,TablaConsumos[[Planta]:[Planta]],'Inventario '!M$1)</f>
        <v>0</v>
      </c>
      <c r="N69" s="131">
        <f>SUMIFS(TablaConsumos[[CANTIDAD ]:[CANTIDAD ]],TablaConsumos[[CÓDIGO]:[CÓDIGO]],'Inventario '!$B69,TablaConsumos[[Planta]:[Planta]],'Inventario '!N$1)</f>
        <v>0</v>
      </c>
      <c r="O69" s="131">
        <f>SUMIFS(TablaConsumos[[CANTIDAD ]:[CANTIDAD ]],TablaConsumos[[CÓDIGO]:[CÓDIGO]],'Inventario '!$B69,TablaConsumos[[Planta]:[Planta]],'Inventario '!O$1)</f>
        <v>0</v>
      </c>
      <c r="P69" s="131">
        <f>SUMIFS(TablaConsumos[[CANTIDAD ]:[CANTIDAD ]],TablaConsumos[[CÓDIGO]:[CÓDIGO]],'Inventario '!$B69,TablaConsumos[[Planta]:[Planta]],'Inventario '!P$1)</f>
        <v>0</v>
      </c>
      <c r="Q69" s="131">
        <f>SUMIFS(TablaConsumos[[CANTIDAD ]:[CANTIDAD ]],TablaConsumos[[CÓDIGO]:[CÓDIGO]],'Inventario '!$B69,TablaConsumos[[Planta]:[Planta]],'Inventario '!Q$1)</f>
        <v>0</v>
      </c>
      <c r="R69" s="131">
        <f>SUMIFS(TablaConsumos[[CANTIDAD ]:[CANTIDAD ]],TablaConsumos[[CÓDIGO]:[CÓDIGO]],'Inventario '!$B69,TablaConsumos[[Planta]:[Planta]],'Inventario '!R$1)</f>
        <v>0</v>
      </c>
      <c r="S69" s="130">
        <f t="shared" si="84"/>
        <v>0</v>
      </c>
      <c r="T69" s="130">
        <f t="shared" si="85"/>
        <v>0</v>
      </c>
      <c r="U69" s="177"/>
      <c r="V69" s="130"/>
      <c r="W69" s="132">
        <v>1</v>
      </c>
      <c r="X69" s="133">
        <f t="shared" si="83"/>
        <v>0</v>
      </c>
      <c r="Y69" s="130">
        <f t="shared" si="58"/>
        <v>0</v>
      </c>
      <c r="Z69" s="132"/>
      <c r="AA69" s="132">
        <f t="shared" si="59"/>
        <v>0</v>
      </c>
      <c r="AB69" s="132"/>
      <c r="AC69" s="131">
        <f t="shared" si="60"/>
        <v>0</v>
      </c>
      <c r="AD69" s="131"/>
      <c r="AE69" s="132" t="s">
        <v>614</v>
      </c>
      <c r="AF69" s="132">
        <v>5</v>
      </c>
      <c r="AG69" s="168"/>
      <c r="AH69" s="134">
        <f t="shared" si="61"/>
        <v>0</v>
      </c>
      <c r="AI69" s="134">
        <f t="shared" si="62"/>
        <v>0</v>
      </c>
      <c r="AJ69" s="134">
        <f t="shared" si="63"/>
        <v>0</v>
      </c>
      <c r="AK69" s="134">
        <f t="shared" si="64"/>
        <v>0</v>
      </c>
      <c r="AL69" s="134">
        <f t="shared" si="65"/>
        <v>0</v>
      </c>
      <c r="AM69" s="134">
        <f t="shared" si="66"/>
        <v>0</v>
      </c>
      <c r="AN69" s="134">
        <f t="shared" si="67"/>
        <v>0</v>
      </c>
      <c r="AO69" s="134">
        <f t="shared" si="68"/>
        <v>0</v>
      </c>
      <c r="AP69" s="134">
        <f t="shared" si="69"/>
        <v>0</v>
      </c>
      <c r="AQ69" s="134">
        <f t="shared" si="70"/>
        <v>0</v>
      </c>
      <c r="AR69" s="134">
        <f t="shared" si="71"/>
        <v>0</v>
      </c>
      <c r="AS69" s="135">
        <f t="shared" si="86"/>
        <v>0</v>
      </c>
      <c r="AT69" s="137" t="str">
        <f t="shared" si="72"/>
        <v>0</v>
      </c>
      <c r="AU69" s="137" t="str">
        <f t="shared" si="73"/>
        <v>0</v>
      </c>
      <c r="AV69" s="137" t="str">
        <f t="shared" si="74"/>
        <v>0</v>
      </c>
      <c r="AW69" s="137" t="str">
        <f t="shared" si="75"/>
        <v>0</v>
      </c>
      <c r="AX69" s="137" t="str">
        <f t="shared" si="76"/>
        <v>0</v>
      </c>
      <c r="AY69" s="137" t="str">
        <f t="shared" si="77"/>
        <v>0</v>
      </c>
      <c r="AZ69" s="137" t="str">
        <f t="shared" si="78"/>
        <v>0</v>
      </c>
      <c r="BA69" s="137" t="str">
        <f t="shared" si="79"/>
        <v>0</v>
      </c>
      <c r="BB69" s="137" t="str">
        <f t="shared" si="80"/>
        <v>0</v>
      </c>
      <c r="BC69" s="137" t="str">
        <f t="shared" si="81"/>
        <v>0</v>
      </c>
      <c r="BD69" s="131">
        <f t="shared" si="82"/>
        <v>0</v>
      </c>
    </row>
    <row r="70" spans="2:56" x14ac:dyDescent="0.25">
      <c r="B70" s="136">
        <v>8205003</v>
      </c>
      <c r="C70" s="128" t="s">
        <v>17</v>
      </c>
      <c r="D70" s="128"/>
      <c r="E70" s="136" t="s">
        <v>136</v>
      </c>
      <c r="F70" s="274"/>
      <c r="G70" s="130">
        <f>+SUMIFS(TablaIngresos[Cantidad],TablaIngresos[Código],'Inventario '!B70)</f>
        <v>0</v>
      </c>
      <c r="H70" s="130">
        <f t="shared" si="87"/>
        <v>0</v>
      </c>
      <c r="I70" s="131">
        <f>SUMIFS(TablaConsumos[[CANTIDAD ]:[CANTIDAD ]],TablaConsumos[[CÓDIGO]:[CÓDIGO]],'Inventario '!$B70,TablaConsumos[[Planta]:[Planta]],'Inventario '!I$1)</f>
        <v>0</v>
      </c>
      <c r="J70" s="131">
        <f>SUMIFS(TablaConsumos[[CANTIDAD ]:[CANTIDAD ]],TablaConsumos[[CÓDIGO]:[CÓDIGO]],'Inventario '!$B70,TablaConsumos[[Planta]:[Planta]],'Inventario '!J$1)</f>
        <v>0</v>
      </c>
      <c r="K70" s="131">
        <f>SUMIFS(TablaConsumos[[CANTIDAD ]:[CANTIDAD ]],TablaConsumos[[CÓDIGO]:[CÓDIGO]],'Inventario '!$B70,TablaConsumos[[Planta]:[Planta]],'Inventario '!K$1)</f>
        <v>0</v>
      </c>
      <c r="L70" s="131">
        <f>SUMIFS(TablaConsumos[[CANTIDAD ]:[CANTIDAD ]],TablaConsumos[[CÓDIGO]:[CÓDIGO]],'Inventario '!$B70,TablaConsumos[[Planta]:[Planta]],'Inventario '!L$1)</f>
        <v>0</v>
      </c>
      <c r="M70" s="131">
        <f>SUMIFS(TablaConsumos[[CANTIDAD ]:[CANTIDAD ]],TablaConsumos[[CÓDIGO]:[CÓDIGO]],'Inventario '!$B70,TablaConsumos[[Planta]:[Planta]],'Inventario '!M$1)</f>
        <v>0</v>
      </c>
      <c r="N70" s="131">
        <f>SUMIFS(TablaConsumos[[CANTIDAD ]:[CANTIDAD ]],TablaConsumos[[CÓDIGO]:[CÓDIGO]],'Inventario '!$B70,TablaConsumos[[Planta]:[Planta]],'Inventario '!N$1)</f>
        <v>0</v>
      </c>
      <c r="O70" s="131">
        <f>SUMIFS(TablaConsumos[[CANTIDAD ]:[CANTIDAD ]],TablaConsumos[[CÓDIGO]:[CÓDIGO]],'Inventario '!$B70,TablaConsumos[[Planta]:[Planta]],'Inventario '!O$1)</f>
        <v>0</v>
      </c>
      <c r="P70" s="131">
        <f>SUMIFS(TablaConsumos[[CANTIDAD ]:[CANTIDAD ]],TablaConsumos[[CÓDIGO]:[CÓDIGO]],'Inventario '!$B70,TablaConsumos[[Planta]:[Planta]],'Inventario '!P$1)</f>
        <v>0</v>
      </c>
      <c r="Q70" s="131">
        <f>SUMIFS(TablaConsumos[[CANTIDAD ]:[CANTIDAD ]],TablaConsumos[[CÓDIGO]:[CÓDIGO]],'Inventario '!$B70,TablaConsumos[[Planta]:[Planta]],'Inventario '!Q$1)</f>
        <v>0</v>
      </c>
      <c r="R70" s="131">
        <f>SUMIFS(TablaConsumos[[CANTIDAD ]:[CANTIDAD ]],TablaConsumos[[CÓDIGO]:[CÓDIGO]],'Inventario '!$B70,TablaConsumos[[Planta]:[Planta]],'Inventario '!R$1)</f>
        <v>0</v>
      </c>
      <c r="S70" s="130">
        <f t="shared" si="84"/>
        <v>0</v>
      </c>
      <c r="T70" s="130">
        <f t="shared" si="85"/>
        <v>0</v>
      </c>
      <c r="U70" s="177"/>
      <c r="V70" s="130"/>
      <c r="W70" s="132">
        <v>1</v>
      </c>
      <c r="X70" s="133">
        <f t="shared" si="83"/>
        <v>0</v>
      </c>
      <c r="Y70" s="130">
        <f t="shared" si="58"/>
        <v>0</v>
      </c>
      <c r="Z70" s="132"/>
      <c r="AA70" s="132">
        <f t="shared" si="59"/>
        <v>0</v>
      </c>
      <c r="AB70" s="132"/>
      <c r="AC70" s="131">
        <f t="shared" si="60"/>
        <v>0</v>
      </c>
      <c r="AD70" s="131"/>
      <c r="AE70" s="132" t="s">
        <v>614</v>
      </c>
      <c r="AF70" s="132">
        <v>5</v>
      </c>
      <c r="AG70" s="168"/>
      <c r="AH70" s="134">
        <f t="shared" si="61"/>
        <v>0</v>
      </c>
      <c r="AI70" s="134">
        <f t="shared" si="62"/>
        <v>0</v>
      </c>
      <c r="AJ70" s="134">
        <f t="shared" si="63"/>
        <v>0</v>
      </c>
      <c r="AK70" s="134">
        <f t="shared" si="64"/>
        <v>0</v>
      </c>
      <c r="AL70" s="134">
        <f t="shared" si="65"/>
        <v>0</v>
      </c>
      <c r="AM70" s="134">
        <f t="shared" si="66"/>
        <v>0</v>
      </c>
      <c r="AN70" s="134">
        <f t="shared" si="67"/>
        <v>0</v>
      </c>
      <c r="AO70" s="134">
        <f t="shared" si="68"/>
        <v>0</v>
      </c>
      <c r="AP70" s="134">
        <f t="shared" si="69"/>
        <v>0</v>
      </c>
      <c r="AQ70" s="134">
        <f t="shared" si="70"/>
        <v>0</v>
      </c>
      <c r="AR70" s="134">
        <f t="shared" si="71"/>
        <v>0</v>
      </c>
      <c r="AS70" s="135">
        <f t="shared" si="86"/>
        <v>0</v>
      </c>
      <c r="AT70" s="137" t="str">
        <f t="shared" si="72"/>
        <v>0</v>
      </c>
      <c r="AU70" s="137" t="str">
        <f t="shared" si="73"/>
        <v>0</v>
      </c>
      <c r="AV70" s="137" t="str">
        <f t="shared" si="74"/>
        <v>0</v>
      </c>
      <c r="AW70" s="137" t="str">
        <f t="shared" si="75"/>
        <v>0</v>
      </c>
      <c r="AX70" s="137" t="str">
        <f t="shared" si="76"/>
        <v>0</v>
      </c>
      <c r="AY70" s="137" t="str">
        <f t="shared" si="77"/>
        <v>0</v>
      </c>
      <c r="AZ70" s="137" t="str">
        <f t="shared" si="78"/>
        <v>0</v>
      </c>
      <c r="BA70" s="137" t="str">
        <f t="shared" si="79"/>
        <v>0</v>
      </c>
      <c r="BB70" s="137" t="str">
        <f t="shared" si="80"/>
        <v>0</v>
      </c>
      <c r="BC70" s="137" t="str">
        <f t="shared" si="81"/>
        <v>0</v>
      </c>
      <c r="BD70" s="131">
        <f t="shared" si="82"/>
        <v>0</v>
      </c>
    </row>
    <row r="71" spans="2:56" x14ac:dyDescent="0.25">
      <c r="B71" s="136">
        <v>8205004</v>
      </c>
      <c r="C71" s="128" t="s">
        <v>17</v>
      </c>
      <c r="D71" s="128"/>
      <c r="E71" s="136" t="s">
        <v>137</v>
      </c>
      <c r="F71" s="274"/>
      <c r="G71" s="130">
        <f>+SUMIFS(TablaIngresos[Cantidad],TablaIngresos[Código],'Inventario '!B71)</f>
        <v>0</v>
      </c>
      <c r="H71" s="130">
        <f t="shared" si="87"/>
        <v>0</v>
      </c>
      <c r="I71" s="131">
        <f>SUMIFS(TablaConsumos[[CANTIDAD ]:[CANTIDAD ]],TablaConsumos[[CÓDIGO]:[CÓDIGO]],'Inventario '!$B71,TablaConsumos[[Planta]:[Planta]],'Inventario '!I$1)</f>
        <v>0</v>
      </c>
      <c r="J71" s="131">
        <f>SUMIFS(TablaConsumos[[CANTIDAD ]:[CANTIDAD ]],TablaConsumos[[CÓDIGO]:[CÓDIGO]],'Inventario '!$B71,TablaConsumos[[Planta]:[Planta]],'Inventario '!J$1)</f>
        <v>0</v>
      </c>
      <c r="K71" s="131">
        <f>SUMIFS(TablaConsumos[[CANTIDAD ]:[CANTIDAD ]],TablaConsumos[[CÓDIGO]:[CÓDIGO]],'Inventario '!$B71,TablaConsumos[[Planta]:[Planta]],'Inventario '!K$1)</f>
        <v>0</v>
      </c>
      <c r="L71" s="131">
        <f>SUMIFS(TablaConsumos[[CANTIDAD ]:[CANTIDAD ]],TablaConsumos[[CÓDIGO]:[CÓDIGO]],'Inventario '!$B71,TablaConsumos[[Planta]:[Planta]],'Inventario '!L$1)</f>
        <v>0</v>
      </c>
      <c r="M71" s="131">
        <f>SUMIFS(TablaConsumos[[CANTIDAD ]:[CANTIDAD ]],TablaConsumos[[CÓDIGO]:[CÓDIGO]],'Inventario '!$B71,TablaConsumos[[Planta]:[Planta]],'Inventario '!M$1)</f>
        <v>0</v>
      </c>
      <c r="N71" s="131">
        <f>SUMIFS(TablaConsumos[[CANTIDAD ]:[CANTIDAD ]],TablaConsumos[[CÓDIGO]:[CÓDIGO]],'Inventario '!$B71,TablaConsumos[[Planta]:[Planta]],'Inventario '!N$1)</f>
        <v>0</v>
      </c>
      <c r="O71" s="131">
        <f>SUMIFS(TablaConsumos[[CANTIDAD ]:[CANTIDAD ]],TablaConsumos[[CÓDIGO]:[CÓDIGO]],'Inventario '!$B71,TablaConsumos[[Planta]:[Planta]],'Inventario '!O$1)</f>
        <v>0</v>
      </c>
      <c r="P71" s="131">
        <f>SUMIFS(TablaConsumos[[CANTIDAD ]:[CANTIDAD ]],TablaConsumos[[CÓDIGO]:[CÓDIGO]],'Inventario '!$B71,TablaConsumos[[Planta]:[Planta]],'Inventario '!P$1)</f>
        <v>0</v>
      </c>
      <c r="Q71" s="131">
        <f>SUMIFS(TablaConsumos[[CANTIDAD ]:[CANTIDAD ]],TablaConsumos[[CÓDIGO]:[CÓDIGO]],'Inventario '!$B71,TablaConsumos[[Planta]:[Planta]],'Inventario '!Q$1)</f>
        <v>0</v>
      </c>
      <c r="R71" s="131">
        <f>SUMIFS(TablaConsumos[[CANTIDAD ]:[CANTIDAD ]],TablaConsumos[[CÓDIGO]:[CÓDIGO]],'Inventario '!$B71,TablaConsumos[[Planta]:[Planta]],'Inventario '!R$1)</f>
        <v>0</v>
      </c>
      <c r="S71" s="130">
        <f t="shared" si="84"/>
        <v>0</v>
      </c>
      <c r="T71" s="130">
        <f t="shared" si="85"/>
        <v>0</v>
      </c>
      <c r="U71" s="177"/>
      <c r="V71" s="130"/>
      <c r="W71" s="132">
        <v>1</v>
      </c>
      <c r="X71" s="133">
        <f t="shared" si="83"/>
        <v>0</v>
      </c>
      <c r="Y71" s="130">
        <f t="shared" si="58"/>
        <v>0</v>
      </c>
      <c r="Z71" s="132"/>
      <c r="AA71" s="132">
        <f t="shared" si="59"/>
        <v>0</v>
      </c>
      <c r="AB71" s="132"/>
      <c r="AC71" s="131">
        <f t="shared" si="60"/>
        <v>0</v>
      </c>
      <c r="AD71" s="131"/>
      <c r="AE71" s="132" t="s">
        <v>614</v>
      </c>
      <c r="AF71" s="132">
        <v>5</v>
      </c>
      <c r="AG71" s="168"/>
      <c r="AH71" s="134">
        <f t="shared" si="61"/>
        <v>0</v>
      </c>
      <c r="AI71" s="134">
        <f t="shared" si="62"/>
        <v>0</v>
      </c>
      <c r="AJ71" s="134">
        <f t="shared" si="63"/>
        <v>0</v>
      </c>
      <c r="AK71" s="134">
        <f t="shared" si="64"/>
        <v>0</v>
      </c>
      <c r="AL71" s="134">
        <f t="shared" si="65"/>
        <v>0</v>
      </c>
      <c r="AM71" s="134">
        <f t="shared" si="66"/>
        <v>0</v>
      </c>
      <c r="AN71" s="134">
        <f t="shared" si="67"/>
        <v>0</v>
      </c>
      <c r="AO71" s="134">
        <f t="shared" si="68"/>
        <v>0</v>
      </c>
      <c r="AP71" s="134">
        <f t="shared" si="69"/>
        <v>0</v>
      </c>
      <c r="AQ71" s="134">
        <f t="shared" si="70"/>
        <v>0</v>
      </c>
      <c r="AR71" s="134">
        <f t="shared" si="71"/>
        <v>0</v>
      </c>
      <c r="AS71" s="135">
        <f t="shared" si="86"/>
        <v>0</v>
      </c>
      <c r="AT71" s="137" t="str">
        <f t="shared" si="72"/>
        <v>0</v>
      </c>
      <c r="AU71" s="137" t="str">
        <f t="shared" si="73"/>
        <v>0</v>
      </c>
      <c r="AV71" s="137" t="str">
        <f t="shared" si="74"/>
        <v>0</v>
      </c>
      <c r="AW71" s="137" t="str">
        <f t="shared" si="75"/>
        <v>0</v>
      </c>
      <c r="AX71" s="137" t="str">
        <f t="shared" si="76"/>
        <v>0</v>
      </c>
      <c r="AY71" s="137" t="str">
        <f t="shared" si="77"/>
        <v>0</v>
      </c>
      <c r="AZ71" s="137" t="str">
        <f t="shared" si="78"/>
        <v>0</v>
      </c>
      <c r="BA71" s="137" t="str">
        <f t="shared" si="79"/>
        <v>0</v>
      </c>
      <c r="BB71" s="137" t="str">
        <f t="shared" si="80"/>
        <v>0</v>
      </c>
      <c r="BC71" s="137" t="str">
        <f t="shared" si="81"/>
        <v>0</v>
      </c>
      <c r="BD71" s="131">
        <f t="shared" si="82"/>
        <v>0</v>
      </c>
    </row>
    <row r="72" spans="2:56" x14ac:dyDescent="0.25">
      <c r="B72" s="136">
        <v>8205005</v>
      </c>
      <c r="C72" s="128" t="s">
        <v>17</v>
      </c>
      <c r="D72" s="128"/>
      <c r="E72" s="136" t="s">
        <v>138</v>
      </c>
      <c r="F72" s="274"/>
      <c r="G72" s="130">
        <f>+SUMIFS(TablaIngresos[Cantidad],TablaIngresos[Código],'Inventario '!B72)</f>
        <v>0</v>
      </c>
      <c r="H72" s="130">
        <f t="shared" si="87"/>
        <v>0</v>
      </c>
      <c r="I72" s="131">
        <f>SUMIFS(TablaConsumos[[CANTIDAD ]:[CANTIDAD ]],TablaConsumos[[CÓDIGO]:[CÓDIGO]],'Inventario '!$B72,TablaConsumos[[Planta]:[Planta]],'Inventario '!I$1)</f>
        <v>0</v>
      </c>
      <c r="J72" s="131">
        <f>SUMIFS(TablaConsumos[[CANTIDAD ]:[CANTIDAD ]],TablaConsumos[[CÓDIGO]:[CÓDIGO]],'Inventario '!$B72,TablaConsumos[[Planta]:[Planta]],'Inventario '!J$1)</f>
        <v>0</v>
      </c>
      <c r="K72" s="131">
        <f>SUMIFS(TablaConsumos[[CANTIDAD ]:[CANTIDAD ]],TablaConsumos[[CÓDIGO]:[CÓDIGO]],'Inventario '!$B72,TablaConsumos[[Planta]:[Planta]],'Inventario '!K$1)</f>
        <v>0</v>
      </c>
      <c r="L72" s="131">
        <f>SUMIFS(TablaConsumos[[CANTIDAD ]:[CANTIDAD ]],TablaConsumos[[CÓDIGO]:[CÓDIGO]],'Inventario '!$B72,TablaConsumos[[Planta]:[Planta]],'Inventario '!L$1)</f>
        <v>0</v>
      </c>
      <c r="M72" s="131">
        <f>SUMIFS(TablaConsumos[[CANTIDAD ]:[CANTIDAD ]],TablaConsumos[[CÓDIGO]:[CÓDIGO]],'Inventario '!$B72,TablaConsumos[[Planta]:[Planta]],'Inventario '!M$1)</f>
        <v>0</v>
      </c>
      <c r="N72" s="131">
        <f>SUMIFS(TablaConsumos[[CANTIDAD ]:[CANTIDAD ]],TablaConsumos[[CÓDIGO]:[CÓDIGO]],'Inventario '!$B72,TablaConsumos[[Planta]:[Planta]],'Inventario '!N$1)</f>
        <v>0</v>
      </c>
      <c r="O72" s="131">
        <f>SUMIFS(TablaConsumos[[CANTIDAD ]:[CANTIDAD ]],TablaConsumos[[CÓDIGO]:[CÓDIGO]],'Inventario '!$B72,TablaConsumos[[Planta]:[Planta]],'Inventario '!O$1)</f>
        <v>0</v>
      </c>
      <c r="P72" s="131">
        <f>SUMIFS(TablaConsumos[[CANTIDAD ]:[CANTIDAD ]],TablaConsumos[[CÓDIGO]:[CÓDIGO]],'Inventario '!$B72,TablaConsumos[[Planta]:[Planta]],'Inventario '!P$1)</f>
        <v>0</v>
      </c>
      <c r="Q72" s="131">
        <f>SUMIFS(TablaConsumos[[CANTIDAD ]:[CANTIDAD ]],TablaConsumos[[CÓDIGO]:[CÓDIGO]],'Inventario '!$B72,TablaConsumos[[Planta]:[Planta]],'Inventario '!Q$1)</f>
        <v>0</v>
      </c>
      <c r="R72" s="131">
        <f>SUMIFS(TablaConsumos[[CANTIDAD ]:[CANTIDAD ]],TablaConsumos[[CÓDIGO]:[CÓDIGO]],'Inventario '!$B72,TablaConsumos[[Planta]:[Planta]],'Inventario '!R$1)</f>
        <v>0</v>
      </c>
      <c r="S72" s="130">
        <f t="shared" si="84"/>
        <v>0</v>
      </c>
      <c r="T72" s="130">
        <f t="shared" si="85"/>
        <v>0</v>
      </c>
      <c r="U72" s="177"/>
      <c r="V72" s="130"/>
      <c r="W72" s="132">
        <v>1</v>
      </c>
      <c r="X72" s="133">
        <f t="shared" si="83"/>
        <v>0</v>
      </c>
      <c r="Y72" s="130">
        <f t="shared" si="58"/>
        <v>0</v>
      </c>
      <c r="Z72" s="132"/>
      <c r="AA72" s="132">
        <f t="shared" si="59"/>
        <v>0</v>
      </c>
      <c r="AB72" s="132"/>
      <c r="AC72" s="131">
        <f t="shared" si="60"/>
        <v>0</v>
      </c>
      <c r="AD72" s="131"/>
      <c r="AE72" s="132" t="s">
        <v>614</v>
      </c>
      <c r="AF72" s="132">
        <v>5</v>
      </c>
      <c r="AG72" s="168"/>
      <c r="AH72" s="134">
        <f t="shared" si="61"/>
        <v>0</v>
      </c>
      <c r="AI72" s="134">
        <f t="shared" si="62"/>
        <v>0</v>
      </c>
      <c r="AJ72" s="134">
        <f t="shared" si="63"/>
        <v>0</v>
      </c>
      <c r="AK72" s="134">
        <f t="shared" si="64"/>
        <v>0</v>
      </c>
      <c r="AL72" s="134">
        <f t="shared" si="65"/>
        <v>0</v>
      </c>
      <c r="AM72" s="134">
        <f t="shared" si="66"/>
        <v>0</v>
      </c>
      <c r="AN72" s="134">
        <f t="shared" si="67"/>
        <v>0</v>
      </c>
      <c r="AO72" s="134">
        <f t="shared" si="68"/>
        <v>0</v>
      </c>
      <c r="AP72" s="134">
        <f t="shared" si="69"/>
        <v>0</v>
      </c>
      <c r="AQ72" s="134">
        <f t="shared" si="70"/>
        <v>0</v>
      </c>
      <c r="AR72" s="134">
        <f t="shared" si="71"/>
        <v>0</v>
      </c>
      <c r="AS72" s="135">
        <f t="shared" si="86"/>
        <v>0</v>
      </c>
      <c r="AT72" s="137" t="str">
        <f t="shared" si="72"/>
        <v>0</v>
      </c>
      <c r="AU72" s="137" t="str">
        <f t="shared" si="73"/>
        <v>0</v>
      </c>
      <c r="AV72" s="137" t="str">
        <f t="shared" si="74"/>
        <v>0</v>
      </c>
      <c r="AW72" s="137" t="str">
        <f t="shared" si="75"/>
        <v>0</v>
      </c>
      <c r="AX72" s="137" t="str">
        <f t="shared" si="76"/>
        <v>0</v>
      </c>
      <c r="AY72" s="137" t="str">
        <f t="shared" si="77"/>
        <v>0</v>
      </c>
      <c r="AZ72" s="137" t="str">
        <f t="shared" si="78"/>
        <v>0</v>
      </c>
      <c r="BA72" s="137" t="str">
        <f t="shared" si="79"/>
        <v>0</v>
      </c>
      <c r="BB72" s="137" t="str">
        <f t="shared" si="80"/>
        <v>0</v>
      </c>
      <c r="BC72" s="137" t="str">
        <f t="shared" si="81"/>
        <v>0</v>
      </c>
      <c r="BD72" s="131">
        <f t="shared" si="82"/>
        <v>0</v>
      </c>
    </row>
    <row r="73" spans="2:56" x14ac:dyDescent="0.25">
      <c r="B73" s="136">
        <v>8200570</v>
      </c>
      <c r="C73" s="128" t="s">
        <v>30</v>
      </c>
      <c r="D73" s="128"/>
      <c r="E73" s="136" t="s">
        <v>140</v>
      </c>
      <c r="F73" s="274"/>
      <c r="G73" s="130">
        <f>+SUMIFS(TablaIngresos[Cantidad],TablaIngresos[Código],'Inventario '!B73)</f>
        <v>0</v>
      </c>
      <c r="H73" s="130">
        <f t="shared" si="87"/>
        <v>0</v>
      </c>
      <c r="I73" s="131">
        <f>SUMIFS(TablaConsumos[[CANTIDAD ]:[CANTIDAD ]],TablaConsumos[[CÓDIGO]:[CÓDIGO]],'Inventario '!$B73,TablaConsumos[[Planta]:[Planta]],'Inventario '!I$1)</f>
        <v>0</v>
      </c>
      <c r="J73" s="131">
        <f>SUMIFS(TablaConsumos[[CANTIDAD ]:[CANTIDAD ]],TablaConsumos[[CÓDIGO]:[CÓDIGO]],'Inventario '!$B73,TablaConsumos[[Planta]:[Planta]],'Inventario '!J$1)</f>
        <v>0</v>
      </c>
      <c r="K73" s="131">
        <f>SUMIFS(TablaConsumos[[CANTIDAD ]:[CANTIDAD ]],TablaConsumos[[CÓDIGO]:[CÓDIGO]],'Inventario '!$B73,TablaConsumos[[Planta]:[Planta]],'Inventario '!K$1)</f>
        <v>0</v>
      </c>
      <c r="L73" s="131">
        <f>SUMIFS(TablaConsumos[[CANTIDAD ]:[CANTIDAD ]],TablaConsumos[[CÓDIGO]:[CÓDIGO]],'Inventario '!$B73,TablaConsumos[[Planta]:[Planta]],'Inventario '!L$1)</f>
        <v>0</v>
      </c>
      <c r="M73" s="131">
        <f>SUMIFS(TablaConsumos[[CANTIDAD ]:[CANTIDAD ]],TablaConsumos[[CÓDIGO]:[CÓDIGO]],'Inventario '!$B73,TablaConsumos[[Planta]:[Planta]],'Inventario '!M$1)</f>
        <v>0</v>
      </c>
      <c r="N73" s="131">
        <f>SUMIFS(TablaConsumos[[CANTIDAD ]:[CANTIDAD ]],TablaConsumos[[CÓDIGO]:[CÓDIGO]],'Inventario '!$B73,TablaConsumos[[Planta]:[Planta]],'Inventario '!N$1)</f>
        <v>0</v>
      </c>
      <c r="O73" s="131">
        <f>SUMIFS(TablaConsumos[[CANTIDAD ]:[CANTIDAD ]],TablaConsumos[[CÓDIGO]:[CÓDIGO]],'Inventario '!$B73,TablaConsumos[[Planta]:[Planta]],'Inventario '!O$1)</f>
        <v>0</v>
      </c>
      <c r="P73" s="131">
        <f>SUMIFS(TablaConsumos[[CANTIDAD ]:[CANTIDAD ]],TablaConsumos[[CÓDIGO]:[CÓDIGO]],'Inventario '!$B73,TablaConsumos[[Planta]:[Planta]],'Inventario '!P$1)</f>
        <v>0</v>
      </c>
      <c r="Q73" s="131">
        <f>SUMIFS(TablaConsumos[[CANTIDAD ]:[CANTIDAD ]],TablaConsumos[[CÓDIGO]:[CÓDIGO]],'Inventario '!$B73,TablaConsumos[[Planta]:[Planta]],'Inventario '!Q$1)</f>
        <v>0</v>
      </c>
      <c r="R73" s="131">
        <f>SUMIFS(TablaConsumos[[CANTIDAD ]:[CANTIDAD ]],TablaConsumos[[CÓDIGO]:[CÓDIGO]],'Inventario '!$B73,TablaConsumos[[Planta]:[Planta]],'Inventario '!R$1)</f>
        <v>0</v>
      </c>
      <c r="S73" s="130">
        <f t="shared" si="84"/>
        <v>0</v>
      </c>
      <c r="T73" s="130">
        <f t="shared" si="85"/>
        <v>0</v>
      </c>
      <c r="U73" s="177"/>
      <c r="V73" s="130"/>
      <c r="W73" s="132">
        <v>30.48</v>
      </c>
      <c r="X73" s="133">
        <f t="shared" ref="X73:X78" si="88">+U73*W73</f>
        <v>0</v>
      </c>
      <c r="Y73" s="130">
        <f t="shared" si="58"/>
        <v>0</v>
      </c>
      <c r="Z73" s="132"/>
      <c r="AA73" s="132">
        <f t="shared" si="59"/>
        <v>0</v>
      </c>
      <c r="AB73" s="132"/>
      <c r="AC73" s="131">
        <f t="shared" si="60"/>
        <v>0</v>
      </c>
      <c r="AD73" s="131"/>
      <c r="AE73" s="132" t="s">
        <v>612</v>
      </c>
      <c r="AF73" s="132">
        <v>3048</v>
      </c>
      <c r="AG73" s="168"/>
      <c r="AH73" s="134">
        <f t="shared" si="61"/>
        <v>0</v>
      </c>
      <c r="AI73" s="134">
        <f t="shared" si="62"/>
        <v>0</v>
      </c>
      <c r="AJ73" s="134">
        <f t="shared" si="63"/>
        <v>0</v>
      </c>
      <c r="AK73" s="134">
        <f t="shared" si="64"/>
        <v>0</v>
      </c>
      <c r="AL73" s="134">
        <f t="shared" si="65"/>
        <v>0</v>
      </c>
      <c r="AM73" s="134">
        <f t="shared" si="66"/>
        <v>0</v>
      </c>
      <c r="AN73" s="134">
        <f t="shared" si="67"/>
        <v>0</v>
      </c>
      <c r="AO73" s="134">
        <f t="shared" si="68"/>
        <v>0</v>
      </c>
      <c r="AP73" s="134">
        <f t="shared" si="69"/>
        <v>0</v>
      </c>
      <c r="AQ73" s="134">
        <f t="shared" si="70"/>
        <v>0</v>
      </c>
      <c r="AR73" s="134">
        <f t="shared" si="71"/>
        <v>0</v>
      </c>
      <c r="AS73" s="135">
        <f t="shared" si="86"/>
        <v>0</v>
      </c>
      <c r="AT73" s="137" t="str">
        <f t="shared" si="72"/>
        <v>0</v>
      </c>
      <c r="AU73" s="137" t="str">
        <f t="shared" si="73"/>
        <v>0</v>
      </c>
      <c r="AV73" s="137" t="str">
        <f t="shared" si="74"/>
        <v>0</v>
      </c>
      <c r="AW73" s="137" t="str">
        <f t="shared" si="75"/>
        <v>0</v>
      </c>
      <c r="AX73" s="137" t="str">
        <f t="shared" si="76"/>
        <v>0</v>
      </c>
      <c r="AY73" s="137" t="str">
        <f t="shared" si="77"/>
        <v>0</v>
      </c>
      <c r="AZ73" s="137" t="str">
        <f t="shared" si="78"/>
        <v>0</v>
      </c>
      <c r="BA73" s="137" t="str">
        <f t="shared" si="79"/>
        <v>0</v>
      </c>
      <c r="BB73" s="137" t="str">
        <f t="shared" si="80"/>
        <v>0</v>
      </c>
      <c r="BC73" s="137" t="str">
        <f t="shared" si="81"/>
        <v>0</v>
      </c>
      <c r="BD73" s="131">
        <f t="shared" si="82"/>
        <v>0</v>
      </c>
    </row>
    <row r="74" spans="2:56" x14ac:dyDescent="0.25">
      <c r="B74" s="136">
        <v>8200800</v>
      </c>
      <c r="C74" s="128" t="s">
        <v>30</v>
      </c>
      <c r="D74" s="128"/>
      <c r="E74" s="136" t="s">
        <v>142</v>
      </c>
      <c r="F74" s="274"/>
      <c r="G74" s="130">
        <f>+SUMIFS(TablaIngresos[Cantidad],TablaIngresos[Código],'Inventario '!B74)</f>
        <v>0</v>
      </c>
      <c r="H74" s="130">
        <f t="shared" si="87"/>
        <v>0</v>
      </c>
      <c r="I74" s="131">
        <f>SUMIFS(TablaConsumos[[CANTIDAD ]:[CANTIDAD ]],TablaConsumos[[CÓDIGO]:[CÓDIGO]],'Inventario '!$B74,TablaConsumos[[Planta]:[Planta]],'Inventario '!I$1)</f>
        <v>0</v>
      </c>
      <c r="J74" s="131">
        <f>SUMIFS(TablaConsumos[[CANTIDAD ]:[CANTIDAD ]],TablaConsumos[[CÓDIGO]:[CÓDIGO]],'Inventario '!$B74,TablaConsumos[[Planta]:[Planta]],'Inventario '!J$1)</f>
        <v>0</v>
      </c>
      <c r="K74" s="131">
        <f>SUMIFS(TablaConsumos[[CANTIDAD ]:[CANTIDAD ]],TablaConsumos[[CÓDIGO]:[CÓDIGO]],'Inventario '!$B74,TablaConsumos[[Planta]:[Planta]],'Inventario '!K$1)</f>
        <v>0</v>
      </c>
      <c r="L74" s="131">
        <f>SUMIFS(TablaConsumos[[CANTIDAD ]:[CANTIDAD ]],TablaConsumos[[CÓDIGO]:[CÓDIGO]],'Inventario '!$B74,TablaConsumos[[Planta]:[Planta]],'Inventario '!L$1)</f>
        <v>0</v>
      </c>
      <c r="M74" s="131">
        <f>SUMIFS(TablaConsumos[[CANTIDAD ]:[CANTIDAD ]],TablaConsumos[[CÓDIGO]:[CÓDIGO]],'Inventario '!$B74,TablaConsumos[[Planta]:[Planta]],'Inventario '!M$1)</f>
        <v>0</v>
      </c>
      <c r="N74" s="131">
        <f>SUMIFS(TablaConsumos[[CANTIDAD ]:[CANTIDAD ]],TablaConsumos[[CÓDIGO]:[CÓDIGO]],'Inventario '!$B74,TablaConsumos[[Planta]:[Planta]],'Inventario '!N$1)</f>
        <v>0</v>
      </c>
      <c r="O74" s="131">
        <f>SUMIFS(TablaConsumos[[CANTIDAD ]:[CANTIDAD ]],TablaConsumos[[CÓDIGO]:[CÓDIGO]],'Inventario '!$B74,TablaConsumos[[Planta]:[Planta]],'Inventario '!O$1)</f>
        <v>0</v>
      </c>
      <c r="P74" s="131">
        <f>SUMIFS(TablaConsumos[[CANTIDAD ]:[CANTIDAD ]],TablaConsumos[[CÓDIGO]:[CÓDIGO]],'Inventario '!$B74,TablaConsumos[[Planta]:[Planta]],'Inventario '!P$1)</f>
        <v>0</v>
      </c>
      <c r="Q74" s="131">
        <f>SUMIFS(TablaConsumos[[CANTIDAD ]:[CANTIDAD ]],TablaConsumos[[CÓDIGO]:[CÓDIGO]],'Inventario '!$B74,TablaConsumos[[Planta]:[Planta]],'Inventario '!Q$1)</f>
        <v>0</v>
      </c>
      <c r="R74" s="131">
        <f>SUMIFS(TablaConsumos[[CANTIDAD ]:[CANTIDAD ]],TablaConsumos[[CÓDIGO]:[CÓDIGO]],'Inventario '!$B74,TablaConsumos[[Planta]:[Planta]],'Inventario '!R$1)</f>
        <v>0</v>
      </c>
      <c r="S74" s="130">
        <f t="shared" si="84"/>
        <v>0</v>
      </c>
      <c r="T74" s="130">
        <f t="shared" si="85"/>
        <v>0</v>
      </c>
      <c r="U74" s="177"/>
      <c r="V74" s="130"/>
      <c r="W74" s="132">
        <v>30.48</v>
      </c>
      <c r="X74" s="133">
        <f t="shared" si="88"/>
        <v>0</v>
      </c>
      <c r="Y74" s="130">
        <f t="shared" si="58"/>
        <v>0</v>
      </c>
      <c r="Z74" s="132"/>
      <c r="AA74" s="132">
        <f t="shared" si="59"/>
        <v>0</v>
      </c>
      <c r="AB74" s="132"/>
      <c r="AC74" s="131">
        <f t="shared" si="60"/>
        <v>0</v>
      </c>
      <c r="AD74" s="131"/>
      <c r="AE74" s="132" t="s">
        <v>612</v>
      </c>
      <c r="AF74" s="132">
        <v>3048</v>
      </c>
      <c r="AG74" s="168"/>
      <c r="AH74" s="134">
        <f t="shared" si="61"/>
        <v>0</v>
      </c>
      <c r="AI74" s="134">
        <f t="shared" si="62"/>
        <v>0</v>
      </c>
      <c r="AJ74" s="134">
        <f t="shared" si="63"/>
        <v>0</v>
      </c>
      <c r="AK74" s="134">
        <f t="shared" si="64"/>
        <v>0</v>
      </c>
      <c r="AL74" s="134">
        <f t="shared" si="65"/>
        <v>0</v>
      </c>
      <c r="AM74" s="134">
        <f t="shared" si="66"/>
        <v>0</v>
      </c>
      <c r="AN74" s="134">
        <f t="shared" si="67"/>
        <v>0</v>
      </c>
      <c r="AO74" s="134">
        <f t="shared" si="68"/>
        <v>0</v>
      </c>
      <c r="AP74" s="134">
        <f t="shared" si="69"/>
        <v>0</v>
      </c>
      <c r="AQ74" s="134">
        <f t="shared" si="70"/>
        <v>0</v>
      </c>
      <c r="AR74" s="134">
        <f t="shared" si="71"/>
        <v>0</v>
      </c>
      <c r="AS74" s="135">
        <f t="shared" si="86"/>
        <v>0</v>
      </c>
      <c r="AT74" s="137" t="str">
        <f t="shared" si="72"/>
        <v>0</v>
      </c>
      <c r="AU74" s="137" t="str">
        <f t="shared" si="73"/>
        <v>0</v>
      </c>
      <c r="AV74" s="137" t="str">
        <f t="shared" si="74"/>
        <v>0</v>
      </c>
      <c r="AW74" s="137" t="str">
        <f t="shared" si="75"/>
        <v>0</v>
      </c>
      <c r="AX74" s="137" t="str">
        <f t="shared" si="76"/>
        <v>0</v>
      </c>
      <c r="AY74" s="137" t="str">
        <f t="shared" si="77"/>
        <v>0</v>
      </c>
      <c r="AZ74" s="137" t="str">
        <f t="shared" si="78"/>
        <v>0</v>
      </c>
      <c r="BA74" s="137" t="str">
        <f t="shared" si="79"/>
        <v>0</v>
      </c>
      <c r="BB74" s="137" t="str">
        <f t="shared" si="80"/>
        <v>0</v>
      </c>
      <c r="BC74" s="137" t="str">
        <f t="shared" si="81"/>
        <v>0</v>
      </c>
      <c r="BD74" s="131">
        <f t="shared" si="82"/>
        <v>0</v>
      </c>
    </row>
    <row r="75" spans="2:56" x14ac:dyDescent="0.25">
      <c r="B75" s="136">
        <v>8202170</v>
      </c>
      <c r="C75" s="128" t="s">
        <v>30</v>
      </c>
      <c r="D75" s="128"/>
      <c r="E75" s="136" t="s">
        <v>684</v>
      </c>
      <c r="F75" s="274"/>
      <c r="G75" s="130">
        <f>+SUMIFS(TablaIngresos[Cantidad],TablaIngresos[Código],'Inventario '!B75)</f>
        <v>0</v>
      </c>
      <c r="H75" s="130">
        <f t="shared" si="87"/>
        <v>0</v>
      </c>
      <c r="I75" s="131">
        <f>SUMIFS(TablaConsumos[[CANTIDAD ]:[CANTIDAD ]],TablaConsumos[[CÓDIGO]:[CÓDIGO]],'Inventario '!$B75,TablaConsumos[[Planta]:[Planta]],'Inventario '!I$1)</f>
        <v>0</v>
      </c>
      <c r="J75" s="131">
        <f>SUMIFS(TablaConsumos[[CANTIDAD ]:[CANTIDAD ]],TablaConsumos[[CÓDIGO]:[CÓDIGO]],'Inventario '!$B75,TablaConsumos[[Planta]:[Planta]],'Inventario '!J$1)</f>
        <v>0</v>
      </c>
      <c r="K75" s="131">
        <f>SUMIFS(TablaConsumos[[CANTIDAD ]:[CANTIDAD ]],TablaConsumos[[CÓDIGO]:[CÓDIGO]],'Inventario '!$B75,TablaConsumos[[Planta]:[Planta]],'Inventario '!K$1)</f>
        <v>0</v>
      </c>
      <c r="L75" s="131">
        <f>SUMIFS(TablaConsumos[[CANTIDAD ]:[CANTIDAD ]],TablaConsumos[[CÓDIGO]:[CÓDIGO]],'Inventario '!$B75,TablaConsumos[[Planta]:[Planta]],'Inventario '!L$1)</f>
        <v>0</v>
      </c>
      <c r="M75" s="131">
        <f>SUMIFS(TablaConsumos[[CANTIDAD ]:[CANTIDAD ]],TablaConsumos[[CÓDIGO]:[CÓDIGO]],'Inventario '!$B75,TablaConsumos[[Planta]:[Planta]],'Inventario '!M$1)</f>
        <v>0</v>
      </c>
      <c r="N75" s="131">
        <f>SUMIFS(TablaConsumos[[CANTIDAD ]:[CANTIDAD ]],TablaConsumos[[CÓDIGO]:[CÓDIGO]],'Inventario '!$B75,TablaConsumos[[Planta]:[Planta]],'Inventario '!N$1)</f>
        <v>0</v>
      </c>
      <c r="O75" s="131">
        <f>SUMIFS(TablaConsumos[[CANTIDAD ]:[CANTIDAD ]],TablaConsumos[[CÓDIGO]:[CÓDIGO]],'Inventario '!$B75,TablaConsumos[[Planta]:[Planta]],'Inventario '!O$1)</f>
        <v>0</v>
      </c>
      <c r="P75" s="131">
        <f>SUMIFS(TablaConsumos[[CANTIDAD ]:[CANTIDAD ]],TablaConsumos[[CÓDIGO]:[CÓDIGO]],'Inventario '!$B75,TablaConsumos[[Planta]:[Planta]],'Inventario '!P$1)</f>
        <v>0</v>
      </c>
      <c r="Q75" s="131">
        <f>SUMIFS(TablaConsumos[[CANTIDAD ]:[CANTIDAD ]],TablaConsumos[[CÓDIGO]:[CÓDIGO]],'Inventario '!$B75,TablaConsumos[[Planta]:[Planta]],'Inventario '!Q$1)</f>
        <v>0</v>
      </c>
      <c r="R75" s="131">
        <f>SUMIFS(TablaConsumos[[CANTIDAD ]:[CANTIDAD ]],TablaConsumos[[CÓDIGO]:[CÓDIGO]],'Inventario '!$B75,TablaConsumos[[Planta]:[Planta]],'Inventario '!R$1)</f>
        <v>0</v>
      </c>
      <c r="S75" s="130">
        <f t="shared" si="84"/>
        <v>0</v>
      </c>
      <c r="T75" s="130">
        <f t="shared" si="85"/>
        <v>0</v>
      </c>
      <c r="U75" s="132"/>
      <c r="V75" s="130"/>
      <c r="W75" s="132">
        <v>30.48</v>
      </c>
      <c r="X75" s="133">
        <f t="shared" si="88"/>
        <v>0</v>
      </c>
      <c r="Y75" s="130">
        <f t="shared" si="58"/>
        <v>0</v>
      </c>
      <c r="Z75" s="132"/>
      <c r="AA75" s="132">
        <f t="shared" si="59"/>
        <v>0</v>
      </c>
      <c r="AB75" s="132"/>
      <c r="AC75" s="131">
        <f t="shared" si="60"/>
        <v>0</v>
      </c>
      <c r="AD75" s="131"/>
      <c r="AE75" s="132" t="s">
        <v>612</v>
      </c>
      <c r="AF75" s="132">
        <v>3048</v>
      </c>
      <c r="AG75" s="168"/>
      <c r="AH75" s="134">
        <f t="shared" si="61"/>
        <v>0</v>
      </c>
      <c r="AI75" s="134">
        <f t="shared" si="62"/>
        <v>0</v>
      </c>
      <c r="AJ75" s="134">
        <f t="shared" si="63"/>
        <v>0</v>
      </c>
      <c r="AK75" s="134">
        <f t="shared" si="64"/>
        <v>0</v>
      </c>
      <c r="AL75" s="134">
        <f t="shared" si="65"/>
        <v>0</v>
      </c>
      <c r="AM75" s="134">
        <f t="shared" si="66"/>
        <v>0</v>
      </c>
      <c r="AN75" s="134">
        <f t="shared" si="67"/>
        <v>0</v>
      </c>
      <c r="AO75" s="134">
        <f t="shared" si="68"/>
        <v>0</v>
      </c>
      <c r="AP75" s="134">
        <f t="shared" si="69"/>
        <v>0</v>
      </c>
      <c r="AQ75" s="134">
        <f t="shared" si="70"/>
        <v>0</v>
      </c>
      <c r="AR75" s="134">
        <f t="shared" si="71"/>
        <v>0</v>
      </c>
      <c r="AS75" s="135">
        <f t="shared" si="86"/>
        <v>0</v>
      </c>
      <c r="AT75" s="137" t="str">
        <f t="shared" si="72"/>
        <v>0</v>
      </c>
      <c r="AU75" s="137" t="str">
        <f t="shared" si="73"/>
        <v>0</v>
      </c>
      <c r="AV75" s="137" t="str">
        <f t="shared" si="74"/>
        <v>0</v>
      </c>
      <c r="AW75" s="137" t="str">
        <f t="shared" si="75"/>
        <v>0</v>
      </c>
      <c r="AX75" s="137" t="str">
        <f t="shared" si="76"/>
        <v>0</v>
      </c>
      <c r="AY75" s="137" t="str">
        <f t="shared" si="77"/>
        <v>0</v>
      </c>
      <c r="AZ75" s="137" t="str">
        <f t="shared" si="78"/>
        <v>0</v>
      </c>
      <c r="BA75" s="137" t="str">
        <f t="shared" si="79"/>
        <v>0</v>
      </c>
      <c r="BB75" s="137" t="str">
        <f t="shared" si="80"/>
        <v>0</v>
      </c>
      <c r="BC75" s="137" t="str">
        <f t="shared" si="81"/>
        <v>0</v>
      </c>
      <c r="BD75" s="131">
        <f t="shared" si="82"/>
        <v>0</v>
      </c>
    </row>
    <row r="76" spans="2:56" x14ac:dyDescent="0.25">
      <c r="B76" s="136">
        <v>8202171</v>
      </c>
      <c r="C76" s="128" t="s">
        <v>30</v>
      </c>
      <c r="D76" s="128"/>
      <c r="E76" s="136" t="s">
        <v>685</v>
      </c>
      <c r="F76" s="274"/>
      <c r="G76" s="130">
        <f>+SUMIFS(TablaIngresos[Cantidad],TablaIngresos[Código],'Inventario '!B76)</f>
        <v>0</v>
      </c>
      <c r="H76" s="130">
        <f t="shared" si="87"/>
        <v>0</v>
      </c>
      <c r="I76" s="131">
        <f>SUMIFS(TablaConsumos[[CANTIDAD ]:[CANTIDAD ]],TablaConsumos[[CÓDIGO]:[CÓDIGO]],'Inventario '!$B76,TablaConsumos[[Planta]:[Planta]],'Inventario '!I$1)</f>
        <v>0</v>
      </c>
      <c r="J76" s="131">
        <f>SUMIFS(TablaConsumos[[CANTIDAD ]:[CANTIDAD ]],TablaConsumos[[CÓDIGO]:[CÓDIGO]],'Inventario '!$B76,TablaConsumos[[Planta]:[Planta]],'Inventario '!J$1)</f>
        <v>0</v>
      </c>
      <c r="K76" s="131">
        <f>SUMIFS(TablaConsumos[[CANTIDAD ]:[CANTIDAD ]],TablaConsumos[[CÓDIGO]:[CÓDIGO]],'Inventario '!$B76,TablaConsumos[[Planta]:[Planta]],'Inventario '!K$1)</f>
        <v>0</v>
      </c>
      <c r="L76" s="131">
        <f>SUMIFS(TablaConsumos[[CANTIDAD ]:[CANTIDAD ]],TablaConsumos[[CÓDIGO]:[CÓDIGO]],'Inventario '!$B76,TablaConsumos[[Planta]:[Planta]],'Inventario '!L$1)</f>
        <v>0</v>
      </c>
      <c r="M76" s="131">
        <f>SUMIFS(TablaConsumos[[CANTIDAD ]:[CANTIDAD ]],TablaConsumos[[CÓDIGO]:[CÓDIGO]],'Inventario '!$B76,TablaConsumos[[Planta]:[Planta]],'Inventario '!M$1)</f>
        <v>0</v>
      </c>
      <c r="N76" s="131">
        <f>SUMIFS(TablaConsumos[[CANTIDAD ]:[CANTIDAD ]],TablaConsumos[[CÓDIGO]:[CÓDIGO]],'Inventario '!$B76,TablaConsumos[[Planta]:[Planta]],'Inventario '!N$1)</f>
        <v>0</v>
      </c>
      <c r="O76" s="131">
        <f>SUMIFS(TablaConsumos[[CANTIDAD ]:[CANTIDAD ]],TablaConsumos[[CÓDIGO]:[CÓDIGO]],'Inventario '!$B76,TablaConsumos[[Planta]:[Planta]],'Inventario '!O$1)</f>
        <v>0</v>
      </c>
      <c r="P76" s="131">
        <f>SUMIFS(TablaConsumos[[CANTIDAD ]:[CANTIDAD ]],TablaConsumos[[CÓDIGO]:[CÓDIGO]],'Inventario '!$B76,TablaConsumos[[Planta]:[Planta]],'Inventario '!P$1)</f>
        <v>0</v>
      </c>
      <c r="Q76" s="131">
        <f>SUMIFS(TablaConsumos[[CANTIDAD ]:[CANTIDAD ]],TablaConsumos[[CÓDIGO]:[CÓDIGO]],'Inventario '!$B76,TablaConsumos[[Planta]:[Planta]],'Inventario '!Q$1)</f>
        <v>0</v>
      </c>
      <c r="R76" s="131">
        <f>SUMIFS(TablaConsumos[[CANTIDAD ]:[CANTIDAD ]],TablaConsumos[[CÓDIGO]:[CÓDIGO]],'Inventario '!$B76,TablaConsumos[[Planta]:[Planta]],'Inventario '!R$1)</f>
        <v>0</v>
      </c>
      <c r="S76" s="130">
        <f t="shared" si="84"/>
        <v>0</v>
      </c>
      <c r="T76" s="130">
        <f t="shared" si="85"/>
        <v>0</v>
      </c>
      <c r="U76" s="132"/>
      <c r="V76" s="130"/>
      <c r="W76" s="132">
        <v>30.48</v>
      </c>
      <c r="X76" s="133">
        <f t="shared" si="88"/>
        <v>0</v>
      </c>
      <c r="Y76" s="130">
        <f t="shared" si="58"/>
        <v>0</v>
      </c>
      <c r="Z76" s="132"/>
      <c r="AA76" s="132">
        <f t="shared" si="59"/>
        <v>0</v>
      </c>
      <c r="AB76" s="132"/>
      <c r="AC76" s="131">
        <f t="shared" si="60"/>
        <v>0</v>
      </c>
      <c r="AD76" s="131"/>
      <c r="AE76" s="132" t="s">
        <v>612</v>
      </c>
      <c r="AF76" s="132">
        <v>3048</v>
      </c>
      <c r="AG76" s="168"/>
      <c r="AH76" s="134">
        <f t="shared" si="61"/>
        <v>0</v>
      </c>
      <c r="AI76" s="134">
        <f t="shared" si="62"/>
        <v>0</v>
      </c>
      <c r="AJ76" s="134">
        <f t="shared" si="63"/>
        <v>0</v>
      </c>
      <c r="AK76" s="134">
        <f t="shared" si="64"/>
        <v>0</v>
      </c>
      <c r="AL76" s="134">
        <f t="shared" si="65"/>
        <v>0</v>
      </c>
      <c r="AM76" s="134">
        <f t="shared" si="66"/>
        <v>0</v>
      </c>
      <c r="AN76" s="134">
        <f t="shared" si="67"/>
        <v>0</v>
      </c>
      <c r="AO76" s="134">
        <f t="shared" si="68"/>
        <v>0</v>
      </c>
      <c r="AP76" s="134">
        <f t="shared" si="69"/>
        <v>0</v>
      </c>
      <c r="AQ76" s="134">
        <f t="shared" si="70"/>
        <v>0</v>
      </c>
      <c r="AR76" s="134">
        <f t="shared" si="71"/>
        <v>0</v>
      </c>
      <c r="AS76" s="135">
        <f t="shared" si="86"/>
        <v>0</v>
      </c>
      <c r="AT76" s="137" t="str">
        <f t="shared" si="72"/>
        <v>0</v>
      </c>
      <c r="AU76" s="137" t="str">
        <f t="shared" si="73"/>
        <v>0</v>
      </c>
      <c r="AV76" s="137" t="str">
        <f t="shared" si="74"/>
        <v>0</v>
      </c>
      <c r="AW76" s="137" t="str">
        <f t="shared" si="75"/>
        <v>0</v>
      </c>
      <c r="AX76" s="137" t="str">
        <f t="shared" si="76"/>
        <v>0</v>
      </c>
      <c r="AY76" s="137" t="str">
        <f t="shared" si="77"/>
        <v>0</v>
      </c>
      <c r="AZ76" s="137" t="str">
        <f t="shared" si="78"/>
        <v>0</v>
      </c>
      <c r="BA76" s="137" t="str">
        <f t="shared" si="79"/>
        <v>0</v>
      </c>
      <c r="BB76" s="137" t="str">
        <f t="shared" si="80"/>
        <v>0</v>
      </c>
      <c r="BC76" s="137" t="str">
        <f t="shared" si="81"/>
        <v>0</v>
      </c>
      <c r="BD76" s="131">
        <f t="shared" si="82"/>
        <v>0</v>
      </c>
    </row>
    <row r="77" spans="2:56" x14ac:dyDescent="0.25">
      <c r="B77" s="136">
        <v>8202260</v>
      </c>
      <c r="C77" s="128" t="s">
        <v>30</v>
      </c>
      <c r="D77" s="128"/>
      <c r="E77" s="136" t="s">
        <v>146</v>
      </c>
      <c r="F77" s="274"/>
      <c r="G77" s="130">
        <f>+SUMIFS(TablaIngresos[Cantidad],TablaIngresos[Código],'Inventario '!B77)</f>
        <v>0</v>
      </c>
      <c r="H77" s="130">
        <f t="shared" si="87"/>
        <v>0</v>
      </c>
      <c r="I77" s="131">
        <f>SUMIFS(TablaConsumos[[CANTIDAD ]:[CANTIDAD ]],TablaConsumos[[CÓDIGO]:[CÓDIGO]],'Inventario '!$B77,TablaConsumos[[Planta]:[Planta]],'Inventario '!I$1)</f>
        <v>0</v>
      </c>
      <c r="J77" s="131">
        <f>SUMIFS(TablaConsumos[[CANTIDAD ]:[CANTIDAD ]],TablaConsumos[[CÓDIGO]:[CÓDIGO]],'Inventario '!$B77,TablaConsumos[[Planta]:[Planta]],'Inventario '!J$1)</f>
        <v>0</v>
      </c>
      <c r="K77" s="131">
        <f>SUMIFS(TablaConsumos[[CANTIDAD ]:[CANTIDAD ]],TablaConsumos[[CÓDIGO]:[CÓDIGO]],'Inventario '!$B77,TablaConsumos[[Planta]:[Planta]],'Inventario '!K$1)</f>
        <v>0</v>
      </c>
      <c r="L77" s="131">
        <f>SUMIFS(TablaConsumos[[CANTIDAD ]:[CANTIDAD ]],TablaConsumos[[CÓDIGO]:[CÓDIGO]],'Inventario '!$B77,TablaConsumos[[Planta]:[Planta]],'Inventario '!L$1)</f>
        <v>0</v>
      </c>
      <c r="M77" s="131">
        <f>SUMIFS(TablaConsumos[[CANTIDAD ]:[CANTIDAD ]],TablaConsumos[[CÓDIGO]:[CÓDIGO]],'Inventario '!$B77,TablaConsumos[[Planta]:[Planta]],'Inventario '!M$1)</f>
        <v>0</v>
      </c>
      <c r="N77" s="131">
        <f>SUMIFS(TablaConsumos[[CANTIDAD ]:[CANTIDAD ]],TablaConsumos[[CÓDIGO]:[CÓDIGO]],'Inventario '!$B77,TablaConsumos[[Planta]:[Planta]],'Inventario '!N$1)</f>
        <v>0</v>
      </c>
      <c r="O77" s="131">
        <f>SUMIFS(TablaConsumos[[CANTIDAD ]:[CANTIDAD ]],TablaConsumos[[CÓDIGO]:[CÓDIGO]],'Inventario '!$B77,TablaConsumos[[Planta]:[Planta]],'Inventario '!O$1)</f>
        <v>0</v>
      </c>
      <c r="P77" s="131">
        <f>SUMIFS(TablaConsumos[[CANTIDAD ]:[CANTIDAD ]],TablaConsumos[[CÓDIGO]:[CÓDIGO]],'Inventario '!$B77,TablaConsumos[[Planta]:[Planta]],'Inventario '!P$1)</f>
        <v>0</v>
      </c>
      <c r="Q77" s="131">
        <f>SUMIFS(TablaConsumos[[CANTIDAD ]:[CANTIDAD ]],TablaConsumos[[CÓDIGO]:[CÓDIGO]],'Inventario '!$B77,TablaConsumos[[Planta]:[Planta]],'Inventario '!Q$1)</f>
        <v>0</v>
      </c>
      <c r="R77" s="131">
        <f>SUMIFS(TablaConsumos[[CANTIDAD ]:[CANTIDAD ]],TablaConsumos[[CÓDIGO]:[CÓDIGO]],'Inventario '!$B77,TablaConsumos[[Planta]:[Planta]],'Inventario '!R$1)</f>
        <v>0</v>
      </c>
      <c r="S77" s="130">
        <f t="shared" si="84"/>
        <v>0</v>
      </c>
      <c r="T77" s="130">
        <f t="shared" si="85"/>
        <v>0</v>
      </c>
      <c r="U77" s="177"/>
      <c r="V77" s="130"/>
      <c r="W77" s="132">
        <v>30.48</v>
      </c>
      <c r="X77" s="133">
        <f t="shared" si="88"/>
        <v>0</v>
      </c>
      <c r="Y77" s="130">
        <f t="shared" si="58"/>
        <v>0</v>
      </c>
      <c r="Z77" s="132"/>
      <c r="AA77" s="132">
        <f t="shared" si="59"/>
        <v>0</v>
      </c>
      <c r="AB77" s="132"/>
      <c r="AC77" s="131">
        <f t="shared" si="60"/>
        <v>0</v>
      </c>
      <c r="AD77" s="131"/>
      <c r="AE77" s="132" t="s">
        <v>615</v>
      </c>
      <c r="AF77" s="132">
        <v>6096</v>
      </c>
      <c r="AG77" s="168"/>
      <c r="AH77" s="134">
        <f t="shared" si="61"/>
        <v>0</v>
      </c>
      <c r="AI77" s="134">
        <f t="shared" si="62"/>
        <v>0</v>
      </c>
      <c r="AJ77" s="134">
        <f t="shared" si="63"/>
        <v>0</v>
      </c>
      <c r="AK77" s="134">
        <f t="shared" si="64"/>
        <v>0</v>
      </c>
      <c r="AL77" s="134">
        <f t="shared" si="65"/>
        <v>0</v>
      </c>
      <c r="AM77" s="134">
        <f t="shared" si="66"/>
        <v>0</v>
      </c>
      <c r="AN77" s="134">
        <f t="shared" si="67"/>
        <v>0</v>
      </c>
      <c r="AO77" s="134">
        <f t="shared" si="68"/>
        <v>0</v>
      </c>
      <c r="AP77" s="134">
        <f t="shared" si="69"/>
        <v>0</v>
      </c>
      <c r="AQ77" s="134">
        <f t="shared" si="70"/>
        <v>0</v>
      </c>
      <c r="AR77" s="134">
        <f t="shared" si="71"/>
        <v>0</v>
      </c>
      <c r="AS77" s="135">
        <f t="shared" si="86"/>
        <v>0</v>
      </c>
      <c r="AT77" s="137" t="str">
        <f t="shared" si="72"/>
        <v>0</v>
      </c>
      <c r="AU77" s="137" t="str">
        <f t="shared" si="73"/>
        <v>0</v>
      </c>
      <c r="AV77" s="137" t="str">
        <f t="shared" si="74"/>
        <v>0</v>
      </c>
      <c r="AW77" s="137" t="str">
        <f t="shared" si="75"/>
        <v>0</v>
      </c>
      <c r="AX77" s="137" t="str">
        <f t="shared" si="76"/>
        <v>0</v>
      </c>
      <c r="AY77" s="137" t="str">
        <f t="shared" si="77"/>
        <v>0</v>
      </c>
      <c r="AZ77" s="137" t="str">
        <f t="shared" si="78"/>
        <v>0</v>
      </c>
      <c r="BA77" s="137" t="str">
        <f t="shared" si="79"/>
        <v>0</v>
      </c>
      <c r="BB77" s="137" t="str">
        <f t="shared" si="80"/>
        <v>0</v>
      </c>
      <c r="BC77" s="137" t="str">
        <f t="shared" si="81"/>
        <v>0</v>
      </c>
      <c r="BD77" s="131">
        <f t="shared" si="82"/>
        <v>0</v>
      </c>
    </row>
    <row r="78" spans="2:56" x14ac:dyDescent="0.25">
      <c r="B78" s="136">
        <v>8201451</v>
      </c>
      <c r="C78" s="128" t="s">
        <v>30</v>
      </c>
      <c r="D78" s="128"/>
      <c r="E78" s="136" t="s">
        <v>154</v>
      </c>
      <c r="F78" s="274"/>
      <c r="G78" s="130">
        <f>+SUMIFS(TablaIngresos[Cantidad],TablaIngresos[Código],'Inventario '!B78)</f>
        <v>0</v>
      </c>
      <c r="H78" s="130">
        <f t="shared" si="87"/>
        <v>0</v>
      </c>
      <c r="I78" s="131">
        <f>SUMIFS(TablaConsumos[[CANTIDAD ]:[CANTIDAD ]],TablaConsumos[[CÓDIGO]:[CÓDIGO]],'Inventario '!$B78,TablaConsumos[[Planta]:[Planta]],'Inventario '!I$1)</f>
        <v>0</v>
      </c>
      <c r="J78" s="131">
        <f>SUMIFS(TablaConsumos[[CANTIDAD ]:[CANTIDAD ]],TablaConsumos[[CÓDIGO]:[CÓDIGO]],'Inventario '!$B78,TablaConsumos[[Planta]:[Planta]],'Inventario '!J$1)</f>
        <v>0</v>
      </c>
      <c r="K78" s="131">
        <f>SUMIFS(TablaConsumos[[CANTIDAD ]:[CANTIDAD ]],TablaConsumos[[CÓDIGO]:[CÓDIGO]],'Inventario '!$B78,TablaConsumos[[Planta]:[Planta]],'Inventario '!K$1)</f>
        <v>0</v>
      </c>
      <c r="L78" s="131">
        <f>SUMIFS(TablaConsumos[[CANTIDAD ]:[CANTIDAD ]],TablaConsumos[[CÓDIGO]:[CÓDIGO]],'Inventario '!$B78,TablaConsumos[[Planta]:[Planta]],'Inventario '!L$1)</f>
        <v>0</v>
      </c>
      <c r="M78" s="131">
        <f>SUMIFS(TablaConsumos[[CANTIDAD ]:[CANTIDAD ]],TablaConsumos[[CÓDIGO]:[CÓDIGO]],'Inventario '!$B78,TablaConsumos[[Planta]:[Planta]],'Inventario '!M$1)</f>
        <v>0</v>
      </c>
      <c r="N78" s="131">
        <f>SUMIFS(TablaConsumos[[CANTIDAD ]:[CANTIDAD ]],TablaConsumos[[CÓDIGO]:[CÓDIGO]],'Inventario '!$B78,TablaConsumos[[Planta]:[Planta]],'Inventario '!N$1)</f>
        <v>0</v>
      </c>
      <c r="O78" s="131">
        <f>SUMIFS(TablaConsumos[[CANTIDAD ]:[CANTIDAD ]],TablaConsumos[[CÓDIGO]:[CÓDIGO]],'Inventario '!$B78,TablaConsumos[[Planta]:[Planta]],'Inventario '!O$1)</f>
        <v>0</v>
      </c>
      <c r="P78" s="131">
        <f>SUMIFS(TablaConsumos[[CANTIDAD ]:[CANTIDAD ]],TablaConsumos[[CÓDIGO]:[CÓDIGO]],'Inventario '!$B78,TablaConsumos[[Planta]:[Planta]],'Inventario '!P$1)</f>
        <v>0</v>
      </c>
      <c r="Q78" s="131">
        <f>SUMIFS(TablaConsumos[[CANTIDAD ]:[CANTIDAD ]],TablaConsumos[[CÓDIGO]:[CÓDIGO]],'Inventario '!$B78,TablaConsumos[[Planta]:[Planta]],'Inventario '!Q$1)</f>
        <v>0</v>
      </c>
      <c r="R78" s="131">
        <f>SUMIFS(TablaConsumos[[CANTIDAD ]:[CANTIDAD ]],TablaConsumos[[CÓDIGO]:[CÓDIGO]],'Inventario '!$B78,TablaConsumos[[Planta]:[Planta]],'Inventario '!R$1)</f>
        <v>0</v>
      </c>
      <c r="S78" s="130">
        <f t="shared" si="84"/>
        <v>0</v>
      </c>
      <c r="T78" s="130">
        <f t="shared" si="85"/>
        <v>0</v>
      </c>
      <c r="U78" s="177"/>
      <c r="V78" s="130"/>
      <c r="W78" s="132">
        <v>30.48</v>
      </c>
      <c r="X78" s="133">
        <f t="shared" si="88"/>
        <v>0</v>
      </c>
      <c r="Y78" s="130">
        <f t="shared" si="58"/>
        <v>0</v>
      </c>
      <c r="Z78" s="132"/>
      <c r="AA78" s="132">
        <f t="shared" si="59"/>
        <v>0</v>
      </c>
      <c r="AB78" s="132"/>
      <c r="AC78" s="131">
        <f t="shared" si="60"/>
        <v>0</v>
      </c>
      <c r="AD78" s="131"/>
      <c r="AE78" s="132" t="s">
        <v>612</v>
      </c>
      <c r="AF78" s="132">
        <v>3048</v>
      </c>
      <c r="AG78" s="168"/>
      <c r="AH78" s="134">
        <f t="shared" si="61"/>
        <v>0</v>
      </c>
      <c r="AI78" s="134">
        <f t="shared" si="62"/>
        <v>0</v>
      </c>
      <c r="AJ78" s="134">
        <f t="shared" si="63"/>
        <v>0</v>
      </c>
      <c r="AK78" s="134">
        <f t="shared" si="64"/>
        <v>0</v>
      </c>
      <c r="AL78" s="134">
        <f t="shared" si="65"/>
        <v>0</v>
      </c>
      <c r="AM78" s="134">
        <f t="shared" si="66"/>
        <v>0</v>
      </c>
      <c r="AN78" s="134">
        <f t="shared" si="67"/>
        <v>0</v>
      </c>
      <c r="AO78" s="134">
        <f t="shared" si="68"/>
        <v>0</v>
      </c>
      <c r="AP78" s="134">
        <f t="shared" si="69"/>
        <v>0</v>
      </c>
      <c r="AQ78" s="134">
        <f t="shared" si="70"/>
        <v>0</v>
      </c>
      <c r="AR78" s="134">
        <f t="shared" si="71"/>
        <v>0</v>
      </c>
      <c r="AS78" s="135">
        <f t="shared" si="86"/>
        <v>0</v>
      </c>
      <c r="AT78" s="137" t="str">
        <f t="shared" si="72"/>
        <v>0</v>
      </c>
      <c r="AU78" s="137" t="str">
        <f t="shared" si="73"/>
        <v>0</v>
      </c>
      <c r="AV78" s="137" t="str">
        <f t="shared" si="74"/>
        <v>0</v>
      </c>
      <c r="AW78" s="137" t="str">
        <f t="shared" si="75"/>
        <v>0</v>
      </c>
      <c r="AX78" s="137" t="str">
        <f t="shared" si="76"/>
        <v>0</v>
      </c>
      <c r="AY78" s="137" t="str">
        <f t="shared" si="77"/>
        <v>0</v>
      </c>
      <c r="AZ78" s="137" t="str">
        <f t="shared" si="78"/>
        <v>0</v>
      </c>
      <c r="BA78" s="137" t="str">
        <f t="shared" si="79"/>
        <v>0</v>
      </c>
      <c r="BB78" s="137" t="str">
        <f t="shared" si="80"/>
        <v>0</v>
      </c>
      <c r="BC78" s="137" t="str">
        <f t="shared" si="81"/>
        <v>0</v>
      </c>
      <c r="BD78" s="131">
        <f t="shared" si="82"/>
        <v>0</v>
      </c>
    </row>
    <row r="79" spans="2:56" x14ac:dyDescent="0.25">
      <c r="B79" s="136">
        <v>8202610</v>
      </c>
      <c r="C79" s="128" t="s">
        <v>30</v>
      </c>
      <c r="D79" s="128"/>
      <c r="E79" s="136" t="s">
        <v>161</v>
      </c>
      <c r="F79" s="274"/>
      <c r="G79" s="130">
        <f>+SUMIFS(TablaIngresos[Cantidad],TablaIngresos[Código],'Inventario '!B79)</f>
        <v>0</v>
      </c>
      <c r="H79" s="130">
        <f t="shared" si="87"/>
        <v>0</v>
      </c>
      <c r="I79" s="131">
        <f>SUMIFS(TablaConsumos[[CANTIDAD ]:[CANTIDAD ]],TablaConsumos[[CÓDIGO]:[CÓDIGO]],'Inventario '!$B79,TablaConsumos[[Planta]:[Planta]],'Inventario '!I$1)</f>
        <v>0</v>
      </c>
      <c r="J79" s="131">
        <f>SUMIFS(TablaConsumos[[CANTIDAD ]:[CANTIDAD ]],TablaConsumos[[CÓDIGO]:[CÓDIGO]],'Inventario '!$B79,TablaConsumos[[Planta]:[Planta]],'Inventario '!J$1)</f>
        <v>0</v>
      </c>
      <c r="K79" s="131">
        <f>SUMIFS(TablaConsumos[[CANTIDAD ]:[CANTIDAD ]],TablaConsumos[[CÓDIGO]:[CÓDIGO]],'Inventario '!$B79,TablaConsumos[[Planta]:[Planta]],'Inventario '!K$1)</f>
        <v>0</v>
      </c>
      <c r="L79" s="131">
        <f>SUMIFS(TablaConsumos[[CANTIDAD ]:[CANTIDAD ]],TablaConsumos[[CÓDIGO]:[CÓDIGO]],'Inventario '!$B79,TablaConsumos[[Planta]:[Planta]],'Inventario '!L$1)</f>
        <v>0</v>
      </c>
      <c r="M79" s="131">
        <f>SUMIFS(TablaConsumos[[CANTIDAD ]:[CANTIDAD ]],TablaConsumos[[CÓDIGO]:[CÓDIGO]],'Inventario '!$B79,TablaConsumos[[Planta]:[Planta]],'Inventario '!M$1)</f>
        <v>0</v>
      </c>
      <c r="N79" s="131">
        <f>SUMIFS(TablaConsumos[[CANTIDAD ]:[CANTIDAD ]],TablaConsumos[[CÓDIGO]:[CÓDIGO]],'Inventario '!$B79,TablaConsumos[[Planta]:[Planta]],'Inventario '!N$1)</f>
        <v>0</v>
      </c>
      <c r="O79" s="131">
        <f>SUMIFS(TablaConsumos[[CANTIDAD ]:[CANTIDAD ]],TablaConsumos[[CÓDIGO]:[CÓDIGO]],'Inventario '!$B79,TablaConsumos[[Planta]:[Planta]],'Inventario '!O$1)</f>
        <v>0</v>
      </c>
      <c r="P79" s="131">
        <f>SUMIFS(TablaConsumos[[CANTIDAD ]:[CANTIDAD ]],TablaConsumos[[CÓDIGO]:[CÓDIGO]],'Inventario '!$B79,TablaConsumos[[Planta]:[Planta]],'Inventario '!P$1)</f>
        <v>0</v>
      </c>
      <c r="Q79" s="131">
        <f>SUMIFS(TablaConsumos[[CANTIDAD ]:[CANTIDAD ]],TablaConsumos[[CÓDIGO]:[CÓDIGO]],'Inventario '!$B79,TablaConsumos[[Planta]:[Planta]],'Inventario '!Q$1)</f>
        <v>0</v>
      </c>
      <c r="R79" s="131">
        <f>SUMIFS(TablaConsumos[[CANTIDAD ]:[CANTIDAD ]],TablaConsumos[[CÓDIGO]:[CÓDIGO]],'Inventario '!$B79,TablaConsumos[[Planta]:[Planta]],'Inventario '!R$1)</f>
        <v>0</v>
      </c>
      <c r="S79" s="130">
        <f t="shared" si="84"/>
        <v>0</v>
      </c>
      <c r="T79" s="130">
        <f t="shared" si="85"/>
        <v>0</v>
      </c>
      <c r="U79" s="177"/>
      <c r="V79" s="130"/>
      <c r="W79" s="132">
        <v>1</v>
      </c>
      <c r="X79" s="133">
        <f t="shared" ref="X79:X142" si="89">+U79*W79</f>
        <v>0</v>
      </c>
      <c r="Y79" s="130">
        <f t="shared" si="58"/>
        <v>0</v>
      </c>
      <c r="Z79" s="132"/>
      <c r="AA79" s="132">
        <f t="shared" si="59"/>
        <v>0</v>
      </c>
      <c r="AB79" s="132"/>
      <c r="AC79" s="131">
        <f t="shared" si="60"/>
        <v>0</v>
      </c>
      <c r="AD79" s="131"/>
      <c r="AE79" s="132" t="s">
        <v>612</v>
      </c>
      <c r="AF79" s="132">
        <v>2500</v>
      </c>
      <c r="AG79" s="168"/>
      <c r="AH79" s="134">
        <f t="shared" si="61"/>
        <v>0</v>
      </c>
      <c r="AI79" s="134">
        <f t="shared" si="62"/>
        <v>0</v>
      </c>
      <c r="AJ79" s="134">
        <f t="shared" si="63"/>
        <v>0</v>
      </c>
      <c r="AK79" s="134">
        <f t="shared" si="64"/>
        <v>0</v>
      </c>
      <c r="AL79" s="134">
        <f t="shared" si="65"/>
        <v>0</v>
      </c>
      <c r="AM79" s="134">
        <f t="shared" si="66"/>
        <v>0</v>
      </c>
      <c r="AN79" s="134">
        <f t="shared" si="67"/>
        <v>0</v>
      </c>
      <c r="AO79" s="134">
        <f t="shared" si="68"/>
        <v>0</v>
      </c>
      <c r="AP79" s="134">
        <f t="shared" si="69"/>
        <v>0</v>
      </c>
      <c r="AQ79" s="134">
        <f t="shared" si="70"/>
        <v>0</v>
      </c>
      <c r="AR79" s="134">
        <f t="shared" si="71"/>
        <v>0</v>
      </c>
      <c r="AS79" s="135">
        <f t="shared" si="86"/>
        <v>0</v>
      </c>
      <c r="AT79" s="137" t="str">
        <f t="shared" si="72"/>
        <v>0</v>
      </c>
      <c r="AU79" s="137" t="str">
        <f t="shared" si="73"/>
        <v>0</v>
      </c>
      <c r="AV79" s="137" t="str">
        <f t="shared" si="74"/>
        <v>0</v>
      </c>
      <c r="AW79" s="137" t="str">
        <f t="shared" si="75"/>
        <v>0</v>
      </c>
      <c r="AX79" s="137" t="str">
        <f t="shared" si="76"/>
        <v>0</v>
      </c>
      <c r="AY79" s="137" t="str">
        <f t="shared" si="77"/>
        <v>0</v>
      </c>
      <c r="AZ79" s="137" t="str">
        <f t="shared" si="78"/>
        <v>0</v>
      </c>
      <c r="BA79" s="137" t="str">
        <f t="shared" si="79"/>
        <v>0</v>
      </c>
      <c r="BB79" s="137" t="str">
        <f t="shared" si="80"/>
        <v>0</v>
      </c>
      <c r="BC79" s="137" t="str">
        <f t="shared" si="81"/>
        <v>0</v>
      </c>
      <c r="BD79" s="131">
        <f t="shared" si="82"/>
        <v>0</v>
      </c>
    </row>
    <row r="80" spans="2:56" x14ac:dyDescent="0.25">
      <c r="B80" s="136">
        <v>8202620</v>
      </c>
      <c r="C80" s="128" t="s">
        <v>30</v>
      </c>
      <c r="D80" s="128"/>
      <c r="E80" s="136" t="s">
        <v>162</v>
      </c>
      <c r="F80" s="274"/>
      <c r="G80" s="130">
        <f>+SUMIFS(TablaIngresos[Cantidad],TablaIngresos[Código],'Inventario '!B80)</f>
        <v>0</v>
      </c>
      <c r="H80" s="130">
        <f t="shared" si="87"/>
        <v>0</v>
      </c>
      <c r="I80" s="131">
        <f>SUMIFS(TablaConsumos[[CANTIDAD ]:[CANTIDAD ]],TablaConsumos[[CÓDIGO]:[CÓDIGO]],'Inventario '!$B80,TablaConsumos[[Planta]:[Planta]],'Inventario '!I$1)</f>
        <v>0</v>
      </c>
      <c r="J80" s="131">
        <f>SUMIFS(TablaConsumos[[CANTIDAD ]:[CANTIDAD ]],TablaConsumos[[CÓDIGO]:[CÓDIGO]],'Inventario '!$B80,TablaConsumos[[Planta]:[Planta]],'Inventario '!J$1)</f>
        <v>0</v>
      </c>
      <c r="K80" s="131">
        <f>SUMIFS(TablaConsumos[[CANTIDAD ]:[CANTIDAD ]],TablaConsumos[[CÓDIGO]:[CÓDIGO]],'Inventario '!$B80,TablaConsumos[[Planta]:[Planta]],'Inventario '!K$1)</f>
        <v>0</v>
      </c>
      <c r="L80" s="131">
        <f>SUMIFS(TablaConsumos[[CANTIDAD ]:[CANTIDAD ]],TablaConsumos[[CÓDIGO]:[CÓDIGO]],'Inventario '!$B80,TablaConsumos[[Planta]:[Planta]],'Inventario '!L$1)</f>
        <v>0</v>
      </c>
      <c r="M80" s="131">
        <f>SUMIFS(TablaConsumos[[CANTIDAD ]:[CANTIDAD ]],TablaConsumos[[CÓDIGO]:[CÓDIGO]],'Inventario '!$B80,TablaConsumos[[Planta]:[Planta]],'Inventario '!M$1)</f>
        <v>0</v>
      </c>
      <c r="N80" s="131">
        <f>SUMIFS(TablaConsumos[[CANTIDAD ]:[CANTIDAD ]],TablaConsumos[[CÓDIGO]:[CÓDIGO]],'Inventario '!$B80,TablaConsumos[[Planta]:[Planta]],'Inventario '!N$1)</f>
        <v>0</v>
      </c>
      <c r="O80" s="131">
        <f>SUMIFS(TablaConsumos[[CANTIDAD ]:[CANTIDAD ]],TablaConsumos[[CÓDIGO]:[CÓDIGO]],'Inventario '!$B80,TablaConsumos[[Planta]:[Planta]],'Inventario '!O$1)</f>
        <v>0</v>
      </c>
      <c r="P80" s="131">
        <f>SUMIFS(TablaConsumos[[CANTIDAD ]:[CANTIDAD ]],TablaConsumos[[CÓDIGO]:[CÓDIGO]],'Inventario '!$B80,TablaConsumos[[Planta]:[Planta]],'Inventario '!P$1)</f>
        <v>0</v>
      </c>
      <c r="Q80" s="131">
        <f>SUMIFS(TablaConsumos[[CANTIDAD ]:[CANTIDAD ]],TablaConsumos[[CÓDIGO]:[CÓDIGO]],'Inventario '!$B80,TablaConsumos[[Planta]:[Planta]],'Inventario '!Q$1)</f>
        <v>0</v>
      </c>
      <c r="R80" s="131">
        <f>SUMIFS(TablaConsumos[[CANTIDAD ]:[CANTIDAD ]],TablaConsumos[[CÓDIGO]:[CÓDIGO]],'Inventario '!$B80,TablaConsumos[[Planta]:[Planta]],'Inventario '!R$1)</f>
        <v>0</v>
      </c>
      <c r="S80" s="130">
        <f t="shared" si="84"/>
        <v>0</v>
      </c>
      <c r="T80" s="130">
        <f t="shared" si="85"/>
        <v>0</v>
      </c>
      <c r="U80" s="177"/>
      <c r="V80" s="130"/>
      <c r="W80" s="132">
        <v>1</v>
      </c>
      <c r="X80" s="133">
        <f t="shared" si="89"/>
        <v>0</v>
      </c>
      <c r="Y80" s="130">
        <f t="shared" si="58"/>
        <v>0</v>
      </c>
      <c r="Z80" s="132"/>
      <c r="AA80" s="132">
        <f t="shared" si="59"/>
        <v>0</v>
      </c>
      <c r="AB80" s="132"/>
      <c r="AC80" s="131">
        <f t="shared" si="60"/>
        <v>0</v>
      </c>
      <c r="AD80" s="131"/>
      <c r="AE80" s="132" t="s">
        <v>612</v>
      </c>
      <c r="AF80" s="132">
        <v>2500</v>
      </c>
      <c r="AG80" s="168"/>
      <c r="AH80" s="134">
        <f t="shared" si="61"/>
        <v>0</v>
      </c>
      <c r="AI80" s="134">
        <f t="shared" si="62"/>
        <v>0</v>
      </c>
      <c r="AJ80" s="134">
        <f t="shared" si="63"/>
        <v>0</v>
      </c>
      <c r="AK80" s="134">
        <f t="shared" si="64"/>
        <v>0</v>
      </c>
      <c r="AL80" s="134">
        <f t="shared" si="65"/>
        <v>0</v>
      </c>
      <c r="AM80" s="134">
        <f t="shared" si="66"/>
        <v>0</v>
      </c>
      <c r="AN80" s="134">
        <f t="shared" si="67"/>
        <v>0</v>
      </c>
      <c r="AO80" s="134">
        <f t="shared" si="68"/>
        <v>0</v>
      </c>
      <c r="AP80" s="134">
        <f t="shared" si="69"/>
        <v>0</v>
      </c>
      <c r="AQ80" s="134">
        <f t="shared" si="70"/>
        <v>0</v>
      </c>
      <c r="AR80" s="134">
        <f t="shared" si="71"/>
        <v>0</v>
      </c>
      <c r="AS80" s="135">
        <f t="shared" si="86"/>
        <v>0</v>
      </c>
      <c r="AT80" s="137" t="str">
        <f t="shared" si="72"/>
        <v>0</v>
      </c>
      <c r="AU80" s="137" t="str">
        <f t="shared" si="73"/>
        <v>0</v>
      </c>
      <c r="AV80" s="137" t="str">
        <f t="shared" si="74"/>
        <v>0</v>
      </c>
      <c r="AW80" s="137" t="str">
        <f t="shared" si="75"/>
        <v>0</v>
      </c>
      <c r="AX80" s="137" t="str">
        <f t="shared" si="76"/>
        <v>0</v>
      </c>
      <c r="AY80" s="137" t="str">
        <f t="shared" si="77"/>
        <v>0</v>
      </c>
      <c r="AZ80" s="137" t="str">
        <f t="shared" si="78"/>
        <v>0</v>
      </c>
      <c r="BA80" s="137" t="str">
        <f t="shared" si="79"/>
        <v>0</v>
      </c>
      <c r="BB80" s="137" t="str">
        <f t="shared" si="80"/>
        <v>0</v>
      </c>
      <c r="BC80" s="137" t="str">
        <f t="shared" si="81"/>
        <v>0</v>
      </c>
      <c r="BD80" s="131">
        <f t="shared" si="82"/>
        <v>0</v>
      </c>
    </row>
    <row r="81" spans="2:56" x14ac:dyDescent="0.25">
      <c r="B81" s="136">
        <v>8202611</v>
      </c>
      <c r="C81" s="128" t="s">
        <v>30</v>
      </c>
      <c r="D81" s="128"/>
      <c r="E81" s="136" t="s">
        <v>163</v>
      </c>
      <c r="F81" s="274"/>
      <c r="G81" s="130">
        <f>+SUMIFS(TablaIngresos[Cantidad],TablaIngresos[Código],'Inventario '!B81)</f>
        <v>0</v>
      </c>
      <c r="H81" s="130">
        <f t="shared" si="87"/>
        <v>0</v>
      </c>
      <c r="I81" s="131">
        <f>SUMIFS(TablaConsumos[[CANTIDAD ]:[CANTIDAD ]],TablaConsumos[[CÓDIGO]:[CÓDIGO]],'Inventario '!$B81,TablaConsumos[[Planta]:[Planta]],'Inventario '!I$1)</f>
        <v>0</v>
      </c>
      <c r="J81" s="131">
        <f>SUMIFS(TablaConsumos[[CANTIDAD ]:[CANTIDAD ]],TablaConsumos[[CÓDIGO]:[CÓDIGO]],'Inventario '!$B81,TablaConsumos[[Planta]:[Planta]],'Inventario '!J$1)</f>
        <v>0</v>
      </c>
      <c r="K81" s="131">
        <f>SUMIFS(TablaConsumos[[CANTIDAD ]:[CANTIDAD ]],TablaConsumos[[CÓDIGO]:[CÓDIGO]],'Inventario '!$B81,TablaConsumos[[Planta]:[Planta]],'Inventario '!K$1)</f>
        <v>0</v>
      </c>
      <c r="L81" s="131">
        <f>SUMIFS(TablaConsumos[[CANTIDAD ]:[CANTIDAD ]],TablaConsumos[[CÓDIGO]:[CÓDIGO]],'Inventario '!$B81,TablaConsumos[[Planta]:[Planta]],'Inventario '!L$1)</f>
        <v>0</v>
      </c>
      <c r="M81" s="131">
        <f>SUMIFS(TablaConsumos[[CANTIDAD ]:[CANTIDAD ]],TablaConsumos[[CÓDIGO]:[CÓDIGO]],'Inventario '!$B81,TablaConsumos[[Planta]:[Planta]],'Inventario '!M$1)</f>
        <v>0</v>
      </c>
      <c r="N81" s="131">
        <f>SUMIFS(TablaConsumos[[CANTIDAD ]:[CANTIDAD ]],TablaConsumos[[CÓDIGO]:[CÓDIGO]],'Inventario '!$B81,TablaConsumos[[Planta]:[Planta]],'Inventario '!N$1)</f>
        <v>0</v>
      </c>
      <c r="O81" s="131">
        <f>SUMIFS(TablaConsumos[[CANTIDAD ]:[CANTIDAD ]],TablaConsumos[[CÓDIGO]:[CÓDIGO]],'Inventario '!$B81,TablaConsumos[[Planta]:[Planta]],'Inventario '!O$1)</f>
        <v>0</v>
      </c>
      <c r="P81" s="131">
        <f>SUMIFS(TablaConsumos[[CANTIDAD ]:[CANTIDAD ]],TablaConsumos[[CÓDIGO]:[CÓDIGO]],'Inventario '!$B81,TablaConsumos[[Planta]:[Planta]],'Inventario '!P$1)</f>
        <v>0</v>
      </c>
      <c r="Q81" s="131">
        <f>SUMIFS(TablaConsumos[[CANTIDAD ]:[CANTIDAD ]],TablaConsumos[[CÓDIGO]:[CÓDIGO]],'Inventario '!$B81,TablaConsumos[[Planta]:[Planta]],'Inventario '!Q$1)</f>
        <v>0</v>
      </c>
      <c r="R81" s="131">
        <f>SUMIFS(TablaConsumos[[CANTIDAD ]:[CANTIDAD ]],TablaConsumos[[CÓDIGO]:[CÓDIGO]],'Inventario '!$B81,TablaConsumos[[Planta]:[Planta]],'Inventario '!R$1)</f>
        <v>0</v>
      </c>
      <c r="S81" s="130">
        <f t="shared" si="84"/>
        <v>0</v>
      </c>
      <c r="T81" s="130">
        <f t="shared" si="85"/>
        <v>0</v>
      </c>
      <c r="U81" s="177"/>
      <c r="V81" s="130"/>
      <c r="W81" s="132">
        <v>1</v>
      </c>
      <c r="X81" s="133">
        <f t="shared" si="89"/>
        <v>0</v>
      </c>
      <c r="Y81" s="130">
        <f t="shared" si="58"/>
        <v>0</v>
      </c>
      <c r="Z81" s="132"/>
      <c r="AA81" s="132">
        <f t="shared" si="59"/>
        <v>0</v>
      </c>
      <c r="AB81" s="132"/>
      <c r="AC81" s="131">
        <f t="shared" si="60"/>
        <v>0</v>
      </c>
      <c r="AD81" s="131"/>
      <c r="AE81" s="132" t="s">
        <v>612</v>
      </c>
      <c r="AF81" s="132">
        <v>2500</v>
      </c>
      <c r="AG81" s="168"/>
      <c r="AH81" s="134">
        <f t="shared" si="61"/>
        <v>0</v>
      </c>
      <c r="AI81" s="134">
        <f t="shared" si="62"/>
        <v>0</v>
      </c>
      <c r="AJ81" s="134">
        <f t="shared" si="63"/>
        <v>0</v>
      </c>
      <c r="AK81" s="134">
        <f t="shared" si="64"/>
        <v>0</v>
      </c>
      <c r="AL81" s="134">
        <f t="shared" si="65"/>
        <v>0</v>
      </c>
      <c r="AM81" s="134">
        <f t="shared" si="66"/>
        <v>0</v>
      </c>
      <c r="AN81" s="134">
        <f t="shared" si="67"/>
        <v>0</v>
      </c>
      <c r="AO81" s="134">
        <f t="shared" si="68"/>
        <v>0</v>
      </c>
      <c r="AP81" s="134">
        <f t="shared" si="69"/>
        <v>0</v>
      </c>
      <c r="AQ81" s="134">
        <f t="shared" si="70"/>
        <v>0</v>
      </c>
      <c r="AR81" s="134">
        <f t="shared" si="71"/>
        <v>0</v>
      </c>
      <c r="AS81" s="135">
        <f t="shared" si="86"/>
        <v>0</v>
      </c>
      <c r="AT81" s="137" t="str">
        <f t="shared" si="72"/>
        <v>0</v>
      </c>
      <c r="AU81" s="137" t="str">
        <f t="shared" si="73"/>
        <v>0</v>
      </c>
      <c r="AV81" s="137" t="str">
        <f t="shared" si="74"/>
        <v>0</v>
      </c>
      <c r="AW81" s="137" t="str">
        <f t="shared" si="75"/>
        <v>0</v>
      </c>
      <c r="AX81" s="137" t="str">
        <f t="shared" si="76"/>
        <v>0</v>
      </c>
      <c r="AY81" s="137" t="str">
        <f t="shared" si="77"/>
        <v>0</v>
      </c>
      <c r="AZ81" s="137" t="str">
        <f t="shared" si="78"/>
        <v>0</v>
      </c>
      <c r="BA81" s="137" t="str">
        <f t="shared" si="79"/>
        <v>0</v>
      </c>
      <c r="BB81" s="137" t="str">
        <f t="shared" si="80"/>
        <v>0</v>
      </c>
      <c r="BC81" s="137" t="str">
        <f t="shared" si="81"/>
        <v>0</v>
      </c>
      <c r="BD81" s="131">
        <f t="shared" si="82"/>
        <v>0</v>
      </c>
    </row>
    <row r="82" spans="2:56" x14ac:dyDescent="0.25">
      <c r="B82" s="136">
        <v>8202621</v>
      </c>
      <c r="C82" s="128" t="s">
        <v>30</v>
      </c>
      <c r="D82" s="128"/>
      <c r="E82" s="136" t="s">
        <v>686</v>
      </c>
      <c r="F82" s="274"/>
      <c r="G82" s="130">
        <f>+SUMIFS(TablaIngresos[Cantidad],TablaIngresos[Código],'Inventario '!B82)</f>
        <v>0</v>
      </c>
      <c r="H82" s="130">
        <f t="shared" si="87"/>
        <v>0</v>
      </c>
      <c r="I82" s="131">
        <f>SUMIFS(TablaConsumos[[CANTIDAD ]:[CANTIDAD ]],TablaConsumos[[CÓDIGO]:[CÓDIGO]],'Inventario '!$B82,TablaConsumos[[Planta]:[Planta]],'Inventario '!I$1)</f>
        <v>0</v>
      </c>
      <c r="J82" s="131">
        <f>SUMIFS(TablaConsumos[[CANTIDAD ]:[CANTIDAD ]],TablaConsumos[[CÓDIGO]:[CÓDIGO]],'Inventario '!$B82,TablaConsumos[[Planta]:[Planta]],'Inventario '!J$1)</f>
        <v>0</v>
      </c>
      <c r="K82" s="131">
        <f>SUMIFS(TablaConsumos[[CANTIDAD ]:[CANTIDAD ]],TablaConsumos[[CÓDIGO]:[CÓDIGO]],'Inventario '!$B82,TablaConsumos[[Planta]:[Planta]],'Inventario '!K$1)</f>
        <v>0</v>
      </c>
      <c r="L82" s="131">
        <f>SUMIFS(TablaConsumos[[CANTIDAD ]:[CANTIDAD ]],TablaConsumos[[CÓDIGO]:[CÓDIGO]],'Inventario '!$B82,TablaConsumos[[Planta]:[Planta]],'Inventario '!L$1)</f>
        <v>0</v>
      </c>
      <c r="M82" s="131">
        <f>SUMIFS(TablaConsumos[[CANTIDAD ]:[CANTIDAD ]],TablaConsumos[[CÓDIGO]:[CÓDIGO]],'Inventario '!$B82,TablaConsumos[[Planta]:[Planta]],'Inventario '!M$1)</f>
        <v>0</v>
      </c>
      <c r="N82" s="131">
        <f>SUMIFS(TablaConsumos[[CANTIDAD ]:[CANTIDAD ]],TablaConsumos[[CÓDIGO]:[CÓDIGO]],'Inventario '!$B82,TablaConsumos[[Planta]:[Planta]],'Inventario '!N$1)</f>
        <v>0</v>
      </c>
      <c r="O82" s="131">
        <f>SUMIFS(TablaConsumos[[CANTIDAD ]:[CANTIDAD ]],TablaConsumos[[CÓDIGO]:[CÓDIGO]],'Inventario '!$B82,TablaConsumos[[Planta]:[Planta]],'Inventario '!O$1)</f>
        <v>0</v>
      </c>
      <c r="P82" s="131">
        <f>SUMIFS(TablaConsumos[[CANTIDAD ]:[CANTIDAD ]],TablaConsumos[[CÓDIGO]:[CÓDIGO]],'Inventario '!$B82,TablaConsumos[[Planta]:[Planta]],'Inventario '!P$1)</f>
        <v>0</v>
      </c>
      <c r="Q82" s="131">
        <f>SUMIFS(TablaConsumos[[CANTIDAD ]:[CANTIDAD ]],TablaConsumos[[CÓDIGO]:[CÓDIGO]],'Inventario '!$B82,TablaConsumos[[Planta]:[Planta]],'Inventario '!Q$1)</f>
        <v>0</v>
      </c>
      <c r="R82" s="131">
        <f>SUMIFS(TablaConsumos[[CANTIDAD ]:[CANTIDAD ]],TablaConsumos[[CÓDIGO]:[CÓDIGO]],'Inventario '!$B82,TablaConsumos[[Planta]:[Planta]],'Inventario '!R$1)</f>
        <v>0</v>
      </c>
      <c r="S82" s="130">
        <f t="shared" si="84"/>
        <v>0</v>
      </c>
      <c r="T82" s="130">
        <f t="shared" si="85"/>
        <v>0</v>
      </c>
      <c r="U82" s="177"/>
      <c r="V82" s="130"/>
      <c r="W82" s="132">
        <v>1</v>
      </c>
      <c r="X82" s="133">
        <f t="shared" si="89"/>
        <v>0</v>
      </c>
      <c r="Y82" s="130">
        <f t="shared" si="58"/>
        <v>0</v>
      </c>
      <c r="Z82" s="132"/>
      <c r="AA82" s="132">
        <f t="shared" si="59"/>
        <v>0</v>
      </c>
      <c r="AB82" s="132"/>
      <c r="AC82" s="131">
        <f t="shared" si="60"/>
        <v>0</v>
      </c>
      <c r="AD82" s="131"/>
      <c r="AE82" s="132" t="s">
        <v>612</v>
      </c>
      <c r="AF82" s="132">
        <v>2500</v>
      </c>
      <c r="AG82" s="168"/>
      <c r="AH82" s="134">
        <f t="shared" si="61"/>
        <v>0</v>
      </c>
      <c r="AI82" s="134">
        <f t="shared" si="62"/>
        <v>0</v>
      </c>
      <c r="AJ82" s="134">
        <f t="shared" si="63"/>
        <v>0</v>
      </c>
      <c r="AK82" s="134">
        <f t="shared" si="64"/>
        <v>0</v>
      </c>
      <c r="AL82" s="134">
        <f t="shared" si="65"/>
        <v>0</v>
      </c>
      <c r="AM82" s="134">
        <f t="shared" si="66"/>
        <v>0</v>
      </c>
      <c r="AN82" s="134">
        <f t="shared" si="67"/>
        <v>0</v>
      </c>
      <c r="AO82" s="134">
        <f t="shared" si="68"/>
        <v>0</v>
      </c>
      <c r="AP82" s="134">
        <f t="shared" si="69"/>
        <v>0</v>
      </c>
      <c r="AQ82" s="134">
        <f t="shared" si="70"/>
        <v>0</v>
      </c>
      <c r="AR82" s="134">
        <f t="shared" si="71"/>
        <v>0</v>
      </c>
      <c r="AS82" s="135">
        <f t="shared" si="86"/>
        <v>0</v>
      </c>
      <c r="AT82" s="137" t="str">
        <f t="shared" si="72"/>
        <v>0</v>
      </c>
      <c r="AU82" s="137" t="str">
        <f t="shared" si="73"/>
        <v>0</v>
      </c>
      <c r="AV82" s="137" t="str">
        <f t="shared" si="74"/>
        <v>0</v>
      </c>
      <c r="AW82" s="137" t="str">
        <f t="shared" si="75"/>
        <v>0</v>
      </c>
      <c r="AX82" s="137" t="str">
        <f t="shared" si="76"/>
        <v>0</v>
      </c>
      <c r="AY82" s="137" t="str">
        <f t="shared" si="77"/>
        <v>0</v>
      </c>
      <c r="AZ82" s="137" t="str">
        <f t="shared" si="78"/>
        <v>0</v>
      </c>
      <c r="BA82" s="137" t="str">
        <f t="shared" si="79"/>
        <v>0</v>
      </c>
      <c r="BB82" s="137" t="str">
        <f t="shared" si="80"/>
        <v>0</v>
      </c>
      <c r="BC82" s="137" t="str">
        <f t="shared" si="81"/>
        <v>0</v>
      </c>
      <c r="BD82" s="131">
        <f t="shared" si="82"/>
        <v>0</v>
      </c>
    </row>
    <row r="83" spans="2:56" x14ac:dyDescent="0.25">
      <c r="B83" s="136">
        <v>8202640</v>
      </c>
      <c r="C83" s="128" t="s">
        <v>30</v>
      </c>
      <c r="D83" s="128"/>
      <c r="E83" s="136" t="s">
        <v>165</v>
      </c>
      <c r="F83" s="274"/>
      <c r="G83" s="130">
        <f>+SUMIFS(TablaIngresos[Cantidad],TablaIngresos[Código],'Inventario '!B83)</f>
        <v>0</v>
      </c>
      <c r="H83" s="130">
        <f t="shared" si="87"/>
        <v>0</v>
      </c>
      <c r="I83" s="131">
        <f>SUMIFS(TablaConsumos[[CANTIDAD ]:[CANTIDAD ]],TablaConsumos[[CÓDIGO]:[CÓDIGO]],'Inventario '!$B83,TablaConsumos[[Planta]:[Planta]],'Inventario '!I$1)</f>
        <v>0</v>
      </c>
      <c r="J83" s="131">
        <f>SUMIFS(TablaConsumos[[CANTIDAD ]:[CANTIDAD ]],TablaConsumos[[CÓDIGO]:[CÓDIGO]],'Inventario '!$B83,TablaConsumos[[Planta]:[Planta]],'Inventario '!J$1)</f>
        <v>0</v>
      </c>
      <c r="K83" s="131">
        <f>SUMIFS(TablaConsumos[[CANTIDAD ]:[CANTIDAD ]],TablaConsumos[[CÓDIGO]:[CÓDIGO]],'Inventario '!$B83,TablaConsumos[[Planta]:[Planta]],'Inventario '!K$1)</f>
        <v>0</v>
      </c>
      <c r="L83" s="131">
        <f>SUMIFS(TablaConsumos[[CANTIDAD ]:[CANTIDAD ]],TablaConsumos[[CÓDIGO]:[CÓDIGO]],'Inventario '!$B83,TablaConsumos[[Planta]:[Planta]],'Inventario '!L$1)</f>
        <v>0</v>
      </c>
      <c r="M83" s="131">
        <f>SUMIFS(TablaConsumos[[CANTIDAD ]:[CANTIDAD ]],TablaConsumos[[CÓDIGO]:[CÓDIGO]],'Inventario '!$B83,TablaConsumos[[Planta]:[Planta]],'Inventario '!M$1)</f>
        <v>0</v>
      </c>
      <c r="N83" s="131">
        <f>SUMIFS(TablaConsumos[[CANTIDAD ]:[CANTIDAD ]],TablaConsumos[[CÓDIGO]:[CÓDIGO]],'Inventario '!$B83,TablaConsumos[[Planta]:[Planta]],'Inventario '!N$1)</f>
        <v>0</v>
      </c>
      <c r="O83" s="131">
        <f>SUMIFS(TablaConsumos[[CANTIDAD ]:[CANTIDAD ]],TablaConsumos[[CÓDIGO]:[CÓDIGO]],'Inventario '!$B83,TablaConsumos[[Planta]:[Planta]],'Inventario '!O$1)</f>
        <v>0</v>
      </c>
      <c r="P83" s="131">
        <f>SUMIFS(TablaConsumos[[CANTIDAD ]:[CANTIDAD ]],TablaConsumos[[CÓDIGO]:[CÓDIGO]],'Inventario '!$B83,TablaConsumos[[Planta]:[Planta]],'Inventario '!P$1)</f>
        <v>0</v>
      </c>
      <c r="Q83" s="131">
        <f>SUMIFS(TablaConsumos[[CANTIDAD ]:[CANTIDAD ]],TablaConsumos[[CÓDIGO]:[CÓDIGO]],'Inventario '!$B83,TablaConsumos[[Planta]:[Planta]],'Inventario '!Q$1)</f>
        <v>0</v>
      </c>
      <c r="R83" s="131">
        <f>SUMIFS(TablaConsumos[[CANTIDAD ]:[CANTIDAD ]],TablaConsumos[[CÓDIGO]:[CÓDIGO]],'Inventario '!$B83,TablaConsumos[[Planta]:[Planta]],'Inventario '!R$1)</f>
        <v>0</v>
      </c>
      <c r="S83" s="130">
        <f t="shared" si="84"/>
        <v>0</v>
      </c>
      <c r="T83" s="130">
        <f t="shared" si="85"/>
        <v>0</v>
      </c>
      <c r="U83" s="177"/>
      <c r="V83" s="130"/>
      <c r="W83" s="132">
        <v>1</v>
      </c>
      <c r="X83" s="133">
        <f t="shared" si="89"/>
        <v>0</v>
      </c>
      <c r="Y83" s="130">
        <f t="shared" si="58"/>
        <v>0</v>
      </c>
      <c r="Z83" s="132"/>
      <c r="AA83" s="132">
        <f t="shared" si="59"/>
        <v>0</v>
      </c>
      <c r="AB83" s="132"/>
      <c r="AC83" s="131">
        <f t="shared" si="60"/>
        <v>0</v>
      </c>
      <c r="AD83" s="131"/>
      <c r="AE83" s="132" t="s">
        <v>612</v>
      </c>
      <c r="AF83" s="132">
        <v>2500</v>
      </c>
      <c r="AG83" s="168"/>
      <c r="AH83" s="134">
        <f t="shared" si="61"/>
        <v>0</v>
      </c>
      <c r="AI83" s="134">
        <f t="shared" si="62"/>
        <v>0</v>
      </c>
      <c r="AJ83" s="134">
        <f t="shared" si="63"/>
        <v>0</v>
      </c>
      <c r="AK83" s="134">
        <f t="shared" si="64"/>
        <v>0</v>
      </c>
      <c r="AL83" s="134">
        <f t="shared" si="65"/>
        <v>0</v>
      </c>
      <c r="AM83" s="134">
        <f t="shared" si="66"/>
        <v>0</v>
      </c>
      <c r="AN83" s="134">
        <f t="shared" si="67"/>
        <v>0</v>
      </c>
      <c r="AO83" s="134">
        <f t="shared" si="68"/>
        <v>0</v>
      </c>
      <c r="AP83" s="134">
        <f t="shared" si="69"/>
        <v>0</v>
      </c>
      <c r="AQ83" s="134">
        <f t="shared" si="70"/>
        <v>0</v>
      </c>
      <c r="AR83" s="134">
        <f t="shared" si="71"/>
        <v>0</v>
      </c>
      <c r="AS83" s="135">
        <f t="shared" si="86"/>
        <v>0</v>
      </c>
      <c r="AT83" s="137" t="str">
        <f t="shared" si="72"/>
        <v>0</v>
      </c>
      <c r="AU83" s="137" t="str">
        <f t="shared" si="73"/>
        <v>0</v>
      </c>
      <c r="AV83" s="137" t="str">
        <f t="shared" si="74"/>
        <v>0</v>
      </c>
      <c r="AW83" s="137" t="str">
        <f t="shared" si="75"/>
        <v>0</v>
      </c>
      <c r="AX83" s="137" t="str">
        <f t="shared" si="76"/>
        <v>0</v>
      </c>
      <c r="AY83" s="137" t="str">
        <f t="shared" si="77"/>
        <v>0</v>
      </c>
      <c r="AZ83" s="137" t="str">
        <f t="shared" si="78"/>
        <v>0</v>
      </c>
      <c r="BA83" s="137" t="str">
        <f t="shared" si="79"/>
        <v>0</v>
      </c>
      <c r="BB83" s="137" t="str">
        <f t="shared" si="80"/>
        <v>0</v>
      </c>
      <c r="BC83" s="137" t="str">
        <f t="shared" si="81"/>
        <v>0</v>
      </c>
      <c r="BD83" s="131">
        <f t="shared" si="82"/>
        <v>0</v>
      </c>
    </row>
    <row r="84" spans="2:56" x14ac:dyDescent="0.25">
      <c r="B84" s="136">
        <v>8202641</v>
      </c>
      <c r="C84" s="128" t="s">
        <v>30</v>
      </c>
      <c r="D84" s="128"/>
      <c r="E84" s="136" t="s">
        <v>687</v>
      </c>
      <c r="F84" s="274"/>
      <c r="G84" s="130">
        <f>+SUMIFS(TablaIngresos[Cantidad],TablaIngresos[Código],'Inventario '!B84)</f>
        <v>0</v>
      </c>
      <c r="H84" s="130">
        <f t="shared" si="87"/>
        <v>0</v>
      </c>
      <c r="I84" s="131">
        <f>SUMIFS(TablaConsumos[[CANTIDAD ]:[CANTIDAD ]],TablaConsumos[[CÓDIGO]:[CÓDIGO]],'Inventario '!$B84,TablaConsumos[[Planta]:[Planta]],'Inventario '!I$1)</f>
        <v>0</v>
      </c>
      <c r="J84" s="131">
        <f>SUMIFS(TablaConsumos[[CANTIDAD ]:[CANTIDAD ]],TablaConsumos[[CÓDIGO]:[CÓDIGO]],'Inventario '!$B84,TablaConsumos[[Planta]:[Planta]],'Inventario '!J$1)</f>
        <v>0</v>
      </c>
      <c r="K84" s="131">
        <f>SUMIFS(TablaConsumos[[CANTIDAD ]:[CANTIDAD ]],TablaConsumos[[CÓDIGO]:[CÓDIGO]],'Inventario '!$B84,TablaConsumos[[Planta]:[Planta]],'Inventario '!K$1)</f>
        <v>0</v>
      </c>
      <c r="L84" s="131">
        <f>SUMIFS(TablaConsumos[[CANTIDAD ]:[CANTIDAD ]],TablaConsumos[[CÓDIGO]:[CÓDIGO]],'Inventario '!$B84,TablaConsumos[[Planta]:[Planta]],'Inventario '!L$1)</f>
        <v>0</v>
      </c>
      <c r="M84" s="131">
        <f>SUMIFS(TablaConsumos[[CANTIDAD ]:[CANTIDAD ]],TablaConsumos[[CÓDIGO]:[CÓDIGO]],'Inventario '!$B84,TablaConsumos[[Planta]:[Planta]],'Inventario '!M$1)</f>
        <v>0</v>
      </c>
      <c r="N84" s="131">
        <f>SUMIFS(TablaConsumos[[CANTIDAD ]:[CANTIDAD ]],TablaConsumos[[CÓDIGO]:[CÓDIGO]],'Inventario '!$B84,TablaConsumos[[Planta]:[Planta]],'Inventario '!N$1)</f>
        <v>0</v>
      </c>
      <c r="O84" s="131">
        <f>SUMIFS(TablaConsumos[[CANTIDAD ]:[CANTIDAD ]],TablaConsumos[[CÓDIGO]:[CÓDIGO]],'Inventario '!$B84,TablaConsumos[[Planta]:[Planta]],'Inventario '!O$1)</f>
        <v>0</v>
      </c>
      <c r="P84" s="131">
        <f>SUMIFS(TablaConsumos[[CANTIDAD ]:[CANTIDAD ]],TablaConsumos[[CÓDIGO]:[CÓDIGO]],'Inventario '!$B84,TablaConsumos[[Planta]:[Planta]],'Inventario '!P$1)</f>
        <v>0</v>
      </c>
      <c r="Q84" s="131">
        <f>SUMIFS(TablaConsumos[[CANTIDAD ]:[CANTIDAD ]],TablaConsumos[[CÓDIGO]:[CÓDIGO]],'Inventario '!$B84,TablaConsumos[[Planta]:[Planta]],'Inventario '!Q$1)</f>
        <v>0</v>
      </c>
      <c r="R84" s="131">
        <f>SUMIFS(TablaConsumos[[CANTIDAD ]:[CANTIDAD ]],TablaConsumos[[CÓDIGO]:[CÓDIGO]],'Inventario '!$B84,TablaConsumos[[Planta]:[Planta]],'Inventario '!R$1)</f>
        <v>0</v>
      </c>
      <c r="S84" s="130">
        <f t="shared" si="84"/>
        <v>0</v>
      </c>
      <c r="T84" s="130">
        <f t="shared" si="85"/>
        <v>0</v>
      </c>
      <c r="U84" s="177"/>
      <c r="V84" s="130"/>
      <c r="W84" s="132">
        <v>1</v>
      </c>
      <c r="X84" s="133">
        <f t="shared" si="89"/>
        <v>0</v>
      </c>
      <c r="Y84" s="130">
        <f t="shared" ref="Y84:Y115" si="90">+T84-X84</f>
        <v>0</v>
      </c>
      <c r="Z84" s="132"/>
      <c r="AA84" s="132">
        <f t="shared" ref="AA84:AA115" si="91">(Z84-X84)</f>
        <v>0</v>
      </c>
      <c r="AB84" s="132"/>
      <c r="AC84" s="131">
        <f t="shared" ref="AC84:AC115" si="92">+Z84-AA84</f>
        <v>0</v>
      </c>
      <c r="AD84" s="131"/>
      <c r="AE84" s="132" t="s">
        <v>612</v>
      </c>
      <c r="AF84" s="132">
        <v>2500</v>
      </c>
      <c r="AG84" s="168"/>
      <c r="AH84" s="134">
        <f t="shared" ref="AH84:AH115" si="93">+IF(S84=0,0,AF84/S84)</f>
        <v>0</v>
      </c>
      <c r="AI84" s="134">
        <f t="shared" ref="AI84:AI115" si="94">+IF(I84=0,0,I84/$S84)</f>
        <v>0</v>
      </c>
      <c r="AJ84" s="134">
        <f t="shared" ref="AJ84:AJ115" si="95">+IF(J84=0,0,J84/$S84)</f>
        <v>0</v>
      </c>
      <c r="AK84" s="134">
        <f t="shared" ref="AK84:AK115" si="96">+IF(K84=0,0,K84/$S84)</f>
        <v>0</v>
      </c>
      <c r="AL84" s="134">
        <f t="shared" ref="AL84:AL115" si="97">+IF(L84=0,0,L84/$S84)</f>
        <v>0</v>
      </c>
      <c r="AM84" s="134">
        <f t="shared" ref="AM84:AM115" si="98">+IF(M84=0,0,M84/$S84)</f>
        <v>0</v>
      </c>
      <c r="AN84" s="134">
        <f t="shared" ref="AN84:AN115" si="99">+IF(N84=0,0,N84/$S84)</f>
        <v>0</v>
      </c>
      <c r="AO84" s="134">
        <f t="shared" ref="AO84:AO115" si="100">+IF(O84=0,0,O84/$S84)</f>
        <v>0</v>
      </c>
      <c r="AP84" s="134">
        <f t="shared" ref="AP84:AP115" si="101">+IF(P84=0,0,P84/$S84)</f>
        <v>0</v>
      </c>
      <c r="AQ84" s="134">
        <f t="shared" ref="AQ84:AQ115" si="102">+IF(Q84=0,0,Q84/$S84)</f>
        <v>0</v>
      </c>
      <c r="AR84" s="134">
        <f t="shared" ref="AR84:AR115" si="103">+IF(R84=0,0,R84/$S84)</f>
        <v>0</v>
      </c>
      <c r="AS84" s="135">
        <f t="shared" si="86"/>
        <v>0</v>
      </c>
      <c r="AT84" s="137" t="str">
        <f t="shared" ref="AT84:AT115" si="104">+IF(I84=-I84,"0",I84+$Y84*AI84)</f>
        <v>0</v>
      </c>
      <c r="AU84" s="137" t="str">
        <f t="shared" ref="AU84:AU115" si="105">+IF(J84=-J84,"0",J84+$Y84*AJ84)</f>
        <v>0</v>
      </c>
      <c r="AV84" s="137" t="str">
        <f t="shared" ref="AV84:AV115" si="106">+IF(K84=-K84,"0",K84+$Y84*AK84)</f>
        <v>0</v>
      </c>
      <c r="AW84" s="137" t="str">
        <f t="shared" ref="AW84:AW115" si="107">+IF(L84=-L84,"0",L84+$Y84*AL84)</f>
        <v>0</v>
      </c>
      <c r="AX84" s="137" t="str">
        <f t="shared" ref="AX84:AX115" si="108">+IF(M84=-M84,"0",M84+$Y84*AM84)</f>
        <v>0</v>
      </c>
      <c r="AY84" s="137" t="str">
        <f t="shared" ref="AY84:AY115" si="109">+IF(N84=-N84,"0",N84+$Y84*AN84)</f>
        <v>0</v>
      </c>
      <c r="AZ84" s="137" t="str">
        <f t="shared" ref="AZ84:AZ115" si="110">+IF(O84=-O84,"0",O84+$Y84*AO84)</f>
        <v>0</v>
      </c>
      <c r="BA84" s="137" t="str">
        <f t="shared" ref="BA84:BA115" si="111">+IF(P84=-P84,"0",P84+$Y84*AP84)</f>
        <v>0</v>
      </c>
      <c r="BB84" s="137" t="str">
        <f t="shared" ref="BB84:BB115" si="112">+IF(Q84=-Q84,"0",Q84+$Y84*AQ84)</f>
        <v>0</v>
      </c>
      <c r="BC84" s="137" t="str">
        <f t="shared" ref="BC84:BC115" si="113">+IF(R84=-R84,"0",R84+$Y84*AR84)</f>
        <v>0</v>
      </c>
      <c r="BD84" s="131">
        <f t="shared" si="82"/>
        <v>0</v>
      </c>
    </row>
    <row r="85" spans="2:56" x14ac:dyDescent="0.25">
      <c r="B85" s="136">
        <v>8202642</v>
      </c>
      <c r="C85" s="128" t="s">
        <v>30</v>
      </c>
      <c r="D85" s="128"/>
      <c r="E85" s="136" t="s">
        <v>167</v>
      </c>
      <c r="F85" s="274"/>
      <c r="G85" s="130">
        <f>+SUMIFS(TablaIngresos[Cantidad],TablaIngresos[Código],'Inventario '!B85)</f>
        <v>0</v>
      </c>
      <c r="H85" s="130">
        <f t="shared" si="87"/>
        <v>0</v>
      </c>
      <c r="I85" s="131">
        <f>SUMIFS(TablaConsumos[[CANTIDAD ]:[CANTIDAD ]],TablaConsumos[[CÓDIGO]:[CÓDIGO]],'Inventario '!$B85,TablaConsumos[[Planta]:[Planta]],'Inventario '!I$1)</f>
        <v>0</v>
      </c>
      <c r="J85" s="131">
        <f>SUMIFS(TablaConsumos[[CANTIDAD ]:[CANTIDAD ]],TablaConsumos[[CÓDIGO]:[CÓDIGO]],'Inventario '!$B85,TablaConsumos[[Planta]:[Planta]],'Inventario '!J$1)</f>
        <v>0</v>
      </c>
      <c r="K85" s="131">
        <f>SUMIFS(TablaConsumos[[CANTIDAD ]:[CANTIDAD ]],TablaConsumos[[CÓDIGO]:[CÓDIGO]],'Inventario '!$B85,TablaConsumos[[Planta]:[Planta]],'Inventario '!K$1)</f>
        <v>0</v>
      </c>
      <c r="L85" s="131">
        <f>SUMIFS(TablaConsumos[[CANTIDAD ]:[CANTIDAD ]],TablaConsumos[[CÓDIGO]:[CÓDIGO]],'Inventario '!$B85,TablaConsumos[[Planta]:[Planta]],'Inventario '!L$1)</f>
        <v>0</v>
      </c>
      <c r="M85" s="131">
        <f>SUMIFS(TablaConsumos[[CANTIDAD ]:[CANTIDAD ]],TablaConsumos[[CÓDIGO]:[CÓDIGO]],'Inventario '!$B85,TablaConsumos[[Planta]:[Planta]],'Inventario '!M$1)</f>
        <v>0</v>
      </c>
      <c r="N85" s="131">
        <f>SUMIFS(TablaConsumos[[CANTIDAD ]:[CANTIDAD ]],TablaConsumos[[CÓDIGO]:[CÓDIGO]],'Inventario '!$B85,TablaConsumos[[Planta]:[Planta]],'Inventario '!N$1)</f>
        <v>0</v>
      </c>
      <c r="O85" s="131">
        <f>SUMIFS(TablaConsumos[[CANTIDAD ]:[CANTIDAD ]],TablaConsumos[[CÓDIGO]:[CÓDIGO]],'Inventario '!$B85,TablaConsumos[[Planta]:[Planta]],'Inventario '!O$1)</f>
        <v>0</v>
      </c>
      <c r="P85" s="131">
        <f>SUMIFS(TablaConsumos[[CANTIDAD ]:[CANTIDAD ]],TablaConsumos[[CÓDIGO]:[CÓDIGO]],'Inventario '!$B85,TablaConsumos[[Planta]:[Planta]],'Inventario '!P$1)</f>
        <v>0</v>
      </c>
      <c r="Q85" s="131">
        <f>SUMIFS(TablaConsumos[[CANTIDAD ]:[CANTIDAD ]],TablaConsumos[[CÓDIGO]:[CÓDIGO]],'Inventario '!$B85,TablaConsumos[[Planta]:[Planta]],'Inventario '!Q$1)</f>
        <v>0</v>
      </c>
      <c r="R85" s="131">
        <f>SUMIFS(TablaConsumos[[CANTIDAD ]:[CANTIDAD ]],TablaConsumos[[CÓDIGO]:[CÓDIGO]],'Inventario '!$B85,TablaConsumos[[Planta]:[Planta]],'Inventario '!R$1)</f>
        <v>0</v>
      </c>
      <c r="S85" s="130">
        <f t="shared" si="84"/>
        <v>0</v>
      </c>
      <c r="T85" s="130">
        <f t="shared" si="85"/>
        <v>0</v>
      </c>
      <c r="U85" s="177"/>
      <c r="V85" s="130"/>
      <c r="W85" s="132">
        <v>1</v>
      </c>
      <c r="X85" s="133">
        <f t="shared" si="89"/>
        <v>0</v>
      </c>
      <c r="Y85" s="130">
        <f t="shared" si="90"/>
        <v>0</v>
      </c>
      <c r="Z85" s="132"/>
      <c r="AA85" s="132">
        <f t="shared" si="91"/>
        <v>0</v>
      </c>
      <c r="AB85" s="132"/>
      <c r="AC85" s="131">
        <f t="shared" si="92"/>
        <v>0</v>
      </c>
      <c r="AD85" s="131"/>
      <c r="AE85" s="132" t="s">
        <v>612</v>
      </c>
      <c r="AF85" s="132">
        <v>2500</v>
      </c>
      <c r="AG85" s="168"/>
      <c r="AH85" s="134">
        <f t="shared" si="93"/>
        <v>0</v>
      </c>
      <c r="AI85" s="134">
        <f t="shared" si="94"/>
        <v>0</v>
      </c>
      <c r="AJ85" s="134">
        <f t="shared" si="95"/>
        <v>0</v>
      </c>
      <c r="AK85" s="134">
        <f t="shared" si="96"/>
        <v>0</v>
      </c>
      <c r="AL85" s="134">
        <f t="shared" si="97"/>
        <v>0</v>
      </c>
      <c r="AM85" s="134">
        <f t="shared" si="98"/>
        <v>0</v>
      </c>
      <c r="AN85" s="134">
        <f t="shared" si="99"/>
        <v>0</v>
      </c>
      <c r="AO85" s="134">
        <f t="shared" si="100"/>
        <v>0</v>
      </c>
      <c r="AP85" s="134">
        <f t="shared" si="101"/>
        <v>0</v>
      </c>
      <c r="AQ85" s="134">
        <f t="shared" si="102"/>
        <v>0</v>
      </c>
      <c r="AR85" s="134">
        <f t="shared" si="103"/>
        <v>0</v>
      </c>
      <c r="AS85" s="135">
        <f t="shared" si="86"/>
        <v>0</v>
      </c>
      <c r="AT85" s="137" t="str">
        <f t="shared" si="104"/>
        <v>0</v>
      </c>
      <c r="AU85" s="137" t="str">
        <f t="shared" si="105"/>
        <v>0</v>
      </c>
      <c r="AV85" s="137" t="str">
        <f t="shared" si="106"/>
        <v>0</v>
      </c>
      <c r="AW85" s="137" t="str">
        <f t="shared" si="107"/>
        <v>0</v>
      </c>
      <c r="AX85" s="137" t="str">
        <f t="shared" si="108"/>
        <v>0</v>
      </c>
      <c r="AY85" s="137" t="str">
        <f t="shared" si="109"/>
        <v>0</v>
      </c>
      <c r="AZ85" s="137" t="str">
        <f t="shared" si="110"/>
        <v>0</v>
      </c>
      <c r="BA85" s="137" t="str">
        <f t="shared" si="111"/>
        <v>0</v>
      </c>
      <c r="BB85" s="137" t="str">
        <f t="shared" si="112"/>
        <v>0</v>
      </c>
      <c r="BC85" s="137" t="str">
        <f t="shared" si="113"/>
        <v>0</v>
      </c>
      <c r="BD85" s="131">
        <f t="shared" si="82"/>
        <v>0</v>
      </c>
    </row>
    <row r="86" spans="2:56" x14ac:dyDescent="0.25">
      <c r="B86" s="136">
        <v>8202643</v>
      </c>
      <c r="C86" s="128" t="s">
        <v>30</v>
      </c>
      <c r="D86" s="128"/>
      <c r="E86" s="136" t="s">
        <v>168</v>
      </c>
      <c r="F86" s="274"/>
      <c r="G86" s="130">
        <f>+SUMIFS(TablaIngresos[Cantidad],TablaIngresos[Código],'Inventario '!B86)</f>
        <v>0</v>
      </c>
      <c r="H86" s="130">
        <f t="shared" si="87"/>
        <v>0</v>
      </c>
      <c r="I86" s="131">
        <f>SUMIFS(TablaConsumos[[CANTIDAD ]:[CANTIDAD ]],TablaConsumos[[CÓDIGO]:[CÓDIGO]],'Inventario '!$B86,TablaConsumos[[Planta]:[Planta]],'Inventario '!I$1)</f>
        <v>0</v>
      </c>
      <c r="J86" s="131">
        <f>SUMIFS(TablaConsumos[[CANTIDAD ]:[CANTIDAD ]],TablaConsumos[[CÓDIGO]:[CÓDIGO]],'Inventario '!$B86,TablaConsumos[[Planta]:[Planta]],'Inventario '!J$1)</f>
        <v>0</v>
      </c>
      <c r="K86" s="131">
        <f>SUMIFS(TablaConsumos[[CANTIDAD ]:[CANTIDAD ]],TablaConsumos[[CÓDIGO]:[CÓDIGO]],'Inventario '!$B86,TablaConsumos[[Planta]:[Planta]],'Inventario '!K$1)</f>
        <v>0</v>
      </c>
      <c r="L86" s="131">
        <f>SUMIFS(TablaConsumos[[CANTIDAD ]:[CANTIDAD ]],TablaConsumos[[CÓDIGO]:[CÓDIGO]],'Inventario '!$B86,TablaConsumos[[Planta]:[Planta]],'Inventario '!L$1)</f>
        <v>0</v>
      </c>
      <c r="M86" s="131">
        <f>SUMIFS(TablaConsumos[[CANTIDAD ]:[CANTIDAD ]],TablaConsumos[[CÓDIGO]:[CÓDIGO]],'Inventario '!$B86,TablaConsumos[[Planta]:[Planta]],'Inventario '!M$1)</f>
        <v>0</v>
      </c>
      <c r="N86" s="131">
        <f>SUMIFS(TablaConsumos[[CANTIDAD ]:[CANTIDAD ]],TablaConsumos[[CÓDIGO]:[CÓDIGO]],'Inventario '!$B86,TablaConsumos[[Planta]:[Planta]],'Inventario '!N$1)</f>
        <v>0</v>
      </c>
      <c r="O86" s="131">
        <f>SUMIFS(TablaConsumos[[CANTIDAD ]:[CANTIDAD ]],TablaConsumos[[CÓDIGO]:[CÓDIGO]],'Inventario '!$B86,TablaConsumos[[Planta]:[Planta]],'Inventario '!O$1)</f>
        <v>0</v>
      </c>
      <c r="P86" s="131">
        <f>SUMIFS(TablaConsumos[[CANTIDAD ]:[CANTIDAD ]],TablaConsumos[[CÓDIGO]:[CÓDIGO]],'Inventario '!$B86,TablaConsumos[[Planta]:[Planta]],'Inventario '!P$1)</f>
        <v>0</v>
      </c>
      <c r="Q86" s="131">
        <f>SUMIFS(TablaConsumos[[CANTIDAD ]:[CANTIDAD ]],TablaConsumos[[CÓDIGO]:[CÓDIGO]],'Inventario '!$B86,TablaConsumos[[Planta]:[Planta]],'Inventario '!Q$1)</f>
        <v>0</v>
      </c>
      <c r="R86" s="131">
        <f>SUMIFS(TablaConsumos[[CANTIDAD ]:[CANTIDAD ]],TablaConsumos[[CÓDIGO]:[CÓDIGO]],'Inventario '!$B86,TablaConsumos[[Planta]:[Planta]],'Inventario '!R$1)</f>
        <v>0</v>
      </c>
      <c r="S86" s="130">
        <f t="shared" si="84"/>
        <v>0</v>
      </c>
      <c r="T86" s="130">
        <f t="shared" si="85"/>
        <v>0</v>
      </c>
      <c r="U86" s="177"/>
      <c r="V86" s="130"/>
      <c r="W86" s="132">
        <v>1</v>
      </c>
      <c r="X86" s="133">
        <f t="shared" si="89"/>
        <v>0</v>
      </c>
      <c r="Y86" s="130">
        <f t="shared" si="90"/>
        <v>0</v>
      </c>
      <c r="Z86" s="132"/>
      <c r="AA86" s="132">
        <f t="shared" si="91"/>
        <v>0</v>
      </c>
      <c r="AB86" s="132"/>
      <c r="AC86" s="131">
        <f t="shared" si="92"/>
        <v>0</v>
      </c>
      <c r="AD86" s="131"/>
      <c r="AE86" s="132" t="s">
        <v>612</v>
      </c>
      <c r="AF86" s="132">
        <v>2500</v>
      </c>
      <c r="AG86" s="168"/>
      <c r="AH86" s="134">
        <f t="shared" si="93"/>
        <v>0</v>
      </c>
      <c r="AI86" s="134">
        <f t="shared" si="94"/>
        <v>0</v>
      </c>
      <c r="AJ86" s="134">
        <f t="shared" si="95"/>
        <v>0</v>
      </c>
      <c r="AK86" s="134">
        <f t="shared" si="96"/>
        <v>0</v>
      </c>
      <c r="AL86" s="134">
        <f t="shared" si="97"/>
        <v>0</v>
      </c>
      <c r="AM86" s="134">
        <f t="shared" si="98"/>
        <v>0</v>
      </c>
      <c r="AN86" s="134">
        <f t="shared" si="99"/>
        <v>0</v>
      </c>
      <c r="AO86" s="134">
        <f t="shared" si="100"/>
        <v>0</v>
      </c>
      <c r="AP86" s="134">
        <f t="shared" si="101"/>
        <v>0</v>
      </c>
      <c r="AQ86" s="134">
        <f t="shared" si="102"/>
        <v>0</v>
      </c>
      <c r="AR86" s="134">
        <f t="shared" si="103"/>
        <v>0</v>
      </c>
      <c r="AS86" s="135">
        <f t="shared" si="86"/>
        <v>0</v>
      </c>
      <c r="AT86" s="137" t="str">
        <f t="shared" si="104"/>
        <v>0</v>
      </c>
      <c r="AU86" s="137" t="str">
        <f t="shared" si="105"/>
        <v>0</v>
      </c>
      <c r="AV86" s="137" t="str">
        <f t="shared" si="106"/>
        <v>0</v>
      </c>
      <c r="AW86" s="137" t="str">
        <f t="shared" si="107"/>
        <v>0</v>
      </c>
      <c r="AX86" s="137" t="str">
        <f t="shared" si="108"/>
        <v>0</v>
      </c>
      <c r="AY86" s="137" t="str">
        <f t="shared" si="109"/>
        <v>0</v>
      </c>
      <c r="AZ86" s="137" t="str">
        <f t="shared" si="110"/>
        <v>0</v>
      </c>
      <c r="BA86" s="137" t="str">
        <f t="shared" si="111"/>
        <v>0</v>
      </c>
      <c r="BB86" s="137" t="str">
        <f t="shared" si="112"/>
        <v>0</v>
      </c>
      <c r="BC86" s="137" t="str">
        <f t="shared" si="113"/>
        <v>0</v>
      </c>
      <c r="BD86" s="131">
        <f t="shared" si="82"/>
        <v>0</v>
      </c>
    </row>
    <row r="87" spans="2:56" x14ac:dyDescent="0.25">
      <c r="B87" s="136">
        <v>8202660</v>
      </c>
      <c r="C87" s="128" t="s">
        <v>30</v>
      </c>
      <c r="D87" s="128"/>
      <c r="E87" s="136" t="s">
        <v>169</v>
      </c>
      <c r="F87" s="274"/>
      <c r="G87" s="130">
        <f>+SUMIFS(TablaIngresos[Cantidad],TablaIngresos[Código],'Inventario '!B87)</f>
        <v>0</v>
      </c>
      <c r="H87" s="130">
        <f t="shared" si="87"/>
        <v>0</v>
      </c>
      <c r="I87" s="131">
        <f>SUMIFS(TablaConsumos[[CANTIDAD ]:[CANTIDAD ]],TablaConsumos[[CÓDIGO]:[CÓDIGO]],'Inventario '!$B87,TablaConsumos[[Planta]:[Planta]],'Inventario '!I$1)</f>
        <v>0</v>
      </c>
      <c r="J87" s="131">
        <f>SUMIFS(TablaConsumos[[CANTIDAD ]:[CANTIDAD ]],TablaConsumos[[CÓDIGO]:[CÓDIGO]],'Inventario '!$B87,TablaConsumos[[Planta]:[Planta]],'Inventario '!J$1)</f>
        <v>0</v>
      </c>
      <c r="K87" s="131">
        <f>SUMIFS(TablaConsumos[[CANTIDAD ]:[CANTIDAD ]],TablaConsumos[[CÓDIGO]:[CÓDIGO]],'Inventario '!$B87,TablaConsumos[[Planta]:[Planta]],'Inventario '!K$1)</f>
        <v>0</v>
      </c>
      <c r="L87" s="131">
        <f>SUMIFS(TablaConsumos[[CANTIDAD ]:[CANTIDAD ]],TablaConsumos[[CÓDIGO]:[CÓDIGO]],'Inventario '!$B87,TablaConsumos[[Planta]:[Planta]],'Inventario '!L$1)</f>
        <v>0</v>
      </c>
      <c r="M87" s="131">
        <f>SUMIFS(TablaConsumos[[CANTIDAD ]:[CANTIDAD ]],TablaConsumos[[CÓDIGO]:[CÓDIGO]],'Inventario '!$B87,TablaConsumos[[Planta]:[Planta]],'Inventario '!M$1)</f>
        <v>0</v>
      </c>
      <c r="N87" s="131">
        <f>SUMIFS(TablaConsumos[[CANTIDAD ]:[CANTIDAD ]],TablaConsumos[[CÓDIGO]:[CÓDIGO]],'Inventario '!$B87,TablaConsumos[[Planta]:[Planta]],'Inventario '!N$1)</f>
        <v>0</v>
      </c>
      <c r="O87" s="131">
        <f>SUMIFS(TablaConsumos[[CANTIDAD ]:[CANTIDAD ]],TablaConsumos[[CÓDIGO]:[CÓDIGO]],'Inventario '!$B87,TablaConsumos[[Planta]:[Planta]],'Inventario '!O$1)</f>
        <v>0</v>
      </c>
      <c r="P87" s="131">
        <f>SUMIFS(TablaConsumos[[CANTIDAD ]:[CANTIDAD ]],TablaConsumos[[CÓDIGO]:[CÓDIGO]],'Inventario '!$B87,TablaConsumos[[Planta]:[Planta]],'Inventario '!P$1)</f>
        <v>0</v>
      </c>
      <c r="Q87" s="131">
        <f>SUMIFS(TablaConsumos[[CANTIDAD ]:[CANTIDAD ]],TablaConsumos[[CÓDIGO]:[CÓDIGO]],'Inventario '!$B87,TablaConsumos[[Planta]:[Planta]],'Inventario '!Q$1)</f>
        <v>0</v>
      </c>
      <c r="R87" s="131">
        <f>SUMIFS(TablaConsumos[[CANTIDAD ]:[CANTIDAD ]],TablaConsumos[[CÓDIGO]:[CÓDIGO]],'Inventario '!$B87,TablaConsumos[[Planta]:[Planta]],'Inventario '!R$1)</f>
        <v>0</v>
      </c>
      <c r="S87" s="130">
        <f t="shared" si="84"/>
        <v>0</v>
      </c>
      <c r="T87" s="130">
        <f t="shared" si="85"/>
        <v>0</v>
      </c>
      <c r="U87" s="177"/>
      <c r="V87" s="130"/>
      <c r="W87" s="132">
        <v>1</v>
      </c>
      <c r="X87" s="133">
        <f t="shared" si="89"/>
        <v>0</v>
      </c>
      <c r="Y87" s="130">
        <f t="shared" si="90"/>
        <v>0</v>
      </c>
      <c r="Z87" s="132"/>
      <c r="AA87" s="132">
        <f t="shared" si="91"/>
        <v>0</v>
      </c>
      <c r="AB87" s="132"/>
      <c r="AC87" s="131">
        <f t="shared" si="92"/>
        <v>0</v>
      </c>
      <c r="AD87" s="131"/>
      <c r="AE87" s="132" t="s">
        <v>612</v>
      </c>
      <c r="AF87" s="132">
        <v>2500</v>
      </c>
      <c r="AG87" s="168"/>
      <c r="AH87" s="134">
        <f t="shared" si="93"/>
        <v>0</v>
      </c>
      <c r="AI87" s="134">
        <f t="shared" si="94"/>
        <v>0</v>
      </c>
      <c r="AJ87" s="134">
        <f t="shared" si="95"/>
        <v>0</v>
      </c>
      <c r="AK87" s="134">
        <f t="shared" si="96"/>
        <v>0</v>
      </c>
      <c r="AL87" s="134">
        <f t="shared" si="97"/>
        <v>0</v>
      </c>
      <c r="AM87" s="134">
        <f t="shared" si="98"/>
        <v>0</v>
      </c>
      <c r="AN87" s="134">
        <f t="shared" si="99"/>
        <v>0</v>
      </c>
      <c r="AO87" s="134">
        <f t="shared" si="100"/>
        <v>0</v>
      </c>
      <c r="AP87" s="134">
        <f t="shared" si="101"/>
        <v>0</v>
      </c>
      <c r="AQ87" s="134">
        <f t="shared" si="102"/>
        <v>0</v>
      </c>
      <c r="AR87" s="134">
        <f t="shared" si="103"/>
        <v>0</v>
      </c>
      <c r="AS87" s="135">
        <f t="shared" si="86"/>
        <v>0</v>
      </c>
      <c r="AT87" s="137" t="str">
        <f t="shared" si="104"/>
        <v>0</v>
      </c>
      <c r="AU87" s="137" t="str">
        <f t="shared" si="105"/>
        <v>0</v>
      </c>
      <c r="AV87" s="137" t="str">
        <f t="shared" si="106"/>
        <v>0</v>
      </c>
      <c r="AW87" s="137" t="str">
        <f t="shared" si="107"/>
        <v>0</v>
      </c>
      <c r="AX87" s="137" t="str">
        <f t="shared" si="108"/>
        <v>0</v>
      </c>
      <c r="AY87" s="137" t="str">
        <f t="shared" si="109"/>
        <v>0</v>
      </c>
      <c r="AZ87" s="137" t="str">
        <f t="shared" si="110"/>
        <v>0</v>
      </c>
      <c r="BA87" s="137" t="str">
        <f t="shared" si="111"/>
        <v>0</v>
      </c>
      <c r="BB87" s="137" t="str">
        <f t="shared" si="112"/>
        <v>0</v>
      </c>
      <c r="BC87" s="137" t="str">
        <f t="shared" si="113"/>
        <v>0</v>
      </c>
      <c r="BD87" s="131">
        <f t="shared" si="82"/>
        <v>0</v>
      </c>
    </row>
    <row r="88" spans="2:56" x14ac:dyDescent="0.25">
      <c r="B88" s="136">
        <v>8202661</v>
      </c>
      <c r="C88" s="128" t="s">
        <v>30</v>
      </c>
      <c r="D88" s="128"/>
      <c r="E88" s="136" t="s">
        <v>688</v>
      </c>
      <c r="F88" s="274"/>
      <c r="G88" s="130">
        <f>+SUMIFS(TablaIngresos[Cantidad],TablaIngresos[Código],'Inventario '!B88)</f>
        <v>0</v>
      </c>
      <c r="H88" s="130">
        <f t="shared" si="87"/>
        <v>0</v>
      </c>
      <c r="I88" s="131">
        <f>SUMIFS(TablaConsumos[[CANTIDAD ]:[CANTIDAD ]],TablaConsumos[[CÓDIGO]:[CÓDIGO]],'Inventario '!$B88,TablaConsumos[[Planta]:[Planta]],'Inventario '!I$1)</f>
        <v>0</v>
      </c>
      <c r="J88" s="131">
        <f>SUMIFS(TablaConsumos[[CANTIDAD ]:[CANTIDAD ]],TablaConsumos[[CÓDIGO]:[CÓDIGO]],'Inventario '!$B88,TablaConsumos[[Planta]:[Planta]],'Inventario '!J$1)</f>
        <v>0</v>
      </c>
      <c r="K88" s="131">
        <f>SUMIFS(TablaConsumos[[CANTIDAD ]:[CANTIDAD ]],TablaConsumos[[CÓDIGO]:[CÓDIGO]],'Inventario '!$B88,TablaConsumos[[Planta]:[Planta]],'Inventario '!K$1)</f>
        <v>0</v>
      </c>
      <c r="L88" s="131">
        <f>SUMIFS(TablaConsumos[[CANTIDAD ]:[CANTIDAD ]],TablaConsumos[[CÓDIGO]:[CÓDIGO]],'Inventario '!$B88,TablaConsumos[[Planta]:[Planta]],'Inventario '!L$1)</f>
        <v>0</v>
      </c>
      <c r="M88" s="131">
        <f>SUMIFS(TablaConsumos[[CANTIDAD ]:[CANTIDAD ]],TablaConsumos[[CÓDIGO]:[CÓDIGO]],'Inventario '!$B88,TablaConsumos[[Planta]:[Planta]],'Inventario '!M$1)</f>
        <v>0</v>
      </c>
      <c r="N88" s="131">
        <f>SUMIFS(TablaConsumos[[CANTIDAD ]:[CANTIDAD ]],TablaConsumos[[CÓDIGO]:[CÓDIGO]],'Inventario '!$B88,TablaConsumos[[Planta]:[Planta]],'Inventario '!N$1)</f>
        <v>0</v>
      </c>
      <c r="O88" s="131">
        <f>SUMIFS(TablaConsumos[[CANTIDAD ]:[CANTIDAD ]],TablaConsumos[[CÓDIGO]:[CÓDIGO]],'Inventario '!$B88,TablaConsumos[[Planta]:[Planta]],'Inventario '!O$1)</f>
        <v>0</v>
      </c>
      <c r="P88" s="131">
        <f>SUMIFS(TablaConsumos[[CANTIDAD ]:[CANTIDAD ]],TablaConsumos[[CÓDIGO]:[CÓDIGO]],'Inventario '!$B88,TablaConsumos[[Planta]:[Planta]],'Inventario '!P$1)</f>
        <v>0</v>
      </c>
      <c r="Q88" s="131">
        <f>SUMIFS(TablaConsumos[[CANTIDAD ]:[CANTIDAD ]],TablaConsumos[[CÓDIGO]:[CÓDIGO]],'Inventario '!$B88,TablaConsumos[[Planta]:[Planta]],'Inventario '!Q$1)</f>
        <v>0</v>
      </c>
      <c r="R88" s="131">
        <f>SUMIFS(TablaConsumos[[CANTIDAD ]:[CANTIDAD ]],TablaConsumos[[CÓDIGO]:[CÓDIGO]],'Inventario '!$B88,TablaConsumos[[Planta]:[Planta]],'Inventario '!R$1)</f>
        <v>0</v>
      </c>
      <c r="S88" s="130">
        <f t="shared" si="84"/>
        <v>0</v>
      </c>
      <c r="T88" s="130">
        <f t="shared" si="85"/>
        <v>0</v>
      </c>
      <c r="U88" s="177"/>
      <c r="V88" s="130"/>
      <c r="W88" s="132">
        <v>1</v>
      </c>
      <c r="X88" s="133">
        <f t="shared" si="89"/>
        <v>0</v>
      </c>
      <c r="Y88" s="130">
        <f t="shared" si="90"/>
        <v>0</v>
      </c>
      <c r="Z88" s="132"/>
      <c r="AA88" s="132">
        <f t="shared" si="91"/>
        <v>0</v>
      </c>
      <c r="AB88" s="132"/>
      <c r="AC88" s="131">
        <f t="shared" si="92"/>
        <v>0</v>
      </c>
      <c r="AD88" s="131"/>
      <c r="AE88" s="132" t="s">
        <v>612</v>
      </c>
      <c r="AF88" s="132">
        <v>2500</v>
      </c>
      <c r="AG88" s="168"/>
      <c r="AH88" s="134">
        <f t="shared" si="93"/>
        <v>0</v>
      </c>
      <c r="AI88" s="134">
        <f t="shared" si="94"/>
        <v>0</v>
      </c>
      <c r="AJ88" s="134">
        <f t="shared" si="95"/>
        <v>0</v>
      </c>
      <c r="AK88" s="134">
        <f t="shared" si="96"/>
        <v>0</v>
      </c>
      <c r="AL88" s="134">
        <f t="shared" si="97"/>
        <v>0</v>
      </c>
      <c r="AM88" s="134">
        <f t="shared" si="98"/>
        <v>0</v>
      </c>
      <c r="AN88" s="134">
        <f t="shared" si="99"/>
        <v>0</v>
      </c>
      <c r="AO88" s="134">
        <f t="shared" si="100"/>
        <v>0</v>
      </c>
      <c r="AP88" s="134">
        <f t="shared" si="101"/>
        <v>0</v>
      </c>
      <c r="AQ88" s="134">
        <f t="shared" si="102"/>
        <v>0</v>
      </c>
      <c r="AR88" s="134">
        <f t="shared" si="103"/>
        <v>0</v>
      </c>
      <c r="AS88" s="135">
        <f t="shared" si="86"/>
        <v>0</v>
      </c>
      <c r="AT88" s="137" t="str">
        <f t="shared" si="104"/>
        <v>0</v>
      </c>
      <c r="AU88" s="137" t="str">
        <f t="shared" si="105"/>
        <v>0</v>
      </c>
      <c r="AV88" s="137" t="str">
        <f t="shared" si="106"/>
        <v>0</v>
      </c>
      <c r="AW88" s="137" t="str">
        <f t="shared" si="107"/>
        <v>0</v>
      </c>
      <c r="AX88" s="137" t="str">
        <f t="shared" si="108"/>
        <v>0</v>
      </c>
      <c r="AY88" s="137" t="str">
        <f t="shared" si="109"/>
        <v>0</v>
      </c>
      <c r="AZ88" s="137" t="str">
        <f t="shared" si="110"/>
        <v>0</v>
      </c>
      <c r="BA88" s="137" t="str">
        <f t="shared" si="111"/>
        <v>0</v>
      </c>
      <c r="BB88" s="137" t="str">
        <f t="shared" si="112"/>
        <v>0</v>
      </c>
      <c r="BC88" s="137" t="str">
        <f t="shared" si="113"/>
        <v>0</v>
      </c>
      <c r="BD88" s="131">
        <f t="shared" si="82"/>
        <v>0</v>
      </c>
    </row>
    <row r="89" spans="2:56" x14ac:dyDescent="0.25">
      <c r="B89" s="136">
        <v>8202750</v>
      </c>
      <c r="C89" s="128" t="s">
        <v>30</v>
      </c>
      <c r="D89" s="128"/>
      <c r="E89" s="136" t="s">
        <v>171</v>
      </c>
      <c r="F89" s="274"/>
      <c r="G89" s="130">
        <f>+SUMIFS(TablaIngresos[Cantidad],TablaIngresos[Código],'Inventario '!B89)</f>
        <v>0</v>
      </c>
      <c r="H89" s="130">
        <f t="shared" si="87"/>
        <v>0</v>
      </c>
      <c r="I89" s="131">
        <f>SUMIFS(TablaConsumos[[CANTIDAD ]:[CANTIDAD ]],TablaConsumos[[CÓDIGO]:[CÓDIGO]],'Inventario '!$B89,TablaConsumos[[Planta]:[Planta]],'Inventario '!I$1)</f>
        <v>0</v>
      </c>
      <c r="J89" s="131">
        <f>SUMIFS(TablaConsumos[[CANTIDAD ]:[CANTIDAD ]],TablaConsumos[[CÓDIGO]:[CÓDIGO]],'Inventario '!$B89,TablaConsumos[[Planta]:[Planta]],'Inventario '!J$1)</f>
        <v>0</v>
      </c>
      <c r="K89" s="131">
        <f>SUMIFS(TablaConsumos[[CANTIDAD ]:[CANTIDAD ]],TablaConsumos[[CÓDIGO]:[CÓDIGO]],'Inventario '!$B89,TablaConsumos[[Planta]:[Planta]],'Inventario '!K$1)</f>
        <v>0</v>
      </c>
      <c r="L89" s="131">
        <f>SUMIFS(TablaConsumos[[CANTIDAD ]:[CANTIDAD ]],TablaConsumos[[CÓDIGO]:[CÓDIGO]],'Inventario '!$B89,TablaConsumos[[Planta]:[Planta]],'Inventario '!L$1)</f>
        <v>0</v>
      </c>
      <c r="M89" s="131">
        <f>SUMIFS(TablaConsumos[[CANTIDAD ]:[CANTIDAD ]],TablaConsumos[[CÓDIGO]:[CÓDIGO]],'Inventario '!$B89,TablaConsumos[[Planta]:[Planta]],'Inventario '!M$1)</f>
        <v>0</v>
      </c>
      <c r="N89" s="131">
        <f>SUMIFS(TablaConsumos[[CANTIDAD ]:[CANTIDAD ]],TablaConsumos[[CÓDIGO]:[CÓDIGO]],'Inventario '!$B89,TablaConsumos[[Planta]:[Planta]],'Inventario '!N$1)</f>
        <v>0</v>
      </c>
      <c r="O89" s="131">
        <f>SUMIFS(TablaConsumos[[CANTIDAD ]:[CANTIDAD ]],TablaConsumos[[CÓDIGO]:[CÓDIGO]],'Inventario '!$B89,TablaConsumos[[Planta]:[Planta]],'Inventario '!O$1)</f>
        <v>0</v>
      </c>
      <c r="P89" s="131">
        <f>SUMIFS(TablaConsumos[[CANTIDAD ]:[CANTIDAD ]],TablaConsumos[[CÓDIGO]:[CÓDIGO]],'Inventario '!$B89,TablaConsumos[[Planta]:[Planta]],'Inventario '!P$1)</f>
        <v>0</v>
      </c>
      <c r="Q89" s="131">
        <f>SUMIFS(TablaConsumos[[CANTIDAD ]:[CANTIDAD ]],TablaConsumos[[CÓDIGO]:[CÓDIGO]],'Inventario '!$B89,TablaConsumos[[Planta]:[Planta]],'Inventario '!Q$1)</f>
        <v>0</v>
      </c>
      <c r="R89" s="131">
        <f>SUMIFS(TablaConsumos[[CANTIDAD ]:[CANTIDAD ]],TablaConsumos[[CÓDIGO]:[CÓDIGO]],'Inventario '!$B89,TablaConsumos[[Planta]:[Planta]],'Inventario '!R$1)</f>
        <v>0</v>
      </c>
      <c r="S89" s="130">
        <f t="shared" si="84"/>
        <v>0</v>
      </c>
      <c r="T89" s="130">
        <f t="shared" si="85"/>
        <v>0</v>
      </c>
      <c r="U89" s="177"/>
      <c r="V89" s="130"/>
      <c r="W89" s="132">
        <v>1</v>
      </c>
      <c r="X89" s="133">
        <f t="shared" si="89"/>
        <v>0</v>
      </c>
      <c r="Y89" s="130">
        <f t="shared" si="90"/>
        <v>0</v>
      </c>
      <c r="Z89" s="132"/>
      <c r="AA89" s="132">
        <f t="shared" si="91"/>
        <v>0</v>
      </c>
      <c r="AB89" s="132"/>
      <c r="AC89" s="131">
        <f t="shared" si="92"/>
        <v>0</v>
      </c>
      <c r="AD89" s="131"/>
      <c r="AE89" s="132" t="s">
        <v>612</v>
      </c>
      <c r="AF89" s="132">
        <v>1000</v>
      </c>
      <c r="AG89" s="168"/>
      <c r="AH89" s="134">
        <f t="shared" si="93"/>
        <v>0</v>
      </c>
      <c r="AI89" s="134">
        <f t="shared" si="94"/>
        <v>0</v>
      </c>
      <c r="AJ89" s="134">
        <f t="shared" si="95"/>
        <v>0</v>
      </c>
      <c r="AK89" s="134">
        <f t="shared" si="96"/>
        <v>0</v>
      </c>
      <c r="AL89" s="134">
        <f t="shared" si="97"/>
        <v>0</v>
      </c>
      <c r="AM89" s="134">
        <f t="shared" si="98"/>
        <v>0</v>
      </c>
      <c r="AN89" s="134">
        <f t="shared" si="99"/>
        <v>0</v>
      </c>
      <c r="AO89" s="134">
        <f t="shared" si="100"/>
        <v>0</v>
      </c>
      <c r="AP89" s="134">
        <f t="shared" si="101"/>
        <v>0</v>
      </c>
      <c r="AQ89" s="134">
        <f t="shared" si="102"/>
        <v>0</v>
      </c>
      <c r="AR89" s="134">
        <f t="shared" si="103"/>
        <v>0</v>
      </c>
      <c r="AS89" s="135">
        <f t="shared" si="86"/>
        <v>0</v>
      </c>
      <c r="AT89" s="137" t="str">
        <f t="shared" si="104"/>
        <v>0</v>
      </c>
      <c r="AU89" s="137" t="str">
        <f t="shared" si="105"/>
        <v>0</v>
      </c>
      <c r="AV89" s="137" t="str">
        <f t="shared" si="106"/>
        <v>0</v>
      </c>
      <c r="AW89" s="137" t="str">
        <f t="shared" si="107"/>
        <v>0</v>
      </c>
      <c r="AX89" s="137" t="str">
        <f t="shared" si="108"/>
        <v>0</v>
      </c>
      <c r="AY89" s="137" t="str">
        <f t="shared" si="109"/>
        <v>0</v>
      </c>
      <c r="AZ89" s="137" t="str">
        <f t="shared" si="110"/>
        <v>0</v>
      </c>
      <c r="BA89" s="137" t="str">
        <f t="shared" si="111"/>
        <v>0</v>
      </c>
      <c r="BB89" s="137" t="str">
        <f t="shared" si="112"/>
        <v>0</v>
      </c>
      <c r="BC89" s="137" t="str">
        <f t="shared" si="113"/>
        <v>0</v>
      </c>
      <c r="BD89" s="131">
        <f t="shared" si="82"/>
        <v>0</v>
      </c>
    </row>
    <row r="90" spans="2:56" x14ac:dyDescent="0.25">
      <c r="B90" s="136">
        <v>8202751</v>
      </c>
      <c r="C90" s="128" t="s">
        <v>30</v>
      </c>
      <c r="D90" s="128"/>
      <c r="E90" s="136" t="s">
        <v>172</v>
      </c>
      <c r="F90" s="274"/>
      <c r="G90" s="130">
        <f>+SUMIFS(TablaIngresos[Cantidad],TablaIngresos[Código],'Inventario '!B90)</f>
        <v>0</v>
      </c>
      <c r="H90" s="130">
        <f t="shared" si="87"/>
        <v>0</v>
      </c>
      <c r="I90" s="131">
        <f>SUMIFS(TablaConsumos[[CANTIDAD ]:[CANTIDAD ]],TablaConsumos[[CÓDIGO]:[CÓDIGO]],'Inventario '!$B90,TablaConsumos[[Planta]:[Planta]],'Inventario '!I$1)</f>
        <v>0</v>
      </c>
      <c r="J90" s="131">
        <f>SUMIFS(TablaConsumos[[CANTIDAD ]:[CANTIDAD ]],TablaConsumos[[CÓDIGO]:[CÓDIGO]],'Inventario '!$B90,TablaConsumos[[Planta]:[Planta]],'Inventario '!J$1)</f>
        <v>0</v>
      </c>
      <c r="K90" s="131">
        <f>SUMIFS(TablaConsumos[[CANTIDAD ]:[CANTIDAD ]],TablaConsumos[[CÓDIGO]:[CÓDIGO]],'Inventario '!$B90,TablaConsumos[[Planta]:[Planta]],'Inventario '!K$1)</f>
        <v>0</v>
      </c>
      <c r="L90" s="131">
        <f>SUMIFS(TablaConsumos[[CANTIDAD ]:[CANTIDAD ]],TablaConsumos[[CÓDIGO]:[CÓDIGO]],'Inventario '!$B90,TablaConsumos[[Planta]:[Planta]],'Inventario '!L$1)</f>
        <v>0</v>
      </c>
      <c r="M90" s="131">
        <f>SUMIFS(TablaConsumos[[CANTIDAD ]:[CANTIDAD ]],TablaConsumos[[CÓDIGO]:[CÓDIGO]],'Inventario '!$B90,TablaConsumos[[Planta]:[Planta]],'Inventario '!M$1)</f>
        <v>0</v>
      </c>
      <c r="N90" s="131">
        <f>SUMIFS(TablaConsumos[[CANTIDAD ]:[CANTIDAD ]],TablaConsumos[[CÓDIGO]:[CÓDIGO]],'Inventario '!$B90,TablaConsumos[[Planta]:[Planta]],'Inventario '!N$1)</f>
        <v>0</v>
      </c>
      <c r="O90" s="131">
        <f>SUMIFS(TablaConsumos[[CANTIDAD ]:[CANTIDAD ]],TablaConsumos[[CÓDIGO]:[CÓDIGO]],'Inventario '!$B90,TablaConsumos[[Planta]:[Planta]],'Inventario '!O$1)</f>
        <v>0</v>
      </c>
      <c r="P90" s="131">
        <f>SUMIFS(TablaConsumos[[CANTIDAD ]:[CANTIDAD ]],TablaConsumos[[CÓDIGO]:[CÓDIGO]],'Inventario '!$B90,TablaConsumos[[Planta]:[Planta]],'Inventario '!P$1)</f>
        <v>0</v>
      </c>
      <c r="Q90" s="131">
        <f>SUMIFS(TablaConsumos[[CANTIDAD ]:[CANTIDAD ]],TablaConsumos[[CÓDIGO]:[CÓDIGO]],'Inventario '!$B90,TablaConsumos[[Planta]:[Planta]],'Inventario '!Q$1)</f>
        <v>0</v>
      </c>
      <c r="R90" s="131">
        <f>SUMIFS(TablaConsumos[[CANTIDAD ]:[CANTIDAD ]],TablaConsumos[[CÓDIGO]:[CÓDIGO]],'Inventario '!$B90,TablaConsumos[[Planta]:[Planta]],'Inventario '!R$1)</f>
        <v>0</v>
      </c>
      <c r="S90" s="130">
        <f t="shared" si="84"/>
        <v>0</v>
      </c>
      <c r="T90" s="130">
        <f t="shared" si="85"/>
        <v>0</v>
      </c>
      <c r="U90" s="177"/>
      <c r="V90" s="130"/>
      <c r="W90" s="132">
        <v>1</v>
      </c>
      <c r="X90" s="133">
        <f t="shared" si="89"/>
        <v>0</v>
      </c>
      <c r="Y90" s="130">
        <f t="shared" si="90"/>
        <v>0</v>
      </c>
      <c r="Z90" s="132"/>
      <c r="AA90" s="132">
        <f t="shared" si="91"/>
        <v>0</v>
      </c>
      <c r="AB90" s="132"/>
      <c r="AC90" s="131">
        <f t="shared" si="92"/>
        <v>0</v>
      </c>
      <c r="AD90" s="131"/>
      <c r="AE90" s="132" t="s">
        <v>612</v>
      </c>
      <c r="AF90" s="132">
        <v>1000</v>
      </c>
      <c r="AG90" s="168"/>
      <c r="AH90" s="134">
        <f t="shared" si="93"/>
        <v>0</v>
      </c>
      <c r="AI90" s="134">
        <f t="shared" si="94"/>
        <v>0</v>
      </c>
      <c r="AJ90" s="134">
        <f t="shared" si="95"/>
        <v>0</v>
      </c>
      <c r="AK90" s="134">
        <f t="shared" si="96"/>
        <v>0</v>
      </c>
      <c r="AL90" s="134">
        <f t="shared" si="97"/>
        <v>0</v>
      </c>
      <c r="AM90" s="134">
        <f t="shared" si="98"/>
        <v>0</v>
      </c>
      <c r="AN90" s="134">
        <f t="shared" si="99"/>
        <v>0</v>
      </c>
      <c r="AO90" s="134">
        <f t="shared" si="100"/>
        <v>0</v>
      </c>
      <c r="AP90" s="134">
        <f t="shared" si="101"/>
        <v>0</v>
      </c>
      <c r="AQ90" s="134">
        <f t="shared" si="102"/>
        <v>0</v>
      </c>
      <c r="AR90" s="134">
        <f t="shared" si="103"/>
        <v>0</v>
      </c>
      <c r="AS90" s="135">
        <f t="shared" si="86"/>
        <v>0</v>
      </c>
      <c r="AT90" s="137" t="str">
        <f t="shared" si="104"/>
        <v>0</v>
      </c>
      <c r="AU90" s="137" t="str">
        <f t="shared" si="105"/>
        <v>0</v>
      </c>
      <c r="AV90" s="137" t="str">
        <f t="shared" si="106"/>
        <v>0</v>
      </c>
      <c r="AW90" s="137" t="str">
        <f t="shared" si="107"/>
        <v>0</v>
      </c>
      <c r="AX90" s="137" t="str">
        <f t="shared" si="108"/>
        <v>0</v>
      </c>
      <c r="AY90" s="137" t="str">
        <f t="shared" si="109"/>
        <v>0</v>
      </c>
      <c r="AZ90" s="137" t="str">
        <f t="shared" si="110"/>
        <v>0</v>
      </c>
      <c r="BA90" s="137" t="str">
        <f t="shared" si="111"/>
        <v>0</v>
      </c>
      <c r="BB90" s="137" t="str">
        <f t="shared" si="112"/>
        <v>0</v>
      </c>
      <c r="BC90" s="137" t="str">
        <f t="shared" si="113"/>
        <v>0</v>
      </c>
      <c r="BD90" s="131">
        <f t="shared" si="82"/>
        <v>0</v>
      </c>
    </row>
    <row r="91" spans="2:56" x14ac:dyDescent="0.25">
      <c r="B91" s="136">
        <v>8202752</v>
      </c>
      <c r="C91" s="128" t="s">
        <v>30</v>
      </c>
      <c r="D91" s="128"/>
      <c r="E91" s="136" t="s">
        <v>173</v>
      </c>
      <c r="F91" s="274"/>
      <c r="G91" s="130">
        <f>+SUMIFS(TablaIngresos[Cantidad],TablaIngresos[Código],'Inventario '!B91)</f>
        <v>0</v>
      </c>
      <c r="H91" s="130">
        <f t="shared" si="87"/>
        <v>0</v>
      </c>
      <c r="I91" s="131">
        <f>SUMIFS(TablaConsumos[[CANTIDAD ]:[CANTIDAD ]],TablaConsumos[[CÓDIGO]:[CÓDIGO]],'Inventario '!$B91,TablaConsumos[[Planta]:[Planta]],'Inventario '!I$1)</f>
        <v>0</v>
      </c>
      <c r="J91" s="131">
        <f>SUMIFS(TablaConsumos[[CANTIDAD ]:[CANTIDAD ]],TablaConsumos[[CÓDIGO]:[CÓDIGO]],'Inventario '!$B91,TablaConsumos[[Planta]:[Planta]],'Inventario '!J$1)</f>
        <v>0</v>
      </c>
      <c r="K91" s="131">
        <f>SUMIFS(TablaConsumos[[CANTIDAD ]:[CANTIDAD ]],TablaConsumos[[CÓDIGO]:[CÓDIGO]],'Inventario '!$B91,TablaConsumos[[Planta]:[Planta]],'Inventario '!K$1)</f>
        <v>0</v>
      </c>
      <c r="L91" s="131">
        <f>SUMIFS(TablaConsumos[[CANTIDAD ]:[CANTIDAD ]],TablaConsumos[[CÓDIGO]:[CÓDIGO]],'Inventario '!$B91,TablaConsumos[[Planta]:[Planta]],'Inventario '!L$1)</f>
        <v>0</v>
      </c>
      <c r="M91" s="131">
        <f>SUMIFS(TablaConsumos[[CANTIDAD ]:[CANTIDAD ]],TablaConsumos[[CÓDIGO]:[CÓDIGO]],'Inventario '!$B91,TablaConsumos[[Planta]:[Planta]],'Inventario '!M$1)</f>
        <v>0</v>
      </c>
      <c r="N91" s="131">
        <f>SUMIFS(TablaConsumos[[CANTIDAD ]:[CANTIDAD ]],TablaConsumos[[CÓDIGO]:[CÓDIGO]],'Inventario '!$B91,TablaConsumos[[Planta]:[Planta]],'Inventario '!N$1)</f>
        <v>0</v>
      </c>
      <c r="O91" s="131">
        <f>SUMIFS(TablaConsumos[[CANTIDAD ]:[CANTIDAD ]],TablaConsumos[[CÓDIGO]:[CÓDIGO]],'Inventario '!$B91,TablaConsumos[[Planta]:[Planta]],'Inventario '!O$1)</f>
        <v>0</v>
      </c>
      <c r="P91" s="131">
        <f>SUMIFS(TablaConsumos[[CANTIDAD ]:[CANTIDAD ]],TablaConsumos[[CÓDIGO]:[CÓDIGO]],'Inventario '!$B91,TablaConsumos[[Planta]:[Planta]],'Inventario '!P$1)</f>
        <v>0</v>
      </c>
      <c r="Q91" s="131">
        <f>SUMIFS(TablaConsumos[[CANTIDAD ]:[CANTIDAD ]],TablaConsumos[[CÓDIGO]:[CÓDIGO]],'Inventario '!$B91,TablaConsumos[[Planta]:[Planta]],'Inventario '!Q$1)</f>
        <v>0</v>
      </c>
      <c r="R91" s="131">
        <f>SUMIFS(TablaConsumos[[CANTIDAD ]:[CANTIDAD ]],TablaConsumos[[CÓDIGO]:[CÓDIGO]],'Inventario '!$B91,TablaConsumos[[Planta]:[Planta]],'Inventario '!R$1)</f>
        <v>0</v>
      </c>
      <c r="S91" s="130">
        <f t="shared" si="84"/>
        <v>0</v>
      </c>
      <c r="T91" s="130">
        <f t="shared" si="85"/>
        <v>0</v>
      </c>
      <c r="U91" s="177"/>
      <c r="V91" s="130"/>
      <c r="W91" s="132">
        <v>1</v>
      </c>
      <c r="X91" s="133">
        <f t="shared" si="89"/>
        <v>0</v>
      </c>
      <c r="Y91" s="130">
        <f t="shared" si="90"/>
        <v>0</v>
      </c>
      <c r="Z91" s="132"/>
      <c r="AA91" s="132">
        <f t="shared" si="91"/>
        <v>0</v>
      </c>
      <c r="AB91" s="132"/>
      <c r="AC91" s="131">
        <f t="shared" si="92"/>
        <v>0</v>
      </c>
      <c r="AD91" s="131"/>
      <c r="AE91" s="132" t="s">
        <v>612</v>
      </c>
      <c r="AF91" s="132">
        <v>1000</v>
      </c>
      <c r="AG91" s="168"/>
      <c r="AH91" s="134">
        <f t="shared" si="93"/>
        <v>0</v>
      </c>
      <c r="AI91" s="134">
        <f t="shared" si="94"/>
        <v>0</v>
      </c>
      <c r="AJ91" s="134">
        <f t="shared" si="95"/>
        <v>0</v>
      </c>
      <c r="AK91" s="134">
        <f t="shared" si="96"/>
        <v>0</v>
      </c>
      <c r="AL91" s="134">
        <f t="shared" si="97"/>
        <v>0</v>
      </c>
      <c r="AM91" s="134">
        <f t="shared" si="98"/>
        <v>0</v>
      </c>
      <c r="AN91" s="134">
        <f t="shared" si="99"/>
        <v>0</v>
      </c>
      <c r="AO91" s="134">
        <f t="shared" si="100"/>
        <v>0</v>
      </c>
      <c r="AP91" s="134">
        <f t="shared" si="101"/>
        <v>0</v>
      </c>
      <c r="AQ91" s="134">
        <f t="shared" si="102"/>
        <v>0</v>
      </c>
      <c r="AR91" s="134">
        <f t="shared" si="103"/>
        <v>0</v>
      </c>
      <c r="AS91" s="135">
        <f t="shared" si="86"/>
        <v>0</v>
      </c>
      <c r="AT91" s="137" t="str">
        <f t="shared" si="104"/>
        <v>0</v>
      </c>
      <c r="AU91" s="137" t="str">
        <f t="shared" si="105"/>
        <v>0</v>
      </c>
      <c r="AV91" s="137" t="str">
        <f t="shared" si="106"/>
        <v>0</v>
      </c>
      <c r="AW91" s="137" t="str">
        <f t="shared" si="107"/>
        <v>0</v>
      </c>
      <c r="AX91" s="137" t="str">
        <f t="shared" si="108"/>
        <v>0</v>
      </c>
      <c r="AY91" s="137" t="str">
        <f t="shared" si="109"/>
        <v>0</v>
      </c>
      <c r="AZ91" s="137" t="str">
        <f t="shared" si="110"/>
        <v>0</v>
      </c>
      <c r="BA91" s="137" t="str">
        <f t="shared" si="111"/>
        <v>0</v>
      </c>
      <c r="BB91" s="137" t="str">
        <f t="shared" si="112"/>
        <v>0</v>
      </c>
      <c r="BC91" s="137" t="str">
        <f t="shared" si="113"/>
        <v>0</v>
      </c>
      <c r="BD91" s="131">
        <f t="shared" si="82"/>
        <v>0</v>
      </c>
    </row>
    <row r="92" spans="2:56" x14ac:dyDescent="0.25">
      <c r="B92" s="136">
        <v>8202753</v>
      </c>
      <c r="C92" s="128" t="s">
        <v>30</v>
      </c>
      <c r="D92" s="128"/>
      <c r="E92" s="136" t="s">
        <v>174</v>
      </c>
      <c r="F92" s="274"/>
      <c r="G92" s="130">
        <f>+SUMIFS(TablaIngresos[Cantidad],TablaIngresos[Código],'Inventario '!B92)</f>
        <v>0</v>
      </c>
      <c r="H92" s="130">
        <f t="shared" si="87"/>
        <v>0</v>
      </c>
      <c r="I92" s="131">
        <f>SUMIFS(TablaConsumos[[CANTIDAD ]:[CANTIDAD ]],TablaConsumos[[CÓDIGO]:[CÓDIGO]],'Inventario '!$B92,TablaConsumos[[Planta]:[Planta]],'Inventario '!I$1)</f>
        <v>0</v>
      </c>
      <c r="J92" s="131">
        <f>SUMIFS(TablaConsumos[[CANTIDAD ]:[CANTIDAD ]],TablaConsumos[[CÓDIGO]:[CÓDIGO]],'Inventario '!$B92,TablaConsumos[[Planta]:[Planta]],'Inventario '!J$1)</f>
        <v>0</v>
      </c>
      <c r="K92" s="131">
        <f>SUMIFS(TablaConsumos[[CANTIDAD ]:[CANTIDAD ]],TablaConsumos[[CÓDIGO]:[CÓDIGO]],'Inventario '!$B92,TablaConsumos[[Planta]:[Planta]],'Inventario '!K$1)</f>
        <v>0</v>
      </c>
      <c r="L92" s="131">
        <f>SUMIFS(TablaConsumos[[CANTIDAD ]:[CANTIDAD ]],TablaConsumos[[CÓDIGO]:[CÓDIGO]],'Inventario '!$B92,TablaConsumos[[Planta]:[Planta]],'Inventario '!L$1)</f>
        <v>0</v>
      </c>
      <c r="M92" s="131">
        <f>SUMIFS(TablaConsumos[[CANTIDAD ]:[CANTIDAD ]],TablaConsumos[[CÓDIGO]:[CÓDIGO]],'Inventario '!$B92,TablaConsumos[[Planta]:[Planta]],'Inventario '!M$1)</f>
        <v>0</v>
      </c>
      <c r="N92" s="131">
        <f>SUMIFS(TablaConsumos[[CANTIDAD ]:[CANTIDAD ]],TablaConsumos[[CÓDIGO]:[CÓDIGO]],'Inventario '!$B92,TablaConsumos[[Planta]:[Planta]],'Inventario '!N$1)</f>
        <v>0</v>
      </c>
      <c r="O92" s="131">
        <f>SUMIFS(TablaConsumos[[CANTIDAD ]:[CANTIDAD ]],TablaConsumos[[CÓDIGO]:[CÓDIGO]],'Inventario '!$B92,TablaConsumos[[Planta]:[Planta]],'Inventario '!O$1)</f>
        <v>0</v>
      </c>
      <c r="P92" s="131">
        <f>SUMIFS(TablaConsumos[[CANTIDAD ]:[CANTIDAD ]],TablaConsumos[[CÓDIGO]:[CÓDIGO]],'Inventario '!$B92,TablaConsumos[[Planta]:[Planta]],'Inventario '!P$1)</f>
        <v>0</v>
      </c>
      <c r="Q92" s="131">
        <f>SUMIFS(TablaConsumos[[CANTIDAD ]:[CANTIDAD ]],TablaConsumos[[CÓDIGO]:[CÓDIGO]],'Inventario '!$B92,TablaConsumos[[Planta]:[Planta]],'Inventario '!Q$1)</f>
        <v>0</v>
      </c>
      <c r="R92" s="131">
        <f>SUMIFS(TablaConsumos[[CANTIDAD ]:[CANTIDAD ]],TablaConsumos[[CÓDIGO]:[CÓDIGO]],'Inventario '!$B92,TablaConsumos[[Planta]:[Planta]],'Inventario '!R$1)</f>
        <v>0</v>
      </c>
      <c r="S92" s="130">
        <f t="shared" si="84"/>
        <v>0</v>
      </c>
      <c r="T92" s="130">
        <f t="shared" si="85"/>
        <v>0</v>
      </c>
      <c r="U92" s="177"/>
      <c r="V92" s="130"/>
      <c r="W92" s="132">
        <v>1</v>
      </c>
      <c r="X92" s="133">
        <f t="shared" si="89"/>
        <v>0</v>
      </c>
      <c r="Y92" s="130">
        <f t="shared" si="90"/>
        <v>0</v>
      </c>
      <c r="Z92" s="132"/>
      <c r="AA92" s="132">
        <f t="shared" si="91"/>
        <v>0</v>
      </c>
      <c r="AB92" s="132"/>
      <c r="AC92" s="131">
        <f t="shared" si="92"/>
        <v>0</v>
      </c>
      <c r="AD92" s="131"/>
      <c r="AE92" s="132" t="s">
        <v>612</v>
      </c>
      <c r="AF92" s="132">
        <v>1000</v>
      </c>
      <c r="AG92" s="168"/>
      <c r="AH92" s="134">
        <f t="shared" si="93"/>
        <v>0</v>
      </c>
      <c r="AI92" s="134">
        <f t="shared" si="94"/>
        <v>0</v>
      </c>
      <c r="AJ92" s="134">
        <f t="shared" si="95"/>
        <v>0</v>
      </c>
      <c r="AK92" s="134">
        <f t="shared" si="96"/>
        <v>0</v>
      </c>
      <c r="AL92" s="134">
        <f t="shared" si="97"/>
        <v>0</v>
      </c>
      <c r="AM92" s="134">
        <f t="shared" si="98"/>
        <v>0</v>
      </c>
      <c r="AN92" s="134">
        <f t="shared" si="99"/>
        <v>0</v>
      </c>
      <c r="AO92" s="134">
        <f t="shared" si="100"/>
        <v>0</v>
      </c>
      <c r="AP92" s="134">
        <f t="shared" si="101"/>
        <v>0</v>
      </c>
      <c r="AQ92" s="134">
        <f t="shared" si="102"/>
        <v>0</v>
      </c>
      <c r="AR92" s="134">
        <f t="shared" si="103"/>
        <v>0</v>
      </c>
      <c r="AS92" s="135">
        <f t="shared" si="86"/>
        <v>0</v>
      </c>
      <c r="AT92" s="137" t="str">
        <f t="shared" si="104"/>
        <v>0</v>
      </c>
      <c r="AU92" s="137" t="str">
        <f t="shared" si="105"/>
        <v>0</v>
      </c>
      <c r="AV92" s="137" t="str">
        <f t="shared" si="106"/>
        <v>0</v>
      </c>
      <c r="AW92" s="137" t="str">
        <f t="shared" si="107"/>
        <v>0</v>
      </c>
      <c r="AX92" s="137" t="str">
        <f t="shared" si="108"/>
        <v>0</v>
      </c>
      <c r="AY92" s="137" t="str">
        <f t="shared" si="109"/>
        <v>0</v>
      </c>
      <c r="AZ92" s="137" t="str">
        <f t="shared" si="110"/>
        <v>0</v>
      </c>
      <c r="BA92" s="137" t="str">
        <f t="shared" si="111"/>
        <v>0</v>
      </c>
      <c r="BB92" s="137" t="str">
        <f t="shared" si="112"/>
        <v>0</v>
      </c>
      <c r="BC92" s="137" t="str">
        <f t="shared" si="113"/>
        <v>0</v>
      </c>
      <c r="BD92" s="131">
        <f t="shared" si="82"/>
        <v>0</v>
      </c>
    </row>
    <row r="93" spans="2:56" x14ac:dyDescent="0.25">
      <c r="B93" s="136">
        <v>8202754</v>
      </c>
      <c r="C93" s="128" t="s">
        <v>30</v>
      </c>
      <c r="D93" s="128"/>
      <c r="E93" s="136" t="s">
        <v>175</v>
      </c>
      <c r="F93" s="274"/>
      <c r="G93" s="130">
        <f>+SUMIFS(TablaIngresos[Cantidad],TablaIngresos[Código],'Inventario '!B93)</f>
        <v>0</v>
      </c>
      <c r="H93" s="130">
        <f t="shared" si="87"/>
        <v>0</v>
      </c>
      <c r="I93" s="131">
        <f>SUMIFS(TablaConsumos[[CANTIDAD ]:[CANTIDAD ]],TablaConsumos[[CÓDIGO]:[CÓDIGO]],'Inventario '!$B93,TablaConsumos[[Planta]:[Planta]],'Inventario '!I$1)</f>
        <v>0</v>
      </c>
      <c r="J93" s="131">
        <f>SUMIFS(TablaConsumos[[CANTIDAD ]:[CANTIDAD ]],TablaConsumos[[CÓDIGO]:[CÓDIGO]],'Inventario '!$B93,TablaConsumos[[Planta]:[Planta]],'Inventario '!J$1)</f>
        <v>0</v>
      </c>
      <c r="K93" s="131">
        <f>SUMIFS(TablaConsumos[[CANTIDAD ]:[CANTIDAD ]],TablaConsumos[[CÓDIGO]:[CÓDIGO]],'Inventario '!$B93,TablaConsumos[[Planta]:[Planta]],'Inventario '!K$1)</f>
        <v>0</v>
      </c>
      <c r="L93" s="131">
        <f>SUMIFS(TablaConsumos[[CANTIDAD ]:[CANTIDAD ]],TablaConsumos[[CÓDIGO]:[CÓDIGO]],'Inventario '!$B93,TablaConsumos[[Planta]:[Planta]],'Inventario '!L$1)</f>
        <v>0</v>
      </c>
      <c r="M93" s="131">
        <f>SUMIFS(TablaConsumos[[CANTIDAD ]:[CANTIDAD ]],TablaConsumos[[CÓDIGO]:[CÓDIGO]],'Inventario '!$B93,TablaConsumos[[Planta]:[Planta]],'Inventario '!M$1)</f>
        <v>0</v>
      </c>
      <c r="N93" s="131">
        <f>SUMIFS(TablaConsumos[[CANTIDAD ]:[CANTIDAD ]],TablaConsumos[[CÓDIGO]:[CÓDIGO]],'Inventario '!$B93,TablaConsumos[[Planta]:[Planta]],'Inventario '!N$1)</f>
        <v>0</v>
      </c>
      <c r="O93" s="131">
        <f>SUMIFS(TablaConsumos[[CANTIDAD ]:[CANTIDAD ]],TablaConsumos[[CÓDIGO]:[CÓDIGO]],'Inventario '!$B93,TablaConsumos[[Planta]:[Planta]],'Inventario '!O$1)</f>
        <v>0</v>
      </c>
      <c r="P93" s="131">
        <f>SUMIFS(TablaConsumos[[CANTIDAD ]:[CANTIDAD ]],TablaConsumos[[CÓDIGO]:[CÓDIGO]],'Inventario '!$B93,TablaConsumos[[Planta]:[Planta]],'Inventario '!P$1)</f>
        <v>0</v>
      </c>
      <c r="Q93" s="131">
        <f>SUMIFS(TablaConsumos[[CANTIDAD ]:[CANTIDAD ]],TablaConsumos[[CÓDIGO]:[CÓDIGO]],'Inventario '!$B93,TablaConsumos[[Planta]:[Planta]],'Inventario '!Q$1)</f>
        <v>0</v>
      </c>
      <c r="R93" s="131">
        <f>SUMIFS(TablaConsumos[[CANTIDAD ]:[CANTIDAD ]],TablaConsumos[[CÓDIGO]:[CÓDIGO]],'Inventario '!$B93,TablaConsumos[[Planta]:[Planta]],'Inventario '!R$1)</f>
        <v>0</v>
      </c>
      <c r="S93" s="130">
        <f t="shared" si="84"/>
        <v>0</v>
      </c>
      <c r="T93" s="130">
        <f t="shared" si="85"/>
        <v>0</v>
      </c>
      <c r="U93" s="177"/>
      <c r="V93" s="130"/>
      <c r="W93" s="132">
        <v>1</v>
      </c>
      <c r="X93" s="133">
        <f t="shared" si="89"/>
        <v>0</v>
      </c>
      <c r="Y93" s="130">
        <f t="shared" si="90"/>
        <v>0</v>
      </c>
      <c r="Z93" s="132"/>
      <c r="AA93" s="132">
        <f t="shared" si="91"/>
        <v>0</v>
      </c>
      <c r="AB93" s="132"/>
      <c r="AC93" s="131">
        <f t="shared" si="92"/>
        <v>0</v>
      </c>
      <c r="AD93" s="131"/>
      <c r="AE93" s="132" t="s">
        <v>612</v>
      </c>
      <c r="AF93" s="132">
        <v>1000</v>
      </c>
      <c r="AG93" s="168"/>
      <c r="AH93" s="134">
        <f t="shared" si="93"/>
        <v>0</v>
      </c>
      <c r="AI93" s="134">
        <f t="shared" si="94"/>
        <v>0</v>
      </c>
      <c r="AJ93" s="134">
        <f t="shared" si="95"/>
        <v>0</v>
      </c>
      <c r="AK93" s="134">
        <f t="shared" si="96"/>
        <v>0</v>
      </c>
      <c r="AL93" s="134">
        <f t="shared" si="97"/>
        <v>0</v>
      </c>
      <c r="AM93" s="134">
        <f t="shared" si="98"/>
        <v>0</v>
      </c>
      <c r="AN93" s="134">
        <f t="shared" si="99"/>
        <v>0</v>
      </c>
      <c r="AO93" s="134">
        <f t="shared" si="100"/>
        <v>0</v>
      </c>
      <c r="AP93" s="134">
        <f t="shared" si="101"/>
        <v>0</v>
      </c>
      <c r="AQ93" s="134">
        <f t="shared" si="102"/>
        <v>0</v>
      </c>
      <c r="AR93" s="134">
        <f t="shared" si="103"/>
        <v>0</v>
      </c>
      <c r="AS93" s="135">
        <f t="shared" si="86"/>
        <v>0</v>
      </c>
      <c r="AT93" s="137" t="str">
        <f t="shared" si="104"/>
        <v>0</v>
      </c>
      <c r="AU93" s="137" t="str">
        <f t="shared" si="105"/>
        <v>0</v>
      </c>
      <c r="AV93" s="137" t="str">
        <f t="shared" si="106"/>
        <v>0</v>
      </c>
      <c r="AW93" s="137" t="str">
        <f t="shared" si="107"/>
        <v>0</v>
      </c>
      <c r="AX93" s="137" t="str">
        <f t="shared" si="108"/>
        <v>0</v>
      </c>
      <c r="AY93" s="137" t="str">
        <f t="shared" si="109"/>
        <v>0</v>
      </c>
      <c r="AZ93" s="137" t="str">
        <f t="shared" si="110"/>
        <v>0</v>
      </c>
      <c r="BA93" s="137" t="str">
        <f t="shared" si="111"/>
        <v>0</v>
      </c>
      <c r="BB93" s="137" t="str">
        <f t="shared" si="112"/>
        <v>0</v>
      </c>
      <c r="BC93" s="137" t="str">
        <f t="shared" si="113"/>
        <v>0</v>
      </c>
      <c r="BD93" s="131">
        <f t="shared" si="82"/>
        <v>0</v>
      </c>
    </row>
    <row r="94" spans="2:56" x14ac:dyDescent="0.25">
      <c r="B94" s="136">
        <v>8202755</v>
      </c>
      <c r="C94" s="128" t="s">
        <v>30</v>
      </c>
      <c r="D94" s="128"/>
      <c r="E94" s="136" t="s">
        <v>689</v>
      </c>
      <c r="F94" s="274"/>
      <c r="G94" s="130">
        <f>+SUMIFS(TablaIngresos[Cantidad],TablaIngresos[Código],'Inventario '!B94)</f>
        <v>0</v>
      </c>
      <c r="H94" s="130">
        <f t="shared" si="87"/>
        <v>0</v>
      </c>
      <c r="I94" s="131">
        <f>SUMIFS(TablaConsumos[[CANTIDAD ]:[CANTIDAD ]],TablaConsumos[[CÓDIGO]:[CÓDIGO]],'Inventario '!$B94,TablaConsumos[[Planta]:[Planta]],'Inventario '!I$1)</f>
        <v>0</v>
      </c>
      <c r="J94" s="131">
        <f>SUMIFS(TablaConsumos[[CANTIDAD ]:[CANTIDAD ]],TablaConsumos[[CÓDIGO]:[CÓDIGO]],'Inventario '!$B94,TablaConsumos[[Planta]:[Planta]],'Inventario '!J$1)</f>
        <v>0</v>
      </c>
      <c r="K94" s="131">
        <f>SUMIFS(TablaConsumos[[CANTIDAD ]:[CANTIDAD ]],TablaConsumos[[CÓDIGO]:[CÓDIGO]],'Inventario '!$B94,TablaConsumos[[Planta]:[Planta]],'Inventario '!K$1)</f>
        <v>0</v>
      </c>
      <c r="L94" s="131">
        <f>SUMIFS(TablaConsumos[[CANTIDAD ]:[CANTIDAD ]],TablaConsumos[[CÓDIGO]:[CÓDIGO]],'Inventario '!$B94,TablaConsumos[[Planta]:[Planta]],'Inventario '!L$1)</f>
        <v>0</v>
      </c>
      <c r="M94" s="131">
        <f>SUMIFS(TablaConsumos[[CANTIDAD ]:[CANTIDAD ]],TablaConsumos[[CÓDIGO]:[CÓDIGO]],'Inventario '!$B94,TablaConsumos[[Planta]:[Planta]],'Inventario '!M$1)</f>
        <v>0</v>
      </c>
      <c r="N94" s="131">
        <f>SUMIFS(TablaConsumos[[CANTIDAD ]:[CANTIDAD ]],TablaConsumos[[CÓDIGO]:[CÓDIGO]],'Inventario '!$B94,TablaConsumos[[Planta]:[Planta]],'Inventario '!N$1)</f>
        <v>0</v>
      </c>
      <c r="O94" s="131">
        <f>SUMIFS(TablaConsumos[[CANTIDAD ]:[CANTIDAD ]],TablaConsumos[[CÓDIGO]:[CÓDIGO]],'Inventario '!$B94,TablaConsumos[[Planta]:[Planta]],'Inventario '!O$1)</f>
        <v>0</v>
      </c>
      <c r="P94" s="131">
        <f>SUMIFS(TablaConsumos[[CANTIDAD ]:[CANTIDAD ]],TablaConsumos[[CÓDIGO]:[CÓDIGO]],'Inventario '!$B94,TablaConsumos[[Planta]:[Planta]],'Inventario '!P$1)</f>
        <v>0</v>
      </c>
      <c r="Q94" s="131">
        <f>SUMIFS(TablaConsumos[[CANTIDAD ]:[CANTIDAD ]],TablaConsumos[[CÓDIGO]:[CÓDIGO]],'Inventario '!$B94,TablaConsumos[[Planta]:[Planta]],'Inventario '!Q$1)</f>
        <v>0</v>
      </c>
      <c r="R94" s="131">
        <f>SUMIFS(TablaConsumos[[CANTIDAD ]:[CANTIDAD ]],TablaConsumos[[CÓDIGO]:[CÓDIGO]],'Inventario '!$B94,TablaConsumos[[Planta]:[Planta]],'Inventario '!R$1)</f>
        <v>0</v>
      </c>
      <c r="S94" s="130">
        <f t="shared" si="84"/>
        <v>0</v>
      </c>
      <c r="T94" s="130">
        <f t="shared" si="85"/>
        <v>0</v>
      </c>
      <c r="U94" s="177"/>
      <c r="V94" s="130"/>
      <c r="W94" s="132">
        <v>1</v>
      </c>
      <c r="X94" s="133">
        <f t="shared" si="89"/>
        <v>0</v>
      </c>
      <c r="Y94" s="130">
        <f t="shared" si="90"/>
        <v>0</v>
      </c>
      <c r="Z94" s="132"/>
      <c r="AA94" s="132">
        <f t="shared" si="91"/>
        <v>0</v>
      </c>
      <c r="AB94" s="132"/>
      <c r="AC94" s="131">
        <f t="shared" si="92"/>
        <v>0</v>
      </c>
      <c r="AD94" s="131"/>
      <c r="AE94" s="132" t="s">
        <v>612</v>
      </c>
      <c r="AF94" s="132">
        <v>1000</v>
      </c>
      <c r="AG94" s="168"/>
      <c r="AH94" s="134">
        <f t="shared" si="93"/>
        <v>0</v>
      </c>
      <c r="AI94" s="134">
        <f t="shared" si="94"/>
        <v>0</v>
      </c>
      <c r="AJ94" s="134">
        <f t="shared" si="95"/>
        <v>0</v>
      </c>
      <c r="AK94" s="134">
        <f t="shared" si="96"/>
        <v>0</v>
      </c>
      <c r="AL94" s="134">
        <f t="shared" si="97"/>
        <v>0</v>
      </c>
      <c r="AM94" s="134">
        <f t="shared" si="98"/>
        <v>0</v>
      </c>
      <c r="AN94" s="134">
        <f t="shared" si="99"/>
        <v>0</v>
      </c>
      <c r="AO94" s="134">
        <f t="shared" si="100"/>
        <v>0</v>
      </c>
      <c r="AP94" s="134">
        <f t="shared" si="101"/>
        <v>0</v>
      </c>
      <c r="AQ94" s="134">
        <f t="shared" si="102"/>
        <v>0</v>
      </c>
      <c r="AR94" s="134">
        <f t="shared" si="103"/>
        <v>0</v>
      </c>
      <c r="AS94" s="135">
        <f t="shared" si="86"/>
        <v>0</v>
      </c>
      <c r="AT94" s="137" t="str">
        <f t="shared" si="104"/>
        <v>0</v>
      </c>
      <c r="AU94" s="137" t="str">
        <f t="shared" si="105"/>
        <v>0</v>
      </c>
      <c r="AV94" s="137" t="str">
        <f t="shared" si="106"/>
        <v>0</v>
      </c>
      <c r="AW94" s="137" t="str">
        <f t="shared" si="107"/>
        <v>0</v>
      </c>
      <c r="AX94" s="137" t="str">
        <f t="shared" si="108"/>
        <v>0</v>
      </c>
      <c r="AY94" s="137" t="str">
        <f t="shared" si="109"/>
        <v>0</v>
      </c>
      <c r="AZ94" s="137" t="str">
        <f t="shared" si="110"/>
        <v>0</v>
      </c>
      <c r="BA94" s="137" t="str">
        <f t="shared" si="111"/>
        <v>0</v>
      </c>
      <c r="BB94" s="137" t="str">
        <f t="shared" si="112"/>
        <v>0</v>
      </c>
      <c r="BC94" s="137" t="str">
        <f t="shared" si="113"/>
        <v>0</v>
      </c>
      <c r="BD94" s="131">
        <f t="shared" si="82"/>
        <v>0</v>
      </c>
    </row>
    <row r="95" spans="2:56" x14ac:dyDescent="0.25">
      <c r="B95" s="136">
        <v>8202756</v>
      </c>
      <c r="C95" s="128" t="s">
        <v>30</v>
      </c>
      <c r="D95" s="128"/>
      <c r="E95" s="136" t="s">
        <v>177</v>
      </c>
      <c r="F95" s="274"/>
      <c r="G95" s="130">
        <f>+SUMIFS(TablaIngresos[Cantidad],TablaIngresos[Código],'Inventario '!B95)</f>
        <v>0</v>
      </c>
      <c r="H95" s="130">
        <f t="shared" si="87"/>
        <v>0</v>
      </c>
      <c r="I95" s="131">
        <f>SUMIFS(TablaConsumos[[CANTIDAD ]:[CANTIDAD ]],TablaConsumos[[CÓDIGO]:[CÓDIGO]],'Inventario '!$B95,TablaConsumos[[Planta]:[Planta]],'Inventario '!I$1)</f>
        <v>0</v>
      </c>
      <c r="J95" s="131">
        <f>SUMIFS(TablaConsumos[[CANTIDAD ]:[CANTIDAD ]],TablaConsumos[[CÓDIGO]:[CÓDIGO]],'Inventario '!$B95,TablaConsumos[[Planta]:[Planta]],'Inventario '!J$1)</f>
        <v>0</v>
      </c>
      <c r="K95" s="131">
        <f>SUMIFS(TablaConsumos[[CANTIDAD ]:[CANTIDAD ]],TablaConsumos[[CÓDIGO]:[CÓDIGO]],'Inventario '!$B95,TablaConsumos[[Planta]:[Planta]],'Inventario '!K$1)</f>
        <v>0</v>
      </c>
      <c r="L95" s="131">
        <f>SUMIFS(TablaConsumos[[CANTIDAD ]:[CANTIDAD ]],TablaConsumos[[CÓDIGO]:[CÓDIGO]],'Inventario '!$B95,TablaConsumos[[Planta]:[Planta]],'Inventario '!L$1)</f>
        <v>0</v>
      </c>
      <c r="M95" s="131">
        <f>SUMIFS(TablaConsumos[[CANTIDAD ]:[CANTIDAD ]],TablaConsumos[[CÓDIGO]:[CÓDIGO]],'Inventario '!$B95,TablaConsumos[[Planta]:[Planta]],'Inventario '!M$1)</f>
        <v>0</v>
      </c>
      <c r="N95" s="131">
        <f>SUMIFS(TablaConsumos[[CANTIDAD ]:[CANTIDAD ]],TablaConsumos[[CÓDIGO]:[CÓDIGO]],'Inventario '!$B95,TablaConsumos[[Planta]:[Planta]],'Inventario '!N$1)</f>
        <v>0</v>
      </c>
      <c r="O95" s="131">
        <f>SUMIFS(TablaConsumos[[CANTIDAD ]:[CANTIDAD ]],TablaConsumos[[CÓDIGO]:[CÓDIGO]],'Inventario '!$B95,TablaConsumos[[Planta]:[Planta]],'Inventario '!O$1)</f>
        <v>0</v>
      </c>
      <c r="P95" s="131">
        <f>SUMIFS(TablaConsumos[[CANTIDAD ]:[CANTIDAD ]],TablaConsumos[[CÓDIGO]:[CÓDIGO]],'Inventario '!$B95,TablaConsumos[[Planta]:[Planta]],'Inventario '!P$1)</f>
        <v>0</v>
      </c>
      <c r="Q95" s="131">
        <f>SUMIFS(TablaConsumos[[CANTIDAD ]:[CANTIDAD ]],TablaConsumos[[CÓDIGO]:[CÓDIGO]],'Inventario '!$B95,TablaConsumos[[Planta]:[Planta]],'Inventario '!Q$1)</f>
        <v>0</v>
      </c>
      <c r="R95" s="131">
        <f>SUMIFS(TablaConsumos[[CANTIDAD ]:[CANTIDAD ]],TablaConsumos[[CÓDIGO]:[CÓDIGO]],'Inventario '!$B95,TablaConsumos[[Planta]:[Planta]],'Inventario '!R$1)</f>
        <v>0</v>
      </c>
      <c r="S95" s="130">
        <f t="shared" si="84"/>
        <v>0</v>
      </c>
      <c r="T95" s="130">
        <f t="shared" si="85"/>
        <v>0</v>
      </c>
      <c r="U95" s="177"/>
      <c r="V95" s="130"/>
      <c r="W95" s="132">
        <v>1</v>
      </c>
      <c r="X95" s="133">
        <f t="shared" si="89"/>
        <v>0</v>
      </c>
      <c r="Y95" s="130">
        <f t="shared" si="90"/>
        <v>0</v>
      </c>
      <c r="Z95" s="132"/>
      <c r="AA95" s="132">
        <f t="shared" si="91"/>
        <v>0</v>
      </c>
      <c r="AB95" s="132"/>
      <c r="AC95" s="131">
        <f t="shared" si="92"/>
        <v>0</v>
      </c>
      <c r="AD95" s="131"/>
      <c r="AE95" s="132" t="s">
        <v>612</v>
      </c>
      <c r="AF95" s="132">
        <v>1000</v>
      </c>
      <c r="AG95" s="168"/>
      <c r="AH95" s="134">
        <f t="shared" si="93"/>
        <v>0</v>
      </c>
      <c r="AI95" s="134">
        <f t="shared" si="94"/>
        <v>0</v>
      </c>
      <c r="AJ95" s="134">
        <f t="shared" si="95"/>
        <v>0</v>
      </c>
      <c r="AK95" s="134">
        <f t="shared" si="96"/>
        <v>0</v>
      </c>
      <c r="AL95" s="134">
        <f t="shared" si="97"/>
        <v>0</v>
      </c>
      <c r="AM95" s="134">
        <f t="shared" si="98"/>
        <v>0</v>
      </c>
      <c r="AN95" s="134">
        <f t="shared" si="99"/>
        <v>0</v>
      </c>
      <c r="AO95" s="134">
        <f t="shared" si="100"/>
        <v>0</v>
      </c>
      <c r="AP95" s="134">
        <f t="shared" si="101"/>
        <v>0</v>
      </c>
      <c r="AQ95" s="134">
        <f t="shared" si="102"/>
        <v>0</v>
      </c>
      <c r="AR95" s="134">
        <f t="shared" si="103"/>
        <v>0</v>
      </c>
      <c r="AS95" s="135">
        <f t="shared" si="86"/>
        <v>0</v>
      </c>
      <c r="AT95" s="137" t="str">
        <f t="shared" si="104"/>
        <v>0</v>
      </c>
      <c r="AU95" s="137" t="str">
        <f t="shared" si="105"/>
        <v>0</v>
      </c>
      <c r="AV95" s="137" t="str">
        <f t="shared" si="106"/>
        <v>0</v>
      </c>
      <c r="AW95" s="137" t="str">
        <f t="shared" si="107"/>
        <v>0</v>
      </c>
      <c r="AX95" s="137" t="str">
        <f t="shared" si="108"/>
        <v>0</v>
      </c>
      <c r="AY95" s="137" t="str">
        <f t="shared" si="109"/>
        <v>0</v>
      </c>
      <c r="AZ95" s="137" t="str">
        <f t="shared" si="110"/>
        <v>0</v>
      </c>
      <c r="BA95" s="137" t="str">
        <f t="shared" si="111"/>
        <v>0</v>
      </c>
      <c r="BB95" s="137" t="str">
        <f t="shared" si="112"/>
        <v>0</v>
      </c>
      <c r="BC95" s="137" t="str">
        <f t="shared" si="113"/>
        <v>0</v>
      </c>
      <c r="BD95" s="131">
        <f t="shared" si="82"/>
        <v>0</v>
      </c>
    </row>
    <row r="96" spans="2:56" x14ac:dyDescent="0.25">
      <c r="B96" s="136">
        <v>8202757</v>
      </c>
      <c r="C96" s="128" t="s">
        <v>30</v>
      </c>
      <c r="D96" s="128"/>
      <c r="E96" s="136" t="s">
        <v>178</v>
      </c>
      <c r="F96" s="274"/>
      <c r="G96" s="130">
        <f>+SUMIFS(TablaIngresos[Cantidad],TablaIngresos[Código],'Inventario '!B96)</f>
        <v>0</v>
      </c>
      <c r="H96" s="130">
        <f t="shared" si="87"/>
        <v>0</v>
      </c>
      <c r="I96" s="131">
        <f>SUMIFS(TablaConsumos[[CANTIDAD ]:[CANTIDAD ]],TablaConsumos[[CÓDIGO]:[CÓDIGO]],'Inventario '!$B96,TablaConsumos[[Planta]:[Planta]],'Inventario '!I$1)</f>
        <v>0</v>
      </c>
      <c r="J96" s="131">
        <f>SUMIFS(TablaConsumos[[CANTIDAD ]:[CANTIDAD ]],TablaConsumos[[CÓDIGO]:[CÓDIGO]],'Inventario '!$B96,TablaConsumos[[Planta]:[Planta]],'Inventario '!J$1)</f>
        <v>0</v>
      </c>
      <c r="K96" s="131">
        <f>SUMIFS(TablaConsumos[[CANTIDAD ]:[CANTIDAD ]],TablaConsumos[[CÓDIGO]:[CÓDIGO]],'Inventario '!$B96,TablaConsumos[[Planta]:[Planta]],'Inventario '!K$1)</f>
        <v>0</v>
      </c>
      <c r="L96" s="131">
        <f>SUMIFS(TablaConsumos[[CANTIDAD ]:[CANTIDAD ]],TablaConsumos[[CÓDIGO]:[CÓDIGO]],'Inventario '!$B96,TablaConsumos[[Planta]:[Planta]],'Inventario '!L$1)</f>
        <v>0</v>
      </c>
      <c r="M96" s="131">
        <f>SUMIFS(TablaConsumos[[CANTIDAD ]:[CANTIDAD ]],TablaConsumos[[CÓDIGO]:[CÓDIGO]],'Inventario '!$B96,TablaConsumos[[Planta]:[Planta]],'Inventario '!M$1)</f>
        <v>0</v>
      </c>
      <c r="N96" s="131">
        <f>SUMIFS(TablaConsumos[[CANTIDAD ]:[CANTIDAD ]],TablaConsumos[[CÓDIGO]:[CÓDIGO]],'Inventario '!$B96,TablaConsumos[[Planta]:[Planta]],'Inventario '!N$1)</f>
        <v>0</v>
      </c>
      <c r="O96" s="131">
        <f>SUMIFS(TablaConsumos[[CANTIDAD ]:[CANTIDAD ]],TablaConsumos[[CÓDIGO]:[CÓDIGO]],'Inventario '!$B96,TablaConsumos[[Planta]:[Planta]],'Inventario '!O$1)</f>
        <v>0</v>
      </c>
      <c r="P96" s="131">
        <f>SUMIFS(TablaConsumos[[CANTIDAD ]:[CANTIDAD ]],TablaConsumos[[CÓDIGO]:[CÓDIGO]],'Inventario '!$B96,TablaConsumos[[Planta]:[Planta]],'Inventario '!P$1)</f>
        <v>0</v>
      </c>
      <c r="Q96" s="131">
        <f>SUMIFS(TablaConsumos[[CANTIDAD ]:[CANTIDAD ]],TablaConsumos[[CÓDIGO]:[CÓDIGO]],'Inventario '!$B96,TablaConsumos[[Planta]:[Planta]],'Inventario '!Q$1)</f>
        <v>0</v>
      </c>
      <c r="R96" s="131">
        <f>SUMIFS(TablaConsumos[[CANTIDAD ]:[CANTIDAD ]],TablaConsumos[[CÓDIGO]:[CÓDIGO]],'Inventario '!$B96,TablaConsumos[[Planta]:[Planta]],'Inventario '!R$1)</f>
        <v>0</v>
      </c>
      <c r="S96" s="130">
        <f t="shared" si="84"/>
        <v>0</v>
      </c>
      <c r="T96" s="130">
        <f t="shared" si="85"/>
        <v>0</v>
      </c>
      <c r="U96" s="177"/>
      <c r="V96" s="130"/>
      <c r="W96" s="132">
        <v>1</v>
      </c>
      <c r="X96" s="133">
        <f t="shared" si="89"/>
        <v>0</v>
      </c>
      <c r="Y96" s="130">
        <f t="shared" si="90"/>
        <v>0</v>
      </c>
      <c r="Z96" s="132"/>
      <c r="AA96" s="132">
        <f t="shared" si="91"/>
        <v>0</v>
      </c>
      <c r="AB96" s="132"/>
      <c r="AC96" s="131">
        <f t="shared" si="92"/>
        <v>0</v>
      </c>
      <c r="AD96" s="131"/>
      <c r="AE96" s="132" t="s">
        <v>612</v>
      </c>
      <c r="AF96" s="132">
        <v>1000</v>
      </c>
      <c r="AG96" s="168"/>
      <c r="AH96" s="134">
        <f t="shared" si="93"/>
        <v>0</v>
      </c>
      <c r="AI96" s="134">
        <f t="shared" si="94"/>
        <v>0</v>
      </c>
      <c r="AJ96" s="134">
        <f t="shared" si="95"/>
        <v>0</v>
      </c>
      <c r="AK96" s="134">
        <f t="shared" si="96"/>
        <v>0</v>
      </c>
      <c r="AL96" s="134">
        <f t="shared" si="97"/>
        <v>0</v>
      </c>
      <c r="AM96" s="134">
        <f t="shared" si="98"/>
        <v>0</v>
      </c>
      <c r="AN96" s="134">
        <f t="shared" si="99"/>
        <v>0</v>
      </c>
      <c r="AO96" s="134">
        <f t="shared" si="100"/>
        <v>0</v>
      </c>
      <c r="AP96" s="134">
        <f t="shared" si="101"/>
        <v>0</v>
      </c>
      <c r="AQ96" s="134">
        <f t="shared" si="102"/>
        <v>0</v>
      </c>
      <c r="AR96" s="134">
        <f t="shared" si="103"/>
        <v>0</v>
      </c>
      <c r="AS96" s="135">
        <f t="shared" si="86"/>
        <v>0</v>
      </c>
      <c r="AT96" s="137" t="str">
        <f t="shared" si="104"/>
        <v>0</v>
      </c>
      <c r="AU96" s="137" t="str">
        <f t="shared" si="105"/>
        <v>0</v>
      </c>
      <c r="AV96" s="137" t="str">
        <f t="shared" si="106"/>
        <v>0</v>
      </c>
      <c r="AW96" s="137" t="str">
        <f t="shared" si="107"/>
        <v>0</v>
      </c>
      <c r="AX96" s="137" t="str">
        <f t="shared" si="108"/>
        <v>0</v>
      </c>
      <c r="AY96" s="137" t="str">
        <f t="shared" si="109"/>
        <v>0</v>
      </c>
      <c r="AZ96" s="137" t="str">
        <f t="shared" si="110"/>
        <v>0</v>
      </c>
      <c r="BA96" s="137" t="str">
        <f t="shared" si="111"/>
        <v>0</v>
      </c>
      <c r="BB96" s="137" t="str">
        <f t="shared" si="112"/>
        <v>0</v>
      </c>
      <c r="BC96" s="137" t="str">
        <f t="shared" si="113"/>
        <v>0</v>
      </c>
      <c r="BD96" s="131">
        <f t="shared" si="82"/>
        <v>0</v>
      </c>
    </row>
    <row r="97" spans="2:56" x14ac:dyDescent="0.25">
      <c r="B97" s="136">
        <v>8202758</v>
      </c>
      <c r="C97" s="128" t="s">
        <v>30</v>
      </c>
      <c r="D97" s="128"/>
      <c r="E97" s="136" t="s">
        <v>179</v>
      </c>
      <c r="F97" s="274"/>
      <c r="G97" s="130">
        <f>+SUMIFS(TablaIngresos[Cantidad],TablaIngresos[Código],'Inventario '!B97)</f>
        <v>0</v>
      </c>
      <c r="H97" s="130">
        <f t="shared" si="87"/>
        <v>0</v>
      </c>
      <c r="I97" s="131">
        <f>SUMIFS(TablaConsumos[[CANTIDAD ]:[CANTIDAD ]],TablaConsumos[[CÓDIGO]:[CÓDIGO]],'Inventario '!$B97,TablaConsumos[[Planta]:[Planta]],'Inventario '!I$1)</f>
        <v>0</v>
      </c>
      <c r="J97" s="131">
        <f>SUMIFS(TablaConsumos[[CANTIDAD ]:[CANTIDAD ]],TablaConsumos[[CÓDIGO]:[CÓDIGO]],'Inventario '!$B97,TablaConsumos[[Planta]:[Planta]],'Inventario '!J$1)</f>
        <v>0</v>
      </c>
      <c r="K97" s="131">
        <f>SUMIFS(TablaConsumos[[CANTIDAD ]:[CANTIDAD ]],TablaConsumos[[CÓDIGO]:[CÓDIGO]],'Inventario '!$B97,TablaConsumos[[Planta]:[Planta]],'Inventario '!K$1)</f>
        <v>0</v>
      </c>
      <c r="L97" s="131">
        <f>SUMIFS(TablaConsumos[[CANTIDAD ]:[CANTIDAD ]],TablaConsumos[[CÓDIGO]:[CÓDIGO]],'Inventario '!$B97,TablaConsumos[[Planta]:[Planta]],'Inventario '!L$1)</f>
        <v>0</v>
      </c>
      <c r="M97" s="131">
        <f>SUMIFS(TablaConsumos[[CANTIDAD ]:[CANTIDAD ]],TablaConsumos[[CÓDIGO]:[CÓDIGO]],'Inventario '!$B97,TablaConsumos[[Planta]:[Planta]],'Inventario '!M$1)</f>
        <v>0</v>
      </c>
      <c r="N97" s="131">
        <f>SUMIFS(TablaConsumos[[CANTIDAD ]:[CANTIDAD ]],TablaConsumos[[CÓDIGO]:[CÓDIGO]],'Inventario '!$B97,TablaConsumos[[Planta]:[Planta]],'Inventario '!N$1)</f>
        <v>0</v>
      </c>
      <c r="O97" s="131">
        <f>SUMIFS(TablaConsumos[[CANTIDAD ]:[CANTIDAD ]],TablaConsumos[[CÓDIGO]:[CÓDIGO]],'Inventario '!$B97,TablaConsumos[[Planta]:[Planta]],'Inventario '!O$1)</f>
        <v>0</v>
      </c>
      <c r="P97" s="131">
        <f>SUMIFS(TablaConsumos[[CANTIDAD ]:[CANTIDAD ]],TablaConsumos[[CÓDIGO]:[CÓDIGO]],'Inventario '!$B97,TablaConsumos[[Planta]:[Planta]],'Inventario '!P$1)</f>
        <v>0</v>
      </c>
      <c r="Q97" s="131">
        <f>SUMIFS(TablaConsumos[[CANTIDAD ]:[CANTIDAD ]],TablaConsumos[[CÓDIGO]:[CÓDIGO]],'Inventario '!$B97,TablaConsumos[[Planta]:[Planta]],'Inventario '!Q$1)</f>
        <v>0</v>
      </c>
      <c r="R97" s="131">
        <f>SUMIFS(TablaConsumos[[CANTIDAD ]:[CANTIDAD ]],TablaConsumos[[CÓDIGO]:[CÓDIGO]],'Inventario '!$B97,TablaConsumos[[Planta]:[Planta]],'Inventario '!R$1)</f>
        <v>0</v>
      </c>
      <c r="S97" s="130">
        <f t="shared" si="84"/>
        <v>0</v>
      </c>
      <c r="T97" s="130">
        <f t="shared" si="85"/>
        <v>0</v>
      </c>
      <c r="U97" s="177"/>
      <c r="V97" s="130"/>
      <c r="W97" s="132">
        <v>1</v>
      </c>
      <c r="X97" s="133">
        <f t="shared" si="89"/>
        <v>0</v>
      </c>
      <c r="Y97" s="130">
        <f t="shared" si="90"/>
        <v>0</v>
      </c>
      <c r="Z97" s="132"/>
      <c r="AA97" s="132">
        <f t="shared" si="91"/>
        <v>0</v>
      </c>
      <c r="AB97" s="132"/>
      <c r="AC97" s="131">
        <f t="shared" si="92"/>
        <v>0</v>
      </c>
      <c r="AD97" s="131"/>
      <c r="AE97" s="132" t="s">
        <v>612</v>
      </c>
      <c r="AF97" s="132">
        <v>1000</v>
      </c>
      <c r="AG97" s="168"/>
      <c r="AH97" s="134">
        <f t="shared" si="93"/>
        <v>0</v>
      </c>
      <c r="AI97" s="134">
        <f t="shared" si="94"/>
        <v>0</v>
      </c>
      <c r="AJ97" s="134">
        <f t="shared" si="95"/>
        <v>0</v>
      </c>
      <c r="AK97" s="134">
        <f t="shared" si="96"/>
        <v>0</v>
      </c>
      <c r="AL97" s="134">
        <f t="shared" si="97"/>
        <v>0</v>
      </c>
      <c r="AM97" s="134">
        <f t="shared" si="98"/>
        <v>0</v>
      </c>
      <c r="AN97" s="134">
        <f t="shared" si="99"/>
        <v>0</v>
      </c>
      <c r="AO97" s="134">
        <f t="shared" si="100"/>
        <v>0</v>
      </c>
      <c r="AP97" s="134">
        <f t="shared" si="101"/>
        <v>0</v>
      </c>
      <c r="AQ97" s="134">
        <f t="shared" si="102"/>
        <v>0</v>
      </c>
      <c r="AR97" s="134">
        <f t="shared" si="103"/>
        <v>0</v>
      </c>
      <c r="AS97" s="135">
        <f t="shared" si="86"/>
        <v>0</v>
      </c>
      <c r="AT97" s="137" t="str">
        <f t="shared" si="104"/>
        <v>0</v>
      </c>
      <c r="AU97" s="137" t="str">
        <f t="shared" si="105"/>
        <v>0</v>
      </c>
      <c r="AV97" s="137" t="str">
        <f t="shared" si="106"/>
        <v>0</v>
      </c>
      <c r="AW97" s="137" t="str">
        <f t="shared" si="107"/>
        <v>0</v>
      </c>
      <c r="AX97" s="137" t="str">
        <f t="shared" si="108"/>
        <v>0</v>
      </c>
      <c r="AY97" s="137" t="str">
        <f t="shared" si="109"/>
        <v>0</v>
      </c>
      <c r="AZ97" s="137" t="str">
        <f t="shared" si="110"/>
        <v>0</v>
      </c>
      <c r="BA97" s="137" t="str">
        <f t="shared" si="111"/>
        <v>0</v>
      </c>
      <c r="BB97" s="137" t="str">
        <f t="shared" si="112"/>
        <v>0</v>
      </c>
      <c r="BC97" s="137" t="str">
        <f t="shared" si="113"/>
        <v>0</v>
      </c>
      <c r="BD97" s="131">
        <f t="shared" si="82"/>
        <v>0</v>
      </c>
    </row>
    <row r="98" spans="2:56" x14ac:dyDescent="0.25">
      <c r="B98" s="136">
        <v>8202759</v>
      </c>
      <c r="C98" s="128" t="s">
        <v>30</v>
      </c>
      <c r="D98" s="128"/>
      <c r="E98" s="136" t="s">
        <v>180</v>
      </c>
      <c r="F98" s="274"/>
      <c r="G98" s="130">
        <f>+SUMIFS(TablaIngresos[Cantidad],TablaIngresos[Código],'Inventario '!B98)</f>
        <v>0</v>
      </c>
      <c r="H98" s="130">
        <f t="shared" si="87"/>
        <v>0</v>
      </c>
      <c r="I98" s="131">
        <f>SUMIFS(TablaConsumos[[CANTIDAD ]:[CANTIDAD ]],TablaConsumos[[CÓDIGO]:[CÓDIGO]],'Inventario '!$B98,TablaConsumos[[Planta]:[Planta]],'Inventario '!I$1)</f>
        <v>0</v>
      </c>
      <c r="J98" s="131">
        <f>SUMIFS(TablaConsumos[[CANTIDAD ]:[CANTIDAD ]],TablaConsumos[[CÓDIGO]:[CÓDIGO]],'Inventario '!$B98,TablaConsumos[[Planta]:[Planta]],'Inventario '!J$1)</f>
        <v>0</v>
      </c>
      <c r="K98" s="131">
        <f>SUMIFS(TablaConsumos[[CANTIDAD ]:[CANTIDAD ]],TablaConsumos[[CÓDIGO]:[CÓDIGO]],'Inventario '!$B98,TablaConsumos[[Planta]:[Planta]],'Inventario '!K$1)</f>
        <v>0</v>
      </c>
      <c r="L98" s="131">
        <f>SUMIFS(TablaConsumos[[CANTIDAD ]:[CANTIDAD ]],TablaConsumos[[CÓDIGO]:[CÓDIGO]],'Inventario '!$B98,TablaConsumos[[Planta]:[Planta]],'Inventario '!L$1)</f>
        <v>0</v>
      </c>
      <c r="M98" s="131">
        <f>SUMIFS(TablaConsumos[[CANTIDAD ]:[CANTIDAD ]],TablaConsumos[[CÓDIGO]:[CÓDIGO]],'Inventario '!$B98,TablaConsumos[[Planta]:[Planta]],'Inventario '!M$1)</f>
        <v>0</v>
      </c>
      <c r="N98" s="131">
        <f>SUMIFS(TablaConsumos[[CANTIDAD ]:[CANTIDAD ]],TablaConsumos[[CÓDIGO]:[CÓDIGO]],'Inventario '!$B98,TablaConsumos[[Planta]:[Planta]],'Inventario '!N$1)</f>
        <v>0</v>
      </c>
      <c r="O98" s="131">
        <f>SUMIFS(TablaConsumos[[CANTIDAD ]:[CANTIDAD ]],TablaConsumos[[CÓDIGO]:[CÓDIGO]],'Inventario '!$B98,TablaConsumos[[Planta]:[Planta]],'Inventario '!O$1)</f>
        <v>0</v>
      </c>
      <c r="P98" s="131">
        <f>SUMIFS(TablaConsumos[[CANTIDAD ]:[CANTIDAD ]],TablaConsumos[[CÓDIGO]:[CÓDIGO]],'Inventario '!$B98,TablaConsumos[[Planta]:[Planta]],'Inventario '!P$1)</f>
        <v>0</v>
      </c>
      <c r="Q98" s="131">
        <f>SUMIFS(TablaConsumos[[CANTIDAD ]:[CANTIDAD ]],TablaConsumos[[CÓDIGO]:[CÓDIGO]],'Inventario '!$B98,TablaConsumos[[Planta]:[Planta]],'Inventario '!Q$1)</f>
        <v>0</v>
      </c>
      <c r="R98" s="131">
        <f>SUMIFS(TablaConsumos[[CANTIDAD ]:[CANTIDAD ]],TablaConsumos[[CÓDIGO]:[CÓDIGO]],'Inventario '!$B98,TablaConsumos[[Planta]:[Planta]],'Inventario '!R$1)</f>
        <v>0</v>
      </c>
      <c r="S98" s="130">
        <f t="shared" si="84"/>
        <v>0</v>
      </c>
      <c r="T98" s="130">
        <f t="shared" si="85"/>
        <v>0</v>
      </c>
      <c r="U98" s="177"/>
      <c r="V98" s="130"/>
      <c r="W98" s="132">
        <v>1</v>
      </c>
      <c r="X98" s="133">
        <f t="shared" si="89"/>
        <v>0</v>
      </c>
      <c r="Y98" s="130">
        <f t="shared" si="90"/>
        <v>0</v>
      </c>
      <c r="Z98" s="132"/>
      <c r="AA98" s="132">
        <f t="shared" si="91"/>
        <v>0</v>
      </c>
      <c r="AB98" s="132"/>
      <c r="AC98" s="131">
        <f t="shared" si="92"/>
        <v>0</v>
      </c>
      <c r="AD98" s="131"/>
      <c r="AE98" s="132" t="s">
        <v>612</v>
      </c>
      <c r="AF98" s="132">
        <v>1000</v>
      </c>
      <c r="AG98" s="168"/>
      <c r="AH98" s="134">
        <f t="shared" si="93"/>
        <v>0</v>
      </c>
      <c r="AI98" s="134">
        <f t="shared" si="94"/>
        <v>0</v>
      </c>
      <c r="AJ98" s="134">
        <f t="shared" si="95"/>
        <v>0</v>
      </c>
      <c r="AK98" s="134">
        <f t="shared" si="96"/>
        <v>0</v>
      </c>
      <c r="AL98" s="134">
        <f t="shared" si="97"/>
        <v>0</v>
      </c>
      <c r="AM98" s="134">
        <f t="shared" si="98"/>
        <v>0</v>
      </c>
      <c r="AN98" s="134">
        <f t="shared" si="99"/>
        <v>0</v>
      </c>
      <c r="AO98" s="134">
        <f t="shared" si="100"/>
        <v>0</v>
      </c>
      <c r="AP98" s="134">
        <f t="shared" si="101"/>
        <v>0</v>
      </c>
      <c r="AQ98" s="134">
        <f t="shared" si="102"/>
        <v>0</v>
      </c>
      <c r="AR98" s="134">
        <f t="shared" si="103"/>
        <v>0</v>
      </c>
      <c r="AS98" s="135">
        <f t="shared" si="86"/>
        <v>0</v>
      </c>
      <c r="AT98" s="137" t="str">
        <f t="shared" si="104"/>
        <v>0</v>
      </c>
      <c r="AU98" s="137" t="str">
        <f t="shared" si="105"/>
        <v>0</v>
      </c>
      <c r="AV98" s="137" t="str">
        <f t="shared" si="106"/>
        <v>0</v>
      </c>
      <c r="AW98" s="137" t="str">
        <f t="shared" si="107"/>
        <v>0</v>
      </c>
      <c r="AX98" s="137" t="str">
        <f t="shared" si="108"/>
        <v>0</v>
      </c>
      <c r="AY98" s="137" t="str">
        <f t="shared" si="109"/>
        <v>0</v>
      </c>
      <c r="AZ98" s="137" t="str">
        <f t="shared" si="110"/>
        <v>0</v>
      </c>
      <c r="BA98" s="137" t="str">
        <f t="shared" si="111"/>
        <v>0</v>
      </c>
      <c r="BB98" s="137" t="str">
        <f t="shared" si="112"/>
        <v>0</v>
      </c>
      <c r="BC98" s="137" t="str">
        <f t="shared" si="113"/>
        <v>0</v>
      </c>
      <c r="BD98" s="131">
        <f t="shared" si="82"/>
        <v>0</v>
      </c>
    </row>
    <row r="99" spans="2:56" x14ac:dyDescent="0.25">
      <c r="B99" s="136">
        <v>8202760</v>
      </c>
      <c r="C99" s="128" t="s">
        <v>30</v>
      </c>
      <c r="D99" s="128"/>
      <c r="E99" s="136" t="s">
        <v>181</v>
      </c>
      <c r="F99" s="274"/>
      <c r="G99" s="130">
        <f>+SUMIFS(TablaIngresos[Cantidad],TablaIngresos[Código],'Inventario '!B99)</f>
        <v>0</v>
      </c>
      <c r="H99" s="130">
        <f t="shared" si="87"/>
        <v>0</v>
      </c>
      <c r="I99" s="131">
        <f>SUMIFS(TablaConsumos[[CANTIDAD ]:[CANTIDAD ]],TablaConsumos[[CÓDIGO]:[CÓDIGO]],'Inventario '!$B99,TablaConsumos[[Planta]:[Planta]],'Inventario '!I$1)</f>
        <v>0</v>
      </c>
      <c r="J99" s="131">
        <f>SUMIFS(TablaConsumos[[CANTIDAD ]:[CANTIDAD ]],TablaConsumos[[CÓDIGO]:[CÓDIGO]],'Inventario '!$B99,TablaConsumos[[Planta]:[Planta]],'Inventario '!J$1)</f>
        <v>0</v>
      </c>
      <c r="K99" s="131">
        <f>SUMIFS(TablaConsumos[[CANTIDAD ]:[CANTIDAD ]],TablaConsumos[[CÓDIGO]:[CÓDIGO]],'Inventario '!$B99,TablaConsumos[[Planta]:[Planta]],'Inventario '!K$1)</f>
        <v>0</v>
      </c>
      <c r="L99" s="131">
        <f>SUMIFS(TablaConsumos[[CANTIDAD ]:[CANTIDAD ]],TablaConsumos[[CÓDIGO]:[CÓDIGO]],'Inventario '!$B99,TablaConsumos[[Planta]:[Planta]],'Inventario '!L$1)</f>
        <v>0</v>
      </c>
      <c r="M99" s="131">
        <f>SUMIFS(TablaConsumos[[CANTIDAD ]:[CANTIDAD ]],TablaConsumos[[CÓDIGO]:[CÓDIGO]],'Inventario '!$B99,TablaConsumos[[Planta]:[Planta]],'Inventario '!M$1)</f>
        <v>0</v>
      </c>
      <c r="N99" s="131">
        <f>SUMIFS(TablaConsumos[[CANTIDAD ]:[CANTIDAD ]],TablaConsumos[[CÓDIGO]:[CÓDIGO]],'Inventario '!$B99,TablaConsumos[[Planta]:[Planta]],'Inventario '!N$1)</f>
        <v>0</v>
      </c>
      <c r="O99" s="131">
        <f>SUMIFS(TablaConsumos[[CANTIDAD ]:[CANTIDAD ]],TablaConsumos[[CÓDIGO]:[CÓDIGO]],'Inventario '!$B99,TablaConsumos[[Planta]:[Planta]],'Inventario '!O$1)</f>
        <v>0</v>
      </c>
      <c r="P99" s="131">
        <f>SUMIFS(TablaConsumos[[CANTIDAD ]:[CANTIDAD ]],TablaConsumos[[CÓDIGO]:[CÓDIGO]],'Inventario '!$B99,TablaConsumos[[Planta]:[Planta]],'Inventario '!P$1)</f>
        <v>0</v>
      </c>
      <c r="Q99" s="131">
        <f>SUMIFS(TablaConsumos[[CANTIDAD ]:[CANTIDAD ]],TablaConsumos[[CÓDIGO]:[CÓDIGO]],'Inventario '!$B99,TablaConsumos[[Planta]:[Planta]],'Inventario '!Q$1)</f>
        <v>0</v>
      </c>
      <c r="R99" s="131">
        <f>SUMIFS(TablaConsumos[[CANTIDAD ]:[CANTIDAD ]],TablaConsumos[[CÓDIGO]:[CÓDIGO]],'Inventario '!$B99,TablaConsumos[[Planta]:[Planta]],'Inventario '!R$1)</f>
        <v>0</v>
      </c>
      <c r="S99" s="130">
        <f t="shared" si="84"/>
        <v>0</v>
      </c>
      <c r="T99" s="130">
        <f t="shared" si="85"/>
        <v>0</v>
      </c>
      <c r="U99" s="177"/>
      <c r="V99" s="130"/>
      <c r="W99" s="132">
        <v>1</v>
      </c>
      <c r="X99" s="133">
        <f t="shared" si="89"/>
        <v>0</v>
      </c>
      <c r="Y99" s="130">
        <f t="shared" si="90"/>
        <v>0</v>
      </c>
      <c r="Z99" s="132"/>
      <c r="AA99" s="132">
        <f t="shared" si="91"/>
        <v>0</v>
      </c>
      <c r="AB99" s="132"/>
      <c r="AC99" s="131">
        <f t="shared" si="92"/>
        <v>0</v>
      </c>
      <c r="AD99" s="131"/>
      <c r="AE99" s="132" t="s">
        <v>612</v>
      </c>
      <c r="AF99" s="132">
        <v>1000</v>
      </c>
      <c r="AG99" s="168"/>
      <c r="AH99" s="134">
        <f t="shared" si="93"/>
        <v>0</v>
      </c>
      <c r="AI99" s="134">
        <f t="shared" si="94"/>
        <v>0</v>
      </c>
      <c r="AJ99" s="134">
        <f t="shared" si="95"/>
        <v>0</v>
      </c>
      <c r="AK99" s="134">
        <f t="shared" si="96"/>
        <v>0</v>
      </c>
      <c r="AL99" s="134">
        <f t="shared" si="97"/>
        <v>0</v>
      </c>
      <c r="AM99" s="134">
        <f t="shared" si="98"/>
        <v>0</v>
      </c>
      <c r="AN99" s="134">
        <f t="shared" si="99"/>
        <v>0</v>
      </c>
      <c r="AO99" s="134">
        <f t="shared" si="100"/>
        <v>0</v>
      </c>
      <c r="AP99" s="134">
        <f t="shared" si="101"/>
        <v>0</v>
      </c>
      <c r="AQ99" s="134">
        <f t="shared" si="102"/>
        <v>0</v>
      </c>
      <c r="AR99" s="134">
        <f t="shared" si="103"/>
        <v>0</v>
      </c>
      <c r="AS99" s="135">
        <f t="shared" si="86"/>
        <v>0</v>
      </c>
      <c r="AT99" s="137" t="str">
        <f t="shared" si="104"/>
        <v>0</v>
      </c>
      <c r="AU99" s="137" t="str">
        <f t="shared" si="105"/>
        <v>0</v>
      </c>
      <c r="AV99" s="137" t="str">
        <f t="shared" si="106"/>
        <v>0</v>
      </c>
      <c r="AW99" s="137" t="str">
        <f t="shared" si="107"/>
        <v>0</v>
      </c>
      <c r="AX99" s="137" t="str">
        <f t="shared" si="108"/>
        <v>0</v>
      </c>
      <c r="AY99" s="137" t="str">
        <f t="shared" si="109"/>
        <v>0</v>
      </c>
      <c r="AZ99" s="137" t="str">
        <f t="shared" si="110"/>
        <v>0</v>
      </c>
      <c r="BA99" s="137" t="str">
        <f t="shared" si="111"/>
        <v>0</v>
      </c>
      <c r="BB99" s="137" t="str">
        <f t="shared" si="112"/>
        <v>0</v>
      </c>
      <c r="BC99" s="137" t="str">
        <f t="shared" si="113"/>
        <v>0</v>
      </c>
      <c r="BD99" s="131">
        <f t="shared" si="82"/>
        <v>0</v>
      </c>
    </row>
    <row r="100" spans="2:56" x14ac:dyDescent="0.25">
      <c r="B100" s="136">
        <v>8202761</v>
      </c>
      <c r="C100" s="128" t="s">
        <v>30</v>
      </c>
      <c r="D100" s="128"/>
      <c r="E100" s="136" t="s">
        <v>182</v>
      </c>
      <c r="F100" s="274"/>
      <c r="G100" s="130">
        <f>+SUMIFS(TablaIngresos[Cantidad],TablaIngresos[Código],'Inventario '!B100)</f>
        <v>0</v>
      </c>
      <c r="H100" s="130">
        <f t="shared" si="87"/>
        <v>0</v>
      </c>
      <c r="I100" s="131">
        <f>SUMIFS(TablaConsumos[[CANTIDAD ]:[CANTIDAD ]],TablaConsumos[[CÓDIGO]:[CÓDIGO]],'Inventario '!$B100,TablaConsumos[[Planta]:[Planta]],'Inventario '!I$1)</f>
        <v>0</v>
      </c>
      <c r="J100" s="131">
        <f>SUMIFS(TablaConsumos[[CANTIDAD ]:[CANTIDAD ]],TablaConsumos[[CÓDIGO]:[CÓDIGO]],'Inventario '!$B100,TablaConsumos[[Planta]:[Planta]],'Inventario '!J$1)</f>
        <v>0</v>
      </c>
      <c r="K100" s="131">
        <f>SUMIFS(TablaConsumos[[CANTIDAD ]:[CANTIDAD ]],TablaConsumos[[CÓDIGO]:[CÓDIGO]],'Inventario '!$B100,TablaConsumos[[Planta]:[Planta]],'Inventario '!K$1)</f>
        <v>0</v>
      </c>
      <c r="L100" s="131">
        <f>SUMIFS(TablaConsumos[[CANTIDAD ]:[CANTIDAD ]],TablaConsumos[[CÓDIGO]:[CÓDIGO]],'Inventario '!$B100,TablaConsumos[[Planta]:[Planta]],'Inventario '!L$1)</f>
        <v>0</v>
      </c>
      <c r="M100" s="131">
        <f>SUMIFS(TablaConsumos[[CANTIDAD ]:[CANTIDAD ]],TablaConsumos[[CÓDIGO]:[CÓDIGO]],'Inventario '!$B100,TablaConsumos[[Planta]:[Planta]],'Inventario '!M$1)</f>
        <v>0</v>
      </c>
      <c r="N100" s="131">
        <f>SUMIFS(TablaConsumos[[CANTIDAD ]:[CANTIDAD ]],TablaConsumos[[CÓDIGO]:[CÓDIGO]],'Inventario '!$B100,TablaConsumos[[Planta]:[Planta]],'Inventario '!N$1)</f>
        <v>0</v>
      </c>
      <c r="O100" s="131">
        <f>SUMIFS(TablaConsumos[[CANTIDAD ]:[CANTIDAD ]],TablaConsumos[[CÓDIGO]:[CÓDIGO]],'Inventario '!$B100,TablaConsumos[[Planta]:[Planta]],'Inventario '!O$1)</f>
        <v>0</v>
      </c>
      <c r="P100" s="131">
        <f>SUMIFS(TablaConsumos[[CANTIDAD ]:[CANTIDAD ]],TablaConsumos[[CÓDIGO]:[CÓDIGO]],'Inventario '!$B100,TablaConsumos[[Planta]:[Planta]],'Inventario '!P$1)</f>
        <v>0</v>
      </c>
      <c r="Q100" s="131">
        <f>SUMIFS(TablaConsumos[[CANTIDAD ]:[CANTIDAD ]],TablaConsumos[[CÓDIGO]:[CÓDIGO]],'Inventario '!$B100,TablaConsumos[[Planta]:[Planta]],'Inventario '!Q$1)</f>
        <v>0</v>
      </c>
      <c r="R100" s="131">
        <f>SUMIFS(TablaConsumos[[CANTIDAD ]:[CANTIDAD ]],TablaConsumos[[CÓDIGO]:[CÓDIGO]],'Inventario '!$B100,TablaConsumos[[Planta]:[Planta]],'Inventario '!R$1)</f>
        <v>0</v>
      </c>
      <c r="S100" s="130">
        <f t="shared" si="84"/>
        <v>0</v>
      </c>
      <c r="T100" s="130">
        <f t="shared" si="85"/>
        <v>0</v>
      </c>
      <c r="U100" s="177"/>
      <c r="V100" s="130"/>
      <c r="W100" s="132">
        <v>1</v>
      </c>
      <c r="X100" s="133">
        <f t="shared" si="89"/>
        <v>0</v>
      </c>
      <c r="Y100" s="130">
        <f t="shared" si="90"/>
        <v>0</v>
      </c>
      <c r="Z100" s="132"/>
      <c r="AA100" s="132">
        <f t="shared" si="91"/>
        <v>0</v>
      </c>
      <c r="AB100" s="132"/>
      <c r="AC100" s="131">
        <f t="shared" si="92"/>
        <v>0</v>
      </c>
      <c r="AD100" s="131"/>
      <c r="AE100" s="132" t="s">
        <v>612</v>
      </c>
      <c r="AF100" s="132">
        <v>1000</v>
      </c>
      <c r="AG100" s="168"/>
      <c r="AH100" s="134">
        <f t="shared" si="93"/>
        <v>0</v>
      </c>
      <c r="AI100" s="134">
        <f t="shared" si="94"/>
        <v>0</v>
      </c>
      <c r="AJ100" s="134">
        <f t="shared" si="95"/>
        <v>0</v>
      </c>
      <c r="AK100" s="134">
        <f t="shared" si="96"/>
        <v>0</v>
      </c>
      <c r="AL100" s="134">
        <f t="shared" si="97"/>
        <v>0</v>
      </c>
      <c r="AM100" s="134">
        <f t="shared" si="98"/>
        <v>0</v>
      </c>
      <c r="AN100" s="134">
        <f t="shared" si="99"/>
        <v>0</v>
      </c>
      <c r="AO100" s="134">
        <f t="shared" si="100"/>
        <v>0</v>
      </c>
      <c r="AP100" s="134">
        <f t="shared" si="101"/>
        <v>0</v>
      </c>
      <c r="AQ100" s="134">
        <f t="shared" si="102"/>
        <v>0</v>
      </c>
      <c r="AR100" s="134">
        <f t="shared" si="103"/>
        <v>0</v>
      </c>
      <c r="AS100" s="135">
        <f t="shared" si="86"/>
        <v>0</v>
      </c>
      <c r="AT100" s="137" t="str">
        <f t="shared" si="104"/>
        <v>0</v>
      </c>
      <c r="AU100" s="137" t="str">
        <f t="shared" si="105"/>
        <v>0</v>
      </c>
      <c r="AV100" s="137" t="str">
        <f t="shared" si="106"/>
        <v>0</v>
      </c>
      <c r="AW100" s="137" t="str">
        <f t="shared" si="107"/>
        <v>0</v>
      </c>
      <c r="AX100" s="137" t="str">
        <f t="shared" si="108"/>
        <v>0</v>
      </c>
      <c r="AY100" s="137" t="str">
        <f t="shared" si="109"/>
        <v>0</v>
      </c>
      <c r="AZ100" s="137" t="str">
        <f t="shared" si="110"/>
        <v>0</v>
      </c>
      <c r="BA100" s="137" t="str">
        <f t="shared" si="111"/>
        <v>0</v>
      </c>
      <c r="BB100" s="137" t="str">
        <f t="shared" si="112"/>
        <v>0</v>
      </c>
      <c r="BC100" s="137" t="str">
        <f t="shared" si="113"/>
        <v>0</v>
      </c>
      <c r="BD100" s="131">
        <f t="shared" si="82"/>
        <v>0</v>
      </c>
    </row>
    <row r="101" spans="2:56" x14ac:dyDescent="0.25">
      <c r="B101" s="136">
        <v>8202842</v>
      </c>
      <c r="C101" s="128" t="s">
        <v>30</v>
      </c>
      <c r="D101" s="128"/>
      <c r="E101" s="136" t="s">
        <v>183</v>
      </c>
      <c r="F101" s="274"/>
      <c r="G101" s="130">
        <f>+SUMIFS(TablaIngresos[Cantidad],TablaIngresos[Código],'Inventario '!B101)</f>
        <v>0</v>
      </c>
      <c r="H101" s="130">
        <f t="shared" si="87"/>
        <v>0</v>
      </c>
      <c r="I101" s="131">
        <f>SUMIFS(TablaConsumos[[CANTIDAD ]:[CANTIDAD ]],TablaConsumos[[CÓDIGO]:[CÓDIGO]],'Inventario '!$B101,TablaConsumos[[Planta]:[Planta]],'Inventario '!I$1)</f>
        <v>0</v>
      </c>
      <c r="J101" s="131">
        <f>SUMIFS(TablaConsumos[[CANTIDAD ]:[CANTIDAD ]],TablaConsumos[[CÓDIGO]:[CÓDIGO]],'Inventario '!$B101,TablaConsumos[[Planta]:[Planta]],'Inventario '!J$1)</f>
        <v>0</v>
      </c>
      <c r="K101" s="131">
        <f>SUMIFS(TablaConsumos[[CANTIDAD ]:[CANTIDAD ]],TablaConsumos[[CÓDIGO]:[CÓDIGO]],'Inventario '!$B101,TablaConsumos[[Planta]:[Planta]],'Inventario '!K$1)</f>
        <v>0</v>
      </c>
      <c r="L101" s="131">
        <f>SUMIFS(TablaConsumos[[CANTIDAD ]:[CANTIDAD ]],TablaConsumos[[CÓDIGO]:[CÓDIGO]],'Inventario '!$B101,TablaConsumos[[Planta]:[Planta]],'Inventario '!L$1)</f>
        <v>0</v>
      </c>
      <c r="M101" s="131">
        <f>SUMIFS(TablaConsumos[[CANTIDAD ]:[CANTIDAD ]],TablaConsumos[[CÓDIGO]:[CÓDIGO]],'Inventario '!$B101,TablaConsumos[[Planta]:[Planta]],'Inventario '!M$1)</f>
        <v>0</v>
      </c>
      <c r="N101" s="131">
        <f>SUMIFS(TablaConsumos[[CANTIDAD ]:[CANTIDAD ]],TablaConsumos[[CÓDIGO]:[CÓDIGO]],'Inventario '!$B101,TablaConsumos[[Planta]:[Planta]],'Inventario '!N$1)</f>
        <v>0</v>
      </c>
      <c r="O101" s="131">
        <f>SUMIFS(TablaConsumos[[CANTIDAD ]:[CANTIDAD ]],TablaConsumos[[CÓDIGO]:[CÓDIGO]],'Inventario '!$B101,TablaConsumos[[Planta]:[Planta]],'Inventario '!O$1)</f>
        <v>0</v>
      </c>
      <c r="P101" s="131">
        <f>SUMIFS(TablaConsumos[[CANTIDAD ]:[CANTIDAD ]],TablaConsumos[[CÓDIGO]:[CÓDIGO]],'Inventario '!$B101,TablaConsumos[[Planta]:[Planta]],'Inventario '!P$1)</f>
        <v>0</v>
      </c>
      <c r="Q101" s="131">
        <f>SUMIFS(TablaConsumos[[CANTIDAD ]:[CANTIDAD ]],TablaConsumos[[CÓDIGO]:[CÓDIGO]],'Inventario '!$B101,TablaConsumos[[Planta]:[Planta]],'Inventario '!Q$1)</f>
        <v>0</v>
      </c>
      <c r="R101" s="131">
        <f>SUMIFS(TablaConsumos[[CANTIDAD ]:[CANTIDAD ]],TablaConsumos[[CÓDIGO]:[CÓDIGO]],'Inventario '!$B101,TablaConsumos[[Planta]:[Planta]],'Inventario '!R$1)</f>
        <v>0</v>
      </c>
      <c r="S101" s="130">
        <f t="shared" ref="S101:S160" si="114">+SUM(I101:R101)</f>
        <v>0</v>
      </c>
      <c r="T101" s="130">
        <f t="shared" si="85"/>
        <v>0</v>
      </c>
      <c r="U101" s="177"/>
      <c r="V101" s="132"/>
      <c r="W101" s="179">
        <v>30.48</v>
      </c>
      <c r="X101" s="133">
        <f t="shared" si="89"/>
        <v>0</v>
      </c>
      <c r="Y101" s="130">
        <f t="shared" si="90"/>
        <v>0</v>
      </c>
      <c r="Z101" s="132"/>
      <c r="AA101" s="132">
        <f t="shared" si="91"/>
        <v>0</v>
      </c>
      <c r="AB101" s="132"/>
      <c r="AC101" s="131">
        <f t="shared" si="92"/>
        <v>0</v>
      </c>
      <c r="AD101" s="131"/>
      <c r="AE101" s="132" t="s">
        <v>612</v>
      </c>
      <c r="AF101" s="132">
        <v>3048</v>
      </c>
      <c r="AG101" s="168"/>
      <c r="AH101" s="134">
        <f t="shared" si="93"/>
        <v>0</v>
      </c>
      <c r="AI101" s="134">
        <f t="shared" si="94"/>
        <v>0</v>
      </c>
      <c r="AJ101" s="134">
        <f t="shared" si="95"/>
        <v>0</v>
      </c>
      <c r="AK101" s="134">
        <f t="shared" si="96"/>
        <v>0</v>
      </c>
      <c r="AL101" s="134">
        <f t="shared" si="97"/>
        <v>0</v>
      </c>
      <c r="AM101" s="134">
        <f t="shared" si="98"/>
        <v>0</v>
      </c>
      <c r="AN101" s="134">
        <f t="shared" si="99"/>
        <v>0</v>
      </c>
      <c r="AO101" s="134">
        <f t="shared" si="100"/>
        <v>0</v>
      </c>
      <c r="AP101" s="134">
        <f t="shared" si="101"/>
        <v>0</v>
      </c>
      <c r="AQ101" s="134">
        <f t="shared" si="102"/>
        <v>0</v>
      </c>
      <c r="AR101" s="134">
        <f t="shared" si="103"/>
        <v>0</v>
      </c>
      <c r="AS101" s="135">
        <f t="shared" ref="AS101:AS160" si="115">+SUM(AI101:AR101)</f>
        <v>0</v>
      </c>
      <c r="AT101" s="137" t="str">
        <f t="shared" si="104"/>
        <v>0</v>
      </c>
      <c r="AU101" s="137" t="str">
        <f t="shared" si="105"/>
        <v>0</v>
      </c>
      <c r="AV101" s="137" t="str">
        <f t="shared" si="106"/>
        <v>0</v>
      </c>
      <c r="AW101" s="137" t="str">
        <f t="shared" si="107"/>
        <v>0</v>
      </c>
      <c r="AX101" s="137" t="str">
        <f t="shared" si="108"/>
        <v>0</v>
      </c>
      <c r="AY101" s="137" t="str">
        <f t="shared" si="109"/>
        <v>0</v>
      </c>
      <c r="AZ101" s="137" t="str">
        <f t="shared" si="110"/>
        <v>0</v>
      </c>
      <c r="BA101" s="137" t="str">
        <f t="shared" si="111"/>
        <v>0</v>
      </c>
      <c r="BB101" s="137" t="str">
        <f t="shared" si="112"/>
        <v>0</v>
      </c>
      <c r="BC101" s="137" t="str">
        <f t="shared" si="113"/>
        <v>0</v>
      </c>
      <c r="BD101" s="131">
        <f t="shared" ref="BD101:BD160" si="116">+SUM(AT101:BC101)</f>
        <v>0</v>
      </c>
    </row>
    <row r="102" spans="2:56" x14ac:dyDescent="0.25">
      <c r="B102" s="136">
        <v>8202840</v>
      </c>
      <c r="C102" s="128" t="s">
        <v>30</v>
      </c>
      <c r="D102" s="128"/>
      <c r="E102" s="136" t="s">
        <v>184</v>
      </c>
      <c r="F102" s="274"/>
      <c r="G102" s="130">
        <f>+SUMIFS(TablaIngresos[Cantidad],TablaIngresos[Código],'Inventario '!B102)</f>
        <v>0</v>
      </c>
      <c r="H102" s="130">
        <f t="shared" si="87"/>
        <v>0</v>
      </c>
      <c r="I102" s="131">
        <f>SUMIFS(TablaConsumos[[CANTIDAD ]:[CANTIDAD ]],TablaConsumos[[CÓDIGO]:[CÓDIGO]],'Inventario '!$B102,TablaConsumos[[Planta]:[Planta]],'Inventario '!I$1)</f>
        <v>0</v>
      </c>
      <c r="J102" s="131">
        <f>SUMIFS(TablaConsumos[[CANTIDAD ]:[CANTIDAD ]],TablaConsumos[[CÓDIGO]:[CÓDIGO]],'Inventario '!$B102,TablaConsumos[[Planta]:[Planta]],'Inventario '!J$1)</f>
        <v>0</v>
      </c>
      <c r="K102" s="131">
        <f>SUMIFS(TablaConsumos[[CANTIDAD ]:[CANTIDAD ]],TablaConsumos[[CÓDIGO]:[CÓDIGO]],'Inventario '!$B102,TablaConsumos[[Planta]:[Planta]],'Inventario '!K$1)</f>
        <v>0</v>
      </c>
      <c r="L102" s="131">
        <f>SUMIFS(TablaConsumos[[CANTIDAD ]:[CANTIDAD ]],TablaConsumos[[CÓDIGO]:[CÓDIGO]],'Inventario '!$B102,TablaConsumos[[Planta]:[Planta]],'Inventario '!L$1)</f>
        <v>0</v>
      </c>
      <c r="M102" s="131">
        <f>SUMIFS(TablaConsumos[[CANTIDAD ]:[CANTIDAD ]],TablaConsumos[[CÓDIGO]:[CÓDIGO]],'Inventario '!$B102,TablaConsumos[[Planta]:[Planta]],'Inventario '!M$1)</f>
        <v>0</v>
      </c>
      <c r="N102" s="131">
        <f>SUMIFS(TablaConsumos[[CANTIDAD ]:[CANTIDAD ]],TablaConsumos[[CÓDIGO]:[CÓDIGO]],'Inventario '!$B102,TablaConsumos[[Planta]:[Planta]],'Inventario '!N$1)</f>
        <v>0</v>
      </c>
      <c r="O102" s="131">
        <f>SUMIFS(TablaConsumos[[CANTIDAD ]:[CANTIDAD ]],TablaConsumos[[CÓDIGO]:[CÓDIGO]],'Inventario '!$B102,TablaConsumos[[Planta]:[Planta]],'Inventario '!O$1)</f>
        <v>0</v>
      </c>
      <c r="P102" s="131">
        <f>SUMIFS(TablaConsumos[[CANTIDAD ]:[CANTIDAD ]],TablaConsumos[[CÓDIGO]:[CÓDIGO]],'Inventario '!$B102,TablaConsumos[[Planta]:[Planta]],'Inventario '!P$1)</f>
        <v>0</v>
      </c>
      <c r="Q102" s="131">
        <f>SUMIFS(TablaConsumos[[CANTIDAD ]:[CANTIDAD ]],TablaConsumos[[CÓDIGO]:[CÓDIGO]],'Inventario '!$B102,TablaConsumos[[Planta]:[Planta]],'Inventario '!Q$1)</f>
        <v>0</v>
      </c>
      <c r="R102" s="131">
        <f>SUMIFS(TablaConsumos[[CANTIDAD ]:[CANTIDAD ]],TablaConsumos[[CÓDIGO]:[CÓDIGO]],'Inventario '!$B102,TablaConsumos[[Planta]:[Planta]],'Inventario '!R$1)</f>
        <v>0</v>
      </c>
      <c r="S102" s="130">
        <f t="shared" si="114"/>
        <v>0</v>
      </c>
      <c r="T102" s="130">
        <f t="shared" si="85"/>
        <v>0</v>
      </c>
      <c r="U102" s="177"/>
      <c r="V102" s="132"/>
      <c r="W102" s="179">
        <v>30.48</v>
      </c>
      <c r="X102" s="133">
        <f t="shared" si="89"/>
        <v>0</v>
      </c>
      <c r="Y102" s="130">
        <f t="shared" si="90"/>
        <v>0</v>
      </c>
      <c r="Z102" s="132"/>
      <c r="AA102" s="132">
        <f t="shared" si="91"/>
        <v>0</v>
      </c>
      <c r="AB102" s="132"/>
      <c r="AC102" s="131">
        <f t="shared" si="92"/>
        <v>0</v>
      </c>
      <c r="AD102" s="188"/>
      <c r="AE102" s="132" t="s">
        <v>615</v>
      </c>
      <c r="AF102" s="132">
        <v>6096</v>
      </c>
      <c r="AG102" s="168"/>
      <c r="AH102" s="134">
        <f t="shared" si="93"/>
        <v>0</v>
      </c>
      <c r="AI102" s="134">
        <f t="shared" si="94"/>
        <v>0</v>
      </c>
      <c r="AJ102" s="134">
        <f t="shared" si="95"/>
        <v>0</v>
      </c>
      <c r="AK102" s="134">
        <f t="shared" si="96"/>
        <v>0</v>
      </c>
      <c r="AL102" s="134">
        <f t="shared" si="97"/>
        <v>0</v>
      </c>
      <c r="AM102" s="134">
        <f t="shared" si="98"/>
        <v>0</v>
      </c>
      <c r="AN102" s="134">
        <f t="shared" si="99"/>
        <v>0</v>
      </c>
      <c r="AO102" s="134">
        <f t="shared" si="100"/>
        <v>0</v>
      </c>
      <c r="AP102" s="134">
        <f t="shared" si="101"/>
        <v>0</v>
      </c>
      <c r="AQ102" s="134">
        <f t="shared" si="102"/>
        <v>0</v>
      </c>
      <c r="AR102" s="134">
        <f t="shared" si="103"/>
        <v>0</v>
      </c>
      <c r="AS102" s="135">
        <f t="shared" si="115"/>
        <v>0</v>
      </c>
      <c r="AT102" s="137" t="str">
        <f t="shared" si="104"/>
        <v>0</v>
      </c>
      <c r="AU102" s="137" t="str">
        <f t="shared" si="105"/>
        <v>0</v>
      </c>
      <c r="AV102" s="137" t="str">
        <f t="shared" si="106"/>
        <v>0</v>
      </c>
      <c r="AW102" s="137" t="str">
        <f t="shared" si="107"/>
        <v>0</v>
      </c>
      <c r="AX102" s="137" t="str">
        <f t="shared" si="108"/>
        <v>0</v>
      </c>
      <c r="AY102" s="137" t="str">
        <f t="shared" si="109"/>
        <v>0</v>
      </c>
      <c r="AZ102" s="137" t="str">
        <f t="shared" si="110"/>
        <v>0</v>
      </c>
      <c r="BA102" s="137" t="str">
        <f t="shared" si="111"/>
        <v>0</v>
      </c>
      <c r="BB102" s="137" t="str">
        <f t="shared" si="112"/>
        <v>0</v>
      </c>
      <c r="BC102" s="137" t="str">
        <f t="shared" si="113"/>
        <v>0</v>
      </c>
      <c r="BD102" s="131">
        <f t="shared" si="116"/>
        <v>0</v>
      </c>
    </row>
    <row r="103" spans="2:56" x14ac:dyDescent="0.25">
      <c r="B103" s="136">
        <v>8202841</v>
      </c>
      <c r="C103" s="128" t="s">
        <v>30</v>
      </c>
      <c r="D103" s="128"/>
      <c r="E103" s="136" t="s">
        <v>724</v>
      </c>
      <c r="F103" s="274"/>
      <c r="G103" s="130">
        <f>+SUMIFS(TablaIngresos[Cantidad],TablaIngresos[Código],'Inventario '!B103)</f>
        <v>0</v>
      </c>
      <c r="H103" s="130">
        <f t="shared" si="87"/>
        <v>0</v>
      </c>
      <c r="I103" s="131">
        <f>SUMIFS(TablaConsumos[[CANTIDAD ]:[CANTIDAD ]],TablaConsumos[[CÓDIGO]:[CÓDIGO]],'Inventario '!$B103,TablaConsumos[[Planta]:[Planta]],'Inventario '!I$1)</f>
        <v>0</v>
      </c>
      <c r="J103" s="131">
        <f>SUMIFS(TablaConsumos[[CANTIDAD ]:[CANTIDAD ]],TablaConsumos[[CÓDIGO]:[CÓDIGO]],'Inventario '!$B103,TablaConsumos[[Planta]:[Planta]],'Inventario '!J$1)</f>
        <v>0</v>
      </c>
      <c r="K103" s="131">
        <f>SUMIFS(TablaConsumos[[CANTIDAD ]:[CANTIDAD ]],TablaConsumos[[CÓDIGO]:[CÓDIGO]],'Inventario '!$B103,TablaConsumos[[Planta]:[Planta]],'Inventario '!K$1)</f>
        <v>0</v>
      </c>
      <c r="L103" s="131">
        <f>SUMIFS(TablaConsumos[[CANTIDAD ]:[CANTIDAD ]],TablaConsumos[[CÓDIGO]:[CÓDIGO]],'Inventario '!$B103,TablaConsumos[[Planta]:[Planta]],'Inventario '!L$1)</f>
        <v>0</v>
      </c>
      <c r="M103" s="131">
        <f>SUMIFS(TablaConsumos[[CANTIDAD ]:[CANTIDAD ]],TablaConsumos[[CÓDIGO]:[CÓDIGO]],'Inventario '!$B103,TablaConsumos[[Planta]:[Planta]],'Inventario '!M$1)</f>
        <v>0</v>
      </c>
      <c r="N103" s="131">
        <f>SUMIFS(TablaConsumos[[CANTIDAD ]:[CANTIDAD ]],TablaConsumos[[CÓDIGO]:[CÓDIGO]],'Inventario '!$B103,TablaConsumos[[Planta]:[Planta]],'Inventario '!N$1)</f>
        <v>0</v>
      </c>
      <c r="O103" s="131">
        <f>SUMIFS(TablaConsumos[[CANTIDAD ]:[CANTIDAD ]],TablaConsumos[[CÓDIGO]:[CÓDIGO]],'Inventario '!$B103,TablaConsumos[[Planta]:[Planta]],'Inventario '!O$1)</f>
        <v>0</v>
      </c>
      <c r="P103" s="131">
        <f>SUMIFS(TablaConsumos[[CANTIDAD ]:[CANTIDAD ]],TablaConsumos[[CÓDIGO]:[CÓDIGO]],'Inventario '!$B103,TablaConsumos[[Planta]:[Planta]],'Inventario '!P$1)</f>
        <v>0</v>
      </c>
      <c r="Q103" s="131">
        <f>SUMIFS(TablaConsumos[[CANTIDAD ]:[CANTIDAD ]],TablaConsumos[[CÓDIGO]:[CÓDIGO]],'Inventario '!$B103,TablaConsumos[[Planta]:[Planta]],'Inventario '!Q$1)</f>
        <v>0</v>
      </c>
      <c r="R103" s="131">
        <f>SUMIFS(TablaConsumos[[CANTIDAD ]:[CANTIDAD ]],TablaConsumos[[CÓDIGO]:[CÓDIGO]],'Inventario '!$B103,TablaConsumos[[Planta]:[Planta]],'Inventario '!R$1)</f>
        <v>0</v>
      </c>
      <c r="S103" s="130">
        <f t="shared" si="114"/>
        <v>0</v>
      </c>
      <c r="T103" s="130">
        <f t="shared" si="85"/>
        <v>0</v>
      </c>
      <c r="U103" s="177"/>
      <c r="V103" s="132"/>
      <c r="W103" s="179">
        <v>30.48</v>
      </c>
      <c r="X103" s="133">
        <f t="shared" si="89"/>
        <v>0</v>
      </c>
      <c r="Y103" s="130">
        <f t="shared" si="90"/>
        <v>0</v>
      </c>
      <c r="Z103" s="132"/>
      <c r="AA103" s="132">
        <f t="shared" si="91"/>
        <v>0</v>
      </c>
      <c r="AB103" s="132"/>
      <c r="AC103" s="131">
        <f t="shared" si="92"/>
        <v>0</v>
      </c>
      <c r="AD103" s="131"/>
      <c r="AE103" s="132" t="s">
        <v>612</v>
      </c>
      <c r="AF103" s="132">
        <v>3048</v>
      </c>
      <c r="AG103" s="168"/>
      <c r="AH103" s="134">
        <f t="shared" si="93"/>
        <v>0</v>
      </c>
      <c r="AI103" s="134">
        <f t="shared" si="94"/>
        <v>0</v>
      </c>
      <c r="AJ103" s="134">
        <f t="shared" si="95"/>
        <v>0</v>
      </c>
      <c r="AK103" s="134">
        <f t="shared" si="96"/>
        <v>0</v>
      </c>
      <c r="AL103" s="134">
        <f t="shared" si="97"/>
        <v>0</v>
      </c>
      <c r="AM103" s="134">
        <f t="shared" si="98"/>
        <v>0</v>
      </c>
      <c r="AN103" s="134">
        <f t="shared" si="99"/>
        <v>0</v>
      </c>
      <c r="AO103" s="134">
        <f t="shared" si="100"/>
        <v>0</v>
      </c>
      <c r="AP103" s="134">
        <f t="shared" si="101"/>
        <v>0</v>
      </c>
      <c r="AQ103" s="134">
        <f t="shared" si="102"/>
        <v>0</v>
      </c>
      <c r="AR103" s="134">
        <f t="shared" si="103"/>
        <v>0</v>
      </c>
      <c r="AS103" s="135">
        <f t="shared" si="115"/>
        <v>0</v>
      </c>
      <c r="AT103" s="137" t="str">
        <f t="shared" si="104"/>
        <v>0</v>
      </c>
      <c r="AU103" s="137" t="str">
        <f t="shared" si="105"/>
        <v>0</v>
      </c>
      <c r="AV103" s="137" t="str">
        <f t="shared" si="106"/>
        <v>0</v>
      </c>
      <c r="AW103" s="137" t="str">
        <f t="shared" si="107"/>
        <v>0</v>
      </c>
      <c r="AX103" s="137" t="str">
        <f t="shared" si="108"/>
        <v>0</v>
      </c>
      <c r="AY103" s="137" t="str">
        <f t="shared" si="109"/>
        <v>0</v>
      </c>
      <c r="AZ103" s="137" t="str">
        <f t="shared" si="110"/>
        <v>0</v>
      </c>
      <c r="BA103" s="137" t="str">
        <f t="shared" si="111"/>
        <v>0</v>
      </c>
      <c r="BB103" s="137" t="str">
        <f t="shared" si="112"/>
        <v>0</v>
      </c>
      <c r="BC103" s="137" t="str">
        <f t="shared" si="113"/>
        <v>0</v>
      </c>
      <c r="BD103" s="131">
        <f t="shared" si="116"/>
        <v>0</v>
      </c>
    </row>
    <row r="104" spans="2:56" x14ac:dyDescent="0.25">
      <c r="B104" s="136">
        <v>8203010</v>
      </c>
      <c r="C104" s="128" t="s">
        <v>30</v>
      </c>
      <c r="D104" s="128"/>
      <c r="E104" s="136" t="s">
        <v>690</v>
      </c>
      <c r="F104" s="274"/>
      <c r="G104" s="130">
        <f>+SUMIFS(TablaIngresos[Cantidad],TablaIngresos[Código],'Inventario '!B104)</f>
        <v>0</v>
      </c>
      <c r="H104" s="130">
        <f t="shared" si="87"/>
        <v>0</v>
      </c>
      <c r="I104" s="131">
        <f>SUMIFS(TablaConsumos[[CANTIDAD ]:[CANTIDAD ]],TablaConsumos[[CÓDIGO]:[CÓDIGO]],'Inventario '!$B104,TablaConsumos[[Planta]:[Planta]],'Inventario '!I$1)</f>
        <v>0</v>
      </c>
      <c r="J104" s="131">
        <f>SUMIFS(TablaConsumos[[CANTIDAD ]:[CANTIDAD ]],TablaConsumos[[CÓDIGO]:[CÓDIGO]],'Inventario '!$B104,TablaConsumos[[Planta]:[Planta]],'Inventario '!J$1)</f>
        <v>0</v>
      </c>
      <c r="K104" s="131">
        <f>SUMIFS(TablaConsumos[[CANTIDAD ]:[CANTIDAD ]],TablaConsumos[[CÓDIGO]:[CÓDIGO]],'Inventario '!$B104,TablaConsumos[[Planta]:[Planta]],'Inventario '!K$1)</f>
        <v>0</v>
      </c>
      <c r="L104" s="131">
        <f>SUMIFS(TablaConsumos[[CANTIDAD ]:[CANTIDAD ]],TablaConsumos[[CÓDIGO]:[CÓDIGO]],'Inventario '!$B104,TablaConsumos[[Planta]:[Planta]],'Inventario '!L$1)</f>
        <v>0</v>
      </c>
      <c r="M104" s="131">
        <f>SUMIFS(TablaConsumos[[CANTIDAD ]:[CANTIDAD ]],TablaConsumos[[CÓDIGO]:[CÓDIGO]],'Inventario '!$B104,TablaConsumos[[Planta]:[Planta]],'Inventario '!M$1)</f>
        <v>0</v>
      </c>
      <c r="N104" s="131">
        <f>SUMIFS(TablaConsumos[[CANTIDAD ]:[CANTIDAD ]],TablaConsumos[[CÓDIGO]:[CÓDIGO]],'Inventario '!$B104,TablaConsumos[[Planta]:[Planta]],'Inventario '!N$1)</f>
        <v>0</v>
      </c>
      <c r="O104" s="131">
        <f>SUMIFS(TablaConsumos[[CANTIDAD ]:[CANTIDAD ]],TablaConsumos[[CÓDIGO]:[CÓDIGO]],'Inventario '!$B104,TablaConsumos[[Planta]:[Planta]],'Inventario '!O$1)</f>
        <v>0</v>
      </c>
      <c r="P104" s="131">
        <f>SUMIFS(TablaConsumos[[CANTIDAD ]:[CANTIDAD ]],TablaConsumos[[CÓDIGO]:[CÓDIGO]],'Inventario '!$B104,TablaConsumos[[Planta]:[Planta]],'Inventario '!P$1)</f>
        <v>0</v>
      </c>
      <c r="Q104" s="131">
        <f>SUMIFS(TablaConsumos[[CANTIDAD ]:[CANTIDAD ]],TablaConsumos[[CÓDIGO]:[CÓDIGO]],'Inventario '!$B104,TablaConsumos[[Planta]:[Planta]],'Inventario '!Q$1)</f>
        <v>0</v>
      </c>
      <c r="R104" s="131">
        <f>SUMIFS(TablaConsumos[[CANTIDAD ]:[CANTIDAD ]],TablaConsumos[[CÓDIGO]:[CÓDIGO]],'Inventario '!$B104,TablaConsumos[[Planta]:[Planta]],'Inventario '!R$1)</f>
        <v>0</v>
      </c>
      <c r="S104" s="130">
        <f t="shared" si="114"/>
        <v>0</v>
      </c>
      <c r="T104" s="130">
        <f t="shared" si="85"/>
        <v>0</v>
      </c>
      <c r="U104" s="177"/>
      <c r="V104" s="132"/>
      <c r="W104" s="179">
        <v>30.48</v>
      </c>
      <c r="X104" s="133">
        <f t="shared" si="89"/>
        <v>0</v>
      </c>
      <c r="Y104" s="130">
        <f t="shared" si="90"/>
        <v>0</v>
      </c>
      <c r="Z104" s="132"/>
      <c r="AA104" s="132">
        <f t="shared" si="91"/>
        <v>0</v>
      </c>
      <c r="AB104" s="132"/>
      <c r="AC104" s="131">
        <f t="shared" si="92"/>
        <v>0</v>
      </c>
      <c r="AD104" s="131"/>
      <c r="AE104" s="132" t="s">
        <v>612</v>
      </c>
      <c r="AF104" s="132">
        <v>3048</v>
      </c>
      <c r="AG104" s="168"/>
      <c r="AH104" s="134">
        <f t="shared" si="93"/>
        <v>0</v>
      </c>
      <c r="AI104" s="134">
        <f t="shared" si="94"/>
        <v>0</v>
      </c>
      <c r="AJ104" s="134">
        <f t="shared" si="95"/>
        <v>0</v>
      </c>
      <c r="AK104" s="134">
        <f t="shared" si="96"/>
        <v>0</v>
      </c>
      <c r="AL104" s="134">
        <f t="shared" si="97"/>
        <v>0</v>
      </c>
      <c r="AM104" s="134">
        <f t="shared" si="98"/>
        <v>0</v>
      </c>
      <c r="AN104" s="134">
        <f t="shared" si="99"/>
        <v>0</v>
      </c>
      <c r="AO104" s="134">
        <f t="shared" si="100"/>
        <v>0</v>
      </c>
      <c r="AP104" s="134">
        <f t="shared" si="101"/>
        <v>0</v>
      </c>
      <c r="AQ104" s="134">
        <f t="shared" si="102"/>
        <v>0</v>
      </c>
      <c r="AR104" s="134">
        <f t="shared" si="103"/>
        <v>0</v>
      </c>
      <c r="AS104" s="135">
        <f t="shared" si="115"/>
        <v>0</v>
      </c>
      <c r="AT104" s="137" t="str">
        <f t="shared" si="104"/>
        <v>0</v>
      </c>
      <c r="AU104" s="137" t="str">
        <f t="shared" si="105"/>
        <v>0</v>
      </c>
      <c r="AV104" s="137" t="str">
        <f t="shared" si="106"/>
        <v>0</v>
      </c>
      <c r="AW104" s="137" t="str">
        <f t="shared" si="107"/>
        <v>0</v>
      </c>
      <c r="AX104" s="137" t="str">
        <f t="shared" si="108"/>
        <v>0</v>
      </c>
      <c r="AY104" s="137" t="str">
        <f t="shared" si="109"/>
        <v>0</v>
      </c>
      <c r="AZ104" s="137" t="str">
        <f t="shared" si="110"/>
        <v>0</v>
      </c>
      <c r="BA104" s="137" t="str">
        <f t="shared" si="111"/>
        <v>0</v>
      </c>
      <c r="BB104" s="137" t="str">
        <f t="shared" si="112"/>
        <v>0</v>
      </c>
      <c r="BC104" s="137" t="str">
        <f t="shared" si="113"/>
        <v>0</v>
      </c>
      <c r="BD104" s="131">
        <f t="shared" si="116"/>
        <v>0</v>
      </c>
    </row>
    <row r="105" spans="2:56" x14ac:dyDescent="0.25">
      <c r="B105" s="136">
        <v>8203011</v>
      </c>
      <c r="C105" s="128" t="s">
        <v>30</v>
      </c>
      <c r="D105" s="128"/>
      <c r="E105" s="136" t="s">
        <v>187</v>
      </c>
      <c r="F105" s="274"/>
      <c r="G105" s="130">
        <f>+SUMIFS(TablaIngresos[Cantidad],TablaIngresos[Código],'Inventario '!B105)</f>
        <v>0</v>
      </c>
      <c r="H105" s="130">
        <f t="shared" si="87"/>
        <v>0</v>
      </c>
      <c r="I105" s="131">
        <f>SUMIFS(TablaConsumos[[CANTIDAD ]:[CANTIDAD ]],TablaConsumos[[CÓDIGO]:[CÓDIGO]],'Inventario '!$B105,TablaConsumos[[Planta]:[Planta]],'Inventario '!I$1)</f>
        <v>0</v>
      </c>
      <c r="J105" s="131">
        <f>SUMIFS(TablaConsumos[[CANTIDAD ]:[CANTIDAD ]],TablaConsumos[[CÓDIGO]:[CÓDIGO]],'Inventario '!$B105,TablaConsumos[[Planta]:[Planta]],'Inventario '!J$1)</f>
        <v>0</v>
      </c>
      <c r="K105" s="131">
        <f>SUMIFS(TablaConsumos[[CANTIDAD ]:[CANTIDAD ]],TablaConsumos[[CÓDIGO]:[CÓDIGO]],'Inventario '!$B105,TablaConsumos[[Planta]:[Planta]],'Inventario '!K$1)</f>
        <v>0</v>
      </c>
      <c r="L105" s="131">
        <f>SUMIFS(TablaConsumos[[CANTIDAD ]:[CANTIDAD ]],TablaConsumos[[CÓDIGO]:[CÓDIGO]],'Inventario '!$B105,TablaConsumos[[Planta]:[Planta]],'Inventario '!L$1)</f>
        <v>0</v>
      </c>
      <c r="M105" s="131">
        <f>SUMIFS(TablaConsumos[[CANTIDAD ]:[CANTIDAD ]],TablaConsumos[[CÓDIGO]:[CÓDIGO]],'Inventario '!$B105,TablaConsumos[[Planta]:[Planta]],'Inventario '!M$1)</f>
        <v>0</v>
      </c>
      <c r="N105" s="131">
        <f>SUMIFS(TablaConsumos[[CANTIDAD ]:[CANTIDAD ]],TablaConsumos[[CÓDIGO]:[CÓDIGO]],'Inventario '!$B105,TablaConsumos[[Planta]:[Planta]],'Inventario '!N$1)</f>
        <v>0</v>
      </c>
      <c r="O105" s="131">
        <f>SUMIFS(TablaConsumos[[CANTIDAD ]:[CANTIDAD ]],TablaConsumos[[CÓDIGO]:[CÓDIGO]],'Inventario '!$B105,TablaConsumos[[Planta]:[Planta]],'Inventario '!O$1)</f>
        <v>0</v>
      </c>
      <c r="P105" s="131">
        <f>SUMIFS(TablaConsumos[[CANTIDAD ]:[CANTIDAD ]],TablaConsumos[[CÓDIGO]:[CÓDIGO]],'Inventario '!$B105,TablaConsumos[[Planta]:[Planta]],'Inventario '!P$1)</f>
        <v>0</v>
      </c>
      <c r="Q105" s="131">
        <f>SUMIFS(TablaConsumos[[CANTIDAD ]:[CANTIDAD ]],TablaConsumos[[CÓDIGO]:[CÓDIGO]],'Inventario '!$B105,TablaConsumos[[Planta]:[Planta]],'Inventario '!Q$1)</f>
        <v>0</v>
      </c>
      <c r="R105" s="131">
        <f>SUMIFS(TablaConsumos[[CANTIDAD ]:[CANTIDAD ]],TablaConsumos[[CÓDIGO]:[CÓDIGO]],'Inventario '!$B105,TablaConsumos[[Planta]:[Planta]],'Inventario '!R$1)</f>
        <v>0</v>
      </c>
      <c r="S105" s="130">
        <f t="shared" si="114"/>
        <v>0</v>
      </c>
      <c r="T105" s="130">
        <f t="shared" si="85"/>
        <v>0</v>
      </c>
      <c r="U105" s="177"/>
      <c r="V105" s="130"/>
      <c r="W105" s="179">
        <v>30.48</v>
      </c>
      <c r="X105" s="133">
        <f t="shared" si="89"/>
        <v>0</v>
      </c>
      <c r="Y105" s="130">
        <f t="shared" si="90"/>
        <v>0</v>
      </c>
      <c r="Z105" s="132"/>
      <c r="AA105" s="132">
        <f t="shared" si="91"/>
        <v>0</v>
      </c>
      <c r="AB105" s="132"/>
      <c r="AC105" s="131">
        <f t="shared" si="92"/>
        <v>0</v>
      </c>
      <c r="AD105" s="131"/>
      <c r="AE105" s="132" t="s">
        <v>612</v>
      </c>
      <c r="AF105" s="132">
        <v>3048</v>
      </c>
      <c r="AG105" s="168"/>
      <c r="AH105" s="134">
        <f t="shared" si="93"/>
        <v>0</v>
      </c>
      <c r="AI105" s="134">
        <f t="shared" si="94"/>
        <v>0</v>
      </c>
      <c r="AJ105" s="134">
        <f t="shared" si="95"/>
        <v>0</v>
      </c>
      <c r="AK105" s="134">
        <f t="shared" si="96"/>
        <v>0</v>
      </c>
      <c r="AL105" s="134">
        <f t="shared" si="97"/>
        <v>0</v>
      </c>
      <c r="AM105" s="134">
        <f t="shared" si="98"/>
        <v>0</v>
      </c>
      <c r="AN105" s="134">
        <f t="shared" si="99"/>
        <v>0</v>
      </c>
      <c r="AO105" s="134">
        <f t="shared" si="100"/>
        <v>0</v>
      </c>
      <c r="AP105" s="134">
        <f t="shared" si="101"/>
        <v>0</v>
      </c>
      <c r="AQ105" s="134">
        <f t="shared" si="102"/>
        <v>0</v>
      </c>
      <c r="AR105" s="134">
        <f t="shared" si="103"/>
        <v>0</v>
      </c>
      <c r="AS105" s="135">
        <f t="shared" si="115"/>
        <v>0</v>
      </c>
      <c r="AT105" s="137" t="str">
        <f t="shared" si="104"/>
        <v>0</v>
      </c>
      <c r="AU105" s="137" t="str">
        <f t="shared" si="105"/>
        <v>0</v>
      </c>
      <c r="AV105" s="137" t="str">
        <f t="shared" si="106"/>
        <v>0</v>
      </c>
      <c r="AW105" s="137" t="str">
        <f t="shared" si="107"/>
        <v>0</v>
      </c>
      <c r="AX105" s="137" t="str">
        <f t="shared" si="108"/>
        <v>0</v>
      </c>
      <c r="AY105" s="137" t="str">
        <f t="shared" si="109"/>
        <v>0</v>
      </c>
      <c r="AZ105" s="137" t="str">
        <f t="shared" si="110"/>
        <v>0</v>
      </c>
      <c r="BA105" s="137" t="str">
        <f t="shared" si="111"/>
        <v>0</v>
      </c>
      <c r="BB105" s="137" t="str">
        <f t="shared" si="112"/>
        <v>0</v>
      </c>
      <c r="BC105" s="137" t="str">
        <f t="shared" si="113"/>
        <v>0</v>
      </c>
      <c r="BD105" s="131">
        <f t="shared" si="116"/>
        <v>0</v>
      </c>
    </row>
    <row r="106" spans="2:56" x14ac:dyDescent="0.25">
      <c r="B106" s="136">
        <v>8204140</v>
      </c>
      <c r="C106" s="128" t="s">
        <v>30</v>
      </c>
      <c r="D106" s="128"/>
      <c r="E106" s="147" t="s">
        <v>188</v>
      </c>
      <c r="F106" s="274"/>
      <c r="G106" s="130">
        <f>+SUMIFS(TablaIngresos[Cantidad],TablaIngresos[Código],'Inventario '!B106)</f>
        <v>0</v>
      </c>
      <c r="H106" s="130">
        <f t="shared" si="87"/>
        <v>0</v>
      </c>
      <c r="I106" s="131">
        <f>SUMIFS(TablaConsumos[[CANTIDAD ]:[CANTIDAD ]],TablaConsumos[[CÓDIGO]:[CÓDIGO]],'Inventario '!$B106,TablaConsumos[[Planta]:[Planta]],'Inventario '!I$1)</f>
        <v>0</v>
      </c>
      <c r="J106" s="131">
        <f>SUMIFS(TablaConsumos[[CANTIDAD ]:[CANTIDAD ]],TablaConsumos[[CÓDIGO]:[CÓDIGO]],'Inventario '!$B106,TablaConsumos[[Planta]:[Planta]],'Inventario '!J$1)</f>
        <v>0</v>
      </c>
      <c r="K106" s="131">
        <f>SUMIFS(TablaConsumos[[CANTIDAD ]:[CANTIDAD ]],TablaConsumos[[CÓDIGO]:[CÓDIGO]],'Inventario '!$B106,TablaConsumos[[Planta]:[Planta]],'Inventario '!K$1)</f>
        <v>0</v>
      </c>
      <c r="L106" s="131">
        <f>SUMIFS(TablaConsumos[[CANTIDAD ]:[CANTIDAD ]],TablaConsumos[[CÓDIGO]:[CÓDIGO]],'Inventario '!$B106,TablaConsumos[[Planta]:[Planta]],'Inventario '!L$1)</f>
        <v>0</v>
      </c>
      <c r="M106" s="131">
        <f>SUMIFS(TablaConsumos[[CANTIDAD ]:[CANTIDAD ]],TablaConsumos[[CÓDIGO]:[CÓDIGO]],'Inventario '!$B106,TablaConsumos[[Planta]:[Planta]],'Inventario '!M$1)</f>
        <v>0</v>
      </c>
      <c r="N106" s="131">
        <f>SUMIFS(TablaConsumos[[CANTIDAD ]:[CANTIDAD ]],TablaConsumos[[CÓDIGO]:[CÓDIGO]],'Inventario '!$B106,TablaConsumos[[Planta]:[Planta]],'Inventario '!N$1)</f>
        <v>0</v>
      </c>
      <c r="O106" s="131">
        <f>SUMIFS(TablaConsumos[[CANTIDAD ]:[CANTIDAD ]],TablaConsumos[[CÓDIGO]:[CÓDIGO]],'Inventario '!$B106,TablaConsumos[[Planta]:[Planta]],'Inventario '!O$1)</f>
        <v>0</v>
      </c>
      <c r="P106" s="131">
        <f>SUMIFS(TablaConsumos[[CANTIDAD ]:[CANTIDAD ]],TablaConsumos[[CÓDIGO]:[CÓDIGO]],'Inventario '!$B106,TablaConsumos[[Planta]:[Planta]],'Inventario '!P$1)</f>
        <v>0</v>
      </c>
      <c r="Q106" s="131">
        <f>SUMIFS(TablaConsumos[[CANTIDAD ]:[CANTIDAD ]],TablaConsumos[[CÓDIGO]:[CÓDIGO]],'Inventario '!$B106,TablaConsumos[[Planta]:[Planta]],'Inventario '!Q$1)</f>
        <v>0</v>
      </c>
      <c r="R106" s="131">
        <f>SUMIFS(TablaConsumos[[CANTIDAD ]:[CANTIDAD ]],TablaConsumos[[CÓDIGO]:[CÓDIGO]],'Inventario '!$B106,TablaConsumos[[Planta]:[Planta]],'Inventario '!R$1)</f>
        <v>0</v>
      </c>
      <c r="S106" s="130">
        <f t="shared" si="114"/>
        <v>0</v>
      </c>
      <c r="T106" s="130">
        <f t="shared" ref="T106:T165" si="117">+H106-S106</f>
        <v>0</v>
      </c>
      <c r="U106" s="177"/>
      <c r="V106" s="130"/>
      <c r="W106" s="179">
        <v>30.48</v>
      </c>
      <c r="X106" s="133">
        <f t="shared" si="89"/>
        <v>0</v>
      </c>
      <c r="Y106" s="130">
        <f t="shared" si="90"/>
        <v>0</v>
      </c>
      <c r="Z106" s="132"/>
      <c r="AA106" s="132">
        <f t="shared" si="91"/>
        <v>0</v>
      </c>
      <c r="AB106" s="132"/>
      <c r="AC106" s="131">
        <f t="shared" si="92"/>
        <v>0</v>
      </c>
      <c r="AD106" s="131"/>
      <c r="AE106" s="132" t="s">
        <v>612</v>
      </c>
      <c r="AF106" s="132">
        <v>3048</v>
      </c>
      <c r="AG106" s="168"/>
      <c r="AH106" s="134">
        <f t="shared" si="93"/>
        <v>0</v>
      </c>
      <c r="AI106" s="134">
        <f t="shared" si="94"/>
        <v>0</v>
      </c>
      <c r="AJ106" s="134">
        <f t="shared" si="95"/>
        <v>0</v>
      </c>
      <c r="AK106" s="134">
        <f t="shared" si="96"/>
        <v>0</v>
      </c>
      <c r="AL106" s="134">
        <f t="shared" si="97"/>
        <v>0</v>
      </c>
      <c r="AM106" s="134">
        <f t="shared" si="98"/>
        <v>0</v>
      </c>
      <c r="AN106" s="134">
        <f t="shared" si="99"/>
        <v>0</v>
      </c>
      <c r="AO106" s="134">
        <f t="shared" si="100"/>
        <v>0</v>
      </c>
      <c r="AP106" s="134">
        <f t="shared" si="101"/>
        <v>0</v>
      </c>
      <c r="AQ106" s="134">
        <f t="shared" si="102"/>
        <v>0</v>
      </c>
      <c r="AR106" s="134">
        <f t="shared" si="103"/>
        <v>0</v>
      </c>
      <c r="AS106" s="135">
        <f t="shared" si="115"/>
        <v>0</v>
      </c>
      <c r="AT106" s="137" t="str">
        <f t="shared" si="104"/>
        <v>0</v>
      </c>
      <c r="AU106" s="137" t="str">
        <f t="shared" si="105"/>
        <v>0</v>
      </c>
      <c r="AV106" s="137" t="str">
        <f t="shared" si="106"/>
        <v>0</v>
      </c>
      <c r="AW106" s="137" t="str">
        <f t="shared" si="107"/>
        <v>0</v>
      </c>
      <c r="AX106" s="137" t="str">
        <f t="shared" si="108"/>
        <v>0</v>
      </c>
      <c r="AY106" s="137" t="str">
        <f t="shared" si="109"/>
        <v>0</v>
      </c>
      <c r="AZ106" s="137" t="str">
        <f t="shared" si="110"/>
        <v>0</v>
      </c>
      <c r="BA106" s="137" t="str">
        <f t="shared" si="111"/>
        <v>0</v>
      </c>
      <c r="BB106" s="137" t="str">
        <f t="shared" si="112"/>
        <v>0</v>
      </c>
      <c r="BC106" s="137" t="str">
        <f t="shared" si="113"/>
        <v>0</v>
      </c>
      <c r="BD106" s="131">
        <f t="shared" si="116"/>
        <v>0</v>
      </c>
    </row>
    <row r="107" spans="2:56" x14ac:dyDescent="0.25">
      <c r="B107" s="136">
        <v>8204150</v>
      </c>
      <c r="C107" s="128" t="s">
        <v>30</v>
      </c>
      <c r="D107" s="128"/>
      <c r="E107" s="136" t="s">
        <v>189</v>
      </c>
      <c r="F107" s="274"/>
      <c r="G107" s="130">
        <f>+SUMIFS(TablaIngresos[Cantidad],TablaIngresos[Código],'Inventario '!B107)</f>
        <v>0</v>
      </c>
      <c r="H107" s="130">
        <f t="shared" ref="H107:H166" si="118">+F107+G107</f>
        <v>0</v>
      </c>
      <c r="I107" s="131">
        <f>SUMIFS(TablaConsumos[[CANTIDAD ]:[CANTIDAD ]],TablaConsumos[[CÓDIGO]:[CÓDIGO]],'Inventario '!$B107,TablaConsumos[[Planta]:[Planta]],'Inventario '!I$1)</f>
        <v>0</v>
      </c>
      <c r="J107" s="131">
        <f>SUMIFS(TablaConsumos[[CANTIDAD ]:[CANTIDAD ]],TablaConsumos[[CÓDIGO]:[CÓDIGO]],'Inventario '!$B107,TablaConsumos[[Planta]:[Planta]],'Inventario '!J$1)</f>
        <v>0</v>
      </c>
      <c r="K107" s="131">
        <f>SUMIFS(TablaConsumos[[CANTIDAD ]:[CANTIDAD ]],TablaConsumos[[CÓDIGO]:[CÓDIGO]],'Inventario '!$B107,TablaConsumos[[Planta]:[Planta]],'Inventario '!K$1)</f>
        <v>0</v>
      </c>
      <c r="L107" s="131">
        <f>SUMIFS(TablaConsumos[[CANTIDAD ]:[CANTIDAD ]],TablaConsumos[[CÓDIGO]:[CÓDIGO]],'Inventario '!$B107,TablaConsumos[[Planta]:[Planta]],'Inventario '!L$1)</f>
        <v>0</v>
      </c>
      <c r="M107" s="131">
        <f>SUMIFS(TablaConsumos[[CANTIDAD ]:[CANTIDAD ]],TablaConsumos[[CÓDIGO]:[CÓDIGO]],'Inventario '!$B107,TablaConsumos[[Planta]:[Planta]],'Inventario '!M$1)</f>
        <v>0</v>
      </c>
      <c r="N107" s="131">
        <f>SUMIFS(TablaConsumos[[CANTIDAD ]:[CANTIDAD ]],TablaConsumos[[CÓDIGO]:[CÓDIGO]],'Inventario '!$B107,TablaConsumos[[Planta]:[Planta]],'Inventario '!N$1)</f>
        <v>0</v>
      </c>
      <c r="O107" s="131">
        <f>SUMIFS(TablaConsumos[[CANTIDAD ]:[CANTIDAD ]],TablaConsumos[[CÓDIGO]:[CÓDIGO]],'Inventario '!$B107,TablaConsumos[[Planta]:[Planta]],'Inventario '!O$1)</f>
        <v>0</v>
      </c>
      <c r="P107" s="131">
        <f>SUMIFS(TablaConsumos[[CANTIDAD ]:[CANTIDAD ]],TablaConsumos[[CÓDIGO]:[CÓDIGO]],'Inventario '!$B107,TablaConsumos[[Planta]:[Planta]],'Inventario '!P$1)</f>
        <v>0</v>
      </c>
      <c r="Q107" s="131">
        <f>SUMIFS(TablaConsumos[[CANTIDAD ]:[CANTIDAD ]],TablaConsumos[[CÓDIGO]:[CÓDIGO]],'Inventario '!$B107,TablaConsumos[[Planta]:[Planta]],'Inventario '!Q$1)</f>
        <v>0</v>
      </c>
      <c r="R107" s="131">
        <f>SUMIFS(TablaConsumos[[CANTIDAD ]:[CANTIDAD ]],TablaConsumos[[CÓDIGO]:[CÓDIGO]],'Inventario '!$B107,TablaConsumos[[Planta]:[Planta]],'Inventario '!R$1)</f>
        <v>0</v>
      </c>
      <c r="S107" s="130">
        <f t="shared" si="114"/>
        <v>0</v>
      </c>
      <c r="T107" s="130">
        <f t="shared" si="117"/>
        <v>0</v>
      </c>
      <c r="U107" s="177"/>
      <c r="V107" s="130"/>
      <c r="W107" s="179">
        <v>30.48</v>
      </c>
      <c r="X107" s="133">
        <f t="shared" si="89"/>
        <v>0</v>
      </c>
      <c r="Y107" s="130">
        <f t="shared" si="90"/>
        <v>0</v>
      </c>
      <c r="Z107" s="132"/>
      <c r="AA107" s="132">
        <f t="shared" si="91"/>
        <v>0</v>
      </c>
      <c r="AB107" s="132"/>
      <c r="AC107" s="131">
        <f t="shared" si="92"/>
        <v>0</v>
      </c>
      <c r="AD107" s="131"/>
      <c r="AE107" s="132" t="s">
        <v>612</v>
      </c>
      <c r="AF107" s="132">
        <v>3048</v>
      </c>
      <c r="AG107" s="168"/>
      <c r="AH107" s="134">
        <f t="shared" si="93"/>
        <v>0</v>
      </c>
      <c r="AI107" s="134">
        <f t="shared" si="94"/>
        <v>0</v>
      </c>
      <c r="AJ107" s="134">
        <f t="shared" si="95"/>
        <v>0</v>
      </c>
      <c r="AK107" s="134">
        <f t="shared" si="96"/>
        <v>0</v>
      </c>
      <c r="AL107" s="134">
        <f t="shared" si="97"/>
        <v>0</v>
      </c>
      <c r="AM107" s="134">
        <f t="shared" si="98"/>
        <v>0</v>
      </c>
      <c r="AN107" s="134">
        <f t="shared" si="99"/>
        <v>0</v>
      </c>
      <c r="AO107" s="134">
        <f t="shared" si="100"/>
        <v>0</v>
      </c>
      <c r="AP107" s="134">
        <f t="shared" si="101"/>
        <v>0</v>
      </c>
      <c r="AQ107" s="134">
        <f t="shared" si="102"/>
        <v>0</v>
      </c>
      <c r="AR107" s="134">
        <f t="shared" si="103"/>
        <v>0</v>
      </c>
      <c r="AS107" s="135">
        <f t="shared" si="115"/>
        <v>0</v>
      </c>
      <c r="AT107" s="137" t="str">
        <f t="shared" si="104"/>
        <v>0</v>
      </c>
      <c r="AU107" s="137" t="str">
        <f t="shared" si="105"/>
        <v>0</v>
      </c>
      <c r="AV107" s="137" t="str">
        <f t="shared" si="106"/>
        <v>0</v>
      </c>
      <c r="AW107" s="137" t="str">
        <f t="shared" si="107"/>
        <v>0</v>
      </c>
      <c r="AX107" s="137" t="str">
        <f t="shared" si="108"/>
        <v>0</v>
      </c>
      <c r="AY107" s="137" t="str">
        <f t="shared" si="109"/>
        <v>0</v>
      </c>
      <c r="AZ107" s="137" t="str">
        <f t="shared" si="110"/>
        <v>0</v>
      </c>
      <c r="BA107" s="137" t="str">
        <f t="shared" si="111"/>
        <v>0</v>
      </c>
      <c r="BB107" s="137" t="str">
        <f t="shared" si="112"/>
        <v>0</v>
      </c>
      <c r="BC107" s="137" t="str">
        <f t="shared" si="113"/>
        <v>0</v>
      </c>
      <c r="BD107" s="131">
        <f t="shared" si="116"/>
        <v>0</v>
      </c>
    </row>
    <row r="108" spans="2:56" x14ac:dyDescent="0.25">
      <c r="B108" s="136">
        <v>8204580</v>
      </c>
      <c r="C108" s="128" t="s">
        <v>30</v>
      </c>
      <c r="D108" s="128"/>
      <c r="E108" s="147" t="s">
        <v>191</v>
      </c>
      <c r="F108" s="274"/>
      <c r="G108" s="130">
        <f>+SUMIFS(TablaIngresos[Cantidad],TablaIngresos[Código],'Inventario '!B108)</f>
        <v>0</v>
      </c>
      <c r="H108" s="130">
        <f t="shared" si="118"/>
        <v>0</v>
      </c>
      <c r="I108" s="131">
        <f>SUMIFS(TablaConsumos[[CANTIDAD ]:[CANTIDAD ]],TablaConsumos[[CÓDIGO]:[CÓDIGO]],'Inventario '!$B108,TablaConsumos[[Planta]:[Planta]],'Inventario '!I$1)</f>
        <v>0</v>
      </c>
      <c r="J108" s="131">
        <f>SUMIFS(TablaConsumos[[CANTIDAD ]:[CANTIDAD ]],TablaConsumos[[CÓDIGO]:[CÓDIGO]],'Inventario '!$B108,TablaConsumos[[Planta]:[Planta]],'Inventario '!J$1)</f>
        <v>0</v>
      </c>
      <c r="K108" s="131">
        <f>SUMIFS(TablaConsumos[[CANTIDAD ]:[CANTIDAD ]],TablaConsumos[[CÓDIGO]:[CÓDIGO]],'Inventario '!$B108,TablaConsumos[[Planta]:[Planta]],'Inventario '!K$1)</f>
        <v>0</v>
      </c>
      <c r="L108" s="131">
        <f>SUMIFS(TablaConsumos[[CANTIDAD ]:[CANTIDAD ]],TablaConsumos[[CÓDIGO]:[CÓDIGO]],'Inventario '!$B108,TablaConsumos[[Planta]:[Planta]],'Inventario '!L$1)</f>
        <v>0</v>
      </c>
      <c r="M108" s="131">
        <f>SUMIFS(TablaConsumos[[CANTIDAD ]:[CANTIDAD ]],TablaConsumos[[CÓDIGO]:[CÓDIGO]],'Inventario '!$B108,TablaConsumos[[Planta]:[Planta]],'Inventario '!M$1)</f>
        <v>0</v>
      </c>
      <c r="N108" s="131">
        <f>SUMIFS(TablaConsumos[[CANTIDAD ]:[CANTIDAD ]],TablaConsumos[[CÓDIGO]:[CÓDIGO]],'Inventario '!$B108,TablaConsumos[[Planta]:[Planta]],'Inventario '!N$1)</f>
        <v>0</v>
      </c>
      <c r="O108" s="131">
        <f>SUMIFS(TablaConsumos[[CANTIDAD ]:[CANTIDAD ]],TablaConsumos[[CÓDIGO]:[CÓDIGO]],'Inventario '!$B108,TablaConsumos[[Planta]:[Planta]],'Inventario '!O$1)</f>
        <v>0</v>
      </c>
      <c r="P108" s="131">
        <f>SUMIFS(TablaConsumos[[CANTIDAD ]:[CANTIDAD ]],TablaConsumos[[CÓDIGO]:[CÓDIGO]],'Inventario '!$B108,TablaConsumos[[Planta]:[Planta]],'Inventario '!P$1)</f>
        <v>0</v>
      </c>
      <c r="Q108" s="131">
        <f>SUMIFS(TablaConsumos[[CANTIDAD ]:[CANTIDAD ]],TablaConsumos[[CÓDIGO]:[CÓDIGO]],'Inventario '!$B108,TablaConsumos[[Planta]:[Planta]],'Inventario '!Q$1)</f>
        <v>0</v>
      </c>
      <c r="R108" s="131">
        <f>SUMIFS(TablaConsumos[[CANTIDAD ]:[CANTIDAD ]],TablaConsumos[[CÓDIGO]:[CÓDIGO]],'Inventario '!$B108,TablaConsumos[[Planta]:[Planta]],'Inventario '!R$1)</f>
        <v>0</v>
      </c>
      <c r="S108" s="130">
        <f t="shared" si="114"/>
        <v>0</v>
      </c>
      <c r="T108" s="130">
        <f t="shared" si="117"/>
        <v>0</v>
      </c>
      <c r="U108" s="177"/>
      <c r="V108" s="130"/>
      <c r="W108" s="179">
        <v>30.48</v>
      </c>
      <c r="X108" s="133">
        <f t="shared" si="89"/>
        <v>0</v>
      </c>
      <c r="Y108" s="130">
        <f t="shared" si="90"/>
        <v>0</v>
      </c>
      <c r="Z108" s="132"/>
      <c r="AA108" s="132">
        <f t="shared" si="91"/>
        <v>0</v>
      </c>
      <c r="AB108" s="132"/>
      <c r="AC108" s="131">
        <f t="shared" si="92"/>
        <v>0</v>
      </c>
      <c r="AD108" s="131"/>
      <c r="AE108" s="132" t="s">
        <v>612</v>
      </c>
      <c r="AF108" s="132">
        <v>3048</v>
      </c>
      <c r="AG108" s="168"/>
      <c r="AH108" s="134">
        <f t="shared" si="93"/>
        <v>0</v>
      </c>
      <c r="AI108" s="134">
        <f t="shared" si="94"/>
        <v>0</v>
      </c>
      <c r="AJ108" s="134">
        <f t="shared" si="95"/>
        <v>0</v>
      </c>
      <c r="AK108" s="134">
        <f t="shared" si="96"/>
        <v>0</v>
      </c>
      <c r="AL108" s="134">
        <f t="shared" si="97"/>
        <v>0</v>
      </c>
      <c r="AM108" s="134">
        <f t="shared" si="98"/>
        <v>0</v>
      </c>
      <c r="AN108" s="134">
        <f t="shared" si="99"/>
        <v>0</v>
      </c>
      <c r="AO108" s="134">
        <f t="shared" si="100"/>
        <v>0</v>
      </c>
      <c r="AP108" s="134">
        <f t="shared" si="101"/>
        <v>0</v>
      </c>
      <c r="AQ108" s="134">
        <f t="shared" si="102"/>
        <v>0</v>
      </c>
      <c r="AR108" s="134">
        <f t="shared" si="103"/>
        <v>0</v>
      </c>
      <c r="AS108" s="135">
        <f t="shared" si="115"/>
        <v>0</v>
      </c>
      <c r="AT108" s="137" t="str">
        <f t="shared" si="104"/>
        <v>0</v>
      </c>
      <c r="AU108" s="137" t="str">
        <f t="shared" si="105"/>
        <v>0</v>
      </c>
      <c r="AV108" s="137" t="str">
        <f t="shared" si="106"/>
        <v>0</v>
      </c>
      <c r="AW108" s="137" t="str">
        <f t="shared" si="107"/>
        <v>0</v>
      </c>
      <c r="AX108" s="137" t="str">
        <f t="shared" si="108"/>
        <v>0</v>
      </c>
      <c r="AY108" s="137" t="str">
        <f t="shared" si="109"/>
        <v>0</v>
      </c>
      <c r="AZ108" s="137" t="str">
        <f t="shared" si="110"/>
        <v>0</v>
      </c>
      <c r="BA108" s="137" t="str">
        <f t="shared" si="111"/>
        <v>0</v>
      </c>
      <c r="BB108" s="137" t="str">
        <f t="shared" si="112"/>
        <v>0</v>
      </c>
      <c r="BC108" s="137" t="str">
        <f t="shared" si="113"/>
        <v>0</v>
      </c>
      <c r="BD108" s="131">
        <f t="shared" si="116"/>
        <v>0</v>
      </c>
    </row>
    <row r="109" spans="2:56" x14ac:dyDescent="0.25">
      <c r="B109" s="136">
        <v>8204581</v>
      </c>
      <c r="C109" s="128" t="s">
        <v>30</v>
      </c>
      <c r="D109" s="128"/>
      <c r="E109" s="147" t="s">
        <v>192</v>
      </c>
      <c r="F109" s="274"/>
      <c r="G109" s="130">
        <f>+SUMIFS(TablaIngresos[Cantidad],TablaIngresos[Código],'Inventario '!B109)</f>
        <v>0</v>
      </c>
      <c r="H109" s="130">
        <f t="shared" si="118"/>
        <v>0</v>
      </c>
      <c r="I109" s="131">
        <f>SUMIFS(TablaConsumos[[CANTIDAD ]:[CANTIDAD ]],TablaConsumos[[CÓDIGO]:[CÓDIGO]],'Inventario '!$B109,TablaConsumos[[Planta]:[Planta]],'Inventario '!I$1)</f>
        <v>0</v>
      </c>
      <c r="J109" s="131">
        <f>SUMIFS(TablaConsumos[[CANTIDAD ]:[CANTIDAD ]],TablaConsumos[[CÓDIGO]:[CÓDIGO]],'Inventario '!$B109,TablaConsumos[[Planta]:[Planta]],'Inventario '!J$1)</f>
        <v>0</v>
      </c>
      <c r="K109" s="131">
        <f>SUMIFS(TablaConsumos[[CANTIDAD ]:[CANTIDAD ]],TablaConsumos[[CÓDIGO]:[CÓDIGO]],'Inventario '!$B109,TablaConsumos[[Planta]:[Planta]],'Inventario '!K$1)</f>
        <v>0</v>
      </c>
      <c r="L109" s="131">
        <f>SUMIFS(TablaConsumos[[CANTIDAD ]:[CANTIDAD ]],TablaConsumos[[CÓDIGO]:[CÓDIGO]],'Inventario '!$B109,TablaConsumos[[Planta]:[Planta]],'Inventario '!L$1)</f>
        <v>0</v>
      </c>
      <c r="M109" s="131">
        <f>SUMIFS(TablaConsumos[[CANTIDAD ]:[CANTIDAD ]],TablaConsumos[[CÓDIGO]:[CÓDIGO]],'Inventario '!$B109,TablaConsumos[[Planta]:[Planta]],'Inventario '!M$1)</f>
        <v>0</v>
      </c>
      <c r="N109" s="131">
        <f>SUMIFS(TablaConsumos[[CANTIDAD ]:[CANTIDAD ]],TablaConsumos[[CÓDIGO]:[CÓDIGO]],'Inventario '!$B109,TablaConsumos[[Planta]:[Planta]],'Inventario '!N$1)</f>
        <v>0</v>
      </c>
      <c r="O109" s="131">
        <f>SUMIFS(TablaConsumos[[CANTIDAD ]:[CANTIDAD ]],TablaConsumos[[CÓDIGO]:[CÓDIGO]],'Inventario '!$B109,TablaConsumos[[Planta]:[Planta]],'Inventario '!O$1)</f>
        <v>0</v>
      </c>
      <c r="P109" s="131">
        <f>SUMIFS(TablaConsumos[[CANTIDAD ]:[CANTIDAD ]],TablaConsumos[[CÓDIGO]:[CÓDIGO]],'Inventario '!$B109,TablaConsumos[[Planta]:[Planta]],'Inventario '!P$1)</f>
        <v>0</v>
      </c>
      <c r="Q109" s="131">
        <f>SUMIFS(TablaConsumos[[CANTIDAD ]:[CANTIDAD ]],TablaConsumos[[CÓDIGO]:[CÓDIGO]],'Inventario '!$B109,TablaConsumos[[Planta]:[Planta]],'Inventario '!Q$1)</f>
        <v>0</v>
      </c>
      <c r="R109" s="131">
        <f>SUMIFS(TablaConsumos[[CANTIDAD ]:[CANTIDAD ]],TablaConsumos[[CÓDIGO]:[CÓDIGO]],'Inventario '!$B109,TablaConsumos[[Planta]:[Planta]],'Inventario '!R$1)</f>
        <v>0</v>
      </c>
      <c r="S109" s="130">
        <f t="shared" si="114"/>
        <v>0</v>
      </c>
      <c r="T109" s="130">
        <f t="shared" si="117"/>
        <v>0</v>
      </c>
      <c r="U109" s="177"/>
      <c r="V109" s="132"/>
      <c r="W109" s="179">
        <v>30.48</v>
      </c>
      <c r="X109" s="133">
        <f t="shared" si="89"/>
        <v>0</v>
      </c>
      <c r="Y109" s="130">
        <f t="shared" si="90"/>
        <v>0</v>
      </c>
      <c r="Z109" s="132"/>
      <c r="AA109" s="132">
        <f t="shared" si="91"/>
        <v>0</v>
      </c>
      <c r="AB109" s="132"/>
      <c r="AC109" s="131">
        <f t="shared" si="92"/>
        <v>0</v>
      </c>
      <c r="AD109" s="131"/>
      <c r="AE109" s="132" t="s">
        <v>612</v>
      </c>
      <c r="AF109" s="132">
        <v>3048</v>
      </c>
      <c r="AG109" s="168"/>
      <c r="AH109" s="134">
        <f t="shared" si="93"/>
        <v>0</v>
      </c>
      <c r="AI109" s="134">
        <f t="shared" si="94"/>
        <v>0</v>
      </c>
      <c r="AJ109" s="134">
        <f t="shared" si="95"/>
        <v>0</v>
      </c>
      <c r="AK109" s="134">
        <f t="shared" si="96"/>
        <v>0</v>
      </c>
      <c r="AL109" s="134">
        <f t="shared" si="97"/>
        <v>0</v>
      </c>
      <c r="AM109" s="134">
        <f t="shared" si="98"/>
        <v>0</v>
      </c>
      <c r="AN109" s="134">
        <f t="shared" si="99"/>
        <v>0</v>
      </c>
      <c r="AO109" s="134">
        <f t="shared" si="100"/>
        <v>0</v>
      </c>
      <c r="AP109" s="134">
        <f t="shared" si="101"/>
        <v>0</v>
      </c>
      <c r="AQ109" s="134">
        <f t="shared" si="102"/>
        <v>0</v>
      </c>
      <c r="AR109" s="134">
        <f t="shared" si="103"/>
        <v>0</v>
      </c>
      <c r="AS109" s="135">
        <f t="shared" si="115"/>
        <v>0</v>
      </c>
      <c r="AT109" s="137" t="str">
        <f t="shared" si="104"/>
        <v>0</v>
      </c>
      <c r="AU109" s="137" t="str">
        <f t="shared" si="105"/>
        <v>0</v>
      </c>
      <c r="AV109" s="137" t="str">
        <f t="shared" si="106"/>
        <v>0</v>
      </c>
      <c r="AW109" s="137" t="str">
        <f t="shared" si="107"/>
        <v>0</v>
      </c>
      <c r="AX109" s="137" t="str">
        <f t="shared" si="108"/>
        <v>0</v>
      </c>
      <c r="AY109" s="137" t="str">
        <f t="shared" si="109"/>
        <v>0</v>
      </c>
      <c r="AZ109" s="137" t="str">
        <f t="shared" si="110"/>
        <v>0</v>
      </c>
      <c r="BA109" s="137" t="str">
        <f t="shared" si="111"/>
        <v>0</v>
      </c>
      <c r="BB109" s="137" t="str">
        <f t="shared" si="112"/>
        <v>0</v>
      </c>
      <c r="BC109" s="137" t="str">
        <f t="shared" si="113"/>
        <v>0</v>
      </c>
      <c r="BD109" s="131">
        <f t="shared" si="116"/>
        <v>0</v>
      </c>
    </row>
    <row r="110" spans="2:56" x14ac:dyDescent="0.25">
      <c r="B110" s="136">
        <v>8204582</v>
      </c>
      <c r="C110" s="128" t="s">
        <v>30</v>
      </c>
      <c r="D110" s="128"/>
      <c r="E110" s="147" t="s">
        <v>193</v>
      </c>
      <c r="F110" s="274"/>
      <c r="G110" s="130">
        <f>+SUMIFS(TablaIngresos[Cantidad],TablaIngresos[Código],'Inventario '!B110)</f>
        <v>0</v>
      </c>
      <c r="H110" s="130">
        <f t="shared" si="118"/>
        <v>0</v>
      </c>
      <c r="I110" s="131">
        <f>SUMIFS(TablaConsumos[[CANTIDAD ]:[CANTIDAD ]],TablaConsumos[[CÓDIGO]:[CÓDIGO]],'Inventario '!$B110,TablaConsumos[[Planta]:[Planta]],'Inventario '!I$1)</f>
        <v>0</v>
      </c>
      <c r="J110" s="131">
        <f>SUMIFS(TablaConsumos[[CANTIDAD ]:[CANTIDAD ]],TablaConsumos[[CÓDIGO]:[CÓDIGO]],'Inventario '!$B110,TablaConsumos[[Planta]:[Planta]],'Inventario '!J$1)</f>
        <v>0</v>
      </c>
      <c r="K110" s="131">
        <f>SUMIFS(TablaConsumos[[CANTIDAD ]:[CANTIDAD ]],TablaConsumos[[CÓDIGO]:[CÓDIGO]],'Inventario '!$B110,TablaConsumos[[Planta]:[Planta]],'Inventario '!K$1)</f>
        <v>0</v>
      </c>
      <c r="L110" s="131">
        <f>SUMIFS(TablaConsumos[[CANTIDAD ]:[CANTIDAD ]],TablaConsumos[[CÓDIGO]:[CÓDIGO]],'Inventario '!$B110,TablaConsumos[[Planta]:[Planta]],'Inventario '!L$1)</f>
        <v>0</v>
      </c>
      <c r="M110" s="131">
        <f>SUMIFS(TablaConsumos[[CANTIDAD ]:[CANTIDAD ]],TablaConsumos[[CÓDIGO]:[CÓDIGO]],'Inventario '!$B110,TablaConsumos[[Planta]:[Planta]],'Inventario '!M$1)</f>
        <v>0</v>
      </c>
      <c r="N110" s="131">
        <f>SUMIFS(TablaConsumos[[CANTIDAD ]:[CANTIDAD ]],TablaConsumos[[CÓDIGO]:[CÓDIGO]],'Inventario '!$B110,TablaConsumos[[Planta]:[Planta]],'Inventario '!N$1)</f>
        <v>0</v>
      </c>
      <c r="O110" s="131">
        <f>SUMIFS(TablaConsumos[[CANTIDAD ]:[CANTIDAD ]],TablaConsumos[[CÓDIGO]:[CÓDIGO]],'Inventario '!$B110,TablaConsumos[[Planta]:[Planta]],'Inventario '!O$1)</f>
        <v>0</v>
      </c>
      <c r="P110" s="131">
        <f>SUMIFS(TablaConsumos[[CANTIDAD ]:[CANTIDAD ]],TablaConsumos[[CÓDIGO]:[CÓDIGO]],'Inventario '!$B110,TablaConsumos[[Planta]:[Planta]],'Inventario '!P$1)</f>
        <v>0</v>
      </c>
      <c r="Q110" s="131">
        <f>SUMIFS(TablaConsumos[[CANTIDAD ]:[CANTIDAD ]],TablaConsumos[[CÓDIGO]:[CÓDIGO]],'Inventario '!$B110,TablaConsumos[[Planta]:[Planta]],'Inventario '!Q$1)</f>
        <v>0</v>
      </c>
      <c r="R110" s="131">
        <f>SUMIFS(TablaConsumos[[CANTIDAD ]:[CANTIDAD ]],TablaConsumos[[CÓDIGO]:[CÓDIGO]],'Inventario '!$B110,TablaConsumos[[Planta]:[Planta]],'Inventario '!R$1)</f>
        <v>0</v>
      </c>
      <c r="S110" s="130">
        <f t="shared" si="114"/>
        <v>0</v>
      </c>
      <c r="T110" s="130">
        <f t="shared" si="117"/>
        <v>0</v>
      </c>
      <c r="U110" s="177"/>
      <c r="V110" s="130"/>
      <c r="W110" s="179">
        <v>30.48</v>
      </c>
      <c r="X110" s="133">
        <f t="shared" si="89"/>
        <v>0</v>
      </c>
      <c r="Y110" s="130">
        <f t="shared" si="90"/>
        <v>0</v>
      </c>
      <c r="Z110" s="132"/>
      <c r="AA110" s="132">
        <f t="shared" si="91"/>
        <v>0</v>
      </c>
      <c r="AB110" s="132"/>
      <c r="AC110" s="131">
        <f t="shared" si="92"/>
        <v>0</v>
      </c>
      <c r="AD110" s="131"/>
      <c r="AE110" s="132" t="s">
        <v>612</v>
      </c>
      <c r="AF110" s="132">
        <v>3048</v>
      </c>
      <c r="AG110" s="168"/>
      <c r="AH110" s="134">
        <f t="shared" si="93"/>
        <v>0</v>
      </c>
      <c r="AI110" s="134">
        <f t="shared" si="94"/>
        <v>0</v>
      </c>
      <c r="AJ110" s="134">
        <f t="shared" si="95"/>
        <v>0</v>
      </c>
      <c r="AK110" s="134">
        <f t="shared" si="96"/>
        <v>0</v>
      </c>
      <c r="AL110" s="134">
        <f t="shared" si="97"/>
        <v>0</v>
      </c>
      <c r="AM110" s="134">
        <f t="shared" si="98"/>
        <v>0</v>
      </c>
      <c r="AN110" s="134">
        <f t="shared" si="99"/>
        <v>0</v>
      </c>
      <c r="AO110" s="134">
        <f t="shared" si="100"/>
        <v>0</v>
      </c>
      <c r="AP110" s="134">
        <f t="shared" si="101"/>
        <v>0</v>
      </c>
      <c r="AQ110" s="134">
        <f t="shared" si="102"/>
        <v>0</v>
      </c>
      <c r="AR110" s="134">
        <f t="shared" si="103"/>
        <v>0</v>
      </c>
      <c r="AS110" s="135">
        <f t="shared" si="115"/>
        <v>0</v>
      </c>
      <c r="AT110" s="137" t="str">
        <f t="shared" si="104"/>
        <v>0</v>
      </c>
      <c r="AU110" s="137" t="str">
        <f t="shared" si="105"/>
        <v>0</v>
      </c>
      <c r="AV110" s="137" t="str">
        <f t="shared" si="106"/>
        <v>0</v>
      </c>
      <c r="AW110" s="137" t="str">
        <f t="shared" si="107"/>
        <v>0</v>
      </c>
      <c r="AX110" s="137" t="str">
        <f t="shared" si="108"/>
        <v>0</v>
      </c>
      <c r="AY110" s="137" t="str">
        <f t="shared" si="109"/>
        <v>0</v>
      </c>
      <c r="AZ110" s="137" t="str">
        <f t="shared" si="110"/>
        <v>0</v>
      </c>
      <c r="BA110" s="137" t="str">
        <f t="shared" si="111"/>
        <v>0</v>
      </c>
      <c r="BB110" s="137" t="str">
        <f t="shared" si="112"/>
        <v>0</v>
      </c>
      <c r="BC110" s="137" t="str">
        <f t="shared" si="113"/>
        <v>0</v>
      </c>
      <c r="BD110" s="131">
        <f t="shared" si="116"/>
        <v>0</v>
      </c>
    </row>
    <row r="111" spans="2:56" x14ac:dyDescent="0.25">
      <c r="B111" s="136">
        <v>8204583</v>
      </c>
      <c r="C111" s="128" t="s">
        <v>30</v>
      </c>
      <c r="D111" s="128"/>
      <c r="E111" s="147" t="s">
        <v>194</v>
      </c>
      <c r="F111" s="274"/>
      <c r="G111" s="130">
        <f>+SUMIFS(TablaIngresos[Cantidad],TablaIngresos[Código],'Inventario '!B111)</f>
        <v>0</v>
      </c>
      <c r="H111" s="130">
        <f t="shared" si="118"/>
        <v>0</v>
      </c>
      <c r="I111" s="131">
        <f>SUMIFS(TablaConsumos[[CANTIDAD ]:[CANTIDAD ]],TablaConsumos[[CÓDIGO]:[CÓDIGO]],'Inventario '!$B111,TablaConsumos[[Planta]:[Planta]],'Inventario '!I$1)</f>
        <v>0</v>
      </c>
      <c r="J111" s="131">
        <f>SUMIFS(TablaConsumos[[CANTIDAD ]:[CANTIDAD ]],TablaConsumos[[CÓDIGO]:[CÓDIGO]],'Inventario '!$B111,TablaConsumos[[Planta]:[Planta]],'Inventario '!J$1)</f>
        <v>0</v>
      </c>
      <c r="K111" s="131">
        <f>SUMIFS(TablaConsumos[[CANTIDAD ]:[CANTIDAD ]],TablaConsumos[[CÓDIGO]:[CÓDIGO]],'Inventario '!$B111,TablaConsumos[[Planta]:[Planta]],'Inventario '!K$1)</f>
        <v>0</v>
      </c>
      <c r="L111" s="131">
        <f>SUMIFS(TablaConsumos[[CANTIDAD ]:[CANTIDAD ]],TablaConsumos[[CÓDIGO]:[CÓDIGO]],'Inventario '!$B111,TablaConsumos[[Planta]:[Planta]],'Inventario '!L$1)</f>
        <v>0</v>
      </c>
      <c r="M111" s="131">
        <f>SUMIFS(TablaConsumos[[CANTIDAD ]:[CANTIDAD ]],TablaConsumos[[CÓDIGO]:[CÓDIGO]],'Inventario '!$B111,TablaConsumos[[Planta]:[Planta]],'Inventario '!M$1)</f>
        <v>0</v>
      </c>
      <c r="N111" s="131">
        <f>SUMIFS(TablaConsumos[[CANTIDAD ]:[CANTIDAD ]],TablaConsumos[[CÓDIGO]:[CÓDIGO]],'Inventario '!$B111,TablaConsumos[[Planta]:[Planta]],'Inventario '!N$1)</f>
        <v>0</v>
      </c>
      <c r="O111" s="131">
        <f>SUMIFS(TablaConsumos[[CANTIDAD ]:[CANTIDAD ]],TablaConsumos[[CÓDIGO]:[CÓDIGO]],'Inventario '!$B111,TablaConsumos[[Planta]:[Planta]],'Inventario '!O$1)</f>
        <v>0</v>
      </c>
      <c r="P111" s="131">
        <f>SUMIFS(TablaConsumos[[CANTIDAD ]:[CANTIDAD ]],TablaConsumos[[CÓDIGO]:[CÓDIGO]],'Inventario '!$B111,TablaConsumos[[Planta]:[Planta]],'Inventario '!P$1)</f>
        <v>0</v>
      </c>
      <c r="Q111" s="131">
        <f>SUMIFS(TablaConsumos[[CANTIDAD ]:[CANTIDAD ]],TablaConsumos[[CÓDIGO]:[CÓDIGO]],'Inventario '!$B111,TablaConsumos[[Planta]:[Planta]],'Inventario '!Q$1)</f>
        <v>0</v>
      </c>
      <c r="R111" s="131">
        <f>SUMIFS(TablaConsumos[[CANTIDAD ]:[CANTIDAD ]],TablaConsumos[[CÓDIGO]:[CÓDIGO]],'Inventario '!$B111,TablaConsumos[[Planta]:[Planta]],'Inventario '!R$1)</f>
        <v>0</v>
      </c>
      <c r="S111" s="130">
        <f t="shared" si="114"/>
        <v>0</v>
      </c>
      <c r="T111" s="130">
        <f t="shared" si="117"/>
        <v>0</v>
      </c>
      <c r="U111" s="177"/>
      <c r="V111" s="130"/>
      <c r="W111" s="179">
        <v>30.48</v>
      </c>
      <c r="X111" s="133">
        <f t="shared" si="89"/>
        <v>0</v>
      </c>
      <c r="Y111" s="130">
        <f t="shared" si="90"/>
        <v>0</v>
      </c>
      <c r="Z111" s="132"/>
      <c r="AA111" s="132">
        <f t="shared" si="91"/>
        <v>0</v>
      </c>
      <c r="AB111" s="132"/>
      <c r="AC111" s="131">
        <f t="shared" si="92"/>
        <v>0</v>
      </c>
      <c r="AD111" s="131"/>
      <c r="AE111" s="132" t="s">
        <v>612</v>
      </c>
      <c r="AF111" s="132">
        <v>3048</v>
      </c>
      <c r="AG111" s="168"/>
      <c r="AH111" s="134">
        <f t="shared" si="93"/>
        <v>0</v>
      </c>
      <c r="AI111" s="134">
        <f t="shared" si="94"/>
        <v>0</v>
      </c>
      <c r="AJ111" s="134">
        <f t="shared" si="95"/>
        <v>0</v>
      </c>
      <c r="AK111" s="134">
        <f t="shared" si="96"/>
        <v>0</v>
      </c>
      <c r="AL111" s="134">
        <f t="shared" si="97"/>
        <v>0</v>
      </c>
      <c r="AM111" s="134">
        <f t="shared" si="98"/>
        <v>0</v>
      </c>
      <c r="AN111" s="134">
        <f t="shared" si="99"/>
        <v>0</v>
      </c>
      <c r="AO111" s="134">
        <f t="shared" si="100"/>
        <v>0</v>
      </c>
      <c r="AP111" s="134">
        <f t="shared" si="101"/>
        <v>0</v>
      </c>
      <c r="AQ111" s="134">
        <f t="shared" si="102"/>
        <v>0</v>
      </c>
      <c r="AR111" s="134">
        <f t="shared" si="103"/>
        <v>0</v>
      </c>
      <c r="AS111" s="135">
        <f t="shared" si="115"/>
        <v>0</v>
      </c>
      <c r="AT111" s="137" t="str">
        <f t="shared" si="104"/>
        <v>0</v>
      </c>
      <c r="AU111" s="137" t="str">
        <f t="shared" si="105"/>
        <v>0</v>
      </c>
      <c r="AV111" s="137" t="str">
        <f t="shared" si="106"/>
        <v>0</v>
      </c>
      <c r="AW111" s="137" t="str">
        <f t="shared" si="107"/>
        <v>0</v>
      </c>
      <c r="AX111" s="137" t="str">
        <f t="shared" si="108"/>
        <v>0</v>
      </c>
      <c r="AY111" s="137" t="str">
        <f t="shared" si="109"/>
        <v>0</v>
      </c>
      <c r="AZ111" s="137" t="str">
        <f t="shared" si="110"/>
        <v>0</v>
      </c>
      <c r="BA111" s="137" t="str">
        <f t="shared" si="111"/>
        <v>0</v>
      </c>
      <c r="BB111" s="137" t="str">
        <f t="shared" si="112"/>
        <v>0</v>
      </c>
      <c r="BC111" s="137" t="str">
        <f t="shared" si="113"/>
        <v>0</v>
      </c>
      <c r="BD111" s="131">
        <f t="shared" si="116"/>
        <v>0</v>
      </c>
    </row>
    <row r="112" spans="2:56" x14ac:dyDescent="0.25">
      <c r="B112" s="136">
        <v>8204584</v>
      </c>
      <c r="C112" s="128" t="s">
        <v>30</v>
      </c>
      <c r="D112" s="128"/>
      <c r="E112" s="147" t="s">
        <v>195</v>
      </c>
      <c r="F112" s="274"/>
      <c r="G112" s="130">
        <f>+SUMIFS(TablaIngresos[Cantidad],TablaIngresos[Código],'Inventario '!B112)</f>
        <v>0</v>
      </c>
      <c r="H112" s="130">
        <f t="shared" si="118"/>
        <v>0</v>
      </c>
      <c r="I112" s="131">
        <f>SUMIFS(TablaConsumos[[CANTIDAD ]:[CANTIDAD ]],TablaConsumos[[CÓDIGO]:[CÓDIGO]],'Inventario '!$B112,TablaConsumos[[Planta]:[Planta]],'Inventario '!I$1)</f>
        <v>0</v>
      </c>
      <c r="J112" s="131">
        <f>SUMIFS(TablaConsumos[[CANTIDAD ]:[CANTIDAD ]],TablaConsumos[[CÓDIGO]:[CÓDIGO]],'Inventario '!$B112,TablaConsumos[[Planta]:[Planta]],'Inventario '!J$1)</f>
        <v>0</v>
      </c>
      <c r="K112" s="131">
        <f>SUMIFS(TablaConsumos[[CANTIDAD ]:[CANTIDAD ]],TablaConsumos[[CÓDIGO]:[CÓDIGO]],'Inventario '!$B112,TablaConsumos[[Planta]:[Planta]],'Inventario '!K$1)</f>
        <v>0</v>
      </c>
      <c r="L112" s="131">
        <f>SUMIFS(TablaConsumos[[CANTIDAD ]:[CANTIDAD ]],TablaConsumos[[CÓDIGO]:[CÓDIGO]],'Inventario '!$B112,TablaConsumos[[Planta]:[Planta]],'Inventario '!L$1)</f>
        <v>0</v>
      </c>
      <c r="M112" s="131">
        <f>SUMIFS(TablaConsumos[[CANTIDAD ]:[CANTIDAD ]],TablaConsumos[[CÓDIGO]:[CÓDIGO]],'Inventario '!$B112,TablaConsumos[[Planta]:[Planta]],'Inventario '!M$1)</f>
        <v>0</v>
      </c>
      <c r="N112" s="131">
        <f>SUMIFS(TablaConsumos[[CANTIDAD ]:[CANTIDAD ]],TablaConsumos[[CÓDIGO]:[CÓDIGO]],'Inventario '!$B112,TablaConsumos[[Planta]:[Planta]],'Inventario '!N$1)</f>
        <v>0</v>
      </c>
      <c r="O112" s="131">
        <f>SUMIFS(TablaConsumos[[CANTIDAD ]:[CANTIDAD ]],TablaConsumos[[CÓDIGO]:[CÓDIGO]],'Inventario '!$B112,TablaConsumos[[Planta]:[Planta]],'Inventario '!O$1)</f>
        <v>0</v>
      </c>
      <c r="P112" s="131">
        <f>SUMIFS(TablaConsumos[[CANTIDAD ]:[CANTIDAD ]],TablaConsumos[[CÓDIGO]:[CÓDIGO]],'Inventario '!$B112,TablaConsumos[[Planta]:[Planta]],'Inventario '!P$1)</f>
        <v>0</v>
      </c>
      <c r="Q112" s="131">
        <f>SUMIFS(TablaConsumos[[CANTIDAD ]:[CANTIDAD ]],TablaConsumos[[CÓDIGO]:[CÓDIGO]],'Inventario '!$B112,TablaConsumos[[Planta]:[Planta]],'Inventario '!Q$1)</f>
        <v>0</v>
      </c>
      <c r="R112" s="131">
        <f>SUMIFS(TablaConsumos[[CANTIDAD ]:[CANTIDAD ]],TablaConsumos[[CÓDIGO]:[CÓDIGO]],'Inventario '!$B112,TablaConsumos[[Planta]:[Planta]],'Inventario '!R$1)</f>
        <v>0</v>
      </c>
      <c r="S112" s="130">
        <f t="shared" si="114"/>
        <v>0</v>
      </c>
      <c r="T112" s="130">
        <f t="shared" si="117"/>
        <v>0</v>
      </c>
      <c r="U112" s="177"/>
      <c r="V112" s="130"/>
      <c r="W112" s="179">
        <v>30.48</v>
      </c>
      <c r="X112" s="133">
        <f t="shared" si="89"/>
        <v>0</v>
      </c>
      <c r="Y112" s="130">
        <f t="shared" si="90"/>
        <v>0</v>
      </c>
      <c r="Z112" s="132"/>
      <c r="AA112" s="132">
        <f t="shared" si="91"/>
        <v>0</v>
      </c>
      <c r="AB112" s="132"/>
      <c r="AC112" s="131">
        <f t="shared" si="92"/>
        <v>0</v>
      </c>
      <c r="AD112" s="131"/>
      <c r="AE112" s="132" t="s">
        <v>612</v>
      </c>
      <c r="AF112" s="132">
        <v>3048</v>
      </c>
      <c r="AG112" s="168"/>
      <c r="AH112" s="134">
        <f t="shared" si="93"/>
        <v>0</v>
      </c>
      <c r="AI112" s="134">
        <f t="shared" si="94"/>
        <v>0</v>
      </c>
      <c r="AJ112" s="134">
        <f t="shared" si="95"/>
        <v>0</v>
      </c>
      <c r="AK112" s="134">
        <f t="shared" si="96"/>
        <v>0</v>
      </c>
      <c r="AL112" s="134">
        <f t="shared" si="97"/>
        <v>0</v>
      </c>
      <c r="AM112" s="134">
        <f t="shared" si="98"/>
        <v>0</v>
      </c>
      <c r="AN112" s="134">
        <f t="shared" si="99"/>
        <v>0</v>
      </c>
      <c r="AO112" s="134">
        <f t="shared" si="100"/>
        <v>0</v>
      </c>
      <c r="AP112" s="134">
        <f t="shared" si="101"/>
        <v>0</v>
      </c>
      <c r="AQ112" s="134">
        <f t="shared" si="102"/>
        <v>0</v>
      </c>
      <c r="AR112" s="134">
        <f t="shared" si="103"/>
        <v>0</v>
      </c>
      <c r="AS112" s="135">
        <f t="shared" si="115"/>
        <v>0</v>
      </c>
      <c r="AT112" s="137" t="str">
        <f t="shared" si="104"/>
        <v>0</v>
      </c>
      <c r="AU112" s="137" t="str">
        <f t="shared" si="105"/>
        <v>0</v>
      </c>
      <c r="AV112" s="137" t="str">
        <f t="shared" si="106"/>
        <v>0</v>
      </c>
      <c r="AW112" s="137" t="str">
        <f t="shared" si="107"/>
        <v>0</v>
      </c>
      <c r="AX112" s="137" t="str">
        <f t="shared" si="108"/>
        <v>0</v>
      </c>
      <c r="AY112" s="137" t="str">
        <f t="shared" si="109"/>
        <v>0</v>
      </c>
      <c r="AZ112" s="137" t="str">
        <f t="shared" si="110"/>
        <v>0</v>
      </c>
      <c r="BA112" s="137" t="str">
        <f t="shared" si="111"/>
        <v>0</v>
      </c>
      <c r="BB112" s="137" t="str">
        <f t="shared" si="112"/>
        <v>0</v>
      </c>
      <c r="BC112" s="137" t="str">
        <f t="shared" si="113"/>
        <v>0</v>
      </c>
      <c r="BD112" s="131">
        <f t="shared" si="116"/>
        <v>0</v>
      </c>
    </row>
    <row r="113" spans="2:56" x14ac:dyDescent="0.25">
      <c r="B113" s="136">
        <v>8204586</v>
      </c>
      <c r="C113" s="128" t="s">
        <v>30</v>
      </c>
      <c r="D113" s="128"/>
      <c r="E113" s="147" t="s">
        <v>196</v>
      </c>
      <c r="F113" s="274"/>
      <c r="G113" s="130">
        <f>+SUMIFS(TablaIngresos[Cantidad],TablaIngresos[Código],'Inventario '!B113)</f>
        <v>0</v>
      </c>
      <c r="H113" s="130">
        <f t="shared" si="118"/>
        <v>0</v>
      </c>
      <c r="I113" s="131">
        <f>SUMIFS(TablaConsumos[[CANTIDAD ]:[CANTIDAD ]],TablaConsumos[[CÓDIGO]:[CÓDIGO]],'Inventario '!$B113,TablaConsumos[[Planta]:[Planta]],'Inventario '!I$1)</f>
        <v>0</v>
      </c>
      <c r="J113" s="131">
        <f>SUMIFS(TablaConsumos[[CANTIDAD ]:[CANTIDAD ]],TablaConsumos[[CÓDIGO]:[CÓDIGO]],'Inventario '!$B113,TablaConsumos[[Planta]:[Planta]],'Inventario '!J$1)</f>
        <v>0</v>
      </c>
      <c r="K113" s="131">
        <f>SUMIFS(TablaConsumos[[CANTIDAD ]:[CANTIDAD ]],TablaConsumos[[CÓDIGO]:[CÓDIGO]],'Inventario '!$B113,TablaConsumos[[Planta]:[Planta]],'Inventario '!K$1)</f>
        <v>0</v>
      </c>
      <c r="L113" s="131">
        <f>SUMIFS(TablaConsumos[[CANTIDAD ]:[CANTIDAD ]],TablaConsumos[[CÓDIGO]:[CÓDIGO]],'Inventario '!$B113,TablaConsumos[[Planta]:[Planta]],'Inventario '!L$1)</f>
        <v>0</v>
      </c>
      <c r="M113" s="131">
        <f>SUMIFS(TablaConsumos[[CANTIDAD ]:[CANTIDAD ]],TablaConsumos[[CÓDIGO]:[CÓDIGO]],'Inventario '!$B113,TablaConsumos[[Planta]:[Planta]],'Inventario '!M$1)</f>
        <v>0</v>
      </c>
      <c r="N113" s="131">
        <f>SUMIFS(TablaConsumos[[CANTIDAD ]:[CANTIDAD ]],TablaConsumos[[CÓDIGO]:[CÓDIGO]],'Inventario '!$B113,TablaConsumos[[Planta]:[Planta]],'Inventario '!N$1)</f>
        <v>0</v>
      </c>
      <c r="O113" s="131">
        <f>SUMIFS(TablaConsumos[[CANTIDAD ]:[CANTIDAD ]],TablaConsumos[[CÓDIGO]:[CÓDIGO]],'Inventario '!$B113,TablaConsumos[[Planta]:[Planta]],'Inventario '!O$1)</f>
        <v>0</v>
      </c>
      <c r="P113" s="131">
        <f>SUMIFS(TablaConsumos[[CANTIDAD ]:[CANTIDAD ]],TablaConsumos[[CÓDIGO]:[CÓDIGO]],'Inventario '!$B113,TablaConsumos[[Planta]:[Planta]],'Inventario '!P$1)</f>
        <v>0</v>
      </c>
      <c r="Q113" s="131">
        <f>SUMIFS(TablaConsumos[[CANTIDAD ]:[CANTIDAD ]],TablaConsumos[[CÓDIGO]:[CÓDIGO]],'Inventario '!$B113,TablaConsumos[[Planta]:[Planta]],'Inventario '!Q$1)</f>
        <v>0</v>
      </c>
      <c r="R113" s="131">
        <f>SUMIFS(TablaConsumos[[CANTIDAD ]:[CANTIDAD ]],TablaConsumos[[CÓDIGO]:[CÓDIGO]],'Inventario '!$B113,TablaConsumos[[Planta]:[Planta]],'Inventario '!R$1)</f>
        <v>0</v>
      </c>
      <c r="S113" s="130">
        <f t="shared" si="114"/>
        <v>0</v>
      </c>
      <c r="T113" s="130">
        <f t="shared" si="117"/>
        <v>0</v>
      </c>
      <c r="U113" s="177"/>
      <c r="V113" s="130"/>
      <c r="W113" s="179">
        <v>30.48</v>
      </c>
      <c r="X113" s="133">
        <f t="shared" si="89"/>
        <v>0</v>
      </c>
      <c r="Y113" s="130">
        <f t="shared" si="90"/>
        <v>0</v>
      </c>
      <c r="Z113" s="132"/>
      <c r="AA113" s="132">
        <f t="shared" si="91"/>
        <v>0</v>
      </c>
      <c r="AB113" s="132"/>
      <c r="AC113" s="131">
        <f t="shared" si="92"/>
        <v>0</v>
      </c>
      <c r="AD113" s="131"/>
      <c r="AE113" s="132" t="s">
        <v>612</v>
      </c>
      <c r="AF113" s="132">
        <v>3048</v>
      </c>
      <c r="AG113" s="168"/>
      <c r="AH113" s="134">
        <f t="shared" si="93"/>
        <v>0</v>
      </c>
      <c r="AI113" s="134">
        <f t="shared" si="94"/>
        <v>0</v>
      </c>
      <c r="AJ113" s="134">
        <f t="shared" si="95"/>
        <v>0</v>
      </c>
      <c r="AK113" s="134">
        <f t="shared" si="96"/>
        <v>0</v>
      </c>
      <c r="AL113" s="134">
        <f t="shared" si="97"/>
        <v>0</v>
      </c>
      <c r="AM113" s="134">
        <f t="shared" si="98"/>
        <v>0</v>
      </c>
      <c r="AN113" s="134">
        <f t="shared" si="99"/>
        <v>0</v>
      </c>
      <c r="AO113" s="134">
        <f t="shared" si="100"/>
        <v>0</v>
      </c>
      <c r="AP113" s="134">
        <f t="shared" si="101"/>
        <v>0</v>
      </c>
      <c r="AQ113" s="134">
        <f t="shared" si="102"/>
        <v>0</v>
      </c>
      <c r="AR113" s="134">
        <f t="shared" si="103"/>
        <v>0</v>
      </c>
      <c r="AS113" s="135">
        <f t="shared" si="115"/>
        <v>0</v>
      </c>
      <c r="AT113" s="137" t="str">
        <f t="shared" si="104"/>
        <v>0</v>
      </c>
      <c r="AU113" s="137" t="str">
        <f t="shared" si="105"/>
        <v>0</v>
      </c>
      <c r="AV113" s="137" t="str">
        <f t="shared" si="106"/>
        <v>0</v>
      </c>
      <c r="AW113" s="137" t="str">
        <f t="shared" si="107"/>
        <v>0</v>
      </c>
      <c r="AX113" s="137" t="str">
        <f t="shared" si="108"/>
        <v>0</v>
      </c>
      <c r="AY113" s="137" t="str">
        <f t="shared" si="109"/>
        <v>0</v>
      </c>
      <c r="AZ113" s="137" t="str">
        <f t="shared" si="110"/>
        <v>0</v>
      </c>
      <c r="BA113" s="137" t="str">
        <f t="shared" si="111"/>
        <v>0</v>
      </c>
      <c r="BB113" s="137" t="str">
        <f t="shared" si="112"/>
        <v>0</v>
      </c>
      <c r="BC113" s="137" t="str">
        <f t="shared" si="113"/>
        <v>0</v>
      </c>
      <c r="BD113" s="131">
        <f t="shared" si="116"/>
        <v>0</v>
      </c>
    </row>
    <row r="114" spans="2:56" x14ac:dyDescent="0.25">
      <c r="B114" s="136">
        <v>8201314</v>
      </c>
      <c r="C114" s="128" t="s">
        <v>30</v>
      </c>
      <c r="D114" s="128"/>
      <c r="E114" s="147" t="s">
        <v>198</v>
      </c>
      <c r="F114" s="274"/>
      <c r="G114" s="130">
        <f>+SUMIFS(TablaIngresos[Cantidad],TablaIngresos[Código],'Inventario '!B114)</f>
        <v>0</v>
      </c>
      <c r="H114" s="130">
        <f t="shared" si="118"/>
        <v>0</v>
      </c>
      <c r="I114" s="131">
        <f>SUMIFS(TablaConsumos[[CANTIDAD ]:[CANTIDAD ]],TablaConsumos[[CÓDIGO]:[CÓDIGO]],'Inventario '!$B114,TablaConsumos[[Planta]:[Planta]],'Inventario '!I$1)</f>
        <v>0</v>
      </c>
      <c r="J114" s="131">
        <f>SUMIFS(TablaConsumos[[CANTIDAD ]:[CANTIDAD ]],TablaConsumos[[CÓDIGO]:[CÓDIGO]],'Inventario '!$B114,TablaConsumos[[Planta]:[Planta]],'Inventario '!J$1)</f>
        <v>0</v>
      </c>
      <c r="K114" s="131">
        <f>SUMIFS(TablaConsumos[[CANTIDAD ]:[CANTIDAD ]],TablaConsumos[[CÓDIGO]:[CÓDIGO]],'Inventario '!$B114,TablaConsumos[[Planta]:[Planta]],'Inventario '!K$1)</f>
        <v>0</v>
      </c>
      <c r="L114" s="131">
        <f>SUMIFS(TablaConsumos[[CANTIDAD ]:[CANTIDAD ]],TablaConsumos[[CÓDIGO]:[CÓDIGO]],'Inventario '!$B114,TablaConsumos[[Planta]:[Planta]],'Inventario '!L$1)</f>
        <v>0</v>
      </c>
      <c r="M114" s="131">
        <f>SUMIFS(TablaConsumos[[CANTIDAD ]:[CANTIDAD ]],TablaConsumos[[CÓDIGO]:[CÓDIGO]],'Inventario '!$B114,TablaConsumos[[Planta]:[Planta]],'Inventario '!M$1)</f>
        <v>0</v>
      </c>
      <c r="N114" s="131">
        <f>SUMIFS(TablaConsumos[[CANTIDAD ]:[CANTIDAD ]],TablaConsumos[[CÓDIGO]:[CÓDIGO]],'Inventario '!$B114,TablaConsumos[[Planta]:[Planta]],'Inventario '!N$1)</f>
        <v>0</v>
      </c>
      <c r="O114" s="131">
        <f>SUMIFS(TablaConsumos[[CANTIDAD ]:[CANTIDAD ]],TablaConsumos[[CÓDIGO]:[CÓDIGO]],'Inventario '!$B114,TablaConsumos[[Planta]:[Planta]],'Inventario '!O$1)</f>
        <v>0</v>
      </c>
      <c r="P114" s="131">
        <f>SUMIFS(TablaConsumos[[CANTIDAD ]:[CANTIDAD ]],TablaConsumos[[CÓDIGO]:[CÓDIGO]],'Inventario '!$B114,TablaConsumos[[Planta]:[Planta]],'Inventario '!P$1)</f>
        <v>0</v>
      </c>
      <c r="Q114" s="131">
        <f>SUMIFS(TablaConsumos[[CANTIDAD ]:[CANTIDAD ]],TablaConsumos[[CÓDIGO]:[CÓDIGO]],'Inventario '!$B114,TablaConsumos[[Planta]:[Planta]],'Inventario '!Q$1)</f>
        <v>0</v>
      </c>
      <c r="R114" s="131">
        <f>SUMIFS(TablaConsumos[[CANTIDAD ]:[CANTIDAD ]],TablaConsumos[[CÓDIGO]:[CÓDIGO]],'Inventario '!$B114,TablaConsumos[[Planta]:[Planta]],'Inventario '!R$1)</f>
        <v>0</v>
      </c>
      <c r="S114" s="130">
        <f t="shared" si="114"/>
        <v>0</v>
      </c>
      <c r="T114" s="130">
        <f t="shared" si="117"/>
        <v>0</v>
      </c>
      <c r="U114" s="177"/>
      <c r="V114" s="130"/>
      <c r="W114" s="179">
        <v>30.48</v>
      </c>
      <c r="X114" s="133">
        <f t="shared" si="89"/>
        <v>0</v>
      </c>
      <c r="Y114" s="130">
        <f t="shared" si="90"/>
        <v>0</v>
      </c>
      <c r="Z114" s="132"/>
      <c r="AA114" s="132">
        <f t="shared" si="91"/>
        <v>0</v>
      </c>
      <c r="AB114" s="132"/>
      <c r="AC114" s="131">
        <f t="shared" si="92"/>
        <v>0</v>
      </c>
      <c r="AD114" s="131"/>
      <c r="AE114" s="132" t="s">
        <v>612</v>
      </c>
      <c r="AF114" s="132">
        <v>3048</v>
      </c>
      <c r="AG114" s="168"/>
      <c r="AH114" s="134">
        <f t="shared" si="93"/>
        <v>0</v>
      </c>
      <c r="AI114" s="134">
        <f t="shared" si="94"/>
        <v>0</v>
      </c>
      <c r="AJ114" s="134">
        <f t="shared" si="95"/>
        <v>0</v>
      </c>
      <c r="AK114" s="134">
        <f t="shared" si="96"/>
        <v>0</v>
      </c>
      <c r="AL114" s="134">
        <f t="shared" si="97"/>
        <v>0</v>
      </c>
      <c r="AM114" s="134">
        <f t="shared" si="98"/>
        <v>0</v>
      </c>
      <c r="AN114" s="134">
        <f t="shared" si="99"/>
        <v>0</v>
      </c>
      <c r="AO114" s="134">
        <f t="shared" si="100"/>
        <v>0</v>
      </c>
      <c r="AP114" s="134">
        <f t="shared" si="101"/>
        <v>0</v>
      </c>
      <c r="AQ114" s="134">
        <f t="shared" si="102"/>
        <v>0</v>
      </c>
      <c r="AR114" s="134">
        <f t="shared" si="103"/>
        <v>0</v>
      </c>
      <c r="AS114" s="135">
        <f t="shared" si="115"/>
        <v>0</v>
      </c>
      <c r="AT114" s="137" t="str">
        <f t="shared" si="104"/>
        <v>0</v>
      </c>
      <c r="AU114" s="137" t="str">
        <f t="shared" si="105"/>
        <v>0</v>
      </c>
      <c r="AV114" s="137" t="str">
        <f t="shared" si="106"/>
        <v>0</v>
      </c>
      <c r="AW114" s="137" t="str">
        <f t="shared" si="107"/>
        <v>0</v>
      </c>
      <c r="AX114" s="137" t="str">
        <f t="shared" si="108"/>
        <v>0</v>
      </c>
      <c r="AY114" s="137" t="str">
        <f t="shared" si="109"/>
        <v>0</v>
      </c>
      <c r="AZ114" s="137" t="str">
        <f t="shared" si="110"/>
        <v>0</v>
      </c>
      <c r="BA114" s="137" t="str">
        <f t="shared" si="111"/>
        <v>0</v>
      </c>
      <c r="BB114" s="137" t="str">
        <f t="shared" si="112"/>
        <v>0</v>
      </c>
      <c r="BC114" s="137" t="str">
        <f t="shared" si="113"/>
        <v>0</v>
      </c>
      <c r="BD114" s="131">
        <f t="shared" si="116"/>
        <v>0</v>
      </c>
    </row>
    <row r="115" spans="2:56" x14ac:dyDescent="0.25">
      <c r="B115" s="136">
        <v>8204620</v>
      </c>
      <c r="C115" s="128" t="s">
        <v>30</v>
      </c>
      <c r="D115" s="128"/>
      <c r="E115" s="147" t="s">
        <v>200</v>
      </c>
      <c r="F115" s="274"/>
      <c r="G115" s="130">
        <f>+SUMIFS(TablaIngresos[Cantidad],TablaIngresos[Código],'Inventario '!B115)</f>
        <v>0</v>
      </c>
      <c r="H115" s="130">
        <f t="shared" si="118"/>
        <v>0</v>
      </c>
      <c r="I115" s="131">
        <f>SUMIFS(TablaConsumos[[CANTIDAD ]:[CANTIDAD ]],TablaConsumos[[CÓDIGO]:[CÓDIGO]],'Inventario '!$B115,TablaConsumos[[Planta]:[Planta]],'Inventario '!I$1)</f>
        <v>0</v>
      </c>
      <c r="J115" s="131">
        <f>SUMIFS(TablaConsumos[[CANTIDAD ]:[CANTIDAD ]],TablaConsumos[[CÓDIGO]:[CÓDIGO]],'Inventario '!$B115,TablaConsumos[[Planta]:[Planta]],'Inventario '!J$1)</f>
        <v>0</v>
      </c>
      <c r="K115" s="131">
        <f>SUMIFS(TablaConsumos[[CANTIDAD ]:[CANTIDAD ]],TablaConsumos[[CÓDIGO]:[CÓDIGO]],'Inventario '!$B115,TablaConsumos[[Planta]:[Planta]],'Inventario '!K$1)</f>
        <v>0</v>
      </c>
      <c r="L115" s="131">
        <f>SUMIFS(TablaConsumos[[CANTIDAD ]:[CANTIDAD ]],TablaConsumos[[CÓDIGO]:[CÓDIGO]],'Inventario '!$B115,TablaConsumos[[Planta]:[Planta]],'Inventario '!L$1)</f>
        <v>0</v>
      </c>
      <c r="M115" s="131">
        <f>SUMIFS(TablaConsumos[[CANTIDAD ]:[CANTIDAD ]],TablaConsumos[[CÓDIGO]:[CÓDIGO]],'Inventario '!$B115,TablaConsumos[[Planta]:[Planta]],'Inventario '!M$1)</f>
        <v>0</v>
      </c>
      <c r="N115" s="131">
        <f>SUMIFS(TablaConsumos[[CANTIDAD ]:[CANTIDAD ]],TablaConsumos[[CÓDIGO]:[CÓDIGO]],'Inventario '!$B115,TablaConsumos[[Planta]:[Planta]],'Inventario '!N$1)</f>
        <v>0</v>
      </c>
      <c r="O115" s="131">
        <f>SUMIFS(TablaConsumos[[CANTIDAD ]:[CANTIDAD ]],TablaConsumos[[CÓDIGO]:[CÓDIGO]],'Inventario '!$B115,TablaConsumos[[Planta]:[Planta]],'Inventario '!O$1)</f>
        <v>0</v>
      </c>
      <c r="P115" s="131">
        <f>SUMIFS(TablaConsumos[[CANTIDAD ]:[CANTIDAD ]],TablaConsumos[[CÓDIGO]:[CÓDIGO]],'Inventario '!$B115,TablaConsumos[[Planta]:[Planta]],'Inventario '!P$1)</f>
        <v>0</v>
      </c>
      <c r="Q115" s="131">
        <f>SUMIFS(TablaConsumos[[CANTIDAD ]:[CANTIDAD ]],TablaConsumos[[CÓDIGO]:[CÓDIGO]],'Inventario '!$B115,TablaConsumos[[Planta]:[Planta]],'Inventario '!Q$1)</f>
        <v>0</v>
      </c>
      <c r="R115" s="131">
        <f>SUMIFS(TablaConsumos[[CANTIDAD ]:[CANTIDAD ]],TablaConsumos[[CÓDIGO]:[CÓDIGO]],'Inventario '!$B115,TablaConsumos[[Planta]:[Planta]],'Inventario '!R$1)</f>
        <v>0</v>
      </c>
      <c r="S115" s="130">
        <f t="shared" si="114"/>
        <v>0</v>
      </c>
      <c r="T115" s="130">
        <f t="shared" si="117"/>
        <v>0</v>
      </c>
      <c r="U115" s="177"/>
      <c r="V115" s="132"/>
      <c r="W115" s="179">
        <v>30.48</v>
      </c>
      <c r="X115" s="133">
        <f t="shared" si="89"/>
        <v>0</v>
      </c>
      <c r="Y115" s="130">
        <f t="shared" si="90"/>
        <v>0</v>
      </c>
      <c r="Z115" s="132"/>
      <c r="AA115" s="132">
        <f t="shared" si="91"/>
        <v>0</v>
      </c>
      <c r="AB115" s="132"/>
      <c r="AC115" s="131">
        <f t="shared" si="92"/>
        <v>0</v>
      </c>
      <c r="AD115" s="131"/>
      <c r="AE115" s="132" t="s">
        <v>612</v>
      </c>
      <c r="AF115" s="132">
        <v>3048</v>
      </c>
      <c r="AG115" s="168"/>
      <c r="AH115" s="134">
        <f t="shared" si="93"/>
        <v>0</v>
      </c>
      <c r="AI115" s="134">
        <f t="shared" si="94"/>
        <v>0</v>
      </c>
      <c r="AJ115" s="134">
        <f t="shared" si="95"/>
        <v>0</v>
      </c>
      <c r="AK115" s="134">
        <f t="shared" si="96"/>
        <v>0</v>
      </c>
      <c r="AL115" s="134">
        <f t="shared" si="97"/>
        <v>0</v>
      </c>
      <c r="AM115" s="134">
        <f t="shared" si="98"/>
        <v>0</v>
      </c>
      <c r="AN115" s="134">
        <f t="shared" si="99"/>
        <v>0</v>
      </c>
      <c r="AO115" s="134">
        <f t="shared" si="100"/>
        <v>0</v>
      </c>
      <c r="AP115" s="134">
        <f t="shared" si="101"/>
        <v>0</v>
      </c>
      <c r="AQ115" s="134">
        <f t="shared" si="102"/>
        <v>0</v>
      </c>
      <c r="AR115" s="134">
        <f t="shared" si="103"/>
        <v>0</v>
      </c>
      <c r="AS115" s="135">
        <f t="shared" si="115"/>
        <v>0</v>
      </c>
      <c r="AT115" s="137" t="str">
        <f t="shared" si="104"/>
        <v>0</v>
      </c>
      <c r="AU115" s="137" t="str">
        <f t="shared" si="105"/>
        <v>0</v>
      </c>
      <c r="AV115" s="137" t="str">
        <f t="shared" si="106"/>
        <v>0</v>
      </c>
      <c r="AW115" s="137" t="str">
        <f t="shared" si="107"/>
        <v>0</v>
      </c>
      <c r="AX115" s="137" t="str">
        <f t="shared" si="108"/>
        <v>0</v>
      </c>
      <c r="AY115" s="137" t="str">
        <f t="shared" si="109"/>
        <v>0</v>
      </c>
      <c r="AZ115" s="137" t="str">
        <f t="shared" si="110"/>
        <v>0</v>
      </c>
      <c r="BA115" s="137" t="str">
        <f t="shared" si="111"/>
        <v>0</v>
      </c>
      <c r="BB115" s="137" t="str">
        <f t="shared" si="112"/>
        <v>0</v>
      </c>
      <c r="BC115" s="137" t="str">
        <f t="shared" si="113"/>
        <v>0</v>
      </c>
      <c r="BD115" s="131">
        <f t="shared" si="116"/>
        <v>0</v>
      </c>
    </row>
    <row r="116" spans="2:56" x14ac:dyDescent="0.25">
      <c r="B116" s="136">
        <v>8204960</v>
      </c>
      <c r="C116" s="128" t="s">
        <v>30</v>
      </c>
      <c r="D116" s="128"/>
      <c r="E116" s="136" t="s">
        <v>201</v>
      </c>
      <c r="F116" s="274"/>
      <c r="G116" s="130">
        <f>+SUMIFS(TablaIngresos[Cantidad],TablaIngresos[Código],'Inventario '!B116)</f>
        <v>0</v>
      </c>
      <c r="H116" s="130">
        <f t="shared" si="118"/>
        <v>0</v>
      </c>
      <c r="I116" s="131">
        <f>SUMIFS(TablaConsumos[[CANTIDAD ]:[CANTIDAD ]],TablaConsumos[[CÓDIGO]:[CÓDIGO]],'Inventario '!$B116,TablaConsumos[[Planta]:[Planta]],'Inventario '!I$1)</f>
        <v>0</v>
      </c>
      <c r="J116" s="131">
        <f>SUMIFS(TablaConsumos[[CANTIDAD ]:[CANTIDAD ]],TablaConsumos[[CÓDIGO]:[CÓDIGO]],'Inventario '!$B116,TablaConsumos[[Planta]:[Planta]],'Inventario '!J$1)</f>
        <v>0</v>
      </c>
      <c r="K116" s="131">
        <f>SUMIFS(TablaConsumos[[CANTIDAD ]:[CANTIDAD ]],TablaConsumos[[CÓDIGO]:[CÓDIGO]],'Inventario '!$B116,TablaConsumos[[Planta]:[Planta]],'Inventario '!K$1)</f>
        <v>0</v>
      </c>
      <c r="L116" s="131">
        <f>SUMIFS(TablaConsumos[[CANTIDAD ]:[CANTIDAD ]],TablaConsumos[[CÓDIGO]:[CÓDIGO]],'Inventario '!$B116,TablaConsumos[[Planta]:[Planta]],'Inventario '!L$1)</f>
        <v>0</v>
      </c>
      <c r="M116" s="131">
        <f>SUMIFS(TablaConsumos[[CANTIDAD ]:[CANTIDAD ]],TablaConsumos[[CÓDIGO]:[CÓDIGO]],'Inventario '!$B116,TablaConsumos[[Planta]:[Planta]],'Inventario '!M$1)</f>
        <v>0</v>
      </c>
      <c r="N116" s="131">
        <f>SUMIFS(TablaConsumos[[CANTIDAD ]:[CANTIDAD ]],TablaConsumos[[CÓDIGO]:[CÓDIGO]],'Inventario '!$B116,TablaConsumos[[Planta]:[Planta]],'Inventario '!N$1)</f>
        <v>0</v>
      </c>
      <c r="O116" s="131">
        <f>SUMIFS(TablaConsumos[[CANTIDAD ]:[CANTIDAD ]],TablaConsumos[[CÓDIGO]:[CÓDIGO]],'Inventario '!$B116,TablaConsumos[[Planta]:[Planta]],'Inventario '!O$1)</f>
        <v>0</v>
      </c>
      <c r="P116" s="131">
        <f>SUMIFS(TablaConsumos[[CANTIDAD ]:[CANTIDAD ]],TablaConsumos[[CÓDIGO]:[CÓDIGO]],'Inventario '!$B116,TablaConsumos[[Planta]:[Planta]],'Inventario '!P$1)</f>
        <v>0</v>
      </c>
      <c r="Q116" s="131">
        <f>SUMIFS(TablaConsumos[[CANTIDAD ]:[CANTIDAD ]],TablaConsumos[[CÓDIGO]:[CÓDIGO]],'Inventario '!$B116,TablaConsumos[[Planta]:[Planta]],'Inventario '!Q$1)</f>
        <v>0</v>
      </c>
      <c r="R116" s="131">
        <f>SUMIFS(TablaConsumos[[CANTIDAD ]:[CANTIDAD ]],TablaConsumos[[CÓDIGO]:[CÓDIGO]],'Inventario '!$B116,TablaConsumos[[Planta]:[Planta]],'Inventario '!R$1)</f>
        <v>0</v>
      </c>
      <c r="S116" s="130">
        <f t="shared" si="114"/>
        <v>0</v>
      </c>
      <c r="T116" s="130">
        <f t="shared" si="117"/>
        <v>0</v>
      </c>
      <c r="U116" s="177"/>
      <c r="V116" s="132"/>
      <c r="W116" s="179">
        <v>30.48</v>
      </c>
      <c r="X116" s="133">
        <f t="shared" si="89"/>
        <v>0</v>
      </c>
      <c r="Y116" s="130">
        <f t="shared" ref="Y116:Y147" si="119">+T116-X116</f>
        <v>0</v>
      </c>
      <c r="Z116" s="132"/>
      <c r="AA116" s="132">
        <f t="shared" ref="AA116:AA147" si="120">(Z116-X116)</f>
        <v>0</v>
      </c>
      <c r="AB116" s="132"/>
      <c r="AC116" s="131">
        <f t="shared" ref="AC116:AC147" si="121">+Z116-AA116</f>
        <v>0</v>
      </c>
      <c r="AD116" s="131"/>
      <c r="AE116" s="132" t="s">
        <v>612</v>
      </c>
      <c r="AF116" s="132">
        <v>3048</v>
      </c>
      <c r="AG116" s="168"/>
      <c r="AH116" s="134">
        <f t="shared" ref="AH116:AH147" si="122">+IF(S116=0,0,AF116/S116)</f>
        <v>0</v>
      </c>
      <c r="AI116" s="134">
        <f t="shared" ref="AI116:AI147" si="123">+IF(I116=0,0,I116/$S116)</f>
        <v>0</v>
      </c>
      <c r="AJ116" s="134">
        <f t="shared" ref="AJ116:AJ147" si="124">+IF(J116=0,0,J116/$S116)</f>
        <v>0</v>
      </c>
      <c r="AK116" s="134">
        <f t="shared" ref="AK116:AK147" si="125">+IF(K116=0,0,K116/$S116)</f>
        <v>0</v>
      </c>
      <c r="AL116" s="134">
        <f t="shared" ref="AL116:AL147" si="126">+IF(L116=0,0,L116/$S116)</f>
        <v>0</v>
      </c>
      <c r="AM116" s="134">
        <f t="shared" ref="AM116:AM147" si="127">+IF(M116=0,0,M116/$S116)</f>
        <v>0</v>
      </c>
      <c r="AN116" s="134">
        <f t="shared" ref="AN116:AN147" si="128">+IF(N116=0,0,N116/$S116)</f>
        <v>0</v>
      </c>
      <c r="AO116" s="134">
        <f t="shared" ref="AO116:AO147" si="129">+IF(O116=0,0,O116/$S116)</f>
        <v>0</v>
      </c>
      <c r="AP116" s="134">
        <f t="shared" ref="AP116:AP147" si="130">+IF(P116=0,0,P116/$S116)</f>
        <v>0</v>
      </c>
      <c r="AQ116" s="134">
        <f t="shared" ref="AQ116:AQ147" si="131">+IF(Q116=0,0,Q116/$S116)</f>
        <v>0</v>
      </c>
      <c r="AR116" s="134">
        <f t="shared" ref="AR116:AR147" si="132">+IF(R116=0,0,R116/$S116)</f>
        <v>0</v>
      </c>
      <c r="AS116" s="135">
        <f t="shared" si="115"/>
        <v>0</v>
      </c>
      <c r="AT116" s="137" t="str">
        <f t="shared" ref="AT116:AT147" si="133">+IF(I116=-I116,"0",I116+$Y116*AI116)</f>
        <v>0</v>
      </c>
      <c r="AU116" s="137" t="str">
        <f t="shared" ref="AU116:AU147" si="134">+IF(J116=-J116,"0",J116+$Y116*AJ116)</f>
        <v>0</v>
      </c>
      <c r="AV116" s="137" t="str">
        <f t="shared" ref="AV116:AV147" si="135">+IF(K116=-K116,"0",K116+$Y116*AK116)</f>
        <v>0</v>
      </c>
      <c r="AW116" s="137" t="str">
        <f t="shared" ref="AW116:AW147" si="136">+IF(L116=-L116,"0",L116+$Y116*AL116)</f>
        <v>0</v>
      </c>
      <c r="AX116" s="137" t="str">
        <f t="shared" ref="AX116:AX147" si="137">+IF(M116=-M116,"0",M116+$Y116*AM116)</f>
        <v>0</v>
      </c>
      <c r="AY116" s="137" t="str">
        <f t="shared" ref="AY116:AY147" si="138">+IF(N116=-N116,"0",N116+$Y116*AN116)</f>
        <v>0</v>
      </c>
      <c r="AZ116" s="137" t="str">
        <f t="shared" ref="AZ116:AZ147" si="139">+IF(O116=-O116,"0",O116+$Y116*AO116)</f>
        <v>0</v>
      </c>
      <c r="BA116" s="137" t="str">
        <f t="shared" ref="BA116:BA147" si="140">+IF(P116=-P116,"0",P116+$Y116*AP116)</f>
        <v>0</v>
      </c>
      <c r="BB116" s="137" t="str">
        <f t="shared" ref="BB116:BB147" si="141">+IF(Q116=-Q116,"0",Q116+$Y116*AQ116)</f>
        <v>0</v>
      </c>
      <c r="BC116" s="137" t="str">
        <f t="shared" ref="BC116:BC147" si="142">+IF(R116=-R116,"0",R116+$Y116*AR116)</f>
        <v>0</v>
      </c>
      <c r="BD116" s="131">
        <f t="shared" si="116"/>
        <v>0</v>
      </c>
    </row>
    <row r="117" spans="2:56" x14ac:dyDescent="0.25">
      <c r="B117" s="136">
        <v>8204961</v>
      </c>
      <c r="C117" s="128" t="s">
        <v>30</v>
      </c>
      <c r="D117" s="128"/>
      <c r="E117" s="136" t="s">
        <v>691</v>
      </c>
      <c r="F117" s="274"/>
      <c r="G117" s="130">
        <f>+SUMIFS(TablaIngresos[Cantidad],TablaIngresos[Código],'Inventario '!B117)</f>
        <v>0</v>
      </c>
      <c r="H117" s="130">
        <f t="shared" si="118"/>
        <v>0</v>
      </c>
      <c r="I117" s="131">
        <f>SUMIFS(TablaConsumos[[CANTIDAD ]:[CANTIDAD ]],TablaConsumos[[CÓDIGO]:[CÓDIGO]],'Inventario '!$B117,TablaConsumos[[Planta]:[Planta]],'Inventario '!I$1)</f>
        <v>0</v>
      </c>
      <c r="J117" s="131">
        <f>SUMIFS(TablaConsumos[[CANTIDAD ]:[CANTIDAD ]],TablaConsumos[[CÓDIGO]:[CÓDIGO]],'Inventario '!$B117,TablaConsumos[[Planta]:[Planta]],'Inventario '!J$1)</f>
        <v>0</v>
      </c>
      <c r="K117" s="131">
        <f>SUMIFS(TablaConsumos[[CANTIDAD ]:[CANTIDAD ]],TablaConsumos[[CÓDIGO]:[CÓDIGO]],'Inventario '!$B117,TablaConsumos[[Planta]:[Planta]],'Inventario '!K$1)</f>
        <v>0</v>
      </c>
      <c r="L117" s="131">
        <f>SUMIFS(TablaConsumos[[CANTIDAD ]:[CANTIDAD ]],TablaConsumos[[CÓDIGO]:[CÓDIGO]],'Inventario '!$B117,TablaConsumos[[Planta]:[Planta]],'Inventario '!L$1)</f>
        <v>0</v>
      </c>
      <c r="M117" s="131">
        <f>SUMIFS(TablaConsumos[[CANTIDAD ]:[CANTIDAD ]],TablaConsumos[[CÓDIGO]:[CÓDIGO]],'Inventario '!$B117,TablaConsumos[[Planta]:[Planta]],'Inventario '!M$1)</f>
        <v>0</v>
      </c>
      <c r="N117" s="131">
        <f>SUMIFS(TablaConsumos[[CANTIDAD ]:[CANTIDAD ]],TablaConsumos[[CÓDIGO]:[CÓDIGO]],'Inventario '!$B117,TablaConsumos[[Planta]:[Planta]],'Inventario '!N$1)</f>
        <v>0</v>
      </c>
      <c r="O117" s="131">
        <f>SUMIFS(TablaConsumos[[CANTIDAD ]:[CANTIDAD ]],TablaConsumos[[CÓDIGO]:[CÓDIGO]],'Inventario '!$B117,TablaConsumos[[Planta]:[Planta]],'Inventario '!O$1)</f>
        <v>0</v>
      </c>
      <c r="P117" s="131">
        <f>SUMIFS(TablaConsumos[[CANTIDAD ]:[CANTIDAD ]],TablaConsumos[[CÓDIGO]:[CÓDIGO]],'Inventario '!$B117,TablaConsumos[[Planta]:[Planta]],'Inventario '!P$1)</f>
        <v>0</v>
      </c>
      <c r="Q117" s="131">
        <f>SUMIFS(TablaConsumos[[CANTIDAD ]:[CANTIDAD ]],TablaConsumos[[CÓDIGO]:[CÓDIGO]],'Inventario '!$B117,TablaConsumos[[Planta]:[Planta]],'Inventario '!Q$1)</f>
        <v>0</v>
      </c>
      <c r="R117" s="131">
        <f>SUMIFS(TablaConsumos[[CANTIDAD ]:[CANTIDAD ]],TablaConsumos[[CÓDIGO]:[CÓDIGO]],'Inventario '!$B117,TablaConsumos[[Planta]:[Planta]],'Inventario '!R$1)</f>
        <v>0</v>
      </c>
      <c r="S117" s="130">
        <f t="shared" si="114"/>
        <v>0</v>
      </c>
      <c r="T117" s="130">
        <f t="shared" si="117"/>
        <v>0</v>
      </c>
      <c r="U117" s="177"/>
      <c r="V117" s="132"/>
      <c r="W117" s="179">
        <v>30.48</v>
      </c>
      <c r="X117" s="133">
        <f t="shared" si="89"/>
        <v>0</v>
      </c>
      <c r="Y117" s="130">
        <f t="shared" si="119"/>
        <v>0</v>
      </c>
      <c r="Z117" s="132"/>
      <c r="AA117" s="132">
        <f t="shared" si="120"/>
        <v>0</v>
      </c>
      <c r="AB117" s="132"/>
      <c r="AC117" s="131">
        <f t="shared" si="121"/>
        <v>0</v>
      </c>
      <c r="AD117" s="131"/>
      <c r="AE117" s="132" t="s">
        <v>612</v>
      </c>
      <c r="AF117" s="132">
        <v>3048</v>
      </c>
      <c r="AG117" s="168"/>
      <c r="AH117" s="160">
        <f t="shared" si="122"/>
        <v>0</v>
      </c>
      <c r="AI117" s="160">
        <f t="shared" si="123"/>
        <v>0</v>
      </c>
      <c r="AJ117" s="160">
        <f t="shared" si="124"/>
        <v>0</v>
      </c>
      <c r="AK117" s="160">
        <f t="shared" si="125"/>
        <v>0</v>
      </c>
      <c r="AL117" s="160">
        <f t="shared" si="126"/>
        <v>0</v>
      </c>
      <c r="AM117" s="160">
        <f t="shared" si="127"/>
        <v>0</v>
      </c>
      <c r="AN117" s="160">
        <f t="shared" si="128"/>
        <v>0</v>
      </c>
      <c r="AO117" s="160">
        <f t="shared" si="129"/>
        <v>0</v>
      </c>
      <c r="AP117" s="160">
        <f t="shared" si="130"/>
        <v>0</v>
      </c>
      <c r="AQ117" s="160">
        <f t="shared" si="131"/>
        <v>0</v>
      </c>
      <c r="AR117" s="160">
        <f t="shared" si="132"/>
        <v>0</v>
      </c>
      <c r="AS117" s="161">
        <f t="shared" si="115"/>
        <v>0</v>
      </c>
      <c r="AT117" s="137" t="str">
        <f t="shared" si="133"/>
        <v>0</v>
      </c>
      <c r="AU117" s="137" t="str">
        <f t="shared" si="134"/>
        <v>0</v>
      </c>
      <c r="AV117" s="137" t="str">
        <f t="shared" si="135"/>
        <v>0</v>
      </c>
      <c r="AW117" s="137" t="str">
        <f t="shared" si="136"/>
        <v>0</v>
      </c>
      <c r="AX117" s="137" t="str">
        <f t="shared" si="137"/>
        <v>0</v>
      </c>
      <c r="AY117" s="137" t="str">
        <f t="shared" si="138"/>
        <v>0</v>
      </c>
      <c r="AZ117" s="137" t="str">
        <f t="shared" si="139"/>
        <v>0</v>
      </c>
      <c r="BA117" s="137" t="str">
        <f t="shared" si="140"/>
        <v>0</v>
      </c>
      <c r="BB117" s="137" t="str">
        <f t="shared" si="141"/>
        <v>0</v>
      </c>
      <c r="BC117" s="137" t="str">
        <f t="shared" si="142"/>
        <v>0</v>
      </c>
      <c r="BD117" s="131">
        <f t="shared" si="116"/>
        <v>0</v>
      </c>
    </row>
    <row r="118" spans="2:56" x14ac:dyDescent="0.25">
      <c r="B118" s="136">
        <v>8204962</v>
      </c>
      <c r="C118" s="128" t="s">
        <v>30</v>
      </c>
      <c r="D118" s="128"/>
      <c r="E118" s="136" t="s">
        <v>203</v>
      </c>
      <c r="F118" s="274"/>
      <c r="G118" s="130">
        <f>+SUMIFS(TablaIngresos[Cantidad],TablaIngresos[Código],'Inventario '!B118)</f>
        <v>0</v>
      </c>
      <c r="H118" s="130">
        <f t="shared" si="118"/>
        <v>0</v>
      </c>
      <c r="I118" s="131">
        <f>SUMIFS(TablaConsumos[[CANTIDAD ]:[CANTIDAD ]],TablaConsumos[[CÓDIGO]:[CÓDIGO]],'Inventario '!$B118,TablaConsumos[[Planta]:[Planta]],'Inventario '!I$1)</f>
        <v>0</v>
      </c>
      <c r="J118" s="131">
        <f>SUMIFS(TablaConsumos[[CANTIDAD ]:[CANTIDAD ]],TablaConsumos[[CÓDIGO]:[CÓDIGO]],'Inventario '!$B118,TablaConsumos[[Planta]:[Planta]],'Inventario '!J$1)</f>
        <v>0</v>
      </c>
      <c r="K118" s="131">
        <f>SUMIFS(TablaConsumos[[CANTIDAD ]:[CANTIDAD ]],TablaConsumos[[CÓDIGO]:[CÓDIGO]],'Inventario '!$B118,TablaConsumos[[Planta]:[Planta]],'Inventario '!K$1)</f>
        <v>0</v>
      </c>
      <c r="L118" s="131">
        <f>SUMIFS(TablaConsumos[[CANTIDAD ]:[CANTIDAD ]],TablaConsumos[[CÓDIGO]:[CÓDIGO]],'Inventario '!$B118,TablaConsumos[[Planta]:[Planta]],'Inventario '!L$1)</f>
        <v>0</v>
      </c>
      <c r="M118" s="131">
        <f>SUMIFS(TablaConsumos[[CANTIDAD ]:[CANTIDAD ]],TablaConsumos[[CÓDIGO]:[CÓDIGO]],'Inventario '!$B118,TablaConsumos[[Planta]:[Planta]],'Inventario '!M$1)</f>
        <v>0</v>
      </c>
      <c r="N118" s="131">
        <f>SUMIFS(TablaConsumos[[CANTIDAD ]:[CANTIDAD ]],TablaConsumos[[CÓDIGO]:[CÓDIGO]],'Inventario '!$B118,TablaConsumos[[Planta]:[Planta]],'Inventario '!N$1)</f>
        <v>0</v>
      </c>
      <c r="O118" s="131">
        <f>SUMIFS(TablaConsumos[[CANTIDAD ]:[CANTIDAD ]],TablaConsumos[[CÓDIGO]:[CÓDIGO]],'Inventario '!$B118,TablaConsumos[[Planta]:[Planta]],'Inventario '!O$1)</f>
        <v>0</v>
      </c>
      <c r="P118" s="131">
        <f>SUMIFS(TablaConsumos[[CANTIDAD ]:[CANTIDAD ]],TablaConsumos[[CÓDIGO]:[CÓDIGO]],'Inventario '!$B118,TablaConsumos[[Planta]:[Planta]],'Inventario '!P$1)</f>
        <v>0</v>
      </c>
      <c r="Q118" s="131">
        <f>SUMIFS(TablaConsumos[[CANTIDAD ]:[CANTIDAD ]],TablaConsumos[[CÓDIGO]:[CÓDIGO]],'Inventario '!$B118,TablaConsumos[[Planta]:[Planta]],'Inventario '!Q$1)</f>
        <v>0</v>
      </c>
      <c r="R118" s="131">
        <f>SUMIFS(TablaConsumos[[CANTIDAD ]:[CANTIDAD ]],TablaConsumos[[CÓDIGO]:[CÓDIGO]],'Inventario '!$B118,TablaConsumos[[Planta]:[Planta]],'Inventario '!R$1)</f>
        <v>0</v>
      </c>
      <c r="S118" s="130">
        <f t="shared" si="114"/>
        <v>0</v>
      </c>
      <c r="T118" s="130">
        <f t="shared" si="117"/>
        <v>0</v>
      </c>
      <c r="U118" s="177"/>
      <c r="V118" s="132"/>
      <c r="W118" s="179">
        <v>30.48</v>
      </c>
      <c r="X118" s="133">
        <f t="shared" si="89"/>
        <v>0</v>
      </c>
      <c r="Y118" s="130">
        <f t="shared" si="119"/>
        <v>0</v>
      </c>
      <c r="Z118" s="132"/>
      <c r="AA118" s="132">
        <f t="shared" si="120"/>
        <v>0</v>
      </c>
      <c r="AB118" s="132"/>
      <c r="AC118" s="131">
        <f t="shared" si="121"/>
        <v>0</v>
      </c>
      <c r="AD118" s="131"/>
      <c r="AE118" s="132" t="s">
        <v>612</v>
      </c>
      <c r="AF118" s="132">
        <v>3048</v>
      </c>
      <c r="AG118" s="168"/>
      <c r="AH118" s="134">
        <f t="shared" si="122"/>
        <v>0</v>
      </c>
      <c r="AI118" s="134">
        <f t="shared" si="123"/>
        <v>0</v>
      </c>
      <c r="AJ118" s="134">
        <f t="shared" si="124"/>
        <v>0</v>
      </c>
      <c r="AK118" s="134">
        <f t="shared" si="125"/>
        <v>0</v>
      </c>
      <c r="AL118" s="134">
        <f t="shared" si="126"/>
        <v>0</v>
      </c>
      <c r="AM118" s="134">
        <f t="shared" si="127"/>
        <v>0</v>
      </c>
      <c r="AN118" s="134">
        <f t="shared" si="128"/>
        <v>0</v>
      </c>
      <c r="AO118" s="134">
        <f t="shared" si="129"/>
        <v>0</v>
      </c>
      <c r="AP118" s="134">
        <f t="shared" si="130"/>
        <v>0</v>
      </c>
      <c r="AQ118" s="134">
        <f t="shared" si="131"/>
        <v>0</v>
      </c>
      <c r="AR118" s="134">
        <f t="shared" si="132"/>
        <v>0</v>
      </c>
      <c r="AS118" s="135">
        <f t="shared" si="115"/>
        <v>0</v>
      </c>
      <c r="AT118" s="137" t="str">
        <f t="shared" si="133"/>
        <v>0</v>
      </c>
      <c r="AU118" s="137" t="str">
        <f t="shared" si="134"/>
        <v>0</v>
      </c>
      <c r="AV118" s="137" t="str">
        <f t="shared" si="135"/>
        <v>0</v>
      </c>
      <c r="AW118" s="137" t="str">
        <f t="shared" si="136"/>
        <v>0</v>
      </c>
      <c r="AX118" s="137" t="str">
        <f t="shared" si="137"/>
        <v>0</v>
      </c>
      <c r="AY118" s="137" t="str">
        <f t="shared" si="138"/>
        <v>0</v>
      </c>
      <c r="AZ118" s="137" t="str">
        <f t="shared" si="139"/>
        <v>0</v>
      </c>
      <c r="BA118" s="137" t="str">
        <f t="shared" si="140"/>
        <v>0</v>
      </c>
      <c r="BB118" s="137" t="str">
        <f t="shared" si="141"/>
        <v>0</v>
      </c>
      <c r="BC118" s="137" t="str">
        <f t="shared" si="142"/>
        <v>0</v>
      </c>
      <c r="BD118" s="131">
        <f t="shared" si="116"/>
        <v>0</v>
      </c>
    </row>
    <row r="119" spans="2:56" x14ac:dyDescent="0.25">
      <c r="B119" s="136">
        <v>8204963</v>
      </c>
      <c r="C119" s="128" t="s">
        <v>30</v>
      </c>
      <c r="D119" s="128"/>
      <c r="E119" s="136" t="s">
        <v>204</v>
      </c>
      <c r="F119" s="274"/>
      <c r="G119" s="130">
        <f>+SUMIFS(TablaIngresos[Cantidad],TablaIngresos[Código],'Inventario '!B119)</f>
        <v>0</v>
      </c>
      <c r="H119" s="130">
        <f t="shared" si="118"/>
        <v>0</v>
      </c>
      <c r="I119" s="131">
        <f>SUMIFS(TablaConsumos[[CANTIDAD ]:[CANTIDAD ]],TablaConsumos[[CÓDIGO]:[CÓDIGO]],'Inventario '!$B119,TablaConsumos[[Planta]:[Planta]],'Inventario '!I$1)</f>
        <v>0</v>
      </c>
      <c r="J119" s="131">
        <f>SUMIFS(TablaConsumos[[CANTIDAD ]:[CANTIDAD ]],TablaConsumos[[CÓDIGO]:[CÓDIGO]],'Inventario '!$B119,TablaConsumos[[Planta]:[Planta]],'Inventario '!J$1)</f>
        <v>0</v>
      </c>
      <c r="K119" s="131">
        <f>SUMIFS(TablaConsumos[[CANTIDAD ]:[CANTIDAD ]],TablaConsumos[[CÓDIGO]:[CÓDIGO]],'Inventario '!$B119,TablaConsumos[[Planta]:[Planta]],'Inventario '!K$1)</f>
        <v>0</v>
      </c>
      <c r="L119" s="131">
        <f>SUMIFS(TablaConsumos[[CANTIDAD ]:[CANTIDAD ]],TablaConsumos[[CÓDIGO]:[CÓDIGO]],'Inventario '!$B119,TablaConsumos[[Planta]:[Planta]],'Inventario '!L$1)</f>
        <v>0</v>
      </c>
      <c r="M119" s="131">
        <f>SUMIFS(TablaConsumos[[CANTIDAD ]:[CANTIDAD ]],TablaConsumos[[CÓDIGO]:[CÓDIGO]],'Inventario '!$B119,TablaConsumos[[Planta]:[Planta]],'Inventario '!M$1)</f>
        <v>0</v>
      </c>
      <c r="N119" s="131">
        <f>SUMIFS(TablaConsumos[[CANTIDAD ]:[CANTIDAD ]],TablaConsumos[[CÓDIGO]:[CÓDIGO]],'Inventario '!$B119,TablaConsumos[[Planta]:[Planta]],'Inventario '!N$1)</f>
        <v>0</v>
      </c>
      <c r="O119" s="131">
        <f>SUMIFS(TablaConsumos[[CANTIDAD ]:[CANTIDAD ]],TablaConsumos[[CÓDIGO]:[CÓDIGO]],'Inventario '!$B119,TablaConsumos[[Planta]:[Planta]],'Inventario '!O$1)</f>
        <v>0</v>
      </c>
      <c r="P119" s="131">
        <f>SUMIFS(TablaConsumos[[CANTIDAD ]:[CANTIDAD ]],TablaConsumos[[CÓDIGO]:[CÓDIGO]],'Inventario '!$B119,TablaConsumos[[Planta]:[Planta]],'Inventario '!P$1)</f>
        <v>0</v>
      </c>
      <c r="Q119" s="131">
        <f>SUMIFS(TablaConsumos[[CANTIDAD ]:[CANTIDAD ]],TablaConsumos[[CÓDIGO]:[CÓDIGO]],'Inventario '!$B119,TablaConsumos[[Planta]:[Planta]],'Inventario '!Q$1)</f>
        <v>0</v>
      </c>
      <c r="R119" s="131">
        <f>SUMIFS(TablaConsumos[[CANTIDAD ]:[CANTIDAD ]],TablaConsumos[[CÓDIGO]:[CÓDIGO]],'Inventario '!$B119,TablaConsumos[[Planta]:[Planta]],'Inventario '!R$1)</f>
        <v>0</v>
      </c>
      <c r="S119" s="130">
        <f t="shared" si="114"/>
        <v>0</v>
      </c>
      <c r="T119" s="130">
        <f t="shared" si="117"/>
        <v>0</v>
      </c>
      <c r="U119" s="177"/>
      <c r="V119" s="132"/>
      <c r="W119" s="179">
        <v>30.48</v>
      </c>
      <c r="X119" s="133">
        <f t="shared" si="89"/>
        <v>0</v>
      </c>
      <c r="Y119" s="130">
        <f t="shared" si="119"/>
        <v>0</v>
      </c>
      <c r="Z119" s="132"/>
      <c r="AA119" s="132">
        <f t="shared" si="120"/>
        <v>0</v>
      </c>
      <c r="AB119" s="132"/>
      <c r="AC119" s="187">
        <f t="shared" si="121"/>
        <v>0</v>
      </c>
      <c r="AD119" s="131"/>
      <c r="AE119" s="132" t="s">
        <v>612</v>
      </c>
      <c r="AF119" s="132">
        <v>3048</v>
      </c>
      <c r="AG119" s="168"/>
      <c r="AH119" s="134">
        <f t="shared" si="122"/>
        <v>0</v>
      </c>
      <c r="AI119" s="134">
        <f t="shared" si="123"/>
        <v>0</v>
      </c>
      <c r="AJ119" s="134">
        <f t="shared" si="124"/>
        <v>0</v>
      </c>
      <c r="AK119" s="134">
        <f t="shared" si="125"/>
        <v>0</v>
      </c>
      <c r="AL119" s="134">
        <f t="shared" si="126"/>
        <v>0</v>
      </c>
      <c r="AM119" s="134">
        <f t="shared" si="127"/>
        <v>0</v>
      </c>
      <c r="AN119" s="134">
        <f t="shared" si="128"/>
        <v>0</v>
      </c>
      <c r="AO119" s="134">
        <f t="shared" si="129"/>
        <v>0</v>
      </c>
      <c r="AP119" s="134">
        <f t="shared" si="130"/>
        <v>0</v>
      </c>
      <c r="AQ119" s="134">
        <f t="shared" si="131"/>
        <v>0</v>
      </c>
      <c r="AR119" s="134">
        <f t="shared" si="132"/>
        <v>0</v>
      </c>
      <c r="AS119" s="135">
        <f t="shared" si="115"/>
        <v>0</v>
      </c>
      <c r="AT119" s="137" t="str">
        <f t="shared" si="133"/>
        <v>0</v>
      </c>
      <c r="AU119" s="137" t="str">
        <f t="shared" si="134"/>
        <v>0</v>
      </c>
      <c r="AV119" s="137" t="str">
        <f t="shared" si="135"/>
        <v>0</v>
      </c>
      <c r="AW119" s="137" t="str">
        <f t="shared" si="136"/>
        <v>0</v>
      </c>
      <c r="AX119" s="137" t="str">
        <f t="shared" si="137"/>
        <v>0</v>
      </c>
      <c r="AY119" s="137" t="str">
        <f t="shared" si="138"/>
        <v>0</v>
      </c>
      <c r="AZ119" s="137" t="str">
        <f t="shared" si="139"/>
        <v>0</v>
      </c>
      <c r="BA119" s="137" t="str">
        <f t="shared" si="140"/>
        <v>0</v>
      </c>
      <c r="BB119" s="137" t="str">
        <f t="shared" si="141"/>
        <v>0</v>
      </c>
      <c r="BC119" s="137" t="str">
        <f t="shared" si="142"/>
        <v>0</v>
      </c>
      <c r="BD119" s="131">
        <f t="shared" si="116"/>
        <v>0</v>
      </c>
    </row>
    <row r="120" spans="2:56" s="163" customFormat="1" ht="13.5" customHeight="1" x14ac:dyDescent="0.25">
      <c r="B120" s="183">
        <v>8204964</v>
      </c>
      <c r="C120" s="184" t="s">
        <v>30</v>
      </c>
      <c r="D120" s="184"/>
      <c r="E120" s="183" t="s">
        <v>205</v>
      </c>
      <c r="F120" s="274"/>
      <c r="G120" s="130">
        <f>+SUMIFS(TablaIngresos[Cantidad],TablaIngresos[Código],'Inventario '!B120)</f>
        <v>0</v>
      </c>
      <c r="H120" s="164">
        <f t="shared" si="118"/>
        <v>0</v>
      </c>
      <c r="I120" s="175">
        <f>SUMIFS(TablaConsumos[[CANTIDAD ]:[CANTIDAD ]],TablaConsumos[[CÓDIGO]:[CÓDIGO]],'Inventario '!$B120,TablaConsumos[[Planta]:[Planta]],'Inventario '!I$1)</f>
        <v>0</v>
      </c>
      <c r="J120" s="175">
        <f>SUMIFS(TablaConsumos[[CANTIDAD ]:[CANTIDAD ]],TablaConsumos[[CÓDIGO]:[CÓDIGO]],'Inventario '!$B120,TablaConsumos[[Planta]:[Planta]],'Inventario '!J$1)</f>
        <v>0</v>
      </c>
      <c r="K120" s="175">
        <f>SUMIFS(TablaConsumos[[CANTIDAD ]:[CANTIDAD ]],TablaConsumos[[CÓDIGO]:[CÓDIGO]],'Inventario '!$B120,TablaConsumos[[Planta]:[Planta]],'Inventario '!K$1)</f>
        <v>0</v>
      </c>
      <c r="L120" s="175">
        <f>SUMIFS(TablaConsumos[[CANTIDAD ]:[CANTIDAD ]],TablaConsumos[[CÓDIGO]:[CÓDIGO]],'Inventario '!$B120,TablaConsumos[[Planta]:[Planta]],'Inventario '!L$1)</f>
        <v>0</v>
      </c>
      <c r="M120" s="175">
        <f>SUMIFS(TablaConsumos[[CANTIDAD ]:[CANTIDAD ]],TablaConsumos[[CÓDIGO]:[CÓDIGO]],'Inventario '!$B120,TablaConsumos[[Planta]:[Planta]],'Inventario '!M$1)</f>
        <v>0</v>
      </c>
      <c r="N120" s="175">
        <f>SUMIFS(TablaConsumos[[CANTIDAD ]:[CANTIDAD ]],TablaConsumos[[CÓDIGO]:[CÓDIGO]],'Inventario '!$B120,TablaConsumos[[Planta]:[Planta]],'Inventario '!N$1)</f>
        <v>0</v>
      </c>
      <c r="O120" s="175">
        <f>SUMIFS(TablaConsumos[[CANTIDAD ]:[CANTIDAD ]],TablaConsumos[[CÓDIGO]:[CÓDIGO]],'Inventario '!$B120,TablaConsumos[[Planta]:[Planta]],'Inventario '!O$1)</f>
        <v>0</v>
      </c>
      <c r="P120" s="175">
        <f>SUMIFS(TablaConsumos[[CANTIDAD ]:[CANTIDAD ]],TablaConsumos[[CÓDIGO]:[CÓDIGO]],'Inventario '!$B120,TablaConsumos[[Planta]:[Planta]],'Inventario '!P$1)</f>
        <v>0</v>
      </c>
      <c r="Q120" s="175">
        <f>SUMIFS(TablaConsumos[[CANTIDAD ]:[CANTIDAD ]],TablaConsumos[[CÓDIGO]:[CÓDIGO]],'Inventario '!$B120,TablaConsumos[[Planta]:[Planta]],'Inventario '!Q$1)</f>
        <v>0</v>
      </c>
      <c r="R120" s="175">
        <f>SUMIFS(TablaConsumos[[CANTIDAD ]:[CANTIDAD ]],TablaConsumos[[CÓDIGO]:[CÓDIGO]],'Inventario '!$B120,TablaConsumos[[Planta]:[Planta]],'Inventario '!R$1)</f>
        <v>0</v>
      </c>
      <c r="S120" s="176">
        <f t="shared" si="114"/>
        <v>0</v>
      </c>
      <c r="T120" s="176">
        <f t="shared" si="117"/>
        <v>0</v>
      </c>
      <c r="U120" s="180"/>
      <c r="V120" s="164"/>
      <c r="W120" s="179">
        <v>30.48</v>
      </c>
      <c r="X120" s="133">
        <f t="shared" si="89"/>
        <v>0</v>
      </c>
      <c r="Y120" s="176">
        <f t="shared" si="119"/>
        <v>0</v>
      </c>
      <c r="Z120" s="132"/>
      <c r="AA120" s="132">
        <f t="shared" si="120"/>
        <v>0</v>
      </c>
      <c r="AB120" s="132"/>
      <c r="AC120" s="131">
        <f t="shared" si="121"/>
        <v>0</v>
      </c>
      <c r="AD120" s="131"/>
      <c r="AE120" s="164" t="s">
        <v>612</v>
      </c>
      <c r="AF120" s="164">
        <v>3048</v>
      </c>
      <c r="AG120" s="168"/>
      <c r="AH120" s="165">
        <f t="shared" si="122"/>
        <v>0</v>
      </c>
      <c r="AI120" s="165">
        <f t="shared" si="123"/>
        <v>0</v>
      </c>
      <c r="AJ120" s="165">
        <f t="shared" si="124"/>
        <v>0</v>
      </c>
      <c r="AK120" s="165">
        <f t="shared" si="125"/>
        <v>0</v>
      </c>
      <c r="AL120" s="165">
        <f t="shared" si="126"/>
        <v>0</v>
      </c>
      <c r="AM120" s="165">
        <f t="shared" si="127"/>
        <v>0</v>
      </c>
      <c r="AN120" s="165">
        <f t="shared" si="128"/>
        <v>0</v>
      </c>
      <c r="AO120" s="165">
        <f t="shared" si="129"/>
        <v>0</v>
      </c>
      <c r="AP120" s="165">
        <f t="shared" si="130"/>
        <v>0</v>
      </c>
      <c r="AQ120" s="165">
        <f t="shared" si="131"/>
        <v>0</v>
      </c>
      <c r="AR120" s="165">
        <f t="shared" si="132"/>
        <v>0</v>
      </c>
      <c r="AS120" s="166">
        <f t="shared" si="115"/>
        <v>0</v>
      </c>
      <c r="AT120" s="148" t="str">
        <f t="shared" si="133"/>
        <v>0</v>
      </c>
      <c r="AU120" s="148" t="str">
        <f t="shared" si="134"/>
        <v>0</v>
      </c>
      <c r="AV120" s="148" t="str">
        <f t="shared" si="135"/>
        <v>0</v>
      </c>
      <c r="AW120" s="148" t="str">
        <f t="shared" si="136"/>
        <v>0</v>
      </c>
      <c r="AX120" s="148" t="str">
        <f t="shared" si="137"/>
        <v>0</v>
      </c>
      <c r="AY120" s="148" t="str">
        <f t="shared" si="138"/>
        <v>0</v>
      </c>
      <c r="AZ120" s="148" t="str">
        <f t="shared" si="139"/>
        <v>0</v>
      </c>
      <c r="BA120" s="148" t="str">
        <f t="shared" si="140"/>
        <v>0</v>
      </c>
      <c r="BB120" s="148" t="str">
        <f t="shared" si="141"/>
        <v>0</v>
      </c>
      <c r="BC120" s="148" t="str">
        <f t="shared" si="142"/>
        <v>0</v>
      </c>
      <c r="BD120" s="175">
        <f t="shared" si="116"/>
        <v>0</v>
      </c>
    </row>
    <row r="121" spans="2:56" x14ac:dyDescent="0.25">
      <c r="B121" s="136">
        <v>8204965</v>
      </c>
      <c r="C121" s="128" t="s">
        <v>30</v>
      </c>
      <c r="D121" s="128"/>
      <c r="E121" s="136" t="s">
        <v>206</v>
      </c>
      <c r="F121" s="274"/>
      <c r="G121" s="130">
        <f>+SUMIFS(TablaIngresos[Cantidad],TablaIngresos[Código],'Inventario '!B121)</f>
        <v>0</v>
      </c>
      <c r="H121" s="130">
        <f t="shared" si="118"/>
        <v>0</v>
      </c>
      <c r="I121" s="131">
        <f>SUMIFS(TablaConsumos[[CANTIDAD ]:[CANTIDAD ]],TablaConsumos[[CÓDIGO]:[CÓDIGO]],'Inventario '!$B121,TablaConsumos[[Planta]:[Planta]],'Inventario '!I$1)</f>
        <v>0</v>
      </c>
      <c r="J121" s="131">
        <f>SUMIFS(TablaConsumos[[CANTIDAD ]:[CANTIDAD ]],TablaConsumos[[CÓDIGO]:[CÓDIGO]],'Inventario '!$B121,TablaConsumos[[Planta]:[Planta]],'Inventario '!J$1)</f>
        <v>0</v>
      </c>
      <c r="K121" s="131">
        <f>SUMIFS(TablaConsumos[[CANTIDAD ]:[CANTIDAD ]],TablaConsumos[[CÓDIGO]:[CÓDIGO]],'Inventario '!$B121,TablaConsumos[[Planta]:[Planta]],'Inventario '!K$1)</f>
        <v>0</v>
      </c>
      <c r="L121" s="131">
        <f>SUMIFS(TablaConsumos[[CANTIDAD ]:[CANTIDAD ]],TablaConsumos[[CÓDIGO]:[CÓDIGO]],'Inventario '!$B121,TablaConsumos[[Planta]:[Planta]],'Inventario '!L$1)</f>
        <v>0</v>
      </c>
      <c r="M121" s="131">
        <f>SUMIFS(TablaConsumos[[CANTIDAD ]:[CANTIDAD ]],TablaConsumos[[CÓDIGO]:[CÓDIGO]],'Inventario '!$B121,TablaConsumos[[Planta]:[Planta]],'Inventario '!M$1)</f>
        <v>0</v>
      </c>
      <c r="N121" s="131">
        <f>SUMIFS(TablaConsumos[[CANTIDAD ]:[CANTIDAD ]],TablaConsumos[[CÓDIGO]:[CÓDIGO]],'Inventario '!$B121,TablaConsumos[[Planta]:[Planta]],'Inventario '!N$1)</f>
        <v>0</v>
      </c>
      <c r="O121" s="131">
        <f>SUMIFS(TablaConsumos[[CANTIDAD ]:[CANTIDAD ]],TablaConsumos[[CÓDIGO]:[CÓDIGO]],'Inventario '!$B121,TablaConsumos[[Planta]:[Planta]],'Inventario '!O$1)</f>
        <v>0</v>
      </c>
      <c r="P121" s="131">
        <f>SUMIFS(TablaConsumos[[CANTIDAD ]:[CANTIDAD ]],TablaConsumos[[CÓDIGO]:[CÓDIGO]],'Inventario '!$B121,TablaConsumos[[Planta]:[Planta]],'Inventario '!P$1)</f>
        <v>0</v>
      </c>
      <c r="Q121" s="131">
        <f>SUMIFS(TablaConsumos[[CANTIDAD ]:[CANTIDAD ]],TablaConsumos[[CÓDIGO]:[CÓDIGO]],'Inventario '!$B121,TablaConsumos[[Planta]:[Planta]],'Inventario '!Q$1)</f>
        <v>0</v>
      </c>
      <c r="R121" s="131">
        <f>SUMIFS(TablaConsumos[[CANTIDAD ]:[CANTIDAD ]],TablaConsumos[[CÓDIGO]:[CÓDIGO]],'Inventario '!$B121,TablaConsumos[[Planta]:[Planta]],'Inventario '!R$1)</f>
        <v>0</v>
      </c>
      <c r="S121" s="130">
        <f t="shared" si="114"/>
        <v>0</v>
      </c>
      <c r="T121" s="130">
        <f t="shared" si="117"/>
        <v>0</v>
      </c>
      <c r="U121" s="177"/>
      <c r="V121" s="132"/>
      <c r="W121" s="179">
        <v>30.48</v>
      </c>
      <c r="X121" s="133">
        <f t="shared" si="89"/>
        <v>0</v>
      </c>
      <c r="Y121" s="130">
        <f t="shared" si="119"/>
        <v>0</v>
      </c>
      <c r="Z121" s="132"/>
      <c r="AA121" s="132">
        <f t="shared" si="120"/>
        <v>0</v>
      </c>
      <c r="AB121" s="132"/>
      <c r="AC121" s="131">
        <f t="shared" si="121"/>
        <v>0</v>
      </c>
      <c r="AD121" s="131"/>
      <c r="AE121" s="132" t="s">
        <v>612</v>
      </c>
      <c r="AF121" s="132">
        <v>3048</v>
      </c>
      <c r="AG121" s="168"/>
      <c r="AH121" s="134">
        <f t="shared" si="122"/>
        <v>0</v>
      </c>
      <c r="AI121" s="134">
        <f t="shared" si="123"/>
        <v>0</v>
      </c>
      <c r="AJ121" s="134">
        <f t="shared" si="124"/>
        <v>0</v>
      </c>
      <c r="AK121" s="134">
        <f t="shared" si="125"/>
        <v>0</v>
      </c>
      <c r="AL121" s="134">
        <f t="shared" si="126"/>
        <v>0</v>
      </c>
      <c r="AM121" s="134">
        <f t="shared" si="127"/>
        <v>0</v>
      </c>
      <c r="AN121" s="134">
        <f t="shared" si="128"/>
        <v>0</v>
      </c>
      <c r="AO121" s="134">
        <f t="shared" si="129"/>
        <v>0</v>
      </c>
      <c r="AP121" s="134">
        <f t="shared" si="130"/>
        <v>0</v>
      </c>
      <c r="AQ121" s="134">
        <f t="shared" si="131"/>
        <v>0</v>
      </c>
      <c r="AR121" s="134">
        <f t="shared" si="132"/>
        <v>0</v>
      </c>
      <c r="AS121" s="135">
        <f t="shared" si="115"/>
        <v>0</v>
      </c>
      <c r="AT121" s="137" t="str">
        <f t="shared" si="133"/>
        <v>0</v>
      </c>
      <c r="AU121" s="137" t="str">
        <f t="shared" si="134"/>
        <v>0</v>
      </c>
      <c r="AV121" s="137" t="str">
        <f t="shared" si="135"/>
        <v>0</v>
      </c>
      <c r="AW121" s="137" t="str">
        <f t="shared" si="136"/>
        <v>0</v>
      </c>
      <c r="AX121" s="137" t="str">
        <f t="shared" si="137"/>
        <v>0</v>
      </c>
      <c r="AY121" s="137" t="str">
        <f t="shared" si="138"/>
        <v>0</v>
      </c>
      <c r="AZ121" s="137" t="str">
        <f t="shared" si="139"/>
        <v>0</v>
      </c>
      <c r="BA121" s="137" t="str">
        <f t="shared" si="140"/>
        <v>0</v>
      </c>
      <c r="BB121" s="137" t="str">
        <f t="shared" si="141"/>
        <v>0</v>
      </c>
      <c r="BC121" s="137" t="str">
        <f t="shared" si="142"/>
        <v>0</v>
      </c>
      <c r="BD121" s="131">
        <f t="shared" si="116"/>
        <v>0</v>
      </c>
    </row>
    <row r="122" spans="2:56" x14ac:dyDescent="0.25">
      <c r="B122" s="136">
        <v>8204966</v>
      </c>
      <c r="C122" s="128" t="s">
        <v>30</v>
      </c>
      <c r="D122" s="128"/>
      <c r="E122" s="136" t="s">
        <v>207</v>
      </c>
      <c r="F122" s="274"/>
      <c r="G122" s="130">
        <f>+SUMIFS(TablaIngresos[Cantidad],TablaIngresos[Código],'Inventario '!B122)</f>
        <v>0</v>
      </c>
      <c r="H122" s="130">
        <f t="shared" si="118"/>
        <v>0</v>
      </c>
      <c r="I122" s="131">
        <f>SUMIFS(TablaConsumos[[CANTIDAD ]:[CANTIDAD ]],TablaConsumos[[CÓDIGO]:[CÓDIGO]],'Inventario '!$B122,TablaConsumos[[Planta]:[Planta]],'Inventario '!I$1)</f>
        <v>0</v>
      </c>
      <c r="J122" s="131">
        <f>SUMIFS(TablaConsumos[[CANTIDAD ]:[CANTIDAD ]],TablaConsumos[[CÓDIGO]:[CÓDIGO]],'Inventario '!$B122,TablaConsumos[[Planta]:[Planta]],'Inventario '!J$1)</f>
        <v>0</v>
      </c>
      <c r="K122" s="131">
        <f>SUMIFS(TablaConsumos[[CANTIDAD ]:[CANTIDAD ]],TablaConsumos[[CÓDIGO]:[CÓDIGO]],'Inventario '!$B122,TablaConsumos[[Planta]:[Planta]],'Inventario '!K$1)</f>
        <v>0</v>
      </c>
      <c r="L122" s="131">
        <f>SUMIFS(TablaConsumos[[CANTIDAD ]:[CANTIDAD ]],TablaConsumos[[CÓDIGO]:[CÓDIGO]],'Inventario '!$B122,TablaConsumos[[Planta]:[Planta]],'Inventario '!L$1)</f>
        <v>0</v>
      </c>
      <c r="M122" s="131">
        <f>SUMIFS(TablaConsumos[[CANTIDAD ]:[CANTIDAD ]],TablaConsumos[[CÓDIGO]:[CÓDIGO]],'Inventario '!$B122,TablaConsumos[[Planta]:[Planta]],'Inventario '!M$1)</f>
        <v>0</v>
      </c>
      <c r="N122" s="131">
        <f>SUMIFS(TablaConsumos[[CANTIDAD ]:[CANTIDAD ]],TablaConsumos[[CÓDIGO]:[CÓDIGO]],'Inventario '!$B122,TablaConsumos[[Planta]:[Planta]],'Inventario '!N$1)</f>
        <v>0</v>
      </c>
      <c r="O122" s="131">
        <f>SUMIFS(TablaConsumos[[CANTIDAD ]:[CANTIDAD ]],TablaConsumos[[CÓDIGO]:[CÓDIGO]],'Inventario '!$B122,TablaConsumos[[Planta]:[Planta]],'Inventario '!O$1)</f>
        <v>0</v>
      </c>
      <c r="P122" s="131">
        <f>SUMIFS(TablaConsumos[[CANTIDAD ]:[CANTIDAD ]],TablaConsumos[[CÓDIGO]:[CÓDIGO]],'Inventario '!$B122,TablaConsumos[[Planta]:[Planta]],'Inventario '!P$1)</f>
        <v>0</v>
      </c>
      <c r="Q122" s="131">
        <f>SUMIFS(TablaConsumos[[CANTIDAD ]:[CANTIDAD ]],TablaConsumos[[CÓDIGO]:[CÓDIGO]],'Inventario '!$B122,TablaConsumos[[Planta]:[Planta]],'Inventario '!Q$1)</f>
        <v>0</v>
      </c>
      <c r="R122" s="131">
        <f>SUMIFS(TablaConsumos[[CANTIDAD ]:[CANTIDAD ]],TablaConsumos[[CÓDIGO]:[CÓDIGO]],'Inventario '!$B122,TablaConsumos[[Planta]:[Planta]],'Inventario '!R$1)</f>
        <v>0</v>
      </c>
      <c r="S122" s="130">
        <f t="shared" si="114"/>
        <v>0</v>
      </c>
      <c r="T122" s="130">
        <f t="shared" si="117"/>
        <v>0</v>
      </c>
      <c r="U122" s="177"/>
      <c r="V122" s="132"/>
      <c r="W122" s="179">
        <v>30.48</v>
      </c>
      <c r="X122" s="133">
        <f t="shared" si="89"/>
        <v>0</v>
      </c>
      <c r="Y122" s="130">
        <f t="shared" si="119"/>
        <v>0</v>
      </c>
      <c r="Z122" s="132"/>
      <c r="AA122" s="132">
        <f t="shared" si="120"/>
        <v>0</v>
      </c>
      <c r="AB122" s="132"/>
      <c r="AC122" s="131">
        <f t="shared" si="121"/>
        <v>0</v>
      </c>
      <c r="AD122" s="131"/>
      <c r="AE122" s="132" t="s">
        <v>612</v>
      </c>
      <c r="AF122" s="132">
        <v>3048</v>
      </c>
      <c r="AG122" s="168"/>
      <c r="AH122" s="134">
        <f t="shared" si="122"/>
        <v>0</v>
      </c>
      <c r="AI122" s="134">
        <f t="shared" si="123"/>
        <v>0</v>
      </c>
      <c r="AJ122" s="134">
        <f t="shared" si="124"/>
        <v>0</v>
      </c>
      <c r="AK122" s="134">
        <f t="shared" si="125"/>
        <v>0</v>
      </c>
      <c r="AL122" s="134">
        <f t="shared" si="126"/>
        <v>0</v>
      </c>
      <c r="AM122" s="134">
        <f t="shared" si="127"/>
        <v>0</v>
      </c>
      <c r="AN122" s="134">
        <f t="shared" si="128"/>
        <v>0</v>
      </c>
      <c r="AO122" s="134">
        <f t="shared" si="129"/>
        <v>0</v>
      </c>
      <c r="AP122" s="134">
        <f t="shared" si="130"/>
        <v>0</v>
      </c>
      <c r="AQ122" s="134">
        <f t="shared" si="131"/>
        <v>0</v>
      </c>
      <c r="AR122" s="134">
        <f t="shared" si="132"/>
        <v>0</v>
      </c>
      <c r="AS122" s="135">
        <f t="shared" si="115"/>
        <v>0</v>
      </c>
      <c r="AT122" s="137" t="str">
        <f t="shared" si="133"/>
        <v>0</v>
      </c>
      <c r="AU122" s="137" t="str">
        <f t="shared" si="134"/>
        <v>0</v>
      </c>
      <c r="AV122" s="137" t="str">
        <f t="shared" si="135"/>
        <v>0</v>
      </c>
      <c r="AW122" s="137" t="str">
        <f t="shared" si="136"/>
        <v>0</v>
      </c>
      <c r="AX122" s="137" t="str">
        <f t="shared" si="137"/>
        <v>0</v>
      </c>
      <c r="AY122" s="137" t="str">
        <f t="shared" si="138"/>
        <v>0</v>
      </c>
      <c r="AZ122" s="137" t="str">
        <f t="shared" si="139"/>
        <v>0</v>
      </c>
      <c r="BA122" s="137" t="str">
        <f t="shared" si="140"/>
        <v>0</v>
      </c>
      <c r="BB122" s="137" t="str">
        <f t="shared" si="141"/>
        <v>0</v>
      </c>
      <c r="BC122" s="137" t="str">
        <f t="shared" si="142"/>
        <v>0</v>
      </c>
      <c r="BD122" s="131">
        <f t="shared" si="116"/>
        <v>0</v>
      </c>
    </row>
    <row r="123" spans="2:56" x14ac:dyDescent="0.25">
      <c r="B123" s="136">
        <v>8204967</v>
      </c>
      <c r="C123" s="128" t="s">
        <v>30</v>
      </c>
      <c r="D123" s="128"/>
      <c r="E123" s="136" t="s">
        <v>208</v>
      </c>
      <c r="F123" s="274"/>
      <c r="G123" s="130">
        <f>+SUMIFS(TablaIngresos[Cantidad],TablaIngresos[Código],'Inventario '!B123)</f>
        <v>0</v>
      </c>
      <c r="H123" s="130">
        <f t="shared" si="118"/>
        <v>0</v>
      </c>
      <c r="I123" s="131">
        <f>SUMIFS(TablaConsumos[[CANTIDAD ]:[CANTIDAD ]],TablaConsumos[[CÓDIGO]:[CÓDIGO]],'Inventario '!$B123,TablaConsumos[[Planta]:[Planta]],'Inventario '!I$1)</f>
        <v>0</v>
      </c>
      <c r="J123" s="131">
        <f>SUMIFS(TablaConsumos[[CANTIDAD ]:[CANTIDAD ]],TablaConsumos[[CÓDIGO]:[CÓDIGO]],'Inventario '!$B123,TablaConsumos[[Planta]:[Planta]],'Inventario '!J$1)</f>
        <v>0</v>
      </c>
      <c r="K123" s="131">
        <f>SUMIFS(TablaConsumos[[CANTIDAD ]:[CANTIDAD ]],TablaConsumos[[CÓDIGO]:[CÓDIGO]],'Inventario '!$B123,TablaConsumos[[Planta]:[Planta]],'Inventario '!K$1)</f>
        <v>0</v>
      </c>
      <c r="L123" s="131">
        <f>SUMIFS(TablaConsumos[[CANTIDAD ]:[CANTIDAD ]],TablaConsumos[[CÓDIGO]:[CÓDIGO]],'Inventario '!$B123,TablaConsumos[[Planta]:[Planta]],'Inventario '!L$1)</f>
        <v>0</v>
      </c>
      <c r="M123" s="131">
        <f>SUMIFS(TablaConsumos[[CANTIDAD ]:[CANTIDAD ]],TablaConsumos[[CÓDIGO]:[CÓDIGO]],'Inventario '!$B123,TablaConsumos[[Planta]:[Planta]],'Inventario '!M$1)</f>
        <v>0</v>
      </c>
      <c r="N123" s="131">
        <f>SUMIFS(TablaConsumos[[CANTIDAD ]:[CANTIDAD ]],TablaConsumos[[CÓDIGO]:[CÓDIGO]],'Inventario '!$B123,TablaConsumos[[Planta]:[Planta]],'Inventario '!N$1)</f>
        <v>0</v>
      </c>
      <c r="O123" s="131">
        <f>SUMIFS(TablaConsumos[[CANTIDAD ]:[CANTIDAD ]],TablaConsumos[[CÓDIGO]:[CÓDIGO]],'Inventario '!$B123,TablaConsumos[[Planta]:[Planta]],'Inventario '!O$1)</f>
        <v>0</v>
      </c>
      <c r="P123" s="131">
        <f>SUMIFS(TablaConsumos[[CANTIDAD ]:[CANTIDAD ]],TablaConsumos[[CÓDIGO]:[CÓDIGO]],'Inventario '!$B123,TablaConsumos[[Planta]:[Planta]],'Inventario '!P$1)</f>
        <v>0</v>
      </c>
      <c r="Q123" s="131">
        <f>SUMIFS(TablaConsumos[[CANTIDAD ]:[CANTIDAD ]],TablaConsumos[[CÓDIGO]:[CÓDIGO]],'Inventario '!$B123,TablaConsumos[[Planta]:[Planta]],'Inventario '!Q$1)</f>
        <v>0</v>
      </c>
      <c r="R123" s="131">
        <f>SUMIFS(TablaConsumos[[CANTIDAD ]:[CANTIDAD ]],TablaConsumos[[CÓDIGO]:[CÓDIGO]],'Inventario '!$B123,TablaConsumos[[Planta]:[Planta]],'Inventario '!R$1)</f>
        <v>0</v>
      </c>
      <c r="S123" s="130">
        <f t="shared" si="114"/>
        <v>0</v>
      </c>
      <c r="T123" s="130">
        <f t="shared" si="117"/>
        <v>0</v>
      </c>
      <c r="U123" s="177"/>
      <c r="V123" s="132"/>
      <c r="W123" s="179">
        <v>30.48</v>
      </c>
      <c r="X123" s="133">
        <f t="shared" si="89"/>
        <v>0</v>
      </c>
      <c r="Y123" s="130">
        <f t="shared" si="119"/>
        <v>0</v>
      </c>
      <c r="Z123" s="132"/>
      <c r="AA123" s="132">
        <f t="shared" si="120"/>
        <v>0</v>
      </c>
      <c r="AB123" s="132"/>
      <c r="AC123" s="131">
        <f t="shared" si="121"/>
        <v>0</v>
      </c>
      <c r="AD123" s="131"/>
      <c r="AE123" s="132" t="s">
        <v>612</v>
      </c>
      <c r="AF123" s="132">
        <v>3048</v>
      </c>
      <c r="AG123" s="168"/>
      <c r="AH123" s="134">
        <f t="shared" si="122"/>
        <v>0</v>
      </c>
      <c r="AI123" s="134">
        <f t="shared" si="123"/>
        <v>0</v>
      </c>
      <c r="AJ123" s="134">
        <f t="shared" si="124"/>
        <v>0</v>
      </c>
      <c r="AK123" s="134">
        <f t="shared" si="125"/>
        <v>0</v>
      </c>
      <c r="AL123" s="134">
        <f t="shared" si="126"/>
        <v>0</v>
      </c>
      <c r="AM123" s="134">
        <f t="shared" si="127"/>
        <v>0</v>
      </c>
      <c r="AN123" s="134">
        <f t="shared" si="128"/>
        <v>0</v>
      </c>
      <c r="AO123" s="134">
        <f t="shared" si="129"/>
        <v>0</v>
      </c>
      <c r="AP123" s="134">
        <f t="shared" si="130"/>
        <v>0</v>
      </c>
      <c r="AQ123" s="134">
        <f t="shared" si="131"/>
        <v>0</v>
      </c>
      <c r="AR123" s="134">
        <f t="shared" si="132"/>
        <v>0</v>
      </c>
      <c r="AS123" s="135">
        <f t="shared" si="115"/>
        <v>0</v>
      </c>
      <c r="AT123" s="137" t="str">
        <f t="shared" si="133"/>
        <v>0</v>
      </c>
      <c r="AU123" s="137" t="str">
        <f t="shared" si="134"/>
        <v>0</v>
      </c>
      <c r="AV123" s="137" t="str">
        <f t="shared" si="135"/>
        <v>0</v>
      </c>
      <c r="AW123" s="137" t="str">
        <f t="shared" si="136"/>
        <v>0</v>
      </c>
      <c r="AX123" s="137" t="str">
        <f t="shared" si="137"/>
        <v>0</v>
      </c>
      <c r="AY123" s="137" t="str">
        <f t="shared" si="138"/>
        <v>0</v>
      </c>
      <c r="AZ123" s="137" t="str">
        <f t="shared" si="139"/>
        <v>0</v>
      </c>
      <c r="BA123" s="137" t="str">
        <f t="shared" si="140"/>
        <v>0</v>
      </c>
      <c r="BB123" s="137" t="str">
        <f t="shared" si="141"/>
        <v>0</v>
      </c>
      <c r="BC123" s="137" t="str">
        <f t="shared" si="142"/>
        <v>0</v>
      </c>
      <c r="BD123" s="131">
        <f t="shared" si="116"/>
        <v>0</v>
      </c>
    </row>
    <row r="124" spans="2:56" x14ac:dyDescent="0.25">
      <c r="B124" s="136">
        <v>8204968</v>
      </c>
      <c r="C124" s="128" t="s">
        <v>30</v>
      </c>
      <c r="D124" s="128"/>
      <c r="E124" s="136" t="s">
        <v>209</v>
      </c>
      <c r="F124" s="274"/>
      <c r="G124" s="130">
        <f>+SUMIFS(TablaIngresos[Cantidad],TablaIngresos[Código],'Inventario '!B124)</f>
        <v>0</v>
      </c>
      <c r="H124" s="130">
        <f t="shared" si="118"/>
        <v>0</v>
      </c>
      <c r="I124" s="131">
        <f>SUMIFS(TablaConsumos[[CANTIDAD ]:[CANTIDAD ]],TablaConsumos[[CÓDIGO]:[CÓDIGO]],'Inventario '!$B124,TablaConsumos[[Planta]:[Planta]],'Inventario '!I$1)</f>
        <v>0</v>
      </c>
      <c r="J124" s="131">
        <f>SUMIFS(TablaConsumos[[CANTIDAD ]:[CANTIDAD ]],TablaConsumos[[CÓDIGO]:[CÓDIGO]],'Inventario '!$B124,TablaConsumos[[Planta]:[Planta]],'Inventario '!J$1)</f>
        <v>0</v>
      </c>
      <c r="K124" s="131">
        <f>SUMIFS(TablaConsumos[[CANTIDAD ]:[CANTIDAD ]],TablaConsumos[[CÓDIGO]:[CÓDIGO]],'Inventario '!$B124,TablaConsumos[[Planta]:[Planta]],'Inventario '!K$1)</f>
        <v>0</v>
      </c>
      <c r="L124" s="131">
        <f>SUMIFS(TablaConsumos[[CANTIDAD ]:[CANTIDAD ]],TablaConsumos[[CÓDIGO]:[CÓDIGO]],'Inventario '!$B124,TablaConsumos[[Planta]:[Planta]],'Inventario '!L$1)</f>
        <v>0</v>
      </c>
      <c r="M124" s="131">
        <f>SUMIFS(TablaConsumos[[CANTIDAD ]:[CANTIDAD ]],TablaConsumos[[CÓDIGO]:[CÓDIGO]],'Inventario '!$B124,TablaConsumos[[Planta]:[Planta]],'Inventario '!M$1)</f>
        <v>0</v>
      </c>
      <c r="N124" s="131">
        <f>SUMIFS(TablaConsumos[[CANTIDAD ]:[CANTIDAD ]],TablaConsumos[[CÓDIGO]:[CÓDIGO]],'Inventario '!$B124,TablaConsumos[[Planta]:[Planta]],'Inventario '!N$1)</f>
        <v>0</v>
      </c>
      <c r="O124" s="131">
        <f>SUMIFS(TablaConsumos[[CANTIDAD ]:[CANTIDAD ]],TablaConsumos[[CÓDIGO]:[CÓDIGO]],'Inventario '!$B124,TablaConsumos[[Planta]:[Planta]],'Inventario '!O$1)</f>
        <v>0</v>
      </c>
      <c r="P124" s="131">
        <f>SUMIFS(TablaConsumos[[CANTIDAD ]:[CANTIDAD ]],TablaConsumos[[CÓDIGO]:[CÓDIGO]],'Inventario '!$B124,TablaConsumos[[Planta]:[Planta]],'Inventario '!P$1)</f>
        <v>0</v>
      </c>
      <c r="Q124" s="131">
        <f>SUMIFS(TablaConsumos[[CANTIDAD ]:[CANTIDAD ]],TablaConsumos[[CÓDIGO]:[CÓDIGO]],'Inventario '!$B124,TablaConsumos[[Planta]:[Planta]],'Inventario '!Q$1)</f>
        <v>0</v>
      </c>
      <c r="R124" s="131">
        <f>SUMIFS(TablaConsumos[[CANTIDAD ]:[CANTIDAD ]],TablaConsumos[[CÓDIGO]:[CÓDIGO]],'Inventario '!$B124,TablaConsumos[[Planta]:[Planta]],'Inventario '!R$1)</f>
        <v>0</v>
      </c>
      <c r="S124" s="130">
        <f t="shared" si="114"/>
        <v>0</v>
      </c>
      <c r="T124" s="130">
        <f t="shared" si="117"/>
        <v>0</v>
      </c>
      <c r="U124" s="177"/>
      <c r="V124" s="130"/>
      <c r="W124" s="179">
        <v>30.48</v>
      </c>
      <c r="X124" s="133">
        <f t="shared" si="89"/>
        <v>0</v>
      </c>
      <c r="Y124" s="130">
        <f t="shared" si="119"/>
        <v>0</v>
      </c>
      <c r="Z124" s="132"/>
      <c r="AA124" s="132">
        <f t="shared" si="120"/>
        <v>0</v>
      </c>
      <c r="AB124" s="132"/>
      <c r="AC124" s="131">
        <f t="shared" si="121"/>
        <v>0</v>
      </c>
      <c r="AD124" s="131"/>
      <c r="AE124" s="132" t="s">
        <v>612</v>
      </c>
      <c r="AF124" s="132">
        <v>3048</v>
      </c>
      <c r="AG124" s="168"/>
      <c r="AH124" s="134">
        <f t="shared" si="122"/>
        <v>0</v>
      </c>
      <c r="AI124" s="134">
        <f t="shared" si="123"/>
        <v>0</v>
      </c>
      <c r="AJ124" s="134">
        <f t="shared" si="124"/>
        <v>0</v>
      </c>
      <c r="AK124" s="134">
        <f t="shared" si="125"/>
        <v>0</v>
      </c>
      <c r="AL124" s="134">
        <f t="shared" si="126"/>
        <v>0</v>
      </c>
      <c r="AM124" s="134">
        <f t="shared" si="127"/>
        <v>0</v>
      </c>
      <c r="AN124" s="134">
        <f t="shared" si="128"/>
        <v>0</v>
      </c>
      <c r="AO124" s="134">
        <f t="shared" si="129"/>
        <v>0</v>
      </c>
      <c r="AP124" s="134">
        <f t="shared" si="130"/>
        <v>0</v>
      </c>
      <c r="AQ124" s="134">
        <f t="shared" si="131"/>
        <v>0</v>
      </c>
      <c r="AR124" s="134">
        <f t="shared" si="132"/>
        <v>0</v>
      </c>
      <c r="AS124" s="135">
        <f t="shared" si="115"/>
        <v>0</v>
      </c>
      <c r="AT124" s="137" t="str">
        <f t="shared" si="133"/>
        <v>0</v>
      </c>
      <c r="AU124" s="137" t="str">
        <f t="shared" si="134"/>
        <v>0</v>
      </c>
      <c r="AV124" s="137" t="str">
        <f t="shared" si="135"/>
        <v>0</v>
      </c>
      <c r="AW124" s="137" t="str">
        <f t="shared" si="136"/>
        <v>0</v>
      </c>
      <c r="AX124" s="137" t="str">
        <f t="shared" si="137"/>
        <v>0</v>
      </c>
      <c r="AY124" s="137" t="str">
        <f t="shared" si="138"/>
        <v>0</v>
      </c>
      <c r="AZ124" s="137" t="str">
        <f t="shared" si="139"/>
        <v>0</v>
      </c>
      <c r="BA124" s="137" t="str">
        <f t="shared" si="140"/>
        <v>0</v>
      </c>
      <c r="BB124" s="137" t="str">
        <f t="shared" si="141"/>
        <v>0</v>
      </c>
      <c r="BC124" s="137" t="str">
        <f t="shared" si="142"/>
        <v>0</v>
      </c>
      <c r="BD124" s="131">
        <f t="shared" si="116"/>
        <v>0</v>
      </c>
    </row>
    <row r="125" spans="2:56" x14ac:dyDescent="0.25">
      <c r="B125" s="136">
        <v>8204969</v>
      </c>
      <c r="C125" s="128" t="s">
        <v>30</v>
      </c>
      <c r="D125" s="128"/>
      <c r="E125" s="136" t="s">
        <v>210</v>
      </c>
      <c r="F125" s="274"/>
      <c r="G125" s="130">
        <f>+SUMIFS(TablaIngresos[Cantidad],TablaIngresos[Código],'Inventario '!B125)</f>
        <v>0</v>
      </c>
      <c r="H125" s="130">
        <f t="shared" si="118"/>
        <v>0</v>
      </c>
      <c r="I125" s="131">
        <f>SUMIFS(TablaConsumos[[CANTIDAD ]:[CANTIDAD ]],TablaConsumos[[CÓDIGO]:[CÓDIGO]],'Inventario '!$B125,TablaConsumos[[Planta]:[Planta]],'Inventario '!I$1)</f>
        <v>0</v>
      </c>
      <c r="J125" s="131">
        <f>SUMIFS(TablaConsumos[[CANTIDAD ]:[CANTIDAD ]],TablaConsumos[[CÓDIGO]:[CÓDIGO]],'Inventario '!$B125,TablaConsumos[[Planta]:[Planta]],'Inventario '!J$1)</f>
        <v>0</v>
      </c>
      <c r="K125" s="131">
        <f>SUMIFS(TablaConsumos[[CANTIDAD ]:[CANTIDAD ]],TablaConsumos[[CÓDIGO]:[CÓDIGO]],'Inventario '!$B125,TablaConsumos[[Planta]:[Planta]],'Inventario '!K$1)</f>
        <v>0</v>
      </c>
      <c r="L125" s="131">
        <f>SUMIFS(TablaConsumos[[CANTIDAD ]:[CANTIDAD ]],TablaConsumos[[CÓDIGO]:[CÓDIGO]],'Inventario '!$B125,TablaConsumos[[Planta]:[Planta]],'Inventario '!L$1)</f>
        <v>0</v>
      </c>
      <c r="M125" s="131">
        <f>SUMIFS(TablaConsumos[[CANTIDAD ]:[CANTIDAD ]],TablaConsumos[[CÓDIGO]:[CÓDIGO]],'Inventario '!$B125,TablaConsumos[[Planta]:[Planta]],'Inventario '!M$1)</f>
        <v>0</v>
      </c>
      <c r="N125" s="131">
        <f>SUMIFS(TablaConsumos[[CANTIDAD ]:[CANTIDAD ]],TablaConsumos[[CÓDIGO]:[CÓDIGO]],'Inventario '!$B125,TablaConsumos[[Planta]:[Planta]],'Inventario '!N$1)</f>
        <v>0</v>
      </c>
      <c r="O125" s="131">
        <f>SUMIFS(TablaConsumos[[CANTIDAD ]:[CANTIDAD ]],TablaConsumos[[CÓDIGO]:[CÓDIGO]],'Inventario '!$B125,TablaConsumos[[Planta]:[Planta]],'Inventario '!O$1)</f>
        <v>0</v>
      </c>
      <c r="P125" s="131">
        <f>SUMIFS(TablaConsumos[[CANTIDAD ]:[CANTIDAD ]],TablaConsumos[[CÓDIGO]:[CÓDIGO]],'Inventario '!$B125,TablaConsumos[[Planta]:[Planta]],'Inventario '!P$1)</f>
        <v>0</v>
      </c>
      <c r="Q125" s="131">
        <f>SUMIFS(TablaConsumos[[CANTIDAD ]:[CANTIDAD ]],TablaConsumos[[CÓDIGO]:[CÓDIGO]],'Inventario '!$B125,TablaConsumos[[Planta]:[Planta]],'Inventario '!Q$1)</f>
        <v>0</v>
      </c>
      <c r="R125" s="131">
        <f>SUMIFS(TablaConsumos[[CANTIDAD ]:[CANTIDAD ]],TablaConsumos[[CÓDIGO]:[CÓDIGO]],'Inventario '!$B125,TablaConsumos[[Planta]:[Planta]],'Inventario '!R$1)</f>
        <v>0</v>
      </c>
      <c r="S125" s="130">
        <f t="shared" si="114"/>
        <v>0</v>
      </c>
      <c r="T125" s="130">
        <f t="shared" si="117"/>
        <v>0</v>
      </c>
      <c r="U125" s="177"/>
      <c r="V125" s="132"/>
      <c r="W125" s="179">
        <v>30.48</v>
      </c>
      <c r="X125" s="133">
        <f t="shared" si="89"/>
        <v>0</v>
      </c>
      <c r="Y125" s="130">
        <f t="shared" si="119"/>
        <v>0</v>
      </c>
      <c r="Z125" s="132"/>
      <c r="AA125" s="132">
        <f t="shared" si="120"/>
        <v>0</v>
      </c>
      <c r="AB125" s="132"/>
      <c r="AC125" s="131">
        <f t="shared" si="121"/>
        <v>0</v>
      </c>
      <c r="AD125" s="131"/>
      <c r="AE125" s="132" t="s">
        <v>612</v>
      </c>
      <c r="AF125" s="132">
        <v>3048</v>
      </c>
      <c r="AG125" s="168"/>
      <c r="AH125" s="134">
        <f t="shared" si="122"/>
        <v>0</v>
      </c>
      <c r="AI125" s="134">
        <f t="shared" si="123"/>
        <v>0</v>
      </c>
      <c r="AJ125" s="134">
        <f t="shared" si="124"/>
        <v>0</v>
      </c>
      <c r="AK125" s="134">
        <f t="shared" si="125"/>
        <v>0</v>
      </c>
      <c r="AL125" s="134">
        <f t="shared" si="126"/>
        <v>0</v>
      </c>
      <c r="AM125" s="134">
        <f t="shared" si="127"/>
        <v>0</v>
      </c>
      <c r="AN125" s="134">
        <f t="shared" si="128"/>
        <v>0</v>
      </c>
      <c r="AO125" s="134">
        <f t="shared" si="129"/>
        <v>0</v>
      </c>
      <c r="AP125" s="134">
        <f t="shared" si="130"/>
        <v>0</v>
      </c>
      <c r="AQ125" s="134">
        <f t="shared" si="131"/>
        <v>0</v>
      </c>
      <c r="AR125" s="134">
        <f t="shared" si="132"/>
        <v>0</v>
      </c>
      <c r="AS125" s="135">
        <f t="shared" si="115"/>
        <v>0</v>
      </c>
      <c r="AT125" s="137" t="str">
        <f t="shared" si="133"/>
        <v>0</v>
      </c>
      <c r="AU125" s="137" t="str">
        <f t="shared" si="134"/>
        <v>0</v>
      </c>
      <c r="AV125" s="137" t="str">
        <f t="shared" si="135"/>
        <v>0</v>
      </c>
      <c r="AW125" s="137" t="str">
        <f t="shared" si="136"/>
        <v>0</v>
      </c>
      <c r="AX125" s="137" t="str">
        <f t="shared" si="137"/>
        <v>0</v>
      </c>
      <c r="AY125" s="137" t="str">
        <f t="shared" si="138"/>
        <v>0</v>
      </c>
      <c r="AZ125" s="137" t="str">
        <f t="shared" si="139"/>
        <v>0</v>
      </c>
      <c r="BA125" s="137" t="str">
        <f t="shared" si="140"/>
        <v>0</v>
      </c>
      <c r="BB125" s="137" t="str">
        <f t="shared" si="141"/>
        <v>0</v>
      </c>
      <c r="BC125" s="137" t="str">
        <f t="shared" si="142"/>
        <v>0</v>
      </c>
      <c r="BD125" s="131">
        <f t="shared" si="116"/>
        <v>0</v>
      </c>
    </row>
    <row r="126" spans="2:56" x14ac:dyDescent="0.25">
      <c r="B126" s="136">
        <v>8204970</v>
      </c>
      <c r="C126" s="128" t="s">
        <v>30</v>
      </c>
      <c r="D126" s="128"/>
      <c r="E126" s="136" t="s">
        <v>211</v>
      </c>
      <c r="F126" s="274"/>
      <c r="G126" s="130">
        <f>+SUMIFS(TablaIngresos[Cantidad],TablaIngresos[Código],'Inventario '!B126)</f>
        <v>0</v>
      </c>
      <c r="H126" s="130">
        <f t="shared" si="118"/>
        <v>0</v>
      </c>
      <c r="I126" s="131">
        <f>SUMIFS(TablaConsumos[[CANTIDAD ]:[CANTIDAD ]],TablaConsumos[[CÓDIGO]:[CÓDIGO]],'Inventario '!$B126,TablaConsumos[[Planta]:[Planta]],'Inventario '!I$1)</f>
        <v>0</v>
      </c>
      <c r="J126" s="131">
        <f>SUMIFS(TablaConsumos[[CANTIDAD ]:[CANTIDAD ]],TablaConsumos[[CÓDIGO]:[CÓDIGO]],'Inventario '!$B126,TablaConsumos[[Planta]:[Planta]],'Inventario '!J$1)</f>
        <v>0</v>
      </c>
      <c r="K126" s="131">
        <f>SUMIFS(TablaConsumos[[CANTIDAD ]:[CANTIDAD ]],TablaConsumos[[CÓDIGO]:[CÓDIGO]],'Inventario '!$B126,TablaConsumos[[Planta]:[Planta]],'Inventario '!K$1)</f>
        <v>0</v>
      </c>
      <c r="L126" s="131">
        <f>SUMIFS(TablaConsumos[[CANTIDAD ]:[CANTIDAD ]],TablaConsumos[[CÓDIGO]:[CÓDIGO]],'Inventario '!$B126,TablaConsumos[[Planta]:[Planta]],'Inventario '!L$1)</f>
        <v>0</v>
      </c>
      <c r="M126" s="131">
        <f>SUMIFS(TablaConsumos[[CANTIDAD ]:[CANTIDAD ]],TablaConsumos[[CÓDIGO]:[CÓDIGO]],'Inventario '!$B126,TablaConsumos[[Planta]:[Planta]],'Inventario '!M$1)</f>
        <v>0</v>
      </c>
      <c r="N126" s="131">
        <f>SUMIFS(TablaConsumos[[CANTIDAD ]:[CANTIDAD ]],TablaConsumos[[CÓDIGO]:[CÓDIGO]],'Inventario '!$B126,TablaConsumos[[Planta]:[Planta]],'Inventario '!N$1)</f>
        <v>0</v>
      </c>
      <c r="O126" s="131">
        <f>SUMIFS(TablaConsumos[[CANTIDAD ]:[CANTIDAD ]],TablaConsumos[[CÓDIGO]:[CÓDIGO]],'Inventario '!$B126,TablaConsumos[[Planta]:[Planta]],'Inventario '!O$1)</f>
        <v>0</v>
      </c>
      <c r="P126" s="131">
        <f>SUMIFS(TablaConsumos[[CANTIDAD ]:[CANTIDAD ]],TablaConsumos[[CÓDIGO]:[CÓDIGO]],'Inventario '!$B126,TablaConsumos[[Planta]:[Planta]],'Inventario '!P$1)</f>
        <v>0</v>
      </c>
      <c r="Q126" s="131">
        <f>SUMIFS(TablaConsumos[[CANTIDAD ]:[CANTIDAD ]],TablaConsumos[[CÓDIGO]:[CÓDIGO]],'Inventario '!$B126,TablaConsumos[[Planta]:[Planta]],'Inventario '!Q$1)</f>
        <v>0</v>
      </c>
      <c r="R126" s="131">
        <f>SUMIFS(TablaConsumos[[CANTIDAD ]:[CANTIDAD ]],TablaConsumos[[CÓDIGO]:[CÓDIGO]],'Inventario '!$B126,TablaConsumos[[Planta]:[Planta]],'Inventario '!R$1)</f>
        <v>0</v>
      </c>
      <c r="S126" s="130">
        <f t="shared" si="114"/>
        <v>0</v>
      </c>
      <c r="T126" s="130">
        <f t="shared" si="117"/>
        <v>0</v>
      </c>
      <c r="U126" s="177"/>
      <c r="V126" s="132"/>
      <c r="W126" s="179">
        <v>30.48</v>
      </c>
      <c r="X126" s="133">
        <f t="shared" si="89"/>
        <v>0</v>
      </c>
      <c r="Y126" s="130">
        <f t="shared" si="119"/>
        <v>0</v>
      </c>
      <c r="Z126" s="132"/>
      <c r="AA126" s="132">
        <f t="shared" si="120"/>
        <v>0</v>
      </c>
      <c r="AB126" s="132"/>
      <c r="AC126" s="131">
        <f t="shared" si="121"/>
        <v>0</v>
      </c>
      <c r="AD126" s="131"/>
      <c r="AE126" s="132" t="s">
        <v>612</v>
      </c>
      <c r="AF126" s="132">
        <v>3048</v>
      </c>
      <c r="AG126" s="168"/>
      <c r="AH126" s="134">
        <f t="shared" si="122"/>
        <v>0</v>
      </c>
      <c r="AI126" s="134">
        <f t="shared" si="123"/>
        <v>0</v>
      </c>
      <c r="AJ126" s="134">
        <f t="shared" si="124"/>
        <v>0</v>
      </c>
      <c r="AK126" s="134">
        <f t="shared" si="125"/>
        <v>0</v>
      </c>
      <c r="AL126" s="134">
        <f t="shared" si="126"/>
        <v>0</v>
      </c>
      <c r="AM126" s="134">
        <f t="shared" si="127"/>
        <v>0</v>
      </c>
      <c r="AN126" s="134">
        <f t="shared" si="128"/>
        <v>0</v>
      </c>
      <c r="AO126" s="134">
        <f t="shared" si="129"/>
        <v>0</v>
      </c>
      <c r="AP126" s="134">
        <f t="shared" si="130"/>
        <v>0</v>
      </c>
      <c r="AQ126" s="134">
        <f t="shared" si="131"/>
        <v>0</v>
      </c>
      <c r="AR126" s="134">
        <f t="shared" si="132"/>
        <v>0</v>
      </c>
      <c r="AS126" s="135">
        <f t="shared" si="115"/>
        <v>0</v>
      </c>
      <c r="AT126" s="137" t="str">
        <f t="shared" si="133"/>
        <v>0</v>
      </c>
      <c r="AU126" s="137" t="str">
        <f t="shared" si="134"/>
        <v>0</v>
      </c>
      <c r="AV126" s="137" t="str">
        <f t="shared" si="135"/>
        <v>0</v>
      </c>
      <c r="AW126" s="137" t="str">
        <f t="shared" si="136"/>
        <v>0</v>
      </c>
      <c r="AX126" s="137" t="str">
        <f t="shared" si="137"/>
        <v>0</v>
      </c>
      <c r="AY126" s="137" t="str">
        <f t="shared" si="138"/>
        <v>0</v>
      </c>
      <c r="AZ126" s="137" t="str">
        <f t="shared" si="139"/>
        <v>0</v>
      </c>
      <c r="BA126" s="137" t="str">
        <f t="shared" si="140"/>
        <v>0</v>
      </c>
      <c r="BB126" s="137" t="str">
        <f t="shared" si="141"/>
        <v>0</v>
      </c>
      <c r="BC126" s="137" t="str">
        <f t="shared" si="142"/>
        <v>0</v>
      </c>
      <c r="BD126" s="131">
        <f t="shared" si="116"/>
        <v>0</v>
      </c>
    </row>
    <row r="127" spans="2:56" x14ac:dyDescent="0.25">
      <c r="B127" s="136">
        <v>8204971</v>
      </c>
      <c r="C127" s="128" t="s">
        <v>30</v>
      </c>
      <c r="D127" s="128"/>
      <c r="E127" s="136" t="s">
        <v>212</v>
      </c>
      <c r="F127" s="274"/>
      <c r="G127" s="130">
        <f>+SUMIFS(TablaIngresos[Cantidad],TablaIngresos[Código],'Inventario '!B127)</f>
        <v>0</v>
      </c>
      <c r="H127" s="130">
        <f t="shared" si="118"/>
        <v>0</v>
      </c>
      <c r="I127" s="131">
        <f>SUMIFS(TablaConsumos[[CANTIDAD ]:[CANTIDAD ]],TablaConsumos[[CÓDIGO]:[CÓDIGO]],'Inventario '!$B127,TablaConsumos[[Planta]:[Planta]],'Inventario '!I$1)</f>
        <v>0</v>
      </c>
      <c r="J127" s="131">
        <f>SUMIFS(TablaConsumos[[CANTIDAD ]:[CANTIDAD ]],TablaConsumos[[CÓDIGO]:[CÓDIGO]],'Inventario '!$B127,TablaConsumos[[Planta]:[Planta]],'Inventario '!J$1)</f>
        <v>0</v>
      </c>
      <c r="K127" s="131">
        <f>SUMIFS(TablaConsumos[[CANTIDAD ]:[CANTIDAD ]],TablaConsumos[[CÓDIGO]:[CÓDIGO]],'Inventario '!$B127,TablaConsumos[[Planta]:[Planta]],'Inventario '!K$1)</f>
        <v>0</v>
      </c>
      <c r="L127" s="131">
        <f>SUMIFS(TablaConsumos[[CANTIDAD ]:[CANTIDAD ]],TablaConsumos[[CÓDIGO]:[CÓDIGO]],'Inventario '!$B127,TablaConsumos[[Planta]:[Planta]],'Inventario '!L$1)</f>
        <v>0</v>
      </c>
      <c r="M127" s="131">
        <f>SUMIFS(TablaConsumos[[CANTIDAD ]:[CANTIDAD ]],TablaConsumos[[CÓDIGO]:[CÓDIGO]],'Inventario '!$B127,TablaConsumos[[Planta]:[Planta]],'Inventario '!M$1)</f>
        <v>0</v>
      </c>
      <c r="N127" s="131">
        <f>SUMIFS(TablaConsumos[[CANTIDAD ]:[CANTIDAD ]],TablaConsumos[[CÓDIGO]:[CÓDIGO]],'Inventario '!$B127,TablaConsumos[[Planta]:[Planta]],'Inventario '!N$1)</f>
        <v>0</v>
      </c>
      <c r="O127" s="131">
        <f>SUMIFS(TablaConsumos[[CANTIDAD ]:[CANTIDAD ]],TablaConsumos[[CÓDIGO]:[CÓDIGO]],'Inventario '!$B127,TablaConsumos[[Planta]:[Planta]],'Inventario '!O$1)</f>
        <v>0</v>
      </c>
      <c r="P127" s="131">
        <f>SUMIFS(TablaConsumos[[CANTIDAD ]:[CANTIDAD ]],TablaConsumos[[CÓDIGO]:[CÓDIGO]],'Inventario '!$B127,TablaConsumos[[Planta]:[Planta]],'Inventario '!P$1)</f>
        <v>0</v>
      </c>
      <c r="Q127" s="131">
        <f>SUMIFS(TablaConsumos[[CANTIDAD ]:[CANTIDAD ]],TablaConsumos[[CÓDIGO]:[CÓDIGO]],'Inventario '!$B127,TablaConsumos[[Planta]:[Planta]],'Inventario '!Q$1)</f>
        <v>0</v>
      </c>
      <c r="R127" s="131">
        <f>SUMIFS(TablaConsumos[[CANTIDAD ]:[CANTIDAD ]],TablaConsumos[[CÓDIGO]:[CÓDIGO]],'Inventario '!$B127,TablaConsumos[[Planta]:[Planta]],'Inventario '!R$1)</f>
        <v>0</v>
      </c>
      <c r="S127" s="130">
        <f t="shared" si="114"/>
        <v>0</v>
      </c>
      <c r="T127" s="130">
        <f t="shared" si="117"/>
        <v>0</v>
      </c>
      <c r="U127" s="177"/>
      <c r="V127" s="130"/>
      <c r="W127" s="179">
        <v>30.48</v>
      </c>
      <c r="X127" s="133">
        <f t="shared" si="89"/>
        <v>0</v>
      </c>
      <c r="Y127" s="130">
        <f t="shared" si="119"/>
        <v>0</v>
      </c>
      <c r="Z127" s="132"/>
      <c r="AA127" s="132">
        <f t="shared" si="120"/>
        <v>0</v>
      </c>
      <c r="AB127" s="132"/>
      <c r="AC127" s="131">
        <f t="shared" si="121"/>
        <v>0</v>
      </c>
      <c r="AD127" s="131"/>
      <c r="AE127" s="132" t="s">
        <v>612</v>
      </c>
      <c r="AF127" s="132">
        <v>3048</v>
      </c>
      <c r="AG127" s="168"/>
      <c r="AH127" s="134">
        <f t="shared" si="122"/>
        <v>0</v>
      </c>
      <c r="AI127" s="134">
        <f t="shared" si="123"/>
        <v>0</v>
      </c>
      <c r="AJ127" s="134">
        <f t="shared" si="124"/>
        <v>0</v>
      </c>
      <c r="AK127" s="134">
        <f t="shared" si="125"/>
        <v>0</v>
      </c>
      <c r="AL127" s="134">
        <f t="shared" si="126"/>
        <v>0</v>
      </c>
      <c r="AM127" s="134">
        <f t="shared" si="127"/>
        <v>0</v>
      </c>
      <c r="AN127" s="134">
        <f t="shared" si="128"/>
        <v>0</v>
      </c>
      <c r="AO127" s="134">
        <f t="shared" si="129"/>
        <v>0</v>
      </c>
      <c r="AP127" s="134">
        <f t="shared" si="130"/>
        <v>0</v>
      </c>
      <c r="AQ127" s="134">
        <f t="shared" si="131"/>
        <v>0</v>
      </c>
      <c r="AR127" s="134">
        <f t="shared" si="132"/>
        <v>0</v>
      </c>
      <c r="AS127" s="135">
        <f t="shared" si="115"/>
        <v>0</v>
      </c>
      <c r="AT127" s="137" t="str">
        <f t="shared" si="133"/>
        <v>0</v>
      </c>
      <c r="AU127" s="137" t="str">
        <f t="shared" si="134"/>
        <v>0</v>
      </c>
      <c r="AV127" s="137" t="str">
        <f t="shared" si="135"/>
        <v>0</v>
      </c>
      <c r="AW127" s="137" t="str">
        <f t="shared" si="136"/>
        <v>0</v>
      </c>
      <c r="AX127" s="137" t="str">
        <f t="shared" si="137"/>
        <v>0</v>
      </c>
      <c r="AY127" s="137" t="str">
        <f t="shared" si="138"/>
        <v>0</v>
      </c>
      <c r="AZ127" s="137" t="str">
        <f t="shared" si="139"/>
        <v>0</v>
      </c>
      <c r="BA127" s="137" t="str">
        <f t="shared" si="140"/>
        <v>0</v>
      </c>
      <c r="BB127" s="137" t="str">
        <f t="shared" si="141"/>
        <v>0</v>
      </c>
      <c r="BC127" s="137" t="str">
        <f t="shared" si="142"/>
        <v>0</v>
      </c>
      <c r="BD127" s="131">
        <f t="shared" si="116"/>
        <v>0</v>
      </c>
    </row>
    <row r="128" spans="2:56" x14ac:dyDescent="0.25">
      <c r="B128" s="136">
        <v>8204972</v>
      </c>
      <c r="C128" s="128" t="s">
        <v>30</v>
      </c>
      <c r="D128" s="128"/>
      <c r="E128" s="136" t="s">
        <v>213</v>
      </c>
      <c r="F128" s="274"/>
      <c r="G128" s="130">
        <f>+SUMIFS(TablaIngresos[Cantidad],TablaIngresos[Código],'Inventario '!B128)</f>
        <v>0</v>
      </c>
      <c r="H128" s="130">
        <f t="shared" si="118"/>
        <v>0</v>
      </c>
      <c r="I128" s="131">
        <f>SUMIFS(TablaConsumos[[CANTIDAD ]:[CANTIDAD ]],TablaConsumos[[CÓDIGO]:[CÓDIGO]],'Inventario '!$B128,TablaConsumos[[Planta]:[Planta]],'Inventario '!I$1)</f>
        <v>0</v>
      </c>
      <c r="J128" s="131">
        <f>SUMIFS(TablaConsumos[[CANTIDAD ]:[CANTIDAD ]],TablaConsumos[[CÓDIGO]:[CÓDIGO]],'Inventario '!$B128,TablaConsumos[[Planta]:[Planta]],'Inventario '!J$1)</f>
        <v>0</v>
      </c>
      <c r="K128" s="131">
        <f>SUMIFS(TablaConsumos[[CANTIDAD ]:[CANTIDAD ]],TablaConsumos[[CÓDIGO]:[CÓDIGO]],'Inventario '!$B128,TablaConsumos[[Planta]:[Planta]],'Inventario '!K$1)</f>
        <v>0</v>
      </c>
      <c r="L128" s="131">
        <f>SUMIFS(TablaConsumos[[CANTIDAD ]:[CANTIDAD ]],TablaConsumos[[CÓDIGO]:[CÓDIGO]],'Inventario '!$B128,TablaConsumos[[Planta]:[Planta]],'Inventario '!L$1)</f>
        <v>0</v>
      </c>
      <c r="M128" s="131">
        <f>SUMIFS(TablaConsumos[[CANTIDAD ]:[CANTIDAD ]],TablaConsumos[[CÓDIGO]:[CÓDIGO]],'Inventario '!$B128,TablaConsumos[[Planta]:[Planta]],'Inventario '!M$1)</f>
        <v>0</v>
      </c>
      <c r="N128" s="131">
        <f>SUMIFS(TablaConsumos[[CANTIDAD ]:[CANTIDAD ]],TablaConsumos[[CÓDIGO]:[CÓDIGO]],'Inventario '!$B128,TablaConsumos[[Planta]:[Planta]],'Inventario '!N$1)</f>
        <v>0</v>
      </c>
      <c r="O128" s="131">
        <f>SUMIFS(TablaConsumos[[CANTIDAD ]:[CANTIDAD ]],TablaConsumos[[CÓDIGO]:[CÓDIGO]],'Inventario '!$B128,TablaConsumos[[Planta]:[Planta]],'Inventario '!O$1)</f>
        <v>0</v>
      </c>
      <c r="P128" s="131">
        <f>SUMIFS(TablaConsumos[[CANTIDAD ]:[CANTIDAD ]],TablaConsumos[[CÓDIGO]:[CÓDIGO]],'Inventario '!$B128,TablaConsumos[[Planta]:[Planta]],'Inventario '!P$1)</f>
        <v>0</v>
      </c>
      <c r="Q128" s="131">
        <f>SUMIFS(TablaConsumos[[CANTIDAD ]:[CANTIDAD ]],TablaConsumos[[CÓDIGO]:[CÓDIGO]],'Inventario '!$B128,TablaConsumos[[Planta]:[Planta]],'Inventario '!Q$1)</f>
        <v>0</v>
      </c>
      <c r="R128" s="131">
        <f>SUMIFS(TablaConsumos[[CANTIDAD ]:[CANTIDAD ]],TablaConsumos[[CÓDIGO]:[CÓDIGO]],'Inventario '!$B128,TablaConsumos[[Planta]:[Planta]],'Inventario '!R$1)</f>
        <v>0</v>
      </c>
      <c r="S128" s="130">
        <f t="shared" si="114"/>
        <v>0</v>
      </c>
      <c r="T128" s="130">
        <f t="shared" si="117"/>
        <v>0</v>
      </c>
      <c r="U128" s="177"/>
      <c r="V128" s="130"/>
      <c r="W128" s="179">
        <v>30.48</v>
      </c>
      <c r="X128" s="133">
        <f t="shared" si="89"/>
        <v>0</v>
      </c>
      <c r="Y128" s="130">
        <f t="shared" si="119"/>
        <v>0</v>
      </c>
      <c r="Z128" s="132"/>
      <c r="AA128" s="132">
        <f t="shared" si="120"/>
        <v>0</v>
      </c>
      <c r="AB128" s="132"/>
      <c r="AC128" s="131">
        <f t="shared" si="121"/>
        <v>0</v>
      </c>
      <c r="AD128" s="131"/>
      <c r="AE128" s="132" t="s">
        <v>612</v>
      </c>
      <c r="AF128" s="132">
        <v>3048</v>
      </c>
      <c r="AG128" s="168"/>
      <c r="AH128" s="134">
        <f t="shared" si="122"/>
        <v>0</v>
      </c>
      <c r="AI128" s="134">
        <f t="shared" si="123"/>
        <v>0</v>
      </c>
      <c r="AJ128" s="134">
        <f t="shared" si="124"/>
        <v>0</v>
      </c>
      <c r="AK128" s="134">
        <f t="shared" si="125"/>
        <v>0</v>
      </c>
      <c r="AL128" s="134">
        <f t="shared" si="126"/>
        <v>0</v>
      </c>
      <c r="AM128" s="134">
        <f t="shared" si="127"/>
        <v>0</v>
      </c>
      <c r="AN128" s="134">
        <f t="shared" si="128"/>
        <v>0</v>
      </c>
      <c r="AO128" s="134">
        <f t="shared" si="129"/>
        <v>0</v>
      </c>
      <c r="AP128" s="134">
        <f t="shared" si="130"/>
        <v>0</v>
      </c>
      <c r="AQ128" s="134">
        <f t="shared" si="131"/>
        <v>0</v>
      </c>
      <c r="AR128" s="134">
        <f t="shared" si="132"/>
        <v>0</v>
      </c>
      <c r="AS128" s="135">
        <f t="shared" si="115"/>
        <v>0</v>
      </c>
      <c r="AT128" s="137" t="str">
        <f t="shared" si="133"/>
        <v>0</v>
      </c>
      <c r="AU128" s="137" t="str">
        <f t="shared" si="134"/>
        <v>0</v>
      </c>
      <c r="AV128" s="137" t="str">
        <f t="shared" si="135"/>
        <v>0</v>
      </c>
      <c r="AW128" s="137" t="str">
        <f t="shared" si="136"/>
        <v>0</v>
      </c>
      <c r="AX128" s="137" t="str">
        <f t="shared" si="137"/>
        <v>0</v>
      </c>
      <c r="AY128" s="137" t="str">
        <f t="shared" si="138"/>
        <v>0</v>
      </c>
      <c r="AZ128" s="137" t="str">
        <f t="shared" si="139"/>
        <v>0</v>
      </c>
      <c r="BA128" s="137" t="str">
        <f t="shared" si="140"/>
        <v>0</v>
      </c>
      <c r="BB128" s="137" t="str">
        <f t="shared" si="141"/>
        <v>0</v>
      </c>
      <c r="BC128" s="137" t="str">
        <f t="shared" si="142"/>
        <v>0</v>
      </c>
      <c r="BD128" s="131">
        <f t="shared" si="116"/>
        <v>0</v>
      </c>
    </row>
    <row r="129" spans="2:56" x14ac:dyDescent="0.25">
      <c r="B129" s="136">
        <v>8204973</v>
      </c>
      <c r="C129" s="128" t="s">
        <v>30</v>
      </c>
      <c r="D129" s="128"/>
      <c r="E129" s="136" t="s">
        <v>214</v>
      </c>
      <c r="F129" s="274"/>
      <c r="G129" s="130">
        <f>+SUMIFS(TablaIngresos[Cantidad],TablaIngresos[Código],'Inventario '!B129)</f>
        <v>0</v>
      </c>
      <c r="H129" s="130">
        <f t="shared" si="118"/>
        <v>0</v>
      </c>
      <c r="I129" s="131">
        <f>SUMIFS(TablaConsumos[[CANTIDAD ]:[CANTIDAD ]],TablaConsumos[[CÓDIGO]:[CÓDIGO]],'Inventario '!$B129,TablaConsumos[[Planta]:[Planta]],'Inventario '!I$1)</f>
        <v>0</v>
      </c>
      <c r="J129" s="131">
        <f>SUMIFS(TablaConsumos[[CANTIDAD ]:[CANTIDAD ]],TablaConsumos[[CÓDIGO]:[CÓDIGO]],'Inventario '!$B129,TablaConsumos[[Planta]:[Planta]],'Inventario '!J$1)</f>
        <v>0</v>
      </c>
      <c r="K129" s="131">
        <f>SUMIFS(TablaConsumos[[CANTIDAD ]:[CANTIDAD ]],TablaConsumos[[CÓDIGO]:[CÓDIGO]],'Inventario '!$B129,TablaConsumos[[Planta]:[Planta]],'Inventario '!K$1)</f>
        <v>0</v>
      </c>
      <c r="L129" s="131">
        <f>SUMIFS(TablaConsumos[[CANTIDAD ]:[CANTIDAD ]],TablaConsumos[[CÓDIGO]:[CÓDIGO]],'Inventario '!$B129,TablaConsumos[[Planta]:[Planta]],'Inventario '!L$1)</f>
        <v>0</v>
      </c>
      <c r="M129" s="131">
        <f>SUMIFS(TablaConsumos[[CANTIDAD ]:[CANTIDAD ]],TablaConsumos[[CÓDIGO]:[CÓDIGO]],'Inventario '!$B129,TablaConsumos[[Planta]:[Planta]],'Inventario '!M$1)</f>
        <v>0</v>
      </c>
      <c r="N129" s="131">
        <f>SUMIFS(TablaConsumos[[CANTIDAD ]:[CANTIDAD ]],TablaConsumos[[CÓDIGO]:[CÓDIGO]],'Inventario '!$B129,TablaConsumos[[Planta]:[Planta]],'Inventario '!N$1)</f>
        <v>0</v>
      </c>
      <c r="O129" s="131">
        <f>SUMIFS(TablaConsumos[[CANTIDAD ]:[CANTIDAD ]],TablaConsumos[[CÓDIGO]:[CÓDIGO]],'Inventario '!$B129,TablaConsumos[[Planta]:[Planta]],'Inventario '!O$1)</f>
        <v>0</v>
      </c>
      <c r="P129" s="131">
        <f>SUMIFS(TablaConsumos[[CANTIDAD ]:[CANTIDAD ]],TablaConsumos[[CÓDIGO]:[CÓDIGO]],'Inventario '!$B129,TablaConsumos[[Planta]:[Planta]],'Inventario '!P$1)</f>
        <v>0</v>
      </c>
      <c r="Q129" s="131">
        <f>SUMIFS(TablaConsumos[[CANTIDAD ]:[CANTIDAD ]],TablaConsumos[[CÓDIGO]:[CÓDIGO]],'Inventario '!$B129,TablaConsumos[[Planta]:[Planta]],'Inventario '!Q$1)</f>
        <v>0</v>
      </c>
      <c r="R129" s="131">
        <f>SUMIFS(TablaConsumos[[CANTIDAD ]:[CANTIDAD ]],TablaConsumos[[CÓDIGO]:[CÓDIGO]],'Inventario '!$B129,TablaConsumos[[Planta]:[Planta]],'Inventario '!R$1)</f>
        <v>0</v>
      </c>
      <c r="S129" s="130">
        <f t="shared" si="114"/>
        <v>0</v>
      </c>
      <c r="T129" s="130">
        <f t="shared" si="117"/>
        <v>0</v>
      </c>
      <c r="U129" s="177"/>
      <c r="V129" s="130"/>
      <c r="W129" s="179">
        <v>30.48</v>
      </c>
      <c r="X129" s="133">
        <f t="shared" si="89"/>
        <v>0</v>
      </c>
      <c r="Y129" s="130">
        <f t="shared" si="119"/>
        <v>0</v>
      </c>
      <c r="Z129" s="132"/>
      <c r="AA129" s="132">
        <f t="shared" si="120"/>
        <v>0</v>
      </c>
      <c r="AB129" s="132"/>
      <c r="AC129" s="131">
        <f t="shared" si="121"/>
        <v>0</v>
      </c>
      <c r="AD129" s="131"/>
      <c r="AE129" s="132" t="s">
        <v>612</v>
      </c>
      <c r="AF129" s="132">
        <v>3048</v>
      </c>
      <c r="AG129" s="168"/>
      <c r="AH129" s="134">
        <f t="shared" si="122"/>
        <v>0</v>
      </c>
      <c r="AI129" s="134">
        <f t="shared" si="123"/>
        <v>0</v>
      </c>
      <c r="AJ129" s="134">
        <f t="shared" si="124"/>
        <v>0</v>
      </c>
      <c r="AK129" s="134">
        <f t="shared" si="125"/>
        <v>0</v>
      </c>
      <c r="AL129" s="134">
        <f t="shared" si="126"/>
        <v>0</v>
      </c>
      <c r="AM129" s="134">
        <f t="shared" si="127"/>
        <v>0</v>
      </c>
      <c r="AN129" s="134">
        <f t="shared" si="128"/>
        <v>0</v>
      </c>
      <c r="AO129" s="134">
        <f t="shared" si="129"/>
        <v>0</v>
      </c>
      <c r="AP129" s="134">
        <f t="shared" si="130"/>
        <v>0</v>
      </c>
      <c r="AQ129" s="134">
        <f t="shared" si="131"/>
        <v>0</v>
      </c>
      <c r="AR129" s="134">
        <f t="shared" si="132"/>
        <v>0</v>
      </c>
      <c r="AS129" s="135">
        <f t="shared" si="115"/>
        <v>0</v>
      </c>
      <c r="AT129" s="137" t="str">
        <f t="shared" si="133"/>
        <v>0</v>
      </c>
      <c r="AU129" s="137" t="str">
        <f t="shared" si="134"/>
        <v>0</v>
      </c>
      <c r="AV129" s="137" t="str">
        <f t="shared" si="135"/>
        <v>0</v>
      </c>
      <c r="AW129" s="137" t="str">
        <f t="shared" si="136"/>
        <v>0</v>
      </c>
      <c r="AX129" s="137" t="str">
        <f t="shared" si="137"/>
        <v>0</v>
      </c>
      <c r="AY129" s="137" t="str">
        <f t="shared" si="138"/>
        <v>0</v>
      </c>
      <c r="AZ129" s="137" t="str">
        <f t="shared" si="139"/>
        <v>0</v>
      </c>
      <c r="BA129" s="137" t="str">
        <f t="shared" si="140"/>
        <v>0</v>
      </c>
      <c r="BB129" s="137" t="str">
        <f t="shared" si="141"/>
        <v>0</v>
      </c>
      <c r="BC129" s="137" t="str">
        <f t="shared" si="142"/>
        <v>0</v>
      </c>
      <c r="BD129" s="131">
        <f t="shared" si="116"/>
        <v>0</v>
      </c>
    </row>
    <row r="130" spans="2:56" x14ac:dyDescent="0.25">
      <c r="B130" s="136">
        <v>8204974</v>
      </c>
      <c r="C130" s="128" t="s">
        <v>30</v>
      </c>
      <c r="D130" s="128"/>
      <c r="E130" s="136" t="s">
        <v>215</v>
      </c>
      <c r="F130" s="274"/>
      <c r="G130" s="130">
        <f>+SUMIFS(TablaIngresos[Cantidad],TablaIngresos[Código],'Inventario '!B130)</f>
        <v>0</v>
      </c>
      <c r="H130" s="130">
        <f t="shared" si="118"/>
        <v>0</v>
      </c>
      <c r="I130" s="131">
        <f>SUMIFS(TablaConsumos[[CANTIDAD ]:[CANTIDAD ]],TablaConsumos[[CÓDIGO]:[CÓDIGO]],'Inventario '!$B130,TablaConsumos[[Planta]:[Planta]],'Inventario '!I$1)</f>
        <v>0</v>
      </c>
      <c r="J130" s="131">
        <f>SUMIFS(TablaConsumos[[CANTIDAD ]:[CANTIDAD ]],TablaConsumos[[CÓDIGO]:[CÓDIGO]],'Inventario '!$B130,TablaConsumos[[Planta]:[Planta]],'Inventario '!J$1)</f>
        <v>0</v>
      </c>
      <c r="K130" s="131">
        <f>SUMIFS(TablaConsumos[[CANTIDAD ]:[CANTIDAD ]],TablaConsumos[[CÓDIGO]:[CÓDIGO]],'Inventario '!$B130,TablaConsumos[[Planta]:[Planta]],'Inventario '!K$1)</f>
        <v>0</v>
      </c>
      <c r="L130" s="131">
        <f>SUMIFS(TablaConsumos[[CANTIDAD ]:[CANTIDAD ]],TablaConsumos[[CÓDIGO]:[CÓDIGO]],'Inventario '!$B130,TablaConsumos[[Planta]:[Planta]],'Inventario '!L$1)</f>
        <v>0</v>
      </c>
      <c r="M130" s="131">
        <f>SUMIFS(TablaConsumos[[CANTIDAD ]:[CANTIDAD ]],TablaConsumos[[CÓDIGO]:[CÓDIGO]],'Inventario '!$B130,TablaConsumos[[Planta]:[Planta]],'Inventario '!M$1)</f>
        <v>0</v>
      </c>
      <c r="N130" s="131">
        <f>SUMIFS(TablaConsumos[[CANTIDAD ]:[CANTIDAD ]],TablaConsumos[[CÓDIGO]:[CÓDIGO]],'Inventario '!$B130,TablaConsumos[[Planta]:[Planta]],'Inventario '!N$1)</f>
        <v>0</v>
      </c>
      <c r="O130" s="131">
        <f>SUMIFS(TablaConsumos[[CANTIDAD ]:[CANTIDAD ]],TablaConsumos[[CÓDIGO]:[CÓDIGO]],'Inventario '!$B130,TablaConsumos[[Planta]:[Planta]],'Inventario '!O$1)</f>
        <v>0</v>
      </c>
      <c r="P130" s="131">
        <f>SUMIFS(TablaConsumos[[CANTIDAD ]:[CANTIDAD ]],TablaConsumos[[CÓDIGO]:[CÓDIGO]],'Inventario '!$B130,TablaConsumos[[Planta]:[Planta]],'Inventario '!P$1)</f>
        <v>0</v>
      </c>
      <c r="Q130" s="131">
        <f>SUMIFS(TablaConsumos[[CANTIDAD ]:[CANTIDAD ]],TablaConsumos[[CÓDIGO]:[CÓDIGO]],'Inventario '!$B130,TablaConsumos[[Planta]:[Planta]],'Inventario '!Q$1)</f>
        <v>0</v>
      </c>
      <c r="R130" s="131">
        <f>SUMIFS(TablaConsumos[[CANTIDAD ]:[CANTIDAD ]],TablaConsumos[[CÓDIGO]:[CÓDIGO]],'Inventario '!$B130,TablaConsumos[[Planta]:[Planta]],'Inventario '!R$1)</f>
        <v>0</v>
      </c>
      <c r="S130" s="130">
        <f t="shared" si="114"/>
        <v>0</v>
      </c>
      <c r="T130" s="130">
        <f t="shared" si="117"/>
        <v>0</v>
      </c>
      <c r="U130" s="177"/>
      <c r="V130" s="130"/>
      <c r="W130" s="179">
        <v>30.48</v>
      </c>
      <c r="X130" s="133">
        <f t="shared" si="89"/>
        <v>0</v>
      </c>
      <c r="Y130" s="130">
        <f t="shared" si="119"/>
        <v>0</v>
      </c>
      <c r="Z130" s="132"/>
      <c r="AA130" s="132">
        <f t="shared" si="120"/>
        <v>0</v>
      </c>
      <c r="AB130" s="132"/>
      <c r="AC130" s="131">
        <f t="shared" si="121"/>
        <v>0</v>
      </c>
      <c r="AD130" s="131"/>
      <c r="AE130" s="132" t="s">
        <v>612</v>
      </c>
      <c r="AF130" s="132">
        <v>3048</v>
      </c>
      <c r="AG130" s="168"/>
      <c r="AH130" s="134">
        <f t="shared" si="122"/>
        <v>0</v>
      </c>
      <c r="AI130" s="134">
        <f t="shared" si="123"/>
        <v>0</v>
      </c>
      <c r="AJ130" s="134">
        <f t="shared" si="124"/>
        <v>0</v>
      </c>
      <c r="AK130" s="134">
        <f t="shared" si="125"/>
        <v>0</v>
      </c>
      <c r="AL130" s="134">
        <f t="shared" si="126"/>
        <v>0</v>
      </c>
      <c r="AM130" s="134">
        <f t="shared" si="127"/>
        <v>0</v>
      </c>
      <c r="AN130" s="134">
        <f t="shared" si="128"/>
        <v>0</v>
      </c>
      <c r="AO130" s="134">
        <f t="shared" si="129"/>
        <v>0</v>
      </c>
      <c r="AP130" s="134">
        <f t="shared" si="130"/>
        <v>0</v>
      </c>
      <c r="AQ130" s="134">
        <f t="shared" si="131"/>
        <v>0</v>
      </c>
      <c r="AR130" s="134">
        <f t="shared" si="132"/>
        <v>0</v>
      </c>
      <c r="AS130" s="135">
        <f t="shared" si="115"/>
        <v>0</v>
      </c>
      <c r="AT130" s="137" t="str">
        <f t="shared" si="133"/>
        <v>0</v>
      </c>
      <c r="AU130" s="137" t="str">
        <f t="shared" si="134"/>
        <v>0</v>
      </c>
      <c r="AV130" s="137" t="str">
        <f t="shared" si="135"/>
        <v>0</v>
      </c>
      <c r="AW130" s="137" t="str">
        <f t="shared" si="136"/>
        <v>0</v>
      </c>
      <c r="AX130" s="137" t="str">
        <f t="shared" si="137"/>
        <v>0</v>
      </c>
      <c r="AY130" s="137" t="str">
        <f t="shared" si="138"/>
        <v>0</v>
      </c>
      <c r="AZ130" s="137" t="str">
        <f t="shared" si="139"/>
        <v>0</v>
      </c>
      <c r="BA130" s="137" t="str">
        <f t="shared" si="140"/>
        <v>0</v>
      </c>
      <c r="BB130" s="137" t="str">
        <f t="shared" si="141"/>
        <v>0</v>
      </c>
      <c r="BC130" s="137" t="str">
        <f t="shared" si="142"/>
        <v>0</v>
      </c>
      <c r="BD130" s="131">
        <f t="shared" si="116"/>
        <v>0</v>
      </c>
    </row>
    <row r="131" spans="2:56" x14ac:dyDescent="0.25">
      <c r="B131" s="136">
        <v>8204976</v>
      </c>
      <c r="C131" s="128" t="s">
        <v>30</v>
      </c>
      <c r="D131" s="128"/>
      <c r="E131" s="136" t="s">
        <v>216</v>
      </c>
      <c r="F131" s="274"/>
      <c r="G131" s="130">
        <f>+SUMIFS(TablaIngresos[Cantidad],TablaIngresos[Código],'Inventario '!B131)</f>
        <v>0</v>
      </c>
      <c r="H131" s="130">
        <f t="shared" si="118"/>
        <v>0</v>
      </c>
      <c r="I131" s="131">
        <f>SUMIFS(TablaConsumos[[CANTIDAD ]:[CANTIDAD ]],TablaConsumos[[CÓDIGO]:[CÓDIGO]],'Inventario '!$B131,TablaConsumos[[Planta]:[Planta]],'Inventario '!I$1)</f>
        <v>0</v>
      </c>
      <c r="J131" s="131">
        <f>SUMIFS(TablaConsumos[[CANTIDAD ]:[CANTIDAD ]],TablaConsumos[[CÓDIGO]:[CÓDIGO]],'Inventario '!$B131,TablaConsumos[[Planta]:[Planta]],'Inventario '!J$1)</f>
        <v>0</v>
      </c>
      <c r="K131" s="131">
        <f>SUMIFS(TablaConsumos[[CANTIDAD ]:[CANTIDAD ]],TablaConsumos[[CÓDIGO]:[CÓDIGO]],'Inventario '!$B131,TablaConsumos[[Planta]:[Planta]],'Inventario '!K$1)</f>
        <v>0</v>
      </c>
      <c r="L131" s="131">
        <f>SUMIFS(TablaConsumos[[CANTIDAD ]:[CANTIDAD ]],TablaConsumos[[CÓDIGO]:[CÓDIGO]],'Inventario '!$B131,TablaConsumos[[Planta]:[Planta]],'Inventario '!L$1)</f>
        <v>0</v>
      </c>
      <c r="M131" s="131">
        <f>SUMIFS(TablaConsumos[[CANTIDAD ]:[CANTIDAD ]],TablaConsumos[[CÓDIGO]:[CÓDIGO]],'Inventario '!$B131,TablaConsumos[[Planta]:[Planta]],'Inventario '!M$1)</f>
        <v>0</v>
      </c>
      <c r="N131" s="131">
        <f>SUMIFS(TablaConsumos[[CANTIDAD ]:[CANTIDAD ]],TablaConsumos[[CÓDIGO]:[CÓDIGO]],'Inventario '!$B131,TablaConsumos[[Planta]:[Planta]],'Inventario '!N$1)</f>
        <v>0</v>
      </c>
      <c r="O131" s="131">
        <f>SUMIFS(TablaConsumos[[CANTIDAD ]:[CANTIDAD ]],TablaConsumos[[CÓDIGO]:[CÓDIGO]],'Inventario '!$B131,TablaConsumos[[Planta]:[Planta]],'Inventario '!O$1)</f>
        <v>0</v>
      </c>
      <c r="P131" s="131">
        <f>SUMIFS(TablaConsumos[[CANTIDAD ]:[CANTIDAD ]],TablaConsumos[[CÓDIGO]:[CÓDIGO]],'Inventario '!$B131,TablaConsumos[[Planta]:[Planta]],'Inventario '!P$1)</f>
        <v>0</v>
      </c>
      <c r="Q131" s="131">
        <f>SUMIFS(TablaConsumos[[CANTIDAD ]:[CANTIDAD ]],TablaConsumos[[CÓDIGO]:[CÓDIGO]],'Inventario '!$B131,TablaConsumos[[Planta]:[Planta]],'Inventario '!Q$1)</f>
        <v>0</v>
      </c>
      <c r="R131" s="131">
        <f>SUMIFS(TablaConsumos[[CANTIDAD ]:[CANTIDAD ]],TablaConsumos[[CÓDIGO]:[CÓDIGO]],'Inventario '!$B131,TablaConsumos[[Planta]:[Planta]],'Inventario '!R$1)</f>
        <v>0</v>
      </c>
      <c r="S131" s="130">
        <f t="shared" si="114"/>
        <v>0</v>
      </c>
      <c r="T131" s="130">
        <f t="shared" si="117"/>
        <v>0</v>
      </c>
      <c r="U131" s="177"/>
      <c r="V131" s="132"/>
      <c r="W131" s="179">
        <v>30.48</v>
      </c>
      <c r="X131" s="133">
        <f t="shared" si="89"/>
        <v>0</v>
      </c>
      <c r="Y131" s="130">
        <f t="shared" si="119"/>
        <v>0</v>
      </c>
      <c r="Z131" s="132"/>
      <c r="AA131" s="132">
        <f t="shared" si="120"/>
        <v>0</v>
      </c>
      <c r="AB131" s="132"/>
      <c r="AC131" s="131">
        <f t="shared" si="121"/>
        <v>0</v>
      </c>
      <c r="AD131" s="131"/>
      <c r="AE131" s="132" t="s">
        <v>612</v>
      </c>
      <c r="AF131" s="132">
        <v>3048</v>
      </c>
      <c r="AG131" s="168"/>
      <c r="AH131" s="134">
        <f t="shared" si="122"/>
        <v>0</v>
      </c>
      <c r="AI131" s="134">
        <f t="shared" si="123"/>
        <v>0</v>
      </c>
      <c r="AJ131" s="134">
        <f t="shared" si="124"/>
        <v>0</v>
      </c>
      <c r="AK131" s="134">
        <f t="shared" si="125"/>
        <v>0</v>
      </c>
      <c r="AL131" s="134">
        <f t="shared" si="126"/>
        <v>0</v>
      </c>
      <c r="AM131" s="134">
        <f t="shared" si="127"/>
        <v>0</v>
      </c>
      <c r="AN131" s="134">
        <f t="shared" si="128"/>
        <v>0</v>
      </c>
      <c r="AO131" s="134">
        <f t="shared" si="129"/>
        <v>0</v>
      </c>
      <c r="AP131" s="134">
        <f t="shared" si="130"/>
        <v>0</v>
      </c>
      <c r="AQ131" s="134">
        <f t="shared" si="131"/>
        <v>0</v>
      </c>
      <c r="AR131" s="134">
        <f t="shared" si="132"/>
        <v>0</v>
      </c>
      <c r="AS131" s="135">
        <f t="shared" si="115"/>
        <v>0</v>
      </c>
      <c r="AT131" s="137" t="str">
        <f t="shared" si="133"/>
        <v>0</v>
      </c>
      <c r="AU131" s="137" t="str">
        <f t="shared" si="134"/>
        <v>0</v>
      </c>
      <c r="AV131" s="137" t="str">
        <f t="shared" si="135"/>
        <v>0</v>
      </c>
      <c r="AW131" s="137" t="str">
        <f t="shared" si="136"/>
        <v>0</v>
      </c>
      <c r="AX131" s="137" t="str">
        <f t="shared" si="137"/>
        <v>0</v>
      </c>
      <c r="AY131" s="137" t="str">
        <f t="shared" si="138"/>
        <v>0</v>
      </c>
      <c r="AZ131" s="137" t="str">
        <f t="shared" si="139"/>
        <v>0</v>
      </c>
      <c r="BA131" s="137" t="str">
        <f t="shared" si="140"/>
        <v>0</v>
      </c>
      <c r="BB131" s="137" t="str">
        <f t="shared" si="141"/>
        <v>0</v>
      </c>
      <c r="BC131" s="137" t="str">
        <f t="shared" si="142"/>
        <v>0</v>
      </c>
      <c r="BD131" s="131">
        <f t="shared" si="116"/>
        <v>0</v>
      </c>
    </row>
    <row r="132" spans="2:56" x14ac:dyDescent="0.25">
      <c r="B132" s="136">
        <v>8204977</v>
      </c>
      <c r="C132" s="128" t="s">
        <v>30</v>
      </c>
      <c r="D132" s="128"/>
      <c r="E132" s="136" t="s">
        <v>217</v>
      </c>
      <c r="F132" s="274"/>
      <c r="G132" s="130">
        <f>+SUMIFS(TablaIngresos[Cantidad],TablaIngresos[Código],'Inventario '!B132)</f>
        <v>0</v>
      </c>
      <c r="H132" s="130">
        <f t="shared" si="118"/>
        <v>0</v>
      </c>
      <c r="I132" s="131">
        <f>SUMIFS(TablaConsumos[[CANTIDAD ]:[CANTIDAD ]],TablaConsumos[[CÓDIGO]:[CÓDIGO]],'Inventario '!$B132,TablaConsumos[[Planta]:[Planta]],'Inventario '!I$1)</f>
        <v>0</v>
      </c>
      <c r="J132" s="131">
        <f>SUMIFS(TablaConsumos[[CANTIDAD ]:[CANTIDAD ]],TablaConsumos[[CÓDIGO]:[CÓDIGO]],'Inventario '!$B132,TablaConsumos[[Planta]:[Planta]],'Inventario '!J$1)</f>
        <v>0</v>
      </c>
      <c r="K132" s="131">
        <f>SUMIFS(TablaConsumos[[CANTIDAD ]:[CANTIDAD ]],TablaConsumos[[CÓDIGO]:[CÓDIGO]],'Inventario '!$B132,TablaConsumos[[Planta]:[Planta]],'Inventario '!K$1)</f>
        <v>0</v>
      </c>
      <c r="L132" s="131">
        <f>SUMIFS(TablaConsumos[[CANTIDAD ]:[CANTIDAD ]],TablaConsumos[[CÓDIGO]:[CÓDIGO]],'Inventario '!$B132,TablaConsumos[[Planta]:[Planta]],'Inventario '!L$1)</f>
        <v>0</v>
      </c>
      <c r="M132" s="131">
        <f>SUMIFS(TablaConsumos[[CANTIDAD ]:[CANTIDAD ]],TablaConsumos[[CÓDIGO]:[CÓDIGO]],'Inventario '!$B132,TablaConsumos[[Planta]:[Planta]],'Inventario '!M$1)</f>
        <v>0</v>
      </c>
      <c r="N132" s="131">
        <f>SUMIFS(TablaConsumos[[CANTIDAD ]:[CANTIDAD ]],TablaConsumos[[CÓDIGO]:[CÓDIGO]],'Inventario '!$B132,TablaConsumos[[Planta]:[Planta]],'Inventario '!N$1)</f>
        <v>0</v>
      </c>
      <c r="O132" s="131">
        <f>SUMIFS(TablaConsumos[[CANTIDAD ]:[CANTIDAD ]],TablaConsumos[[CÓDIGO]:[CÓDIGO]],'Inventario '!$B132,TablaConsumos[[Planta]:[Planta]],'Inventario '!O$1)</f>
        <v>0</v>
      </c>
      <c r="P132" s="131">
        <f>SUMIFS(TablaConsumos[[CANTIDAD ]:[CANTIDAD ]],TablaConsumos[[CÓDIGO]:[CÓDIGO]],'Inventario '!$B132,TablaConsumos[[Planta]:[Planta]],'Inventario '!P$1)</f>
        <v>0</v>
      </c>
      <c r="Q132" s="131">
        <f>SUMIFS(TablaConsumos[[CANTIDAD ]:[CANTIDAD ]],TablaConsumos[[CÓDIGO]:[CÓDIGO]],'Inventario '!$B132,TablaConsumos[[Planta]:[Planta]],'Inventario '!Q$1)</f>
        <v>0</v>
      </c>
      <c r="R132" s="131">
        <f>SUMIFS(TablaConsumos[[CANTIDAD ]:[CANTIDAD ]],TablaConsumos[[CÓDIGO]:[CÓDIGO]],'Inventario '!$B132,TablaConsumos[[Planta]:[Planta]],'Inventario '!R$1)</f>
        <v>0</v>
      </c>
      <c r="S132" s="130">
        <f t="shared" si="114"/>
        <v>0</v>
      </c>
      <c r="T132" s="130">
        <f t="shared" si="117"/>
        <v>0</v>
      </c>
      <c r="U132" s="177"/>
      <c r="V132" s="132"/>
      <c r="W132" s="179">
        <v>30.48</v>
      </c>
      <c r="X132" s="133">
        <f t="shared" si="89"/>
        <v>0</v>
      </c>
      <c r="Y132" s="130">
        <f t="shared" si="119"/>
        <v>0</v>
      </c>
      <c r="Z132" s="132"/>
      <c r="AA132" s="132">
        <f t="shared" si="120"/>
        <v>0</v>
      </c>
      <c r="AB132" s="132"/>
      <c r="AC132" s="131">
        <f t="shared" si="121"/>
        <v>0</v>
      </c>
      <c r="AD132" s="131"/>
      <c r="AE132" s="132" t="s">
        <v>612</v>
      </c>
      <c r="AF132" s="132">
        <v>3048</v>
      </c>
      <c r="AG132" s="168"/>
      <c r="AH132" s="134">
        <f t="shared" si="122"/>
        <v>0</v>
      </c>
      <c r="AI132" s="134">
        <f t="shared" si="123"/>
        <v>0</v>
      </c>
      <c r="AJ132" s="134">
        <f t="shared" si="124"/>
        <v>0</v>
      </c>
      <c r="AK132" s="134">
        <f t="shared" si="125"/>
        <v>0</v>
      </c>
      <c r="AL132" s="134">
        <f t="shared" si="126"/>
        <v>0</v>
      </c>
      <c r="AM132" s="134">
        <f t="shared" si="127"/>
        <v>0</v>
      </c>
      <c r="AN132" s="134">
        <f t="shared" si="128"/>
        <v>0</v>
      </c>
      <c r="AO132" s="134">
        <f t="shared" si="129"/>
        <v>0</v>
      </c>
      <c r="AP132" s="134">
        <f t="shared" si="130"/>
        <v>0</v>
      </c>
      <c r="AQ132" s="134">
        <f t="shared" si="131"/>
        <v>0</v>
      </c>
      <c r="AR132" s="134">
        <f t="shared" si="132"/>
        <v>0</v>
      </c>
      <c r="AS132" s="135">
        <f t="shared" si="115"/>
        <v>0</v>
      </c>
      <c r="AT132" s="137" t="str">
        <f t="shared" si="133"/>
        <v>0</v>
      </c>
      <c r="AU132" s="137" t="str">
        <f t="shared" si="134"/>
        <v>0</v>
      </c>
      <c r="AV132" s="137" t="str">
        <f t="shared" si="135"/>
        <v>0</v>
      </c>
      <c r="AW132" s="137" t="str">
        <f t="shared" si="136"/>
        <v>0</v>
      </c>
      <c r="AX132" s="137" t="str">
        <f t="shared" si="137"/>
        <v>0</v>
      </c>
      <c r="AY132" s="137" t="str">
        <f t="shared" si="138"/>
        <v>0</v>
      </c>
      <c r="AZ132" s="137" t="str">
        <f t="shared" si="139"/>
        <v>0</v>
      </c>
      <c r="BA132" s="137" t="str">
        <f t="shared" si="140"/>
        <v>0</v>
      </c>
      <c r="BB132" s="137" t="str">
        <f t="shared" si="141"/>
        <v>0</v>
      </c>
      <c r="BC132" s="137" t="str">
        <f t="shared" si="142"/>
        <v>0</v>
      </c>
      <c r="BD132" s="131">
        <f t="shared" si="116"/>
        <v>0</v>
      </c>
    </row>
    <row r="133" spans="2:56" x14ac:dyDescent="0.25">
      <c r="B133" s="136">
        <v>8204978</v>
      </c>
      <c r="C133" s="128" t="s">
        <v>30</v>
      </c>
      <c r="D133" s="128"/>
      <c r="E133" s="136" t="s">
        <v>218</v>
      </c>
      <c r="F133" s="274"/>
      <c r="G133" s="130">
        <f>+SUMIFS(TablaIngresos[Cantidad],TablaIngresos[Código],'Inventario '!B133)</f>
        <v>0</v>
      </c>
      <c r="H133" s="130">
        <f t="shared" si="118"/>
        <v>0</v>
      </c>
      <c r="I133" s="131">
        <f>SUMIFS(TablaConsumos[[CANTIDAD ]:[CANTIDAD ]],TablaConsumos[[CÓDIGO]:[CÓDIGO]],'Inventario '!$B133,TablaConsumos[[Planta]:[Planta]],'Inventario '!I$1)</f>
        <v>0</v>
      </c>
      <c r="J133" s="131">
        <f>SUMIFS(TablaConsumos[[CANTIDAD ]:[CANTIDAD ]],TablaConsumos[[CÓDIGO]:[CÓDIGO]],'Inventario '!$B133,TablaConsumos[[Planta]:[Planta]],'Inventario '!J$1)</f>
        <v>0</v>
      </c>
      <c r="K133" s="131">
        <f>SUMIFS(TablaConsumos[[CANTIDAD ]:[CANTIDAD ]],TablaConsumos[[CÓDIGO]:[CÓDIGO]],'Inventario '!$B133,TablaConsumos[[Planta]:[Planta]],'Inventario '!K$1)</f>
        <v>0</v>
      </c>
      <c r="L133" s="131">
        <f>SUMIFS(TablaConsumos[[CANTIDAD ]:[CANTIDAD ]],TablaConsumos[[CÓDIGO]:[CÓDIGO]],'Inventario '!$B133,TablaConsumos[[Planta]:[Planta]],'Inventario '!L$1)</f>
        <v>0</v>
      </c>
      <c r="M133" s="131">
        <f>SUMIFS(TablaConsumos[[CANTIDAD ]:[CANTIDAD ]],TablaConsumos[[CÓDIGO]:[CÓDIGO]],'Inventario '!$B133,TablaConsumos[[Planta]:[Planta]],'Inventario '!M$1)</f>
        <v>0</v>
      </c>
      <c r="N133" s="131">
        <f>SUMIFS(TablaConsumos[[CANTIDAD ]:[CANTIDAD ]],TablaConsumos[[CÓDIGO]:[CÓDIGO]],'Inventario '!$B133,TablaConsumos[[Planta]:[Planta]],'Inventario '!N$1)</f>
        <v>0</v>
      </c>
      <c r="O133" s="131">
        <f>SUMIFS(TablaConsumos[[CANTIDAD ]:[CANTIDAD ]],TablaConsumos[[CÓDIGO]:[CÓDIGO]],'Inventario '!$B133,TablaConsumos[[Planta]:[Planta]],'Inventario '!O$1)</f>
        <v>0</v>
      </c>
      <c r="P133" s="131">
        <f>SUMIFS(TablaConsumos[[CANTIDAD ]:[CANTIDAD ]],TablaConsumos[[CÓDIGO]:[CÓDIGO]],'Inventario '!$B133,TablaConsumos[[Planta]:[Planta]],'Inventario '!P$1)</f>
        <v>0</v>
      </c>
      <c r="Q133" s="131">
        <f>SUMIFS(TablaConsumos[[CANTIDAD ]:[CANTIDAD ]],TablaConsumos[[CÓDIGO]:[CÓDIGO]],'Inventario '!$B133,TablaConsumos[[Planta]:[Planta]],'Inventario '!Q$1)</f>
        <v>0</v>
      </c>
      <c r="R133" s="131">
        <f>SUMIFS(TablaConsumos[[CANTIDAD ]:[CANTIDAD ]],TablaConsumos[[CÓDIGO]:[CÓDIGO]],'Inventario '!$B133,TablaConsumos[[Planta]:[Planta]],'Inventario '!R$1)</f>
        <v>0</v>
      </c>
      <c r="S133" s="130">
        <f t="shared" si="114"/>
        <v>0</v>
      </c>
      <c r="T133" s="130">
        <f t="shared" si="117"/>
        <v>0</v>
      </c>
      <c r="U133" s="177"/>
      <c r="V133" s="132"/>
      <c r="W133" s="179">
        <v>30.48</v>
      </c>
      <c r="X133" s="133">
        <f t="shared" si="89"/>
        <v>0</v>
      </c>
      <c r="Y133" s="130">
        <f t="shared" si="119"/>
        <v>0</v>
      </c>
      <c r="Z133" s="132"/>
      <c r="AA133" s="132">
        <f t="shared" si="120"/>
        <v>0</v>
      </c>
      <c r="AB133" s="132"/>
      <c r="AC133" s="131">
        <f t="shared" si="121"/>
        <v>0</v>
      </c>
      <c r="AD133" s="131"/>
      <c r="AE133" s="132" t="s">
        <v>612</v>
      </c>
      <c r="AF133" s="132">
        <v>3048</v>
      </c>
      <c r="AG133" s="168"/>
      <c r="AH133" s="134">
        <f t="shared" si="122"/>
        <v>0</v>
      </c>
      <c r="AI133" s="134">
        <f t="shared" si="123"/>
        <v>0</v>
      </c>
      <c r="AJ133" s="134">
        <f t="shared" si="124"/>
        <v>0</v>
      </c>
      <c r="AK133" s="134">
        <f t="shared" si="125"/>
        <v>0</v>
      </c>
      <c r="AL133" s="134">
        <f t="shared" si="126"/>
        <v>0</v>
      </c>
      <c r="AM133" s="134">
        <f t="shared" si="127"/>
        <v>0</v>
      </c>
      <c r="AN133" s="134">
        <f t="shared" si="128"/>
        <v>0</v>
      </c>
      <c r="AO133" s="134">
        <f t="shared" si="129"/>
        <v>0</v>
      </c>
      <c r="AP133" s="134">
        <f t="shared" si="130"/>
        <v>0</v>
      </c>
      <c r="AQ133" s="134">
        <f t="shared" si="131"/>
        <v>0</v>
      </c>
      <c r="AR133" s="134">
        <f t="shared" si="132"/>
        <v>0</v>
      </c>
      <c r="AS133" s="135">
        <f t="shared" si="115"/>
        <v>0</v>
      </c>
      <c r="AT133" s="137" t="str">
        <f t="shared" si="133"/>
        <v>0</v>
      </c>
      <c r="AU133" s="137" t="str">
        <f t="shared" si="134"/>
        <v>0</v>
      </c>
      <c r="AV133" s="137" t="str">
        <f t="shared" si="135"/>
        <v>0</v>
      </c>
      <c r="AW133" s="137" t="str">
        <f t="shared" si="136"/>
        <v>0</v>
      </c>
      <c r="AX133" s="137" t="str">
        <f t="shared" si="137"/>
        <v>0</v>
      </c>
      <c r="AY133" s="137" t="str">
        <f t="shared" si="138"/>
        <v>0</v>
      </c>
      <c r="AZ133" s="137" t="str">
        <f t="shared" si="139"/>
        <v>0</v>
      </c>
      <c r="BA133" s="137" t="str">
        <f t="shared" si="140"/>
        <v>0</v>
      </c>
      <c r="BB133" s="137" t="str">
        <f t="shared" si="141"/>
        <v>0</v>
      </c>
      <c r="BC133" s="137" t="str">
        <f t="shared" si="142"/>
        <v>0</v>
      </c>
      <c r="BD133" s="131">
        <f t="shared" si="116"/>
        <v>0</v>
      </c>
    </row>
    <row r="134" spans="2:56" x14ac:dyDescent="0.25">
      <c r="B134" s="136">
        <v>8204979</v>
      </c>
      <c r="C134" s="128" t="s">
        <v>30</v>
      </c>
      <c r="D134" s="128"/>
      <c r="E134" s="136" t="s">
        <v>219</v>
      </c>
      <c r="F134" s="274"/>
      <c r="G134" s="130">
        <f>+SUMIFS(TablaIngresos[Cantidad],TablaIngresos[Código],'Inventario '!B134)</f>
        <v>0</v>
      </c>
      <c r="H134" s="130">
        <f t="shared" si="118"/>
        <v>0</v>
      </c>
      <c r="I134" s="131">
        <f>SUMIFS(TablaConsumos[[CANTIDAD ]:[CANTIDAD ]],TablaConsumos[[CÓDIGO]:[CÓDIGO]],'Inventario '!$B134,TablaConsumos[[Planta]:[Planta]],'Inventario '!I$1)</f>
        <v>0</v>
      </c>
      <c r="J134" s="131">
        <f>SUMIFS(TablaConsumos[[CANTIDAD ]:[CANTIDAD ]],TablaConsumos[[CÓDIGO]:[CÓDIGO]],'Inventario '!$B134,TablaConsumos[[Planta]:[Planta]],'Inventario '!J$1)</f>
        <v>0</v>
      </c>
      <c r="K134" s="131">
        <f>SUMIFS(TablaConsumos[[CANTIDAD ]:[CANTIDAD ]],TablaConsumos[[CÓDIGO]:[CÓDIGO]],'Inventario '!$B134,TablaConsumos[[Planta]:[Planta]],'Inventario '!K$1)</f>
        <v>0</v>
      </c>
      <c r="L134" s="131">
        <f>SUMIFS(TablaConsumos[[CANTIDAD ]:[CANTIDAD ]],TablaConsumos[[CÓDIGO]:[CÓDIGO]],'Inventario '!$B134,TablaConsumos[[Planta]:[Planta]],'Inventario '!L$1)</f>
        <v>0</v>
      </c>
      <c r="M134" s="131">
        <f>SUMIFS(TablaConsumos[[CANTIDAD ]:[CANTIDAD ]],TablaConsumos[[CÓDIGO]:[CÓDIGO]],'Inventario '!$B134,TablaConsumos[[Planta]:[Planta]],'Inventario '!M$1)</f>
        <v>0</v>
      </c>
      <c r="N134" s="131">
        <f>SUMIFS(TablaConsumos[[CANTIDAD ]:[CANTIDAD ]],TablaConsumos[[CÓDIGO]:[CÓDIGO]],'Inventario '!$B134,TablaConsumos[[Planta]:[Planta]],'Inventario '!N$1)</f>
        <v>0</v>
      </c>
      <c r="O134" s="131">
        <f>SUMIFS(TablaConsumos[[CANTIDAD ]:[CANTIDAD ]],TablaConsumos[[CÓDIGO]:[CÓDIGO]],'Inventario '!$B134,TablaConsumos[[Planta]:[Planta]],'Inventario '!O$1)</f>
        <v>0</v>
      </c>
      <c r="P134" s="131">
        <f>SUMIFS(TablaConsumos[[CANTIDAD ]:[CANTIDAD ]],TablaConsumos[[CÓDIGO]:[CÓDIGO]],'Inventario '!$B134,TablaConsumos[[Planta]:[Planta]],'Inventario '!P$1)</f>
        <v>0</v>
      </c>
      <c r="Q134" s="131">
        <f>SUMIFS(TablaConsumos[[CANTIDAD ]:[CANTIDAD ]],TablaConsumos[[CÓDIGO]:[CÓDIGO]],'Inventario '!$B134,TablaConsumos[[Planta]:[Planta]],'Inventario '!Q$1)</f>
        <v>0</v>
      </c>
      <c r="R134" s="131">
        <f>SUMIFS(TablaConsumos[[CANTIDAD ]:[CANTIDAD ]],TablaConsumos[[CÓDIGO]:[CÓDIGO]],'Inventario '!$B134,TablaConsumos[[Planta]:[Planta]],'Inventario '!R$1)</f>
        <v>0</v>
      </c>
      <c r="S134" s="130">
        <f t="shared" si="114"/>
        <v>0</v>
      </c>
      <c r="T134" s="130">
        <f t="shared" si="117"/>
        <v>0</v>
      </c>
      <c r="U134" s="177"/>
      <c r="V134" s="132"/>
      <c r="W134" s="179">
        <v>30.48</v>
      </c>
      <c r="X134" s="133">
        <f t="shared" si="89"/>
        <v>0</v>
      </c>
      <c r="Y134" s="130">
        <f t="shared" si="119"/>
        <v>0</v>
      </c>
      <c r="Z134" s="132"/>
      <c r="AA134" s="132">
        <f t="shared" si="120"/>
        <v>0</v>
      </c>
      <c r="AB134" s="132"/>
      <c r="AC134" s="131">
        <f t="shared" si="121"/>
        <v>0</v>
      </c>
      <c r="AD134" s="131"/>
      <c r="AE134" s="132" t="s">
        <v>612</v>
      </c>
      <c r="AF134" s="132">
        <v>3048</v>
      </c>
      <c r="AG134" s="168"/>
      <c r="AH134" s="134">
        <f t="shared" si="122"/>
        <v>0</v>
      </c>
      <c r="AI134" s="134">
        <f t="shared" si="123"/>
        <v>0</v>
      </c>
      <c r="AJ134" s="134">
        <f t="shared" si="124"/>
        <v>0</v>
      </c>
      <c r="AK134" s="134">
        <f t="shared" si="125"/>
        <v>0</v>
      </c>
      <c r="AL134" s="134">
        <f t="shared" si="126"/>
        <v>0</v>
      </c>
      <c r="AM134" s="134">
        <f t="shared" si="127"/>
        <v>0</v>
      </c>
      <c r="AN134" s="134">
        <f t="shared" si="128"/>
        <v>0</v>
      </c>
      <c r="AO134" s="134">
        <f t="shared" si="129"/>
        <v>0</v>
      </c>
      <c r="AP134" s="134">
        <f t="shared" si="130"/>
        <v>0</v>
      </c>
      <c r="AQ134" s="134">
        <f t="shared" si="131"/>
        <v>0</v>
      </c>
      <c r="AR134" s="134">
        <f t="shared" si="132"/>
        <v>0</v>
      </c>
      <c r="AS134" s="135">
        <f t="shared" si="115"/>
        <v>0</v>
      </c>
      <c r="AT134" s="137" t="str">
        <f t="shared" si="133"/>
        <v>0</v>
      </c>
      <c r="AU134" s="137" t="str">
        <f t="shared" si="134"/>
        <v>0</v>
      </c>
      <c r="AV134" s="137" t="str">
        <f t="shared" si="135"/>
        <v>0</v>
      </c>
      <c r="AW134" s="137" t="str">
        <f t="shared" si="136"/>
        <v>0</v>
      </c>
      <c r="AX134" s="137" t="str">
        <f t="shared" si="137"/>
        <v>0</v>
      </c>
      <c r="AY134" s="137" t="str">
        <f t="shared" si="138"/>
        <v>0</v>
      </c>
      <c r="AZ134" s="137" t="str">
        <f t="shared" si="139"/>
        <v>0</v>
      </c>
      <c r="BA134" s="137" t="str">
        <f t="shared" si="140"/>
        <v>0</v>
      </c>
      <c r="BB134" s="137" t="str">
        <f t="shared" si="141"/>
        <v>0</v>
      </c>
      <c r="BC134" s="137" t="str">
        <f t="shared" si="142"/>
        <v>0</v>
      </c>
      <c r="BD134" s="131">
        <f t="shared" si="116"/>
        <v>0</v>
      </c>
    </row>
    <row r="135" spans="2:56" x14ac:dyDescent="0.25">
      <c r="B135" s="136">
        <v>8204980</v>
      </c>
      <c r="C135" s="128" t="s">
        <v>30</v>
      </c>
      <c r="D135" s="128"/>
      <c r="E135" s="136" t="s">
        <v>220</v>
      </c>
      <c r="F135" s="274"/>
      <c r="G135" s="130">
        <f>+SUMIFS(TablaIngresos[Cantidad],TablaIngresos[Código],'Inventario '!B135)</f>
        <v>0</v>
      </c>
      <c r="H135" s="130">
        <f t="shared" si="118"/>
        <v>0</v>
      </c>
      <c r="I135" s="131">
        <f>SUMIFS(TablaConsumos[[CANTIDAD ]:[CANTIDAD ]],TablaConsumos[[CÓDIGO]:[CÓDIGO]],'Inventario '!$B135,TablaConsumos[[Planta]:[Planta]],'Inventario '!I$1)</f>
        <v>0</v>
      </c>
      <c r="J135" s="131">
        <f>SUMIFS(TablaConsumos[[CANTIDAD ]:[CANTIDAD ]],TablaConsumos[[CÓDIGO]:[CÓDIGO]],'Inventario '!$B135,TablaConsumos[[Planta]:[Planta]],'Inventario '!J$1)</f>
        <v>0</v>
      </c>
      <c r="K135" s="131">
        <f>SUMIFS(TablaConsumos[[CANTIDAD ]:[CANTIDAD ]],TablaConsumos[[CÓDIGO]:[CÓDIGO]],'Inventario '!$B135,TablaConsumos[[Planta]:[Planta]],'Inventario '!K$1)</f>
        <v>0</v>
      </c>
      <c r="L135" s="131">
        <f>SUMIFS(TablaConsumos[[CANTIDAD ]:[CANTIDAD ]],TablaConsumos[[CÓDIGO]:[CÓDIGO]],'Inventario '!$B135,TablaConsumos[[Planta]:[Planta]],'Inventario '!L$1)</f>
        <v>0</v>
      </c>
      <c r="M135" s="131">
        <f>SUMIFS(TablaConsumos[[CANTIDAD ]:[CANTIDAD ]],TablaConsumos[[CÓDIGO]:[CÓDIGO]],'Inventario '!$B135,TablaConsumos[[Planta]:[Planta]],'Inventario '!M$1)</f>
        <v>0</v>
      </c>
      <c r="N135" s="131">
        <f>SUMIFS(TablaConsumos[[CANTIDAD ]:[CANTIDAD ]],TablaConsumos[[CÓDIGO]:[CÓDIGO]],'Inventario '!$B135,TablaConsumos[[Planta]:[Planta]],'Inventario '!N$1)</f>
        <v>0</v>
      </c>
      <c r="O135" s="131">
        <f>SUMIFS(TablaConsumos[[CANTIDAD ]:[CANTIDAD ]],TablaConsumos[[CÓDIGO]:[CÓDIGO]],'Inventario '!$B135,TablaConsumos[[Planta]:[Planta]],'Inventario '!O$1)</f>
        <v>0</v>
      </c>
      <c r="P135" s="131">
        <f>SUMIFS(TablaConsumos[[CANTIDAD ]:[CANTIDAD ]],TablaConsumos[[CÓDIGO]:[CÓDIGO]],'Inventario '!$B135,TablaConsumos[[Planta]:[Planta]],'Inventario '!P$1)</f>
        <v>0</v>
      </c>
      <c r="Q135" s="131">
        <f>SUMIFS(TablaConsumos[[CANTIDAD ]:[CANTIDAD ]],TablaConsumos[[CÓDIGO]:[CÓDIGO]],'Inventario '!$B135,TablaConsumos[[Planta]:[Planta]],'Inventario '!Q$1)</f>
        <v>0</v>
      </c>
      <c r="R135" s="131">
        <f>SUMIFS(TablaConsumos[[CANTIDAD ]:[CANTIDAD ]],TablaConsumos[[CÓDIGO]:[CÓDIGO]],'Inventario '!$B135,TablaConsumos[[Planta]:[Planta]],'Inventario '!R$1)</f>
        <v>0</v>
      </c>
      <c r="S135" s="130">
        <f t="shared" si="114"/>
        <v>0</v>
      </c>
      <c r="T135" s="130">
        <f t="shared" si="117"/>
        <v>0</v>
      </c>
      <c r="U135" s="177"/>
      <c r="V135" s="132"/>
      <c r="W135" s="179">
        <v>30.48</v>
      </c>
      <c r="X135" s="133">
        <f t="shared" si="89"/>
        <v>0</v>
      </c>
      <c r="Y135" s="130">
        <f t="shared" si="119"/>
        <v>0</v>
      </c>
      <c r="Z135" s="132"/>
      <c r="AA135" s="132">
        <f t="shared" si="120"/>
        <v>0</v>
      </c>
      <c r="AB135" s="132"/>
      <c r="AC135" s="131">
        <f t="shared" si="121"/>
        <v>0</v>
      </c>
      <c r="AD135" s="131"/>
      <c r="AE135" s="132" t="s">
        <v>612</v>
      </c>
      <c r="AF135" s="132">
        <v>3048</v>
      </c>
      <c r="AG135" s="168"/>
      <c r="AH135" s="134">
        <f t="shared" si="122"/>
        <v>0</v>
      </c>
      <c r="AI135" s="134">
        <f t="shared" si="123"/>
        <v>0</v>
      </c>
      <c r="AJ135" s="134">
        <f t="shared" si="124"/>
        <v>0</v>
      </c>
      <c r="AK135" s="134">
        <f t="shared" si="125"/>
        <v>0</v>
      </c>
      <c r="AL135" s="134">
        <f t="shared" si="126"/>
        <v>0</v>
      </c>
      <c r="AM135" s="134">
        <f t="shared" si="127"/>
        <v>0</v>
      </c>
      <c r="AN135" s="134">
        <f t="shared" si="128"/>
        <v>0</v>
      </c>
      <c r="AO135" s="134">
        <f t="shared" si="129"/>
        <v>0</v>
      </c>
      <c r="AP135" s="134">
        <f t="shared" si="130"/>
        <v>0</v>
      </c>
      <c r="AQ135" s="134">
        <f t="shared" si="131"/>
        <v>0</v>
      </c>
      <c r="AR135" s="134">
        <f t="shared" si="132"/>
        <v>0</v>
      </c>
      <c r="AS135" s="135">
        <f t="shared" si="115"/>
        <v>0</v>
      </c>
      <c r="AT135" s="137" t="str">
        <f t="shared" si="133"/>
        <v>0</v>
      </c>
      <c r="AU135" s="137" t="str">
        <f t="shared" si="134"/>
        <v>0</v>
      </c>
      <c r="AV135" s="137" t="str">
        <f t="shared" si="135"/>
        <v>0</v>
      </c>
      <c r="AW135" s="137" t="str">
        <f t="shared" si="136"/>
        <v>0</v>
      </c>
      <c r="AX135" s="137" t="str">
        <f t="shared" si="137"/>
        <v>0</v>
      </c>
      <c r="AY135" s="137" t="str">
        <f t="shared" si="138"/>
        <v>0</v>
      </c>
      <c r="AZ135" s="137" t="str">
        <f t="shared" si="139"/>
        <v>0</v>
      </c>
      <c r="BA135" s="137" t="str">
        <f t="shared" si="140"/>
        <v>0</v>
      </c>
      <c r="BB135" s="137" t="str">
        <f t="shared" si="141"/>
        <v>0</v>
      </c>
      <c r="BC135" s="137" t="str">
        <f t="shared" si="142"/>
        <v>0</v>
      </c>
      <c r="BD135" s="131">
        <f t="shared" si="116"/>
        <v>0</v>
      </c>
    </row>
    <row r="136" spans="2:56" x14ac:dyDescent="0.25">
      <c r="B136" s="136">
        <v>8204981</v>
      </c>
      <c r="C136" s="128" t="s">
        <v>30</v>
      </c>
      <c r="D136" s="128"/>
      <c r="E136" s="136" t="s">
        <v>221</v>
      </c>
      <c r="F136" s="274"/>
      <c r="G136" s="130">
        <f>+SUMIFS(TablaIngresos[Cantidad],TablaIngresos[Código],'Inventario '!B136)</f>
        <v>0</v>
      </c>
      <c r="H136" s="130">
        <f t="shared" si="118"/>
        <v>0</v>
      </c>
      <c r="I136" s="131">
        <f>SUMIFS(TablaConsumos[[CANTIDAD ]:[CANTIDAD ]],TablaConsumos[[CÓDIGO]:[CÓDIGO]],'Inventario '!$B136,TablaConsumos[[Planta]:[Planta]],'Inventario '!I$1)</f>
        <v>0</v>
      </c>
      <c r="J136" s="131">
        <f>SUMIFS(TablaConsumos[[CANTIDAD ]:[CANTIDAD ]],TablaConsumos[[CÓDIGO]:[CÓDIGO]],'Inventario '!$B136,TablaConsumos[[Planta]:[Planta]],'Inventario '!J$1)</f>
        <v>0</v>
      </c>
      <c r="K136" s="131">
        <f>SUMIFS(TablaConsumos[[CANTIDAD ]:[CANTIDAD ]],TablaConsumos[[CÓDIGO]:[CÓDIGO]],'Inventario '!$B136,TablaConsumos[[Planta]:[Planta]],'Inventario '!K$1)</f>
        <v>0</v>
      </c>
      <c r="L136" s="131">
        <f>SUMIFS(TablaConsumos[[CANTIDAD ]:[CANTIDAD ]],TablaConsumos[[CÓDIGO]:[CÓDIGO]],'Inventario '!$B136,TablaConsumos[[Planta]:[Planta]],'Inventario '!L$1)</f>
        <v>0</v>
      </c>
      <c r="M136" s="131">
        <f>SUMIFS(TablaConsumos[[CANTIDAD ]:[CANTIDAD ]],TablaConsumos[[CÓDIGO]:[CÓDIGO]],'Inventario '!$B136,TablaConsumos[[Planta]:[Planta]],'Inventario '!M$1)</f>
        <v>0</v>
      </c>
      <c r="N136" s="131">
        <f>SUMIFS(TablaConsumos[[CANTIDAD ]:[CANTIDAD ]],TablaConsumos[[CÓDIGO]:[CÓDIGO]],'Inventario '!$B136,TablaConsumos[[Planta]:[Planta]],'Inventario '!N$1)</f>
        <v>0</v>
      </c>
      <c r="O136" s="131">
        <f>SUMIFS(TablaConsumos[[CANTIDAD ]:[CANTIDAD ]],TablaConsumos[[CÓDIGO]:[CÓDIGO]],'Inventario '!$B136,TablaConsumos[[Planta]:[Planta]],'Inventario '!O$1)</f>
        <v>0</v>
      </c>
      <c r="P136" s="131">
        <f>SUMIFS(TablaConsumos[[CANTIDAD ]:[CANTIDAD ]],TablaConsumos[[CÓDIGO]:[CÓDIGO]],'Inventario '!$B136,TablaConsumos[[Planta]:[Planta]],'Inventario '!P$1)</f>
        <v>0</v>
      </c>
      <c r="Q136" s="131">
        <f>SUMIFS(TablaConsumos[[CANTIDAD ]:[CANTIDAD ]],TablaConsumos[[CÓDIGO]:[CÓDIGO]],'Inventario '!$B136,TablaConsumos[[Planta]:[Planta]],'Inventario '!Q$1)</f>
        <v>0</v>
      </c>
      <c r="R136" s="131">
        <f>SUMIFS(TablaConsumos[[CANTIDAD ]:[CANTIDAD ]],TablaConsumos[[CÓDIGO]:[CÓDIGO]],'Inventario '!$B136,TablaConsumos[[Planta]:[Planta]],'Inventario '!R$1)</f>
        <v>0</v>
      </c>
      <c r="S136" s="130">
        <f t="shared" si="114"/>
        <v>0</v>
      </c>
      <c r="T136" s="130">
        <f t="shared" si="117"/>
        <v>0</v>
      </c>
      <c r="U136" s="177"/>
      <c r="V136" s="130"/>
      <c r="W136" s="179">
        <v>30.48</v>
      </c>
      <c r="X136" s="133">
        <f t="shared" si="89"/>
        <v>0</v>
      </c>
      <c r="Y136" s="130">
        <f t="shared" si="119"/>
        <v>0</v>
      </c>
      <c r="Z136" s="132"/>
      <c r="AA136" s="132">
        <f t="shared" si="120"/>
        <v>0</v>
      </c>
      <c r="AB136" s="132"/>
      <c r="AC136" s="131">
        <f t="shared" si="121"/>
        <v>0</v>
      </c>
      <c r="AD136" s="131"/>
      <c r="AE136" s="132" t="s">
        <v>612</v>
      </c>
      <c r="AF136" s="132">
        <v>3048</v>
      </c>
      <c r="AG136" s="168"/>
      <c r="AH136" s="134">
        <f t="shared" si="122"/>
        <v>0</v>
      </c>
      <c r="AI136" s="134">
        <f t="shared" si="123"/>
        <v>0</v>
      </c>
      <c r="AJ136" s="134">
        <f t="shared" si="124"/>
        <v>0</v>
      </c>
      <c r="AK136" s="134">
        <f t="shared" si="125"/>
        <v>0</v>
      </c>
      <c r="AL136" s="134">
        <f t="shared" si="126"/>
        <v>0</v>
      </c>
      <c r="AM136" s="134">
        <f t="shared" si="127"/>
        <v>0</v>
      </c>
      <c r="AN136" s="134">
        <f t="shared" si="128"/>
        <v>0</v>
      </c>
      <c r="AO136" s="134">
        <f t="shared" si="129"/>
        <v>0</v>
      </c>
      <c r="AP136" s="134">
        <f t="shared" si="130"/>
        <v>0</v>
      </c>
      <c r="AQ136" s="134">
        <f t="shared" si="131"/>
        <v>0</v>
      </c>
      <c r="AR136" s="134">
        <f t="shared" si="132"/>
        <v>0</v>
      </c>
      <c r="AS136" s="135">
        <f t="shared" si="115"/>
        <v>0</v>
      </c>
      <c r="AT136" s="137" t="str">
        <f t="shared" si="133"/>
        <v>0</v>
      </c>
      <c r="AU136" s="137" t="str">
        <f t="shared" si="134"/>
        <v>0</v>
      </c>
      <c r="AV136" s="137" t="str">
        <f t="shared" si="135"/>
        <v>0</v>
      </c>
      <c r="AW136" s="137" t="str">
        <f t="shared" si="136"/>
        <v>0</v>
      </c>
      <c r="AX136" s="137" t="str">
        <f t="shared" si="137"/>
        <v>0</v>
      </c>
      <c r="AY136" s="137" t="str">
        <f t="shared" si="138"/>
        <v>0</v>
      </c>
      <c r="AZ136" s="137" t="str">
        <f t="shared" si="139"/>
        <v>0</v>
      </c>
      <c r="BA136" s="137" t="str">
        <f t="shared" si="140"/>
        <v>0</v>
      </c>
      <c r="BB136" s="137" t="str">
        <f t="shared" si="141"/>
        <v>0</v>
      </c>
      <c r="BC136" s="137" t="str">
        <f t="shared" si="142"/>
        <v>0</v>
      </c>
      <c r="BD136" s="131">
        <f t="shared" si="116"/>
        <v>0</v>
      </c>
    </row>
    <row r="137" spans="2:56" x14ac:dyDescent="0.25">
      <c r="B137" s="136">
        <v>8204982</v>
      </c>
      <c r="C137" s="128" t="s">
        <v>30</v>
      </c>
      <c r="D137" s="128"/>
      <c r="E137" s="136" t="s">
        <v>222</v>
      </c>
      <c r="F137" s="274"/>
      <c r="G137" s="130">
        <f>+SUMIFS(TablaIngresos[Cantidad],TablaIngresos[Código],'Inventario '!B137)</f>
        <v>0</v>
      </c>
      <c r="H137" s="130">
        <f t="shared" si="118"/>
        <v>0</v>
      </c>
      <c r="I137" s="131">
        <f>SUMIFS(TablaConsumos[[CANTIDAD ]:[CANTIDAD ]],TablaConsumos[[CÓDIGO]:[CÓDIGO]],'Inventario '!$B137,TablaConsumos[[Planta]:[Planta]],'Inventario '!I$1)</f>
        <v>0</v>
      </c>
      <c r="J137" s="131">
        <f>SUMIFS(TablaConsumos[[CANTIDAD ]:[CANTIDAD ]],TablaConsumos[[CÓDIGO]:[CÓDIGO]],'Inventario '!$B137,TablaConsumos[[Planta]:[Planta]],'Inventario '!J$1)</f>
        <v>0</v>
      </c>
      <c r="K137" s="131">
        <f>SUMIFS(TablaConsumos[[CANTIDAD ]:[CANTIDAD ]],TablaConsumos[[CÓDIGO]:[CÓDIGO]],'Inventario '!$B137,TablaConsumos[[Planta]:[Planta]],'Inventario '!K$1)</f>
        <v>0</v>
      </c>
      <c r="L137" s="131">
        <f>SUMIFS(TablaConsumos[[CANTIDAD ]:[CANTIDAD ]],TablaConsumos[[CÓDIGO]:[CÓDIGO]],'Inventario '!$B137,TablaConsumos[[Planta]:[Planta]],'Inventario '!L$1)</f>
        <v>0</v>
      </c>
      <c r="M137" s="131">
        <f>SUMIFS(TablaConsumos[[CANTIDAD ]:[CANTIDAD ]],TablaConsumos[[CÓDIGO]:[CÓDIGO]],'Inventario '!$B137,TablaConsumos[[Planta]:[Planta]],'Inventario '!M$1)</f>
        <v>0</v>
      </c>
      <c r="N137" s="131">
        <f>SUMIFS(TablaConsumos[[CANTIDAD ]:[CANTIDAD ]],TablaConsumos[[CÓDIGO]:[CÓDIGO]],'Inventario '!$B137,TablaConsumos[[Planta]:[Planta]],'Inventario '!N$1)</f>
        <v>0</v>
      </c>
      <c r="O137" s="131">
        <f>SUMIFS(TablaConsumos[[CANTIDAD ]:[CANTIDAD ]],TablaConsumos[[CÓDIGO]:[CÓDIGO]],'Inventario '!$B137,TablaConsumos[[Planta]:[Planta]],'Inventario '!O$1)</f>
        <v>0</v>
      </c>
      <c r="P137" s="131">
        <f>SUMIFS(TablaConsumos[[CANTIDAD ]:[CANTIDAD ]],TablaConsumos[[CÓDIGO]:[CÓDIGO]],'Inventario '!$B137,TablaConsumos[[Planta]:[Planta]],'Inventario '!P$1)</f>
        <v>0</v>
      </c>
      <c r="Q137" s="131">
        <f>SUMIFS(TablaConsumos[[CANTIDAD ]:[CANTIDAD ]],TablaConsumos[[CÓDIGO]:[CÓDIGO]],'Inventario '!$B137,TablaConsumos[[Planta]:[Planta]],'Inventario '!Q$1)</f>
        <v>0</v>
      </c>
      <c r="R137" s="131">
        <f>SUMIFS(TablaConsumos[[CANTIDAD ]:[CANTIDAD ]],TablaConsumos[[CÓDIGO]:[CÓDIGO]],'Inventario '!$B137,TablaConsumos[[Planta]:[Planta]],'Inventario '!R$1)</f>
        <v>0</v>
      </c>
      <c r="S137" s="130">
        <f t="shared" si="114"/>
        <v>0</v>
      </c>
      <c r="T137" s="130">
        <f t="shared" si="117"/>
        <v>0</v>
      </c>
      <c r="U137" s="177"/>
      <c r="V137" s="130"/>
      <c r="W137" s="179">
        <v>30.48</v>
      </c>
      <c r="X137" s="133">
        <f t="shared" si="89"/>
        <v>0</v>
      </c>
      <c r="Y137" s="130">
        <f t="shared" si="119"/>
        <v>0</v>
      </c>
      <c r="Z137" s="132"/>
      <c r="AA137" s="132">
        <f t="shared" si="120"/>
        <v>0</v>
      </c>
      <c r="AB137" s="132"/>
      <c r="AC137" s="131">
        <f t="shared" si="121"/>
        <v>0</v>
      </c>
      <c r="AD137" s="131"/>
      <c r="AE137" s="132" t="s">
        <v>612</v>
      </c>
      <c r="AF137" s="132">
        <v>3048</v>
      </c>
      <c r="AG137" s="168"/>
      <c r="AH137" s="134">
        <f t="shared" si="122"/>
        <v>0</v>
      </c>
      <c r="AI137" s="134">
        <f t="shared" si="123"/>
        <v>0</v>
      </c>
      <c r="AJ137" s="134">
        <f t="shared" si="124"/>
        <v>0</v>
      </c>
      <c r="AK137" s="134">
        <f t="shared" si="125"/>
        <v>0</v>
      </c>
      <c r="AL137" s="134">
        <f t="shared" si="126"/>
        <v>0</v>
      </c>
      <c r="AM137" s="134">
        <f t="shared" si="127"/>
        <v>0</v>
      </c>
      <c r="AN137" s="134">
        <f t="shared" si="128"/>
        <v>0</v>
      </c>
      <c r="AO137" s="134">
        <f t="shared" si="129"/>
        <v>0</v>
      </c>
      <c r="AP137" s="134">
        <f t="shared" si="130"/>
        <v>0</v>
      </c>
      <c r="AQ137" s="134">
        <f t="shared" si="131"/>
        <v>0</v>
      </c>
      <c r="AR137" s="134">
        <f t="shared" si="132"/>
        <v>0</v>
      </c>
      <c r="AS137" s="135">
        <f t="shared" si="115"/>
        <v>0</v>
      </c>
      <c r="AT137" s="137" t="str">
        <f t="shared" si="133"/>
        <v>0</v>
      </c>
      <c r="AU137" s="137" t="str">
        <f t="shared" si="134"/>
        <v>0</v>
      </c>
      <c r="AV137" s="137" t="str">
        <f t="shared" si="135"/>
        <v>0</v>
      </c>
      <c r="AW137" s="137" t="str">
        <f t="shared" si="136"/>
        <v>0</v>
      </c>
      <c r="AX137" s="137" t="str">
        <f t="shared" si="137"/>
        <v>0</v>
      </c>
      <c r="AY137" s="137" t="str">
        <f t="shared" si="138"/>
        <v>0</v>
      </c>
      <c r="AZ137" s="137" t="str">
        <f t="shared" si="139"/>
        <v>0</v>
      </c>
      <c r="BA137" s="137" t="str">
        <f t="shared" si="140"/>
        <v>0</v>
      </c>
      <c r="BB137" s="137" t="str">
        <f t="shared" si="141"/>
        <v>0</v>
      </c>
      <c r="BC137" s="137" t="str">
        <f t="shared" si="142"/>
        <v>0</v>
      </c>
      <c r="BD137" s="131">
        <f t="shared" si="116"/>
        <v>0</v>
      </c>
    </row>
    <row r="138" spans="2:56" x14ac:dyDescent="0.25">
      <c r="B138" s="136">
        <v>8205014</v>
      </c>
      <c r="C138" s="128" t="s">
        <v>30</v>
      </c>
      <c r="D138" s="128"/>
      <c r="E138" s="136" t="s">
        <v>223</v>
      </c>
      <c r="F138" s="274"/>
      <c r="G138" s="130">
        <f>+SUMIFS(TablaIngresos[Cantidad],TablaIngresos[Código],'Inventario '!B138)</f>
        <v>0</v>
      </c>
      <c r="H138" s="130">
        <f t="shared" si="118"/>
        <v>0</v>
      </c>
      <c r="I138" s="131">
        <f>SUMIFS(TablaConsumos[[CANTIDAD ]:[CANTIDAD ]],TablaConsumos[[CÓDIGO]:[CÓDIGO]],'Inventario '!$B138,TablaConsumos[[Planta]:[Planta]],'Inventario '!I$1)</f>
        <v>0</v>
      </c>
      <c r="J138" s="131">
        <f>SUMIFS(TablaConsumos[[CANTIDAD ]:[CANTIDAD ]],TablaConsumos[[CÓDIGO]:[CÓDIGO]],'Inventario '!$B138,TablaConsumos[[Planta]:[Planta]],'Inventario '!J$1)</f>
        <v>0</v>
      </c>
      <c r="K138" s="131">
        <f>SUMIFS(TablaConsumos[[CANTIDAD ]:[CANTIDAD ]],TablaConsumos[[CÓDIGO]:[CÓDIGO]],'Inventario '!$B138,TablaConsumos[[Planta]:[Planta]],'Inventario '!K$1)</f>
        <v>0</v>
      </c>
      <c r="L138" s="131">
        <f>SUMIFS(TablaConsumos[[CANTIDAD ]:[CANTIDAD ]],TablaConsumos[[CÓDIGO]:[CÓDIGO]],'Inventario '!$B138,TablaConsumos[[Planta]:[Planta]],'Inventario '!L$1)</f>
        <v>0</v>
      </c>
      <c r="M138" s="131">
        <f>SUMIFS(TablaConsumos[[CANTIDAD ]:[CANTIDAD ]],TablaConsumos[[CÓDIGO]:[CÓDIGO]],'Inventario '!$B138,TablaConsumos[[Planta]:[Planta]],'Inventario '!M$1)</f>
        <v>0</v>
      </c>
      <c r="N138" s="131">
        <f>SUMIFS(TablaConsumos[[CANTIDAD ]:[CANTIDAD ]],TablaConsumos[[CÓDIGO]:[CÓDIGO]],'Inventario '!$B138,TablaConsumos[[Planta]:[Planta]],'Inventario '!N$1)</f>
        <v>0</v>
      </c>
      <c r="O138" s="131">
        <f>SUMIFS(TablaConsumos[[CANTIDAD ]:[CANTIDAD ]],TablaConsumos[[CÓDIGO]:[CÓDIGO]],'Inventario '!$B138,TablaConsumos[[Planta]:[Planta]],'Inventario '!O$1)</f>
        <v>0</v>
      </c>
      <c r="P138" s="131">
        <f>SUMIFS(TablaConsumos[[CANTIDAD ]:[CANTIDAD ]],TablaConsumos[[CÓDIGO]:[CÓDIGO]],'Inventario '!$B138,TablaConsumos[[Planta]:[Planta]],'Inventario '!P$1)</f>
        <v>0</v>
      </c>
      <c r="Q138" s="131">
        <f>SUMIFS(TablaConsumos[[CANTIDAD ]:[CANTIDAD ]],TablaConsumos[[CÓDIGO]:[CÓDIGO]],'Inventario '!$B138,TablaConsumos[[Planta]:[Planta]],'Inventario '!Q$1)</f>
        <v>0</v>
      </c>
      <c r="R138" s="131">
        <f>SUMIFS(TablaConsumos[[CANTIDAD ]:[CANTIDAD ]],TablaConsumos[[CÓDIGO]:[CÓDIGO]],'Inventario '!$B138,TablaConsumos[[Planta]:[Planta]],'Inventario '!R$1)</f>
        <v>0</v>
      </c>
      <c r="S138" s="130">
        <f t="shared" si="114"/>
        <v>0</v>
      </c>
      <c r="T138" s="130">
        <f t="shared" si="117"/>
        <v>0</v>
      </c>
      <c r="U138" s="177"/>
      <c r="V138" s="132"/>
      <c r="W138" s="179">
        <v>30.48</v>
      </c>
      <c r="X138" s="133">
        <f t="shared" si="89"/>
        <v>0</v>
      </c>
      <c r="Y138" s="130">
        <f t="shared" si="119"/>
        <v>0</v>
      </c>
      <c r="Z138" s="132"/>
      <c r="AA138" s="132">
        <f t="shared" si="120"/>
        <v>0</v>
      </c>
      <c r="AB138" s="132"/>
      <c r="AC138" s="131">
        <f t="shared" si="121"/>
        <v>0</v>
      </c>
      <c r="AD138" s="131"/>
      <c r="AE138" s="132" t="s">
        <v>612</v>
      </c>
      <c r="AF138" s="132">
        <v>3048</v>
      </c>
      <c r="AG138" s="168"/>
      <c r="AH138" s="134">
        <f t="shared" si="122"/>
        <v>0</v>
      </c>
      <c r="AI138" s="134">
        <f t="shared" si="123"/>
        <v>0</v>
      </c>
      <c r="AJ138" s="134">
        <f t="shared" si="124"/>
        <v>0</v>
      </c>
      <c r="AK138" s="134">
        <f t="shared" si="125"/>
        <v>0</v>
      </c>
      <c r="AL138" s="134">
        <f t="shared" si="126"/>
        <v>0</v>
      </c>
      <c r="AM138" s="134">
        <f t="shared" si="127"/>
        <v>0</v>
      </c>
      <c r="AN138" s="134">
        <f t="shared" si="128"/>
        <v>0</v>
      </c>
      <c r="AO138" s="134">
        <f t="shared" si="129"/>
        <v>0</v>
      </c>
      <c r="AP138" s="134">
        <f t="shared" si="130"/>
        <v>0</v>
      </c>
      <c r="AQ138" s="134">
        <f t="shared" si="131"/>
        <v>0</v>
      </c>
      <c r="AR138" s="134">
        <f t="shared" si="132"/>
        <v>0</v>
      </c>
      <c r="AS138" s="135">
        <f t="shared" si="115"/>
        <v>0</v>
      </c>
      <c r="AT138" s="137" t="str">
        <f t="shared" si="133"/>
        <v>0</v>
      </c>
      <c r="AU138" s="137" t="str">
        <f t="shared" si="134"/>
        <v>0</v>
      </c>
      <c r="AV138" s="137" t="str">
        <f t="shared" si="135"/>
        <v>0</v>
      </c>
      <c r="AW138" s="137" t="str">
        <f t="shared" si="136"/>
        <v>0</v>
      </c>
      <c r="AX138" s="137" t="str">
        <f t="shared" si="137"/>
        <v>0</v>
      </c>
      <c r="AY138" s="137" t="str">
        <f t="shared" si="138"/>
        <v>0</v>
      </c>
      <c r="AZ138" s="137" t="str">
        <f t="shared" si="139"/>
        <v>0</v>
      </c>
      <c r="BA138" s="137" t="str">
        <f t="shared" si="140"/>
        <v>0</v>
      </c>
      <c r="BB138" s="137" t="str">
        <f t="shared" si="141"/>
        <v>0</v>
      </c>
      <c r="BC138" s="137" t="str">
        <f t="shared" si="142"/>
        <v>0</v>
      </c>
      <c r="BD138" s="131">
        <f t="shared" si="116"/>
        <v>0</v>
      </c>
    </row>
    <row r="139" spans="2:56" x14ac:dyDescent="0.25">
      <c r="B139" s="136">
        <v>8205015</v>
      </c>
      <c r="C139" s="128" t="s">
        <v>30</v>
      </c>
      <c r="D139" s="128"/>
      <c r="E139" s="136" t="s">
        <v>224</v>
      </c>
      <c r="F139" s="274"/>
      <c r="G139" s="130">
        <f>+SUMIFS(TablaIngresos[Cantidad],TablaIngresos[Código],'Inventario '!B139)</f>
        <v>0</v>
      </c>
      <c r="H139" s="130">
        <f t="shared" si="118"/>
        <v>0</v>
      </c>
      <c r="I139" s="131">
        <f>SUMIFS(TablaConsumos[[CANTIDAD ]:[CANTIDAD ]],TablaConsumos[[CÓDIGO]:[CÓDIGO]],'Inventario '!$B139,TablaConsumos[[Planta]:[Planta]],'Inventario '!I$1)</f>
        <v>0</v>
      </c>
      <c r="J139" s="131">
        <f>SUMIFS(TablaConsumos[[CANTIDAD ]:[CANTIDAD ]],TablaConsumos[[CÓDIGO]:[CÓDIGO]],'Inventario '!$B139,TablaConsumos[[Planta]:[Planta]],'Inventario '!J$1)</f>
        <v>0</v>
      </c>
      <c r="K139" s="131">
        <f>SUMIFS(TablaConsumos[[CANTIDAD ]:[CANTIDAD ]],TablaConsumos[[CÓDIGO]:[CÓDIGO]],'Inventario '!$B139,TablaConsumos[[Planta]:[Planta]],'Inventario '!K$1)</f>
        <v>0</v>
      </c>
      <c r="L139" s="131">
        <f>SUMIFS(TablaConsumos[[CANTIDAD ]:[CANTIDAD ]],TablaConsumos[[CÓDIGO]:[CÓDIGO]],'Inventario '!$B139,TablaConsumos[[Planta]:[Planta]],'Inventario '!L$1)</f>
        <v>0</v>
      </c>
      <c r="M139" s="131">
        <f>SUMIFS(TablaConsumos[[CANTIDAD ]:[CANTIDAD ]],TablaConsumos[[CÓDIGO]:[CÓDIGO]],'Inventario '!$B139,TablaConsumos[[Planta]:[Planta]],'Inventario '!M$1)</f>
        <v>0</v>
      </c>
      <c r="N139" s="131">
        <f>SUMIFS(TablaConsumos[[CANTIDAD ]:[CANTIDAD ]],TablaConsumos[[CÓDIGO]:[CÓDIGO]],'Inventario '!$B139,TablaConsumos[[Planta]:[Planta]],'Inventario '!N$1)</f>
        <v>0</v>
      </c>
      <c r="O139" s="131">
        <f>SUMIFS(TablaConsumos[[CANTIDAD ]:[CANTIDAD ]],TablaConsumos[[CÓDIGO]:[CÓDIGO]],'Inventario '!$B139,TablaConsumos[[Planta]:[Planta]],'Inventario '!O$1)</f>
        <v>0</v>
      </c>
      <c r="P139" s="131">
        <f>SUMIFS(TablaConsumos[[CANTIDAD ]:[CANTIDAD ]],TablaConsumos[[CÓDIGO]:[CÓDIGO]],'Inventario '!$B139,TablaConsumos[[Planta]:[Planta]],'Inventario '!P$1)</f>
        <v>0</v>
      </c>
      <c r="Q139" s="131">
        <f>SUMIFS(TablaConsumos[[CANTIDAD ]:[CANTIDAD ]],TablaConsumos[[CÓDIGO]:[CÓDIGO]],'Inventario '!$B139,TablaConsumos[[Planta]:[Planta]],'Inventario '!Q$1)</f>
        <v>0</v>
      </c>
      <c r="R139" s="131">
        <f>SUMIFS(TablaConsumos[[CANTIDAD ]:[CANTIDAD ]],TablaConsumos[[CÓDIGO]:[CÓDIGO]],'Inventario '!$B139,TablaConsumos[[Planta]:[Planta]],'Inventario '!R$1)</f>
        <v>0</v>
      </c>
      <c r="S139" s="130">
        <f t="shared" si="114"/>
        <v>0</v>
      </c>
      <c r="T139" s="130">
        <f t="shared" si="117"/>
        <v>0</v>
      </c>
      <c r="U139" s="177"/>
      <c r="V139" s="132"/>
      <c r="W139" s="179">
        <v>30.48</v>
      </c>
      <c r="X139" s="133">
        <f t="shared" si="89"/>
        <v>0</v>
      </c>
      <c r="Y139" s="130">
        <f t="shared" si="119"/>
        <v>0</v>
      </c>
      <c r="Z139" s="132"/>
      <c r="AA139" s="132">
        <f t="shared" si="120"/>
        <v>0</v>
      </c>
      <c r="AB139" s="132"/>
      <c r="AC139" s="131">
        <f t="shared" si="121"/>
        <v>0</v>
      </c>
      <c r="AD139" s="131"/>
      <c r="AE139" s="132" t="s">
        <v>612</v>
      </c>
      <c r="AF139" s="132">
        <v>3048</v>
      </c>
      <c r="AG139" s="168"/>
      <c r="AH139" s="134">
        <f t="shared" si="122"/>
        <v>0</v>
      </c>
      <c r="AI139" s="134">
        <f t="shared" si="123"/>
        <v>0</v>
      </c>
      <c r="AJ139" s="134">
        <f t="shared" si="124"/>
        <v>0</v>
      </c>
      <c r="AK139" s="134">
        <f t="shared" si="125"/>
        <v>0</v>
      </c>
      <c r="AL139" s="134">
        <f t="shared" si="126"/>
        <v>0</v>
      </c>
      <c r="AM139" s="134">
        <f t="shared" si="127"/>
        <v>0</v>
      </c>
      <c r="AN139" s="134">
        <f t="shared" si="128"/>
        <v>0</v>
      </c>
      <c r="AO139" s="134">
        <f t="shared" si="129"/>
        <v>0</v>
      </c>
      <c r="AP139" s="134">
        <f t="shared" si="130"/>
        <v>0</v>
      </c>
      <c r="AQ139" s="134">
        <f t="shared" si="131"/>
        <v>0</v>
      </c>
      <c r="AR139" s="134">
        <f t="shared" si="132"/>
        <v>0</v>
      </c>
      <c r="AS139" s="135">
        <f t="shared" si="115"/>
        <v>0</v>
      </c>
      <c r="AT139" s="137" t="str">
        <f t="shared" si="133"/>
        <v>0</v>
      </c>
      <c r="AU139" s="137" t="str">
        <f t="shared" si="134"/>
        <v>0</v>
      </c>
      <c r="AV139" s="137" t="str">
        <f t="shared" si="135"/>
        <v>0</v>
      </c>
      <c r="AW139" s="137" t="str">
        <f t="shared" si="136"/>
        <v>0</v>
      </c>
      <c r="AX139" s="137" t="str">
        <f t="shared" si="137"/>
        <v>0</v>
      </c>
      <c r="AY139" s="137" t="str">
        <f t="shared" si="138"/>
        <v>0</v>
      </c>
      <c r="AZ139" s="137" t="str">
        <f t="shared" si="139"/>
        <v>0</v>
      </c>
      <c r="BA139" s="137" t="str">
        <f t="shared" si="140"/>
        <v>0</v>
      </c>
      <c r="BB139" s="137" t="str">
        <f t="shared" si="141"/>
        <v>0</v>
      </c>
      <c r="BC139" s="137" t="str">
        <f t="shared" si="142"/>
        <v>0</v>
      </c>
      <c r="BD139" s="131">
        <f t="shared" si="116"/>
        <v>0</v>
      </c>
    </row>
    <row r="140" spans="2:56" x14ac:dyDescent="0.25">
      <c r="B140" s="136">
        <v>8205016</v>
      </c>
      <c r="C140" s="128" t="s">
        <v>30</v>
      </c>
      <c r="D140" s="128"/>
      <c r="E140" s="136" t="s">
        <v>225</v>
      </c>
      <c r="F140" s="274"/>
      <c r="G140" s="130">
        <f>+SUMIFS(TablaIngresos[Cantidad],TablaIngresos[Código],'Inventario '!B140)</f>
        <v>0</v>
      </c>
      <c r="H140" s="130">
        <f t="shared" si="118"/>
        <v>0</v>
      </c>
      <c r="I140" s="131">
        <f>SUMIFS(TablaConsumos[[CANTIDAD ]:[CANTIDAD ]],TablaConsumos[[CÓDIGO]:[CÓDIGO]],'Inventario '!$B140,TablaConsumos[[Planta]:[Planta]],'Inventario '!I$1)</f>
        <v>0</v>
      </c>
      <c r="J140" s="131">
        <f>SUMIFS(TablaConsumos[[CANTIDAD ]:[CANTIDAD ]],TablaConsumos[[CÓDIGO]:[CÓDIGO]],'Inventario '!$B140,TablaConsumos[[Planta]:[Planta]],'Inventario '!J$1)</f>
        <v>0</v>
      </c>
      <c r="K140" s="131">
        <f>SUMIFS(TablaConsumos[[CANTIDAD ]:[CANTIDAD ]],TablaConsumos[[CÓDIGO]:[CÓDIGO]],'Inventario '!$B140,TablaConsumos[[Planta]:[Planta]],'Inventario '!K$1)</f>
        <v>0</v>
      </c>
      <c r="L140" s="131">
        <f>SUMIFS(TablaConsumos[[CANTIDAD ]:[CANTIDAD ]],TablaConsumos[[CÓDIGO]:[CÓDIGO]],'Inventario '!$B140,TablaConsumos[[Planta]:[Planta]],'Inventario '!L$1)</f>
        <v>0</v>
      </c>
      <c r="M140" s="131">
        <f>SUMIFS(TablaConsumos[[CANTIDAD ]:[CANTIDAD ]],TablaConsumos[[CÓDIGO]:[CÓDIGO]],'Inventario '!$B140,TablaConsumos[[Planta]:[Planta]],'Inventario '!M$1)</f>
        <v>0</v>
      </c>
      <c r="N140" s="131">
        <f>SUMIFS(TablaConsumos[[CANTIDAD ]:[CANTIDAD ]],TablaConsumos[[CÓDIGO]:[CÓDIGO]],'Inventario '!$B140,TablaConsumos[[Planta]:[Planta]],'Inventario '!N$1)</f>
        <v>0</v>
      </c>
      <c r="O140" s="131">
        <f>SUMIFS(TablaConsumos[[CANTIDAD ]:[CANTIDAD ]],TablaConsumos[[CÓDIGO]:[CÓDIGO]],'Inventario '!$B140,TablaConsumos[[Planta]:[Planta]],'Inventario '!O$1)</f>
        <v>0</v>
      </c>
      <c r="P140" s="131">
        <f>SUMIFS(TablaConsumos[[CANTIDAD ]:[CANTIDAD ]],TablaConsumos[[CÓDIGO]:[CÓDIGO]],'Inventario '!$B140,TablaConsumos[[Planta]:[Planta]],'Inventario '!P$1)</f>
        <v>0</v>
      </c>
      <c r="Q140" s="131">
        <f>SUMIFS(TablaConsumos[[CANTIDAD ]:[CANTIDAD ]],TablaConsumos[[CÓDIGO]:[CÓDIGO]],'Inventario '!$B140,TablaConsumos[[Planta]:[Planta]],'Inventario '!Q$1)</f>
        <v>0</v>
      </c>
      <c r="R140" s="131">
        <f>SUMIFS(TablaConsumos[[CANTIDAD ]:[CANTIDAD ]],TablaConsumos[[CÓDIGO]:[CÓDIGO]],'Inventario '!$B140,TablaConsumos[[Planta]:[Planta]],'Inventario '!R$1)</f>
        <v>0</v>
      </c>
      <c r="S140" s="130">
        <f t="shared" si="114"/>
        <v>0</v>
      </c>
      <c r="T140" s="130">
        <f t="shared" si="117"/>
        <v>0</v>
      </c>
      <c r="U140" s="177"/>
      <c r="V140" s="130"/>
      <c r="W140" s="179">
        <v>30.48</v>
      </c>
      <c r="X140" s="133">
        <f t="shared" si="89"/>
        <v>0</v>
      </c>
      <c r="Y140" s="130">
        <f t="shared" si="119"/>
        <v>0</v>
      </c>
      <c r="Z140" s="132"/>
      <c r="AA140" s="132">
        <f t="shared" si="120"/>
        <v>0</v>
      </c>
      <c r="AB140" s="132"/>
      <c r="AC140" s="131">
        <f t="shared" si="121"/>
        <v>0</v>
      </c>
      <c r="AD140" s="131"/>
      <c r="AE140" s="132" t="s">
        <v>612</v>
      </c>
      <c r="AF140" s="132">
        <v>3048</v>
      </c>
      <c r="AG140" s="168"/>
      <c r="AH140" s="134">
        <f t="shared" si="122"/>
        <v>0</v>
      </c>
      <c r="AI140" s="134">
        <f t="shared" si="123"/>
        <v>0</v>
      </c>
      <c r="AJ140" s="134">
        <f t="shared" si="124"/>
        <v>0</v>
      </c>
      <c r="AK140" s="134">
        <f t="shared" si="125"/>
        <v>0</v>
      </c>
      <c r="AL140" s="134">
        <f t="shared" si="126"/>
        <v>0</v>
      </c>
      <c r="AM140" s="134">
        <f t="shared" si="127"/>
        <v>0</v>
      </c>
      <c r="AN140" s="134">
        <f t="shared" si="128"/>
        <v>0</v>
      </c>
      <c r="AO140" s="134">
        <f t="shared" si="129"/>
        <v>0</v>
      </c>
      <c r="AP140" s="134">
        <f t="shared" si="130"/>
        <v>0</v>
      </c>
      <c r="AQ140" s="134">
        <f t="shared" si="131"/>
        <v>0</v>
      </c>
      <c r="AR140" s="134">
        <f t="shared" si="132"/>
        <v>0</v>
      </c>
      <c r="AS140" s="135">
        <f t="shared" si="115"/>
        <v>0</v>
      </c>
      <c r="AT140" s="137" t="str">
        <f t="shared" si="133"/>
        <v>0</v>
      </c>
      <c r="AU140" s="137" t="str">
        <f t="shared" si="134"/>
        <v>0</v>
      </c>
      <c r="AV140" s="137" t="str">
        <f t="shared" si="135"/>
        <v>0</v>
      </c>
      <c r="AW140" s="137" t="str">
        <f t="shared" si="136"/>
        <v>0</v>
      </c>
      <c r="AX140" s="137" t="str">
        <f t="shared" si="137"/>
        <v>0</v>
      </c>
      <c r="AY140" s="137" t="str">
        <f t="shared" si="138"/>
        <v>0</v>
      </c>
      <c r="AZ140" s="137" t="str">
        <f t="shared" si="139"/>
        <v>0</v>
      </c>
      <c r="BA140" s="137" t="str">
        <f t="shared" si="140"/>
        <v>0</v>
      </c>
      <c r="BB140" s="137" t="str">
        <f t="shared" si="141"/>
        <v>0</v>
      </c>
      <c r="BC140" s="137" t="str">
        <f t="shared" si="142"/>
        <v>0</v>
      </c>
      <c r="BD140" s="131">
        <f t="shared" si="116"/>
        <v>0</v>
      </c>
    </row>
    <row r="141" spans="2:56" x14ac:dyDescent="0.25">
      <c r="B141" s="136">
        <v>8205017</v>
      </c>
      <c r="C141" s="128" t="s">
        <v>30</v>
      </c>
      <c r="D141" s="128"/>
      <c r="E141" s="136" t="s">
        <v>226</v>
      </c>
      <c r="F141" s="274"/>
      <c r="G141" s="130">
        <f>+SUMIFS(TablaIngresos[Cantidad],TablaIngresos[Código],'Inventario '!B141)</f>
        <v>0</v>
      </c>
      <c r="H141" s="130">
        <f t="shared" si="118"/>
        <v>0</v>
      </c>
      <c r="I141" s="131">
        <f>SUMIFS(TablaConsumos[[CANTIDAD ]:[CANTIDAD ]],TablaConsumos[[CÓDIGO]:[CÓDIGO]],'Inventario '!$B141,TablaConsumos[[Planta]:[Planta]],'Inventario '!I$1)</f>
        <v>0</v>
      </c>
      <c r="J141" s="131">
        <f>SUMIFS(TablaConsumos[[CANTIDAD ]:[CANTIDAD ]],TablaConsumos[[CÓDIGO]:[CÓDIGO]],'Inventario '!$B141,TablaConsumos[[Planta]:[Planta]],'Inventario '!J$1)</f>
        <v>0</v>
      </c>
      <c r="K141" s="131">
        <f>SUMIFS(TablaConsumos[[CANTIDAD ]:[CANTIDAD ]],TablaConsumos[[CÓDIGO]:[CÓDIGO]],'Inventario '!$B141,TablaConsumos[[Planta]:[Planta]],'Inventario '!K$1)</f>
        <v>0</v>
      </c>
      <c r="L141" s="131">
        <f>SUMIFS(TablaConsumos[[CANTIDAD ]:[CANTIDAD ]],TablaConsumos[[CÓDIGO]:[CÓDIGO]],'Inventario '!$B141,TablaConsumos[[Planta]:[Planta]],'Inventario '!L$1)</f>
        <v>0</v>
      </c>
      <c r="M141" s="131">
        <f>SUMIFS(TablaConsumos[[CANTIDAD ]:[CANTIDAD ]],TablaConsumos[[CÓDIGO]:[CÓDIGO]],'Inventario '!$B141,TablaConsumos[[Planta]:[Planta]],'Inventario '!M$1)</f>
        <v>0</v>
      </c>
      <c r="N141" s="131">
        <f>SUMIFS(TablaConsumos[[CANTIDAD ]:[CANTIDAD ]],TablaConsumos[[CÓDIGO]:[CÓDIGO]],'Inventario '!$B141,TablaConsumos[[Planta]:[Planta]],'Inventario '!N$1)</f>
        <v>0</v>
      </c>
      <c r="O141" s="131">
        <f>SUMIFS(TablaConsumos[[CANTIDAD ]:[CANTIDAD ]],TablaConsumos[[CÓDIGO]:[CÓDIGO]],'Inventario '!$B141,TablaConsumos[[Planta]:[Planta]],'Inventario '!O$1)</f>
        <v>0</v>
      </c>
      <c r="P141" s="131">
        <f>SUMIFS(TablaConsumos[[CANTIDAD ]:[CANTIDAD ]],TablaConsumos[[CÓDIGO]:[CÓDIGO]],'Inventario '!$B141,TablaConsumos[[Planta]:[Planta]],'Inventario '!P$1)</f>
        <v>0</v>
      </c>
      <c r="Q141" s="131">
        <f>SUMIFS(TablaConsumos[[CANTIDAD ]:[CANTIDAD ]],TablaConsumos[[CÓDIGO]:[CÓDIGO]],'Inventario '!$B141,TablaConsumos[[Planta]:[Planta]],'Inventario '!Q$1)</f>
        <v>0</v>
      </c>
      <c r="R141" s="131">
        <f>SUMIFS(TablaConsumos[[CANTIDAD ]:[CANTIDAD ]],TablaConsumos[[CÓDIGO]:[CÓDIGO]],'Inventario '!$B141,TablaConsumos[[Planta]:[Planta]],'Inventario '!R$1)</f>
        <v>0</v>
      </c>
      <c r="S141" s="130">
        <f t="shared" si="114"/>
        <v>0</v>
      </c>
      <c r="T141" s="130">
        <f t="shared" si="117"/>
        <v>0</v>
      </c>
      <c r="U141" s="177"/>
      <c r="V141" s="130"/>
      <c r="W141" s="179">
        <v>30.48</v>
      </c>
      <c r="X141" s="133">
        <f t="shared" si="89"/>
        <v>0</v>
      </c>
      <c r="Y141" s="130">
        <f t="shared" si="119"/>
        <v>0</v>
      </c>
      <c r="Z141" s="132"/>
      <c r="AA141" s="132">
        <f t="shared" si="120"/>
        <v>0</v>
      </c>
      <c r="AB141" s="132"/>
      <c r="AC141" s="131">
        <f t="shared" si="121"/>
        <v>0</v>
      </c>
      <c r="AD141" s="131"/>
      <c r="AE141" s="132" t="s">
        <v>612</v>
      </c>
      <c r="AF141" s="132">
        <v>3048</v>
      </c>
      <c r="AG141" s="168"/>
      <c r="AH141" s="134">
        <f t="shared" si="122"/>
        <v>0</v>
      </c>
      <c r="AI141" s="134">
        <f t="shared" si="123"/>
        <v>0</v>
      </c>
      <c r="AJ141" s="134">
        <f t="shared" si="124"/>
        <v>0</v>
      </c>
      <c r="AK141" s="134">
        <f t="shared" si="125"/>
        <v>0</v>
      </c>
      <c r="AL141" s="134">
        <f t="shared" si="126"/>
        <v>0</v>
      </c>
      <c r="AM141" s="134">
        <f t="shared" si="127"/>
        <v>0</v>
      </c>
      <c r="AN141" s="134">
        <f t="shared" si="128"/>
        <v>0</v>
      </c>
      <c r="AO141" s="134">
        <f t="shared" si="129"/>
        <v>0</v>
      </c>
      <c r="AP141" s="134">
        <f t="shared" si="130"/>
        <v>0</v>
      </c>
      <c r="AQ141" s="134">
        <f t="shared" si="131"/>
        <v>0</v>
      </c>
      <c r="AR141" s="134">
        <f t="shared" si="132"/>
        <v>0</v>
      </c>
      <c r="AS141" s="135">
        <f t="shared" si="115"/>
        <v>0</v>
      </c>
      <c r="AT141" s="137" t="str">
        <f t="shared" si="133"/>
        <v>0</v>
      </c>
      <c r="AU141" s="137" t="str">
        <f t="shared" si="134"/>
        <v>0</v>
      </c>
      <c r="AV141" s="137" t="str">
        <f t="shared" si="135"/>
        <v>0</v>
      </c>
      <c r="AW141" s="137" t="str">
        <f t="shared" si="136"/>
        <v>0</v>
      </c>
      <c r="AX141" s="137" t="str">
        <f t="shared" si="137"/>
        <v>0</v>
      </c>
      <c r="AY141" s="137" t="str">
        <f t="shared" si="138"/>
        <v>0</v>
      </c>
      <c r="AZ141" s="137" t="str">
        <f t="shared" si="139"/>
        <v>0</v>
      </c>
      <c r="BA141" s="137" t="str">
        <f t="shared" si="140"/>
        <v>0</v>
      </c>
      <c r="BB141" s="137" t="str">
        <f t="shared" si="141"/>
        <v>0</v>
      </c>
      <c r="BC141" s="137" t="str">
        <f t="shared" si="142"/>
        <v>0</v>
      </c>
      <c r="BD141" s="131">
        <f t="shared" si="116"/>
        <v>0</v>
      </c>
    </row>
    <row r="142" spans="2:56" x14ac:dyDescent="0.25">
      <c r="B142" s="136">
        <v>8205020</v>
      </c>
      <c r="C142" s="128" t="s">
        <v>30</v>
      </c>
      <c r="D142" s="128"/>
      <c r="E142" s="136" t="s">
        <v>227</v>
      </c>
      <c r="F142" s="274"/>
      <c r="G142" s="130">
        <f>+SUMIFS(TablaIngresos[Cantidad],TablaIngresos[Código],'Inventario '!B142)</f>
        <v>0</v>
      </c>
      <c r="H142" s="130">
        <f t="shared" si="118"/>
        <v>0</v>
      </c>
      <c r="I142" s="131">
        <f>SUMIFS(TablaConsumos[[CANTIDAD ]:[CANTIDAD ]],TablaConsumos[[CÓDIGO]:[CÓDIGO]],'Inventario '!$B142,TablaConsumos[[Planta]:[Planta]],'Inventario '!I$1)</f>
        <v>0</v>
      </c>
      <c r="J142" s="131">
        <f>SUMIFS(TablaConsumos[[CANTIDAD ]:[CANTIDAD ]],TablaConsumos[[CÓDIGO]:[CÓDIGO]],'Inventario '!$B142,TablaConsumos[[Planta]:[Planta]],'Inventario '!J$1)</f>
        <v>0</v>
      </c>
      <c r="K142" s="131">
        <f>SUMIFS(TablaConsumos[[CANTIDAD ]:[CANTIDAD ]],TablaConsumos[[CÓDIGO]:[CÓDIGO]],'Inventario '!$B142,TablaConsumos[[Planta]:[Planta]],'Inventario '!K$1)</f>
        <v>0</v>
      </c>
      <c r="L142" s="131">
        <f>SUMIFS(TablaConsumos[[CANTIDAD ]:[CANTIDAD ]],TablaConsumos[[CÓDIGO]:[CÓDIGO]],'Inventario '!$B142,TablaConsumos[[Planta]:[Planta]],'Inventario '!L$1)</f>
        <v>0</v>
      </c>
      <c r="M142" s="131">
        <f>SUMIFS(TablaConsumos[[CANTIDAD ]:[CANTIDAD ]],TablaConsumos[[CÓDIGO]:[CÓDIGO]],'Inventario '!$B142,TablaConsumos[[Planta]:[Planta]],'Inventario '!M$1)</f>
        <v>0</v>
      </c>
      <c r="N142" s="131">
        <f>SUMIFS(TablaConsumos[[CANTIDAD ]:[CANTIDAD ]],TablaConsumos[[CÓDIGO]:[CÓDIGO]],'Inventario '!$B142,TablaConsumos[[Planta]:[Planta]],'Inventario '!N$1)</f>
        <v>0</v>
      </c>
      <c r="O142" s="131">
        <f>SUMIFS(TablaConsumos[[CANTIDAD ]:[CANTIDAD ]],TablaConsumos[[CÓDIGO]:[CÓDIGO]],'Inventario '!$B142,TablaConsumos[[Planta]:[Planta]],'Inventario '!O$1)</f>
        <v>0</v>
      </c>
      <c r="P142" s="131">
        <f>SUMIFS(TablaConsumos[[CANTIDAD ]:[CANTIDAD ]],TablaConsumos[[CÓDIGO]:[CÓDIGO]],'Inventario '!$B142,TablaConsumos[[Planta]:[Planta]],'Inventario '!P$1)</f>
        <v>0</v>
      </c>
      <c r="Q142" s="131">
        <f>SUMIFS(TablaConsumos[[CANTIDAD ]:[CANTIDAD ]],TablaConsumos[[CÓDIGO]:[CÓDIGO]],'Inventario '!$B142,TablaConsumos[[Planta]:[Planta]],'Inventario '!Q$1)</f>
        <v>0</v>
      </c>
      <c r="R142" s="131">
        <f>SUMIFS(TablaConsumos[[CANTIDAD ]:[CANTIDAD ]],TablaConsumos[[CÓDIGO]:[CÓDIGO]],'Inventario '!$B142,TablaConsumos[[Planta]:[Planta]],'Inventario '!R$1)</f>
        <v>0</v>
      </c>
      <c r="S142" s="130">
        <f t="shared" si="114"/>
        <v>0</v>
      </c>
      <c r="T142" s="130">
        <f t="shared" si="117"/>
        <v>0</v>
      </c>
      <c r="U142" s="177"/>
      <c r="V142" s="132"/>
      <c r="W142" s="179">
        <v>30.48</v>
      </c>
      <c r="X142" s="133">
        <f t="shared" si="89"/>
        <v>0</v>
      </c>
      <c r="Y142" s="130">
        <f t="shared" si="119"/>
        <v>0</v>
      </c>
      <c r="Z142" s="132"/>
      <c r="AA142" s="132">
        <f t="shared" si="120"/>
        <v>0</v>
      </c>
      <c r="AB142" s="132"/>
      <c r="AC142" s="131">
        <f t="shared" si="121"/>
        <v>0</v>
      </c>
      <c r="AD142" s="131"/>
      <c r="AE142" s="132" t="s">
        <v>612</v>
      </c>
      <c r="AF142" s="132">
        <v>3048</v>
      </c>
      <c r="AG142" s="168"/>
      <c r="AH142" s="134">
        <f t="shared" si="122"/>
        <v>0</v>
      </c>
      <c r="AI142" s="134">
        <f t="shared" si="123"/>
        <v>0</v>
      </c>
      <c r="AJ142" s="134">
        <f t="shared" si="124"/>
        <v>0</v>
      </c>
      <c r="AK142" s="134">
        <f t="shared" si="125"/>
        <v>0</v>
      </c>
      <c r="AL142" s="134">
        <f t="shared" si="126"/>
        <v>0</v>
      </c>
      <c r="AM142" s="134">
        <f t="shared" si="127"/>
        <v>0</v>
      </c>
      <c r="AN142" s="134">
        <f t="shared" si="128"/>
        <v>0</v>
      </c>
      <c r="AO142" s="134">
        <f t="shared" si="129"/>
        <v>0</v>
      </c>
      <c r="AP142" s="134">
        <f t="shared" si="130"/>
        <v>0</v>
      </c>
      <c r="AQ142" s="134">
        <f t="shared" si="131"/>
        <v>0</v>
      </c>
      <c r="AR142" s="134">
        <f t="shared" si="132"/>
        <v>0</v>
      </c>
      <c r="AS142" s="135">
        <f t="shared" si="115"/>
        <v>0</v>
      </c>
      <c r="AT142" s="137" t="str">
        <f t="shared" si="133"/>
        <v>0</v>
      </c>
      <c r="AU142" s="137" t="str">
        <f t="shared" si="134"/>
        <v>0</v>
      </c>
      <c r="AV142" s="137" t="str">
        <f t="shared" si="135"/>
        <v>0</v>
      </c>
      <c r="AW142" s="137" t="str">
        <f t="shared" si="136"/>
        <v>0</v>
      </c>
      <c r="AX142" s="137" t="str">
        <f t="shared" si="137"/>
        <v>0</v>
      </c>
      <c r="AY142" s="137" t="str">
        <f t="shared" si="138"/>
        <v>0</v>
      </c>
      <c r="AZ142" s="137" t="str">
        <f t="shared" si="139"/>
        <v>0</v>
      </c>
      <c r="BA142" s="137" t="str">
        <f t="shared" si="140"/>
        <v>0</v>
      </c>
      <c r="BB142" s="137" t="str">
        <f t="shared" si="141"/>
        <v>0</v>
      </c>
      <c r="BC142" s="137" t="str">
        <f t="shared" si="142"/>
        <v>0</v>
      </c>
      <c r="BD142" s="131">
        <f t="shared" si="116"/>
        <v>0</v>
      </c>
    </row>
    <row r="143" spans="2:56" x14ac:dyDescent="0.25">
      <c r="B143" s="136">
        <v>8205061</v>
      </c>
      <c r="C143" s="128" t="s">
        <v>30</v>
      </c>
      <c r="D143" s="128"/>
      <c r="E143" s="147" t="s">
        <v>229</v>
      </c>
      <c r="F143" s="274"/>
      <c r="G143" s="130">
        <f>+SUMIFS(TablaIngresos[Cantidad],TablaIngresos[Código],'Inventario '!B143)</f>
        <v>0</v>
      </c>
      <c r="H143" s="130">
        <f t="shared" si="118"/>
        <v>0</v>
      </c>
      <c r="I143" s="131">
        <f>SUMIFS(TablaConsumos[[CANTIDAD ]:[CANTIDAD ]],TablaConsumos[[CÓDIGO]:[CÓDIGO]],'Inventario '!$B143,TablaConsumos[[Planta]:[Planta]],'Inventario '!I$1)</f>
        <v>0</v>
      </c>
      <c r="J143" s="131">
        <f>SUMIFS(TablaConsumos[[CANTIDAD ]:[CANTIDAD ]],TablaConsumos[[CÓDIGO]:[CÓDIGO]],'Inventario '!$B143,TablaConsumos[[Planta]:[Planta]],'Inventario '!J$1)</f>
        <v>0</v>
      </c>
      <c r="K143" s="131">
        <f>SUMIFS(TablaConsumos[[CANTIDAD ]:[CANTIDAD ]],TablaConsumos[[CÓDIGO]:[CÓDIGO]],'Inventario '!$B143,TablaConsumos[[Planta]:[Planta]],'Inventario '!K$1)</f>
        <v>0</v>
      </c>
      <c r="L143" s="131">
        <f>SUMIFS(TablaConsumos[[CANTIDAD ]:[CANTIDAD ]],TablaConsumos[[CÓDIGO]:[CÓDIGO]],'Inventario '!$B143,TablaConsumos[[Planta]:[Planta]],'Inventario '!L$1)</f>
        <v>0</v>
      </c>
      <c r="M143" s="131">
        <f>SUMIFS(TablaConsumos[[CANTIDAD ]:[CANTIDAD ]],TablaConsumos[[CÓDIGO]:[CÓDIGO]],'Inventario '!$B143,TablaConsumos[[Planta]:[Planta]],'Inventario '!M$1)</f>
        <v>0</v>
      </c>
      <c r="N143" s="131">
        <f>SUMIFS(TablaConsumos[[CANTIDAD ]:[CANTIDAD ]],TablaConsumos[[CÓDIGO]:[CÓDIGO]],'Inventario '!$B143,TablaConsumos[[Planta]:[Planta]],'Inventario '!N$1)</f>
        <v>0</v>
      </c>
      <c r="O143" s="131">
        <f>SUMIFS(TablaConsumos[[CANTIDAD ]:[CANTIDAD ]],TablaConsumos[[CÓDIGO]:[CÓDIGO]],'Inventario '!$B143,TablaConsumos[[Planta]:[Planta]],'Inventario '!O$1)</f>
        <v>0</v>
      </c>
      <c r="P143" s="131">
        <f>SUMIFS(TablaConsumos[[CANTIDAD ]:[CANTIDAD ]],TablaConsumos[[CÓDIGO]:[CÓDIGO]],'Inventario '!$B143,TablaConsumos[[Planta]:[Planta]],'Inventario '!P$1)</f>
        <v>0</v>
      </c>
      <c r="Q143" s="131">
        <f>SUMIFS(TablaConsumos[[CANTIDAD ]:[CANTIDAD ]],TablaConsumos[[CÓDIGO]:[CÓDIGO]],'Inventario '!$B143,TablaConsumos[[Planta]:[Planta]],'Inventario '!Q$1)</f>
        <v>0</v>
      </c>
      <c r="R143" s="131">
        <f>SUMIFS(TablaConsumos[[CANTIDAD ]:[CANTIDAD ]],TablaConsumos[[CÓDIGO]:[CÓDIGO]],'Inventario '!$B143,TablaConsumos[[Planta]:[Planta]],'Inventario '!R$1)</f>
        <v>0</v>
      </c>
      <c r="S143" s="130">
        <f t="shared" si="114"/>
        <v>0</v>
      </c>
      <c r="T143" s="130">
        <f t="shared" si="117"/>
        <v>0</v>
      </c>
      <c r="U143" s="177"/>
      <c r="V143" s="130"/>
      <c r="W143" s="179">
        <v>30.48</v>
      </c>
      <c r="X143" s="133">
        <f t="shared" ref="X143:X211" si="143">+U143*W143</f>
        <v>0</v>
      </c>
      <c r="Y143" s="130">
        <f t="shared" si="119"/>
        <v>0</v>
      </c>
      <c r="Z143" s="132"/>
      <c r="AA143" s="132">
        <f t="shared" si="120"/>
        <v>0</v>
      </c>
      <c r="AB143" s="132"/>
      <c r="AC143" s="131">
        <f t="shared" si="121"/>
        <v>0</v>
      </c>
      <c r="AD143" s="131"/>
      <c r="AE143" s="132" t="s">
        <v>612</v>
      </c>
      <c r="AF143" s="132">
        <v>3048</v>
      </c>
      <c r="AG143" s="168"/>
      <c r="AH143" s="134">
        <f t="shared" si="122"/>
        <v>0</v>
      </c>
      <c r="AI143" s="134">
        <f t="shared" si="123"/>
        <v>0</v>
      </c>
      <c r="AJ143" s="134">
        <f t="shared" si="124"/>
        <v>0</v>
      </c>
      <c r="AK143" s="134">
        <f t="shared" si="125"/>
        <v>0</v>
      </c>
      <c r="AL143" s="134">
        <f t="shared" si="126"/>
        <v>0</v>
      </c>
      <c r="AM143" s="134">
        <f t="shared" si="127"/>
        <v>0</v>
      </c>
      <c r="AN143" s="134">
        <f t="shared" si="128"/>
        <v>0</v>
      </c>
      <c r="AO143" s="134">
        <f t="shared" si="129"/>
        <v>0</v>
      </c>
      <c r="AP143" s="134">
        <f t="shared" si="130"/>
        <v>0</v>
      </c>
      <c r="AQ143" s="134">
        <f t="shared" si="131"/>
        <v>0</v>
      </c>
      <c r="AR143" s="134">
        <f t="shared" si="132"/>
        <v>0</v>
      </c>
      <c r="AS143" s="135">
        <f t="shared" si="115"/>
        <v>0</v>
      </c>
      <c r="AT143" s="137" t="str">
        <f t="shared" si="133"/>
        <v>0</v>
      </c>
      <c r="AU143" s="137" t="str">
        <f t="shared" si="134"/>
        <v>0</v>
      </c>
      <c r="AV143" s="137" t="str">
        <f t="shared" si="135"/>
        <v>0</v>
      </c>
      <c r="AW143" s="137" t="str">
        <f t="shared" si="136"/>
        <v>0</v>
      </c>
      <c r="AX143" s="137" t="str">
        <f t="shared" si="137"/>
        <v>0</v>
      </c>
      <c r="AY143" s="137" t="str">
        <f t="shared" si="138"/>
        <v>0</v>
      </c>
      <c r="AZ143" s="137" t="str">
        <f t="shared" si="139"/>
        <v>0</v>
      </c>
      <c r="BA143" s="137" t="str">
        <f t="shared" si="140"/>
        <v>0</v>
      </c>
      <c r="BB143" s="137" t="str">
        <f t="shared" si="141"/>
        <v>0</v>
      </c>
      <c r="BC143" s="137" t="str">
        <f t="shared" si="142"/>
        <v>0</v>
      </c>
      <c r="BD143" s="131">
        <f t="shared" si="116"/>
        <v>0</v>
      </c>
    </row>
    <row r="144" spans="2:56" x14ac:dyDescent="0.25">
      <c r="B144" s="136">
        <v>8205062</v>
      </c>
      <c r="C144" s="128" t="s">
        <v>30</v>
      </c>
      <c r="D144" s="128"/>
      <c r="E144" s="147" t="s">
        <v>230</v>
      </c>
      <c r="F144" s="274"/>
      <c r="G144" s="130">
        <f>+SUMIFS(TablaIngresos[Cantidad],TablaIngresos[Código],'Inventario '!B144)</f>
        <v>0</v>
      </c>
      <c r="H144" s="130">
        <f t="shared" si="118"/>
        <v>0</v>
      </c>
      <c r="I144" s="131">
        <f>SUMIFS(TablaConsumos[[CANTIDAD ]:[CANTIDAD ]],TablaConsumos[[CÓDIGO]:[CÓDIGO]],'Inventario '!$B144,TablaConsumos[[Planta]:[Planta]],'Inventario '!I$1)</f>
        <v>0</v>
      </c>
      <c r="J144" s="131">
        <f>SUMIFS(TablaConsumos[[CANTIDAD ]:[CANTIDAD ]],TablaConsumos[[CÓDIGO]:[CÓDIGO]],'Inventario '!$B144,TablaConsumos[[Planta]:[Planta]],'Inventario '!J$1)</f>
        <v>0</v>
      </c>
      <c r="K144" s="131">
        <f>SUMIFS(TablaConsumos[[CANTIDAD ]:[CANTIDAD ]],TablaConsumos[[CÓDIGO]:[CÓDIGO]],'Inventario '!$B144,TablaConsumos[[Planta]:[Planta]],'Inventario '!K$1)</f>
        <v>0</v>
      </c>
      <c r="L144" s="131">
        <f>SUMIFS(TablaConsumos[[CANTIDAD ]:[CANTIDAD ]],TablaConsumos[[CÓDIGO]:[CÓDIGO]],'Inventario '!$B144,TablaConsumos[[Planta]:[Planta]],'Inventario '!L$1)</f>
        <v>0</v>
      </c>
      <c r="M144" s="131">
        <f>SUMIFS(TablaConsumos[[CANTIDAD ]:[CANTIDAD ]],TablaConsumos[[CÓDIGO]:[CÓDIGO]],'Inventario '!$B144,TablaConsumos[[Planta]:[Planta]],'Inventario '!M$1)</f>
        <v>0</v>
      </c>
      <c r="N144" s="131">
        <f>SUMIFS(TablaConsumos[[CANTIDAD ]:[CANTIDAD ]],TablaConsumos[[CÓDIGO]:[CÓDIGO]],'Inventario '!$B144,TablaConsumos[[Planta]:[Planta]],'Inventario '!N$1)</f>
        <v>0</v>
      </c>
      <c r="O144" s="131">
        <f>SUMIFS(TablaConsumos[[CANTIDAD ]:[CANTIDAD ]],TablaConsumos[[CÓDIGO]:[CÓDIGO]],'Inventario '!$B144,TablaConsumos[[Planta]:[Planta]],'Inventario '!O$1)</f>
        <v>0</v>
      </c>
      <c r="P144" s="131">
        <f>SUMIFS(TablaConsumos[[CANTIDAD ]:[CANTIDAD ]],TablaConsumos[[CÓDIGO]:[CÓDIGO]],'Inventario '!$B144,TablaConsumos[[Planta]:[Planta]],'Inventario '!P$1)</f>
        <v>0</v>
      </c>
      <c r="Q144" s="131">
        <f>SUMIFS(TablaConsumos[[CANTIDAD ]:[CANTIDAD ]],TablaConsumos[[CÓDIGO]:[CÓDIGO]],'Inventario '!$B144,TablaConsumos[[Planta]:[Planta]],'Inventario '!Q$1)</f>
        <v>0</v>
      </c>
      <c r="R144" s="131">
        <f>SUMIFS(TablaConsumos[[CANTIDAD ]:[CANTIDAD ]],TablaConsumos[[CÓDIGO]:[CÓDIGO]],'Inventario '!$B144,TablaConsumos[[Planta]:[Planta]],'Inventario '!R$1)</f>
        <v>0</v>
      </c>
      <c r="S144" s="130">
        <f t="shared" si="114"/>
        <v>0</v>
      </c>
      <c r="T144" s="130">
        <f t="shared" si="117"/>
        <v>0</v>
      </c>
      <c r="U144" s="177"/>
      <c r="V144" s="132"/>
      <c r="W144" s="179">
        <v>30.48</v>
      </c>
      <c r="X144" s="133">
        <f t="shared" si="143"/>
        <v>0</v>
      </c>
      <c r="Y144" s="130">
        <f t="shared" si="119"/>
        <v>0</v>
      </c>
      <c r="Z144" s="132"/>
      <c r="AA144" s="132">
        <f t="shared" si="120"/>
        <v>0</v>
      </c>
      <c r="AB144" s="132"/>
      <c r="AC144" s="131">
        <f t="shared" si="121"/>
        <v>0</v>
      </c>
      <c r="AD144" s="131"/>
      <c r="AE144" s="132" t="s">
        <v>612</v>
      </c>
      <c r="AF144" s="132">
        <v>3048</v>
      </c>
      <c r="AG144" s="168"/>
      <c r="AH144" s="134">
        <f t="shared" si="122"/>
        <v>0</v>
      </c>
      <c r="AI144" s="134">
        <f t="shared" si="123"/>
        <v>0</v>
      </c>
      <c r="AJ144" s="134">
        <f t="shared" si="124"/>
        <v>0</v>
      </c>
      <c r="AK144" s="134">
        <f t="shared" si="125"/>
        <v>0</v>
      </c>
      <c r="AL144" s="134">
        <f t="shared" si="126"/>
        <v>0</v>
      </c>
      <c r="AM144" s="134">
        <f t="shared" si="127"/>
        <v>0</v>
      </c>
      <c r="AN144" s="134">
        <f t="shared" si="128"/>
        <v>0</v>
      </c>
      <c r="AO144" s="134">
        <f t="shared" si="129"/>
        <v>0</v>
      </c>
      <c r="AP144" s="134">
        <f t="shared" si="130"/>
        <v>0</v>
      </c>
      <c r="AQ144" s="134">
        <f t="shared" si="131"/>
        <v>0</v>
      </c>
      <c r="AR144" s="134">
        <f t="shared" si="132"/>
        <v>0</v>
      </c>
      <c r="AS144" s="135">
        <f t="shared" si="115"/>
        <v>0</v>
      </c>
      <c r="AT144" s="137" t="str">
        <f t="shared" si="133"/>
        <v>0</v>
      </c>
      <c r="AU144" s="137" t="str">
        <f t="shared" si="134"/>
        <v>0</v>
      </c>
      <c r="AV144" s="137" t="str">
        <f t="shared" si="135"/>
        <v>0</v>
      </c>
      <c r="AW144" s="137" t="str">
        <f t="shared" si="136"/>
        <v>0</v>
      </c>
      <c r="AX144" s="137" t="str">
        <f t="shared" si="137"/>
        <v>0</v>
      </c>
      <c r="AY144" s="137" t="str">
        <f t="shared" si="138"/>
        <v>0</v>
      </c>
      <c r="AZ144" s="137" t="str">
        <f t="shared" si="139"/>
        <v>0</v>
      </c>
      <c r="BA144" s="137" t="str">
        <f t="shared" si="140"/>
        <v>0</v>
      </c>
      <c r="BB144" s="137" t="str">
        <f t="shared" si="141"/>
        <v>0</v>
      </c>
      <c r="BC144" s="137" t="str">
        <f t="shared" si="142"/>
        <v>0</v>
      </c>
      <c r="BD144" s="131">
        <f t="shared" si="116"/>
        <v>0</v>
      </c>
    </row>
    <row r="145" spans="2:56" x14ac:dyDescent="0.25">
      <c r="B145" s="136">
        <v>8205063</v>
      </c>
      <c r="C145" s="128" t="s">
        <v>30</v>
      </c>
      <c r="D145" s="128"/>
      <c r="E145" s="147" t="s">
        <v>231</v>
      </c>
      <c r="F145" s="274"/>
      <c r="G145" s="130">
        <f>+SUMIFS(TablaIngresos[Cantidad],TablaIngresos[Código],'Inventario '!B145)</f>
        <v>0</v>
      </c>
      <c r="H145" s="130">
        <f t="shared" si="118"/>
        <v>0</v>
      </c>
      <c r="I145" s="131">
        <f>SUMIFS(TablaConsumos[[CANTIDAD ]:[CANTIDAD ]],TablaConsumos[[CÓDIGO]:[CÓDIGO]],'Inventario '!$B145,TablaConsumos[[Planta]:[Planta]],'Inventario '!I$1)</f>
        <v>0</v>
      </c>
      <c r="J145" s="131">
        <f>SUMIFS(TablaConsumos[[CANTIDAD ]:[CANTIDAD ]],TablaConsumos[[CÓDIGO]:[CÓDIGO]],'Inventario '!$B145,TablaConsumos[[Planta]:[Planta]],'Inventario '!J$1)</f>
        <v>0</v>
      </c>
      <c r="K145" s="131">
        <f>SUMIFS(TablaConsumos[[CANTIDAD ]:[CANTIDAD ]],TablaConsumos[[CÓDIGO]:[CÓDIGO]],'Inventario '!$B145,TablaConsumos[[Planta]:[Planta]],'Inventario '!K$1)</f>
        <v>0</v>
      </c>
      <c r="L145" s="131">
        <f>SUMIFS(TablaConsumos[[CANTIDAD ]:[CANTIDAD ]],TablaConsumos[[CÓDIGO]:[CÓDIGO]],'Inventario '!$B145,TablaConsumos[[Planta]:[Planta]],'Inventario '!L$1)</f>
        <v>0</v>
      </c>
      <c r="M145" s="131">
        <f>SUMIFS(TablaConsumos[[CANTIDAD ]:[CANTIDAD ]],TablaConsumos[[CÓDIGO]:[CÓDIGO]],'Inventario '!$B145,TablaConsumos[[Planta]:[Planta]],'Inventario '!M$1)</f>
        <v>0</v>
      </c>
      <c r="N145" s="131">
        <f>SUMIFS(TablaConsumos[[CANTIDAD ]:[CANTIDAD ]],TablaConsumos[[CÓDIGO]:[CÓDIGO]],'Inventario '!$B145,TablaConsumos[[Planta]:[Planta]],'Inventario '!N$1)</f>
        <v>0</v>
      </c>
      <c r="O145" s="131">
        <f>SUMIFS(TablaConsumos[[CANTIDAD ]:[CANTIDAD ]],TablaConsumos[[CÓDIGO]:[CÓDIGO]],'Inventario '!$B145,TablaConsumos[[Planta]:[Planta]],'Inventario '!O$1)</f>
        <v>0</v>
      </c>
      <c r="P145" s="131">
        <f>SUMIFS(TablaConsumos[[CANTIDAD ]:[CANTIDAD ]],TablaConsumos[[CÓDIGO]:[CÓDIGO]],'Inventario '!$B145,TablaConsumos[[Planta]:[Planta]],'Inventario '!P$1)</f>
        <v>0</v>
      </c>
      <c r="Q145" s="131">
        <f>SUMIFS(TablaConsumos[[CANTIDAD ]:[CANTIDAD ]],TablaConsumos[[CÓDIGO]:[CÓDIGO]],'Inventario '!$B145,TablaConsumos[[Planta]:[Planta]],'Inventario '!Q$1)</f>
        <v>0</v>
      </c>
      <c r="R145" s="131">
        <f>SUMIFS(TablaConsumos[[CANTIDAD ]:[CANTIDAD ]],TablaConsumos[[CÓDIGO]:[CÓDIGO]],'Inventario '!$B145,TablaConsumos[[Planta]:[Planta]],'Inventario '!R$1)</f>
        <v>0</v>
      </c>
      <c r="S145" s="130">
        <f t="shared" si="114"/>
        <v>0</v>
      </c>
      <c r="T145" s="130">
        <f t="shared" si="117"/>
        <v>0</v>
      </c>
      <c r="U145" s="177"/>
      <c r="V145" s="132"/>
      <c r="W145" s="179">
        <v>30.48</v>
      </c>
      <c r="X145" s="133">
        <f t="shared" si="143"/>
        <v>0</v>
      </c>
      <c r="Y145" s="130">
        <f t="shared" si="119"/>
        <v>0</v>
      </c>
      <c r="Z145" s="132"/>
      <c r="AA145" s="132">
        <f t="shared" si="120"/>
        <v>0</v>
      </c>
      <c r="AB145" s="132"/>
      <c r="AC145" s="131">
        <f t="shared" si="121"/>
        <v>0</v>
      </c>
      <c r="AD145" s="131"/>
      <c r="AE145" s="132" t="s">
        <v>612</v>
      </c>
      <c r="AF145" s="132">
        <v>3048</v>
      </c>
      <c r="AG145" s="168"/>
      <c r="AH145" s="134">
        <f t="shared" si="122"/>
        <v>0</v>
      </c>
      <c r="AI145" s="134">
        <f t="shared" si="123"/>
        <v>0</v>
      </c>
      <c r="AJ145" s="134">
        <f t="shared" si="124"/>
        <v>0</v>
      </c>
      <c r="AK145" s="134">
        <f t="shared" si="125"/>
        <v>0</v>
      </c>
      <c r="AL145" s="134">
        <f t="shared" si="126"/>
        <v>0</v>
      </c>
      <c r="AM145" s="134">
        <f t="shared" si="127"/>
        <v>0</v>
      </c>
      <c r="AN145" s="134">
        <f t="shared" si="128"/>
        <v>0</v>
      </c>
      <c r="AO145" s="134">
        <f t="shared" si="129"/>
        <v>0</v>
      </c>
      <c r="AP145" s="134">
        <f t="shared" si="130"/>
        <v>0</v>
      </c>
      <c r="AQ145" s="134">
        <f t="shared" si="131"/>
        <v>0</v>
      </c>
      <c r="AR145" s="134">
        <f t="shared" si="132"/>
        <v>0</v>
      </c>
      <c r="AS145" s="135">
        <f t="shared" si="115"/>
        <v>0</v>
      </c>
      <c r="AT145" s="137" t="str">
        <f t="shared" si="133"/>
        <v>0</v>
      </c>
      <c r="AU145" s="137" t="str">
        <f t="shared" si="134"/>
        <v>0</v>
      </c>
      <c r="AV145" s="137" t="str">
        <f t="shared" si="135"/>
        <v>0</v>
      </c>
      <c r="AW145" s="137" t="str">
        <f t="shared" si="136"/>
        <v>0</v>
      </c>
      <c r="AX145" s="137" t="str">
        <f t="shared" si="137"/>
        <v>0</v>
      </c>
      <c r="AY145" s="137" t="str">
        <f t="shared" si="138"/>
        <v>0</v>
      </c>
      <c r="AZ145" s="137" t="str">
        <f t="shared" si="139"/>
        <v>0</v>
      </c>
      <c r="BA145" s="137" t="str">
        <f t="shared" si="140"/>
        <v>0</v>
      </c>
      <c r="BB145" s="137" t="str">
        <f t="shared" si="141"/>
        <v>0</v>
      </c>
      <c r="BC145" s="137" t="str">
        <f t="shared" si="142"/>
        <v>0</v>
      </c>
      <c r="BD145" s="131">
        <f t="shared" si="116"/>
        <v>0</v>
      </c>
    </row>
    <row r="146" spans="2:56" x14ac:dyDescent="0.25">
      <c r="B146" s="136">
        <v>8205230</v>
      </c>
      <c r="C146" s="128" t="s">
        <v>17</v>
      </c>
      <c r="D146" s="128"/>
      <c r="E146" s="147" t="s">
        <v>232</v>
      </c>
      <c r="F146" s="132"/>
      <c r="G146" s="130">
        <f>+SUMIFS(TablaIngresos[Cantidad],TablaIngresos[Código],'Inventario '!B146)</f>
        <v>0</v>
      </c>
      <c r="H146" s="130">
        <f t="shared" si="118"/>
        <v>0</v>
      </c>
      <c r="I146" s="131">
        <f>SUMIFS(TablaConsumos[[CANTIDAD ]:[CANTIDAD ]],TablaConsumos[[CÓDIGO]:[CÓDIGO]],'Inventario '!$B146,TablaConsumos[[Planta]:[Planta]],'Inventario '!I$1)</f>
        <v>0</v>
      </c>
      <c r="J146" s="131">
        <f>SUMIFS(TablaConsumos[[CANTIDAD ]:[CANTIDAD ]],TablaConsumos[[CÓDIGO]:[CÓDIGO]],'Inventario '!$B146,TablaConsumos[[Planta]:[Planta]],'Inventario '!J$1)</f>
        <v>0</v>
      </c>
      <c r="K146" s="131">
        <f>SUMIFS(TablaConsumos[[CANTIDAD ]:[CANTIDAD ]],TablaConsumos[[CÓDIGO]:[CÓDIGO]],'Inventario '!$B146,TablaConsumos[[Planta]:[Planta]],'Inventario '!K$1)</f>
        <v>0</v>
      </c>
      <c r="L146" s="131">
        <f>SUMIFS(TablaConsumos[[CANTIDAD ]:[CANTIDAD ]],TablaConsumos[[CÓDIGO]:[CÓDIGO]],'Inventario '!$B146,TablaConsumos[[Planta]:[Planta]],'Inventario '!L$1)</f>
        <v>0</v>
      </c>
      <c r="M146" s="131">
        <f>SUMIFS(TablaConsumos[[CANTIDAD ]:[CANTIDAD ]],TablaConsumos[[CÓDIGO]:[CÓDIGO]],'Inventario '!$B146,TablaConsumos[[Planta]:[Planta]],'Inventario '!M$1)</f>
        <v>0</v>
      </c>
      <c r="N146" s="131">
        <f>SUMIFS(TablaConsumos[[CANTIDAD ]:[CANTIDAD ]],TablaConsumos[[CÓDIGO]:[CÓDIGO]],'Inventario '!$B146,TablaConsumos[[Planta]:[Planta]],'Inventario '!N$1)</f>
        <v>0</v>
      </c>
      <c r="O146" s="131">
        <f>SUMIFS(TablaConsumos[[CANTIDAD ]:[CANTIDAD ]],TablaConsumos[[CÓDIGO]:[CÓDIGO]],'Inventario '!$B146,TablaConsumos[[Planta]:[Planta]],'Inventario '!O$1)</f>
        <v>0</v>
      </c>
      <c r="P146" s="131">
        <f>SUMIFS(TablaConsumos[[CANTIDAD ]:[CANTIDAD ]],TablaConsumos[[CÓDIGO]:[CÓDIGO]],'Inventario '!$B146,TablaConsumos[[Planta]:[Planta]],'Inventario '!P$1)</f>
        <v>0</v>
      </c>
      <c r="Q146" s="131">
        <f>SUMIFS(TablaConsumos[[CANTIDAD ]:[CANTIDAD ]],TablaConsumos[[CÓDIGO]:[CÓDIGO]],'Inventario '!$B146,TablaConsumos[[Planta]:[Planta]],'Inventario '!Q$1)</f>
        <v>0</v>
      </c>
      <c r="R146" s="131">
        <f>SUMIFS(TablaConsumos[[CANTIDAD ]:[CANTIDAD ]],TablaConsumos[[CÓDIGO]:[CÓDIGO]],'Inventario '!$B146,TablaConsumos[[Planta]:[Planta]],'Inventario '!R$1)</f>
        <v>0</v>
      </c>
      <c r="S146" s="130">
        <f t="shared" si="114"/>
        <v>0</v>
      </c>
      <c r="T146" s="130">
        <f t="shared" si="117"/>
        <v>0</v>
      </c>
      <c r="U146" s="177"/>
      <c r="V146" s="132"/>
      <c r="W146" s="179">
        <v>1</v>
      </c>
      <c r="X146" s="133">
        <f t="shared" si="143"/>
        <v>0</v>
      </c>
      <c r="Y146" s="130">
        <f t="shared" si="119"/>
        <v>0</v>
      </c>
      <c r="Z146" s="132"/>
      <c r="AA146" s="132">
        <f t="shared" si="120"/>
        <v>0</v>
      </c>
      <c r="AB146" s="132"/>
      <c r="AC146" s="131">
        <f t="shared" si="121"/>
        <v>0</v>
      </c>
      <c r="AD146" s="131"/>
      <c r="AE146" s="132" t="s">
        <v>612</v>
      </c>
      <c r="AF146" s="132">
        <v>3048</v>
      </c>
      <c r="AG146" s="168"/>
      <c r="AH146" s="134">
        <f t="shared" si="122"/>
        <v>0</v>
      </c>
      <c r="AI146" s="134">
        <f t="shared" si="123"/>
        <v>0</v>
      </c>
      <c r="AJ146" s="134">
        <f t="shared" si="124"/>
        <v>0</v>
      </c>
      <c r="AK146" s="134">
        <f t="shared" si="125"/>
        <v>0</v>
      </c>
      <c r="AL146" s="134">
        <f t="shared" si="126"/>
        <v>0</v>
      </c>
      <c r="AM146" s="134">
        <f t="shared" si="127"/>
        <v>0</v>
      </c>
      <c r="AN146" s="134">
        <f t="shared" si="128"/>
        <v>0</v>
      </c>
      <c r="AO146" s="134">
        <f t="shared" si="129"/>
        <v>0</v>
      </c>
      <c r="AP146" s="134">
        <f t="shared" si="130"/>
        <v>0</v>
      </c>
      <c r="AQ146" s="134">
        <f t="shared" si="131"/>
        <v>0</v>
      </c>
      <c r="AR146" s="134">
        <f t="shared" si="132"/>
        <v>0</v>
      </c>
      <c r="AS146" s="135">
        <f t="shared" si="115"/>
        <v>0</v>
      </c>
      <c r="AT146" s="137" t="str">
        <f t="shared" si="133"/>
        <v>0</v>
      </c>
      <c r="AU146" s="137" t="str">
        <f t="shared" si="134"/>
        <v>0</v>
      </c>
      <c r="AV146" s="137" t="str">
        <f t="shared" si="135"/>
        <v>0</v>
      </c>
      <c r="AW146" s="137" t="str">
        <f t="shared" si="136"/>
        <v>0</v>
      </c>
      <c r="AX146" s="137" t="str">
        <f t="shared" si="137"/>
        <v>0</v>
      </c>
      <c r="AY146" s="137" t="str">
        <f t="shared" si="138"/>
        <v>0</v>
      </c>
      <c r="AZ146" s="137" t="str">
        <f t="shared" si="139"/>
        <v>0</v>
      </c>
      <c r="BA146" s="137" t="str">
        <f t="shared" si="140"/>
        <v>0</v>
      </c>
      <c r="BB146" s="137" t="str">
        <f t="shared" si="141"/>
        <v>0</v>
      </c>
      <c r="BC146" s="137" t="str">
        <f t="shared" si="142"/>
        <v>0</v>
      </c>
      <c r="BD146" s="131">
        <f t="shared" si="116"/>
        <v>0</v>
      </c>
    </row>
    <row r="147" spans="2:56" x14ac:dyDescent="0.25">
      <c r="B147" s="136">
        <v>8205240</v>
      </c>
      <c r="C147" s="128" t="s">
        <v>17</v>
      </c>
      <c r="D147" s="128"/>
      <c r="E147" s="147" t="s">
        <v>233</v>
      </c>
      <c r="F147" s="132"/>
      <c r="G147" s="130">
        <f>+SUMIFS(TablaIngresos[Cantidad],TablaIngresos[Código],'Inventario '!B147)</f>
        <v>0</v>
      </c>
      <c r="H147" s="130">
        <f t="shared" si="118"/>
        <v>0</v>
      </c>
      <c r="I147" s="131">
        <f>SUMIFS(TablaConsumos[[CANTIDAD ]:[CANTIDAD ]],TablaConsumos[[CÓDIGO]:[CÓDIGO]],'Inventario '!$B147,TablaConsumos[[Planta]:[Planta]],'Inventario '!I$1)</f>
        <v>0</v>
      </c>
      <c r="J147" s="131">
        <f>SUMIFS(TablaConsumos[[CANTIDAD ]:[CANTIDAD ]],TablaConsumos[[CÓDIGO]:[CÓDIGO]],'Inventario '!$B147,TablaConsumos[[Planta]:[Planta]],'Inventario '!J$1)</f>
        <v>0</v>
      </c>
      <c r="K147" s="131">
        <f>SUMIFS(TablaConsumos[[CANTIDAD ]:[CANTIDAD ]],TablaConsumos[[CÓDIGO]:[CÓDIGO]],'Inventario '!$B147,TablaConsumos[[Planta]:[Planta]],'Inventario '!K$1)</f>
        <v>0</v>
      </c>
      <c r="L147" s="131">
        <f>SUMIFS(TablaConsumos[[CANTIDAD ]:[CANTIDAD ]],TablaConsumos[[CÓDIGO]:[CÓDIGO]],'Inventario '!$B147,TablaConsumos[[Planta]:[Planta]],'Inventario '!L$1)</f>
        <v>0</v>
      </c>
      <c r="M147" s="131">
        <f>SUMIFS(TablaConsumos[[CANTIDAD ]:[CANTIDAD ]],TablaConsumos[[CÓDIGO]:[CÓDIGO]],'Inventario '!$B147,TablaConsumos[[Planta]:[Planta]],'Inventario '!M$1)</f>
        <v>0</v>
      </c>
      <c r="N147" s="131">
        <f>SUMIFS(TablaConsumos[[CANTIDAD ]:[CANTIDAD ]],TablaConsumos[[CÓDIGO]:[CÓDIGO]],'Inventario '!$B147,TablaConsumos[[Planta]:[Planta]],'Inventario '!N$1)</f>
        <v>0</v>
      </c>
      <c r="O147" s="131">
        <f>SUMIFS(TablaConsumos[[CANTIDAD ]:[CANTIDAD ]],TablaConsumos[[CÓDIGO]:[CÓDIGO]],'Inventario '!$B147,TablaConsumos[[Planta]:[Planta]],'Inventario '!O$1)</f>
        <v>0</v>
      </c>
      <c r="P147" s="131">
        <f>SUMIFS(TablaConsumos[[CANTIDAD ]:[CANTIDAD ]],TablaConsumos[[CÓDIGO]:[CÓDIGO]],'Inventario '!$B147,TablaConsumos[[Planta]:[Planta]],'Inventario '!P$1)</f>
        <v>0</v>
      </c>
      <c r="Q147" s="131">
        <f>SUMIFS(TablaConsumos[[CANTIDAD ]:[CANTIDAD ]],TablaConsumos[[CÓDIGO]:[CÓDIGO]],'Inventario '!$B147,TablaConsumos[[Planta]:[Planta]],'Inventario '!Q$1)</f>
        <v>0</v>
      </c>
      <c r="R147" s="131">
        <f>SUMIFS(TablaConsumos[[CANTIDAD ]:[CANTIDAD ]],TablaConsumos[[CÓDIGO]:[CÓDIGO]],'Inventario '!$B147,TablaConsumos[[Planta]:[Planta]],'Inventario '!R$1)</f>
        <v>0</v>
      </c>
      <c r="S147" s="130">
        <f t="shared" si="114"/>
        <v>0</v>
      </c>
      <c r="T147" s="130">
        <f t="shared" si="117"/>
        <v>0</v>
      </c>
      <c r="U147" s="177"/>
      <c r="V147" s="130"/>
      <c r="W147" s="179">
        <v>1</v>
      </c>
      <c r="X147" s="133">
        <f t="shared" si="143"/>
        <v>0</v>
      </c>
      <c r="Y147" s="130">
        <f t="shared" si="119"/>
        <v>0</v>
      </c>
      <c r="Z147" s="132"/>
      <c r="AA147" s="132">
        <f t="shared" si="120"/>
        <v>0</v>
      </c>
      <c r="AB147" s="132"/>
      <c r="AC147" s="131">
        <f t="shared" si="121"/>
        <v>0</v>
      </c>
      <c r="AD147" s="131"/>
      <c r="AE147" s="132" t="s">
        <v>612</v>
      </c>
      <c r="AF147" s="132">
        <v>3048</v>
      </c>
      <c r="AG147" s="168"/>
      <c r="AH147" s="134">
        <f t="shared" si="122"/>
        <v>0</v>
      </c>
      <c r="AI147" s="134">
        <f t="shared" si="123"/>
        <v>0</v>
      </c>
      <c r="AJ147" s="134">
        <f t="shared" si="124"/>
        <v>0</v>
      </c>
      <c r="AK147" s="134">
        <f t="shared" si="125"/>
        <v>0</v>
      </c>
      <c r="AL147" s="134">
        <f t="shared" si="126"/>
        <v>0</v>
      </c>
      <c r="AM147" s="134">
        <f t="shared" si="127"/>
        <v>0</v>
      </c>
      <c r="AN147" s="134">
        <f t="shared" si="128"/>
        <v>0</v>
      </c>
      <c r="AO147" s="134">
        <f t="shared" si="129"/>
        <v>0</v>
      </c>
      <c r="AP147" s="134">
        <f t="shared" si="130"/>
        <v>0</v>
      </c>
      <c r="AQ147" s="134">
        <f t="shared" si="131"/>
        <v>0</v>
      </c>
      <c r="AR147" s="134">
        <f t="shared" si="132"/>
        <v>0</v>
      </c>
      <c r="AS147" s="135">
        <f t="shared" si="115"/>
        <v>0</v>
      </c>
      <c r="AT147" s="137" t="str">
        <f t="shared" si="133"/>
        <v>0</v>
      </c>
      <c r="AU147" s="137" t="str">
        <f t="shared" si="134"/>
        <v>0</v>
      </c>
      <c r="AV147" s="137" t="str">
        <f t="shared" si="135"/>
        <v>0</v>
      </c>
      <c r="AW147" s="137" t="str">
        <f t="shared" si="136"/>
        <v>0</v>
      </c>
      <c r="AX147" s="137" t="str">
        <f t="shared" si="137"/>
        <v>0</v>
      </c>
      <c r="AY147" s="137" t="str">
        <f t="shared" si="138"/>
        <v>0</v>
      </c>
      <c r="AZ147" s="137" t="str">
        <f t="shared" si="139"/>
        <v>0</v>
      </c>
      <c r="BA147" s="137" t="str">
        <f t="shared" si="140"/>
        <v>0</v>
      </c>
      <c r="BB147" s="137" t="str">
        <f t="shared" si="141"/>
        <v>0</v>
      </c>
      <c r="BC147" s="137" t="str">
        <f t="shared" si="142"/>
        <v>0</v>
      </c>
      <c r="BD147" s="131">
        <f t="shared" si="116"/>
        <v>0</v>
      </c>
    </row>
    <row r="148" spans="2:56" x14ac:dyDescent="0.25">
      <c r="B148" s="136">
        <v>8205241</v>
      </c>
      <c r="C148" s="128" t="s">
        <v>17</v>
      </c>
      <c r="D148" s="128"/>
      <c r="E148" s="147" t="s">
        <v>692</v>
      </c>
      <c r="F148" s="132"/>
      <c r="G148" s="130">
        <f>+SUMIFS(TablaIngresos[Cantidad],TablaIngresos[Código],'Inventario '!B148)</f>
        <v>0</v>
      </c>
      <c r="H148" s="130">
        <f t="shared" si="118"/>
        <v>0</v>
      </c>
      <c r="I148" s="131">
        <f>SUMIFS(TablaConsumos[[CANTIDAD ]:[CANTIDAD ]],TablaConsumos[[CÓDIGO]:[CÓDIGO]],'Inventario '!$B148,TablaConsumos[[Planta]:[Planta]],'Inventario '!I$1)</f>
        <v>0</v>
      </c>
      <c r="J148" s="131">
        <f>SUMIFS(TablaConsumos[[CANTIDAD ]:[CANTIDAD ]],TablaConsumos[[CÓDIGO]:[CÓDIGO]],'Inventario '!$B148,TablaConsumos[[Planta]:[Planta]],'Inventario '!J$1)</f>
        <v>0</v>
      </c>
      <c r="K148" s="131">
        <f>SUMIFS(TablaConsumos[[CANTIDAD ]:[CANTIDAD ]],TablaConsumos[[CÓDIGO]:[CÓDIGO]],'Inventario '!$B148,TablaConsumos[[Planta]:[Planta]],'Inventario '!K$1)</f>
        <v>0</v>
      </c>
      <c r="L148" s="131">
        <f>SUMIFS(TablaConsumos[[CANTIDAD ]:[CANTIDAD ]],TablaConsumos[[CÓDIGO]:[CÓDIGO]],'Inventario '!$B148,TablaConsumos[[Planta]:[Planta]],'Inventario '!L$1)</f>
        <v>0</v>
      </c>
      <c r="M148" s="131">
        <f>SUMIFS(TablaConsumos[[CANTIDAD ]:[CANTIDAD ]],TablaConsumos[[CÓDIGO]:[CÓDIGO]],'Inventario '!$B148,TablaConsumos[[Planta]:[Planta]],'Inventario '!M$1)</f>
        <v>0</v>
      </c>
      <c r="N148" s="131">
        <f>SUMIFS(TablaConsumos[[CANTIDAD ]:[CANTIDAD ]],TablaConsumos[[CÓDIGO]:[CÓDIGO]],'Inventario '!$B148,TablaConsumos[[Planta]:[Planta]],'Inventario '!N$1)</f>
        <v>0</v>
      </c>
      <c r="O148" s="131">
        <f>SUMIFS(TablaConsumos[[CANTIDAD ]:[CANTIDAD ]],TablaConsumos[[CÓDIGO]:[CÓDIGO]],'Inventario '!$B148,TablaConsumos[[Planta]:[Planta]],'Inventario '!O$1)</f>
        <v>0</v>
      </c>
      <c r="P148" s="131">
        <f>SUMIFS(TablaConsumos[[CANTIDAD ]:[CANTIDAD ]],TablaConsumos[[CÓDIGO]:[CÓDIGO]],'Inventario '!$B148,TablaConsumos[[Planta]:[Planta]],'Inventario '!P$1)</f>
        <v>0</v>
      </c>
      <c r="Q148" s="131">
        <f>SUMIFS(TablaConsumos[[CANTIDAD ]:[CANTIDAD ]],TablaConsumos[[CÓDIGO]:[CÓDIGO]],'Inventario '!$B148,TablaConsumos[[Planta]:[Planta]],'Inventario '!Q$1)</f>
        <v>0</v>
      </c>
      <c r="R148" s="131">
        <f>SUMIFS(TablaConsumos[[CANTIDAD ]:[CANTIDAD ]],TablaConsumos[[CÓDIGO]:[CÓDIGO]],'Inventario '!$B148,TablaConsumos[[Planta]:[Planta]],'Inventario '!R$1)</f>
        <v>0</v>
      </c>
      <c r="S148" s="130">
        <f t="shared" si="114"/>
        <v>0</v>
      </c>
      <c r="T148" s="130">
        <f t="shared" si="117"/>
        <v>0</v>
      </c>
      <c r="U148" s="177"/>
      <c r="V148" s="130"/>
      <c r="W148" s="179">
        <v>1</v>
      </c>
      <c r="X148" s="133">
        <f t="shared" si="143"/>
        <v>0</v>
      </c>
      <c r="Y148" s="130">
        <f t="shared" ref="Y148:Y186" si="144">+T148-X148</f>
        <v>0</v>
      </c>
      <c r="Z148" s="132"/>
      <c r="AA148" s="132">
        <f t="shared" ref="AA148:AA179" si="145">(Z148-X148)</f>
        <v>0</v>
      </c>
      <c r="AB148" s="132"/>
      <c r="AC148" s="131">
        <f t="shared" ref="AC148:AC166" si="146">+Z148-AA148</f>
        <v>0</v>
      </c>
      <c r="AD148" s="131"/>
      <c r="AE148" s="132" t="s">
        <v>612</v>
      </c>
      <c r="AF148" s="132">
        <v>3048</v>
      </c>
      <c r="AG148" s="168"/>
      <c r="AH148" s="134">
        <f t="shared" ref="AH148:AH166" si="147">+IF(S148=0,0,AF148/S148)</f>
        <v>0</v>
      </c>
      <c r="AI148" s="134">
        <f t="shared" ref="AI148:AI166" si="148">+IF(I148=0,0,I148/$S148)</f>
        <v>0</v>
      </c>
      <c r="AJ148" s="134">
        <f t="shared" ref="AJ148:AJ166" si="149">+IF(J148=0,0,J148/$S148)</f>
        <v>0</v>
      </c>
      <c r="AK148" s="134">
        <f t="shared" ref="AK148:AK166" si="150">+IF(K148=0,0,K148/$S148)</f>
        <v>0</v>
      </c>
      <c r="AL148" s="134">
        <f t="shared" ref="AL148:AL166" si="151">+IF(L148=0,0,L148/$S148)</f>
        <v>0</v>
      </c>
      <c r="AM148" s="134">
        <f t="shared" ref="AM148:AM166" si="152">+IF(M148=0,0,M148/$S148)</f>
        <v>0</v>
      </c>
      <c r="AN148" s="134">
        <f t="shared" ref="AN148:AN166" si="153">+IF(N148=0,0,N148/$S148)</f>
        <v>0</v>
      </c>
      <c r="AO148" s="134">
        <f t="shared" ref="AO148:AO166" si="154">+IF(O148=0,0,O148/$S148)</f>
        <v>0</v>
      </c>
      <c r="AP148" s="134">
        <f t="shared" ref="AP148:AP166" si="155">+IF(P148=0,0,P148/$S148)</f>
        <v>0</v>
      </c>
      <c r="AQ148" s="134">
        <f t="shared" ref="AQ148:AQ166" si="156">+IF(Q148=0,0,Q148/$S148)</f>
        <v>0</v>
      </c>
      <c r="AR148" s="134">
        <f t="shared" ref="AR148:AR166" si="157">+IF(R148=0,0,R148/$S148)</f>
        <v>0</v>
      </c>
      <c r="AS148" s="135">
        <f t="shared" si="115"/>
        <v>0</v>
      </c>
      <c r="AT148" s="137" t="str">
        <f t="shared" ref="AT148:AT166" si="158">+IF(I148=-I148,"0",I148+$Y148*AI148)</f>
        <v>0</v>
      </c>
      <c r="AU148" s="137" t="str">
        <f t="shared" ref="AU148:AU166" si="159">+IF(J148=-J148,"0",J148+$Y148*AJ148)</f>
        <v>0</v>
      </c>
      <c r="AV148" s="137" t="str">
        <f t="shared" ref="AV148:AV166" si="160">+IF(K148=-K148,"0",K148+$Y148*AK148)</f>
        <v>0</v>
      </c>
      <c r="AW148" s="137" t="str">
        <f t="shared" ref="AW148:AW166" si="161">+IF(L148=-L148,"0",L148+$Y148*AL148)</f>
        <v>0</v>
      </c>
      <c r="AX148" s="137" t="str">
        <f t="shared" ref="AX148:AX166" si="162">+IF(M148=-M148,"0",M148+$Y148*AM148)</f>
        <v>0</v>
      </c>
      <c r="AY148" s="137" t="str">
        <f t="shared" ref="AY148:AY166" si="163">+IF(N148=-N148,"0",N148+$Y148*AN148)</f>
        <v>0</v>
      </c>
      <c r="AZ148" s="137" t="str">
        <f t="shared" ref="AZ148:AZ166" si="164">+IF(O148=-O148,"0",O148+$Y148*AO148)</f>
        <v>0</v>
      </c>
      <c r="BA148" s="137" t="str">
        <f t="shared" ref="BA148:BA166" si="165">+IF(P148=-P148,"0",P148+$Y148*AP148)</f>
        <v>0</v>
      </c>
      <c r="BB148" s="137" t="str">
        <f t="shared" ref="BB148:BB166" si="166">+IF(Q148=-Q148,"0",Q148+$Y148*AQ148)</f>
        <v>0</v>
      </c>
      <c r="BC148" s="137" t="str">
        <f t="shared" ref="BC148:BC166" si="167">+IF(R148=-R148,"0",R148+$Y148*AR148)</f>
        <v>0</v>
      </c>
      <c r="BD148" s="131">
        <f t="shared" si="116"/>
        <v>0</v>
      </c>
    </row>
    <row r="149" spans="2:56" x14ac:dyDescent="0.25">
      <c r="B149" s="136">
        <v>8203580</v>
      </c>
      <c r="C149" s="128" t="s">
        <v>30</v>
      </c>
      <c r="D149" s="128"/>
      <c r="E149" s="147" t="s">
        <v>235</v>
      </c>
      <c r="F149" s="274"/>
      <c r="G149" s="130">
        <f>+SUMIFS(TablaIngresos[Cantidad],TablaIngresos[Código],'Inventario '!B149)</f>
        <v>0</v>
      </c>
      <c r="H149" s="130">
        <f t="shared" si="118"/>
        <v>0</v>
      </c>
      <c r="I149" s="131">
        <f>SUMIFS(TablaConsumos[[CANTIDAD ]:[CANTIDAD ]],TablaConsumos[[CÓDIGO]:[CÓDIGO]],'Inventario '!$B149,TablaConsumos[[Planta]:[Planta]],'Inventario '!I$1)</f>
        <v>0</v>
      </c>
      <c r="J149" s="131">
        <f>SUMIFS(TablaConsumos[[CANTIDAD ]:[CANTIDAD ]],TablaConsumos[[CÓDIGO]:[CÓDIGO]],'Inventario '!$B149,TablaConsumos[[Planta]:[Planta]],'Inventario '!J$1)</f>
        <v>0</v>
      </c>
      <c r="K149" s="131">
        <f>SUMIFS(TablaConsumos[[CANTIDAD ]:[CANTIDAD ]],TablaConsumos[[CÓDIGO]:[CÓDIGO]],'Inventario '!$B149,TablaConsumos[[Planta]:[Planta]],'Inventario '!K$1)</f>
        <v>0</v>
      </c>
      <c r="L149" s="131">
        <f>SUMIFS(TablaConsumos[[CANTIDAD ]:[CANTIDAD ]],TablaConsumos[[CÓDIGO]:[CÓDIGO]],'Inventario '!$B149,TablaConsumos[[Planta]:[Planta]],'Inventario '!L$1)</f>
        <v>0</v>
      </c>
      <c r="M149" s="131">
        <f>SUMIFS(TablaConsumos[[CANTIDAD ]:[CANTIDAD ]],TablaConsumos[[CÓDIGO]:[CÓDIGO]],'Inventario '!$B149,TablaConsumos[[Planta]:[Planta]],'Inventario '!M$1)</f>
        <v>0</v>
      </c>
      <c r="N149" s="131">
        <f>SUMIFS(TablaConsumos[[CANTIDAD ]:[CANTIDAD ]],TablaConsumos[[CÓDIGO]:[CÓDIGO]],'Inventario '!$B149,TablaConsumos[[Planta]:[Planta]],'Inventario '!N$1)</f>
        <v>0</v>
      </c>
      <c r="O149" s="131">
        <f>SUMIFS(TablaConsumos[[CANTIDAD ]:[CANTIDAD ]],TablaConsumos[[CÓDIGO]:[CÓDIGO]],'Inventario '!$B149,TablaConsumos[[Planta]:[Planta]],'Inventario '!O$1)</f>
        <v>0</v>
      </c>
      <c r="P149" s="131">
        <f>SUMIFS(TablaConsumos[[CANTIDAD ]:[CANTIDAD ]],TablaConsumos[[CÓDIGO]:[CÓDIGO]],'Inventario '!$B149,TablaConsumos[[Planta]:[Planta]],'Inventario '!P$1)</f>
        <v>0</v>
      </c>
      <c r="Q149" s="131">
        <f>SUMIFS(TablaConsumos[[CANTIDAD ]:[CANTIDAD ]],TablaConsumos[[CÓDIGO]:[CÓDIGO]],'Inventario '!$B149,TablaConsumos[[Planta]:[Planta]],'Inventario '!Q$1)</f>
        <v>0</v>
      </c>
      <c r="R149" s="131">
        <f>SUMIFS(TablaConsumos[[CANTIDAD ]:[CANTIDAD ]],TablaConsumos[[CÓDIGO]:[CÓDIGO]],'Inventario '!$B149,TablaConsumos[[Planta]:[Planta]],'Inventario '!R$1)</f>
        <v>0</v>
      </c>
      <c r="S149" s="130">
        <f t="shared" si="114"/>
        <v>0</v>
      </c>
      <c r="T149" s="130">
        <f t="shared" si="117"/>
        <v>0</v>
      </c>
      <c r="U149" s="177"/>
      <c r="V149" s="132"/>
      <c r="W149" s="179">
        <v>30.48</v>
      </c>
      <c r="X149" s="133">
        <f t="shared" si="143"/>
        <v>0</v>
      </c>
      <c r="Y149" s="130">
        <f t="shared" si="144"/>
        <v>0</v>
      </c>
      <c r="Z149" s="132"/>
      <c r="AA149" s="132">
        <f t="shared" si="145"/>
        <v>0</v>
      </c>
      <c r="AB149" s="132"/>
      <c r="AC149" s="131">
        <f t="shared" si="146"/>
        <v>0</v>
      </c>
      <c r="AD149" s="131"/>
      <c r="AE149" s="132" t="s">
        <v>612</v>
      </c>
      <c r="AF149" s="132">
        <v>3048</v>
      </c>
      <c r="AG149" s="168"/>
      <c r="AH149" s="134">
        <f t="shared" si="147"/>
        <v>0</v>
      </c>
      <c r="AI149" s="134">
        <f t="shared" si="148"/>
        <v>0</v>
      </c>
      <c r="AJ149" s="134">
        <f t="shared" si="149"/>
        <v>0</v>
      </c>
      <c r="AK149" s="134">
        <f t="shared" si="150"/>
        <v>0</v>
      </c>
      <c r="AL149" s="134">
        <f t="shared" si="151"/>
        <v>0</v>
      </c>
      <c r="AM149" s="134">
        <f t="shared" si="152"/>
        <v>0</v>
      </c>
      <c r="AN149" s="134">
        <f t="shared" si="153"/>
        <v>0</v>
      </c>
      <c r="AO149" s="134">
        <f t="shared" si="154"/>
        <v>0</v>
      </c>
      <c r="AP149" s="134">
        <f t="shared" si="155"/>
        <v>0</v>
      </c>
      <c r="AQ149" s="134">
        <f t="shared" si="156"/>
        <v>0</v>
      </c>
      <c r="AR149" s="134">
        <f t="shared" si="157"/>
        <v>0</v>
      </c>
      <c r="AS149" s="135">
        <f t="shared" si="115"/>
        <v>0</v>
      </c>
      <c r="AT149" s="137" t="str">
        <f t="shared" si="158"/>
        <v>0</v>
      </c>
      <c r="AU149" s="137" t="str">
        <f t="shared" si="159"/>
        <v>0</v>
      </c>
      <c r="AV149" s="137" t="str">
        <f t="shared" si="160"/>
        <v>0</v>
      </c>
      <c r="AW149" s="137" t="str">
        <f t="shared" si="161"/>
        <v>0</v>
      </c>
      <c r="AX149" s="137" t="str">
        <f t="shared" si="162"/>
        <v>0</v>
      </c>
      <c r="AY149" s="137" t="str">
        <f t="shared" si="163"/>
        <v>0</v>
      </c>
      <c r="AZ149" s="137" t="str">
        <f t="shared" si="164"/>
        <v>0</v>
      </c>
      <c r="BA149" s="137" t="str">
        <f t="shared" si="165"/>
        <v>0</v>
      </c>
      <c r="BB149" s="137" t="str">
        <f t="shared" si="166"/>
        <v>0</v>
      </c>
      <c r="BC149" s="137" t="str">
        <f t="shared" si="167"/>
        <v>0</v>
      </c>
      <c r="BD149" s="131">
        <f t="shared" si="116"/>
        <v>0</v>
      </c>
    </row>
    <row r="150" spans="2:56" x14ac:dyDescent="0.25">
      <c r="B150" s="136">
        <v>8203582</v>
      </c>
      <c r="C150" s="128" t="s">
        <v>30</v>
      </c>
      <c r="D150" s="128"/>
      <c r="E150" s="147" t="s">
        <v>236</v>
      </c>
      <c r="F150" s="274"/>
      <c r="G150" s="130">
        <f>+SUMIFS(TablaIngresos[Cantidad],TablaIngresos[Código],'Inventario '!B150)</f>
        <v>0</v>
      </c>
      <c r="H150" s="130">
        <f t="shared" si="118"/>
        <v>0</v>
      </c>
      <c r="I150" s="131">
        <f>SUMIFS(TablaConsumos[[CANTIDAD ]:[CANTIDAD ]],TablaConsumos[[CÓDIGO]:[CÓDIGO]],'Inventario '!$B150,TablaConsumos[[Planta]:[Planta]],'Inventario '!I$1)</f>
        <v>0</v>
      </c>
      <c r="J150" s="131">
        <f>SUMIFS(TablaConsumos[[CANTIDAD ]:[CANTIDAD ]],TablaConsumos[[CÓDIGO]:[CÓDIGO]],'Inventario '!$B150,TablaConsumos[[Planta]:[Planta]],'Inventario '!J$1)</f>
        <v>0</v>
      </c>
      <c r="K150" s="131">
        <f>SUMIFS(TablaConsumos[[CANTIDAD ]:[CANTIDAD ]],TablaConsumos[[CÓDIGO]:[CÓDIGO]],'Inventario '!$B150,TablaConsumos[[Planta]:[Planta]],'Inventario '!K$1)</f>
        <v>0</v>
      </c>
      <c r="L150" s="131">
        <f>SUMIFS(TablaConsumos[[CANTIDAD ]:[CANTIDAD ]],TablaConsumos[[CÓDIGO]:[CÓDIGO]],'Inventario '!$B150,TablaConsumos[[Planta]:[Planta]],'Inventario '!L$1)</f>
        <v>0</v>
      </c>
      <c r="M150" s="131">
        <f>SUMIFS(TablaConsumos[[CANTIDAD ]:[CANTIDAD ]],TablaConsumos[[CÓDIGO]:[CÓDIGO]],'Inventario '!$B150,TablaConsumos[[Planta]:[Planta]],'Inventario '!M$1)</f>
        <v>0</v>
      </c>
      <c r="N150" s="131">
        <f>SUMIFS(TablaConsumos[[CANTIDAD ]:[CANTIDAD ]],TablaConsumos[[CÓDIGO]:[CÓDIGO]],'Inventario '!$B150,TablaConsumos[[Planta]:[Planta]],'Inventario '!N$1)</f>
        <v>0</v>
      </c>
      <c r="O150" s="131">
        <f>SUMIFS(TablaConsumos[[CANTIDAD ]:[CANTIDAD ]],TablaConsumos[[CÓDIGO]:[CÓDIGO]],'Inventario '!$B150,TablaConsumos[[Planta]:[Planta]],'Inventario '!O$1)</f>
        <v>0</v>
      </c>
      <c r="P150" s="131">
        <f>SUMIFS(TablaConsumos[[CANTIDAD ]:[CANTIDAD ]],TablaConsumos[[CÓDIGO]:[CÓDIGO]],'Inventario '!$B150,TablaConsumos[[Planta]:[Planta]],'Inventario '!P$1)</f>
        <v>0</v>
      </c>
      <c r="Q150" s="131">
        <f>SUMIFS(TablaConsumos[[CANTIDAD ]:[CANTIDAD ]],TablaConsumos[[CÓDIGO]:[CÓDIGO]],'Inventario '!$B150,TablaConsumos[[Planta]:[Planta]],'Inventario '!Q$1)</f>
        <v>0</v>
      </c>
      <c r="R150" s="131">
        <f>SUMIFS(TablaConsumos[[CANTIDAD ]:[CANTIDAD ]],TablaConsumos[[CÓDIGO]:[CÓDIGO]],'Inventario '!$B150,TablaConsumos[[Planta]:[Planta]],'Inventario '!R$1)</f>
        <v>0</v>
      </c>
      <c r="S150" s="130">
        <f t="shared" si="114"/>
        <v>0</v>
      </c>
      <c r="T150" s="130">
        <f t="shared" si="117"/>
        <v>0</v>
      </c>
      <c r="U150" s="177"/>
      <c r="V150" s="132"/>
      <c r="W150" s="179">
        <v>30.48</v>
      </c>
      <c r="X150" s="133">
        <f t="shared" si="143"/>
        <v>0</v>
      </c>
      <c r="Y150" s="130">
        <f t="shared" si="144"/>
        <v>0</v>
      </c>
      <c r="Z150" s="132"/>
      <c r="AA150" s="132">
        <f t="shared" si="145"/>
        <v>0</v>
      </c>
      <c r="AB150" s="132"/>
      <c r="AC150" s="131">
        <f t="shared" si="146"/>
        <v>0</v>
      </c>
      <c r="AD150" s="131"/>
      <c r="AE150" s="132" t="s">
        <v>612</v>
      </c>
      <c r="AF150" s="132">
        <v>3048</v>
      </c>
      <c r="AG150" s="168"/>
      <c r="AH150" s="134">
        <f t="shared" si="147"/>
        <v>0</v>
      </c>
      <c r="AI150" s="134">
        <f t="shared" si="148"/>
        <v>0</v>
      </c>
      <c r="AJ150" s="134">
        <f t="shared" si="149"/>
        <v>0</v>
      </c>
      <c r="AK150" s="134">
        <f t="shared" si="150"/>
        <v>0</v>
      </c>
      <c r="AL150" s="134">
        <f t="shared" si="151"/>
        <v>0</v>
      </c>
      <c r="AM150" s="134">
        <f t="shared" si="152"/>
        <v>0</v>
      </c>
      <c r="AN150" s="134">
        <f t="shared" si="153"/>
        <v>0</v>
      </c>
      <c r="AO150" s="134">
        <f t="shared" si="154"/>
        <v>0</v>
      </c>
      <c r="AP150" s="134">
        <f t="shared" si="155"/>
        <v>0</v>
      </c>
      <c r="AQ150" s="134">
        <f t="shared" si="156"/>
        <v>0</v>
      </c>
      <c r="AR150" s="134">
        <f t="shared" si="157"/>
        <v>0</v>
      </c>
      <c r="AS150" s="135">
        <f t="shared" si="115"/>
        <v>0</v>
      </c>
      <c r="AT150" s="137" t="str">
        <f t="shared" si="158"/>
        <v>0</v>
      </c>
      <c r="AU150" s="137" t="str">
        <f t="shared" si="159"/>
        <v>0</v>
      </c>
      <c r="AV150" s="137" t="str">
        <f t="shared" si="160"/>
        <v>0</v>
      </c>
      <c r="AW150" s="137" t="str">
        <f t="shared" si="161"/>
        <v>0</v>
      </c>
      <c r="AX150" s="137" t="str">
        <f t="shared" si="162"/>
        <v>0</v>
      </c>
      <c r="AY150" s="137" t="str">
        <f t="shared" si="163"/>
        <v>0</v>
      </c>
      <c r="AZ150" s="137" t="str">
        <f t="shared" si="164"/>
        <v>0</v>
      </c>
      <c r="BA150" s="137" t="str">
        <f t="shared" si="165"/>
        <v>0</v>
      </c>
      <c r="BB150" s="137" t="str">
        <f t="shared" si="166"/>
        <v>0</v>
      </c>
      <c r="BC150" s="137" t="str">
        <f t="shared" si="167"/>
        <v>0</v>
      </c>
      <c r="BD150" s="131">
        <f t="shared" si="116"/>
        <v>0</v>
      </c>
    </row>
    <row r="151" spans="2:56" x14ac:dyDescent="0.25">
      <c r="B151" s="136">
        <v>8205261</v>
      </c>
      <c r="C151" s="128" t="s">
        <v>30</v>
      </c>
      <c r="D151" s="128"/>
      <c r="E151" s="136" t="s">
        <v>237</v>
      </c>
      <c r="F151" s="274"/>
      <c r="G151" s="130">
        <f>+SUMIFS(TablaIngresos[Cantidad],TablaIngresos[Código],'Inventario '!B151)</f>
        <v>0</v>
      </c>
      <c r="H151" s="130">
        <f t="shared" si="118"/>
        <v>0</v>
      </c>
      <c r="I151" s="131">
        <f>SUMIFS(TablaConsumos[[CANTIDAD ]:[CANTIDAD ]],TablaConsumos[[CÓDIGO]:[CÓDIGO]],'Inventario '!$B151,TablaConsumos[[Planta]:[Planta]],'Inventario '!I$1)</f>
        <v>0</v>
      </c>
      <c r="J151" s="131">
        <f>SUMIFS(TablaConsumos[[CANTIDAD ]:[CANTIDAD ]],TablaConsumos[[CÓDIGO]:[CÓDIGO]],'Inventario '!$B151,TablaConsumos[[Planta]:[Planta]],'Inventario '!J$1)</f>
        <v>0</v>
      </c>
      <c r="K151" s="131">
        <f>SUMIFS(TablaConsumos[[CANTIDAD ]:[CANTIDAD ]],TablaConsumos[[CÓDIGO]:[CÓDIGO]],'Inventario '!$B151,TablaConsumos[[Planta]:[Planta]],'Inventario '!K$1)</f>
        <v>0</v>
      </c>
      <c r="L151" s="131">
        <f>SUMIFS(TablaConsumos[[CANTIDAD ]:[CANTIDAD ]],TablaConsumos[[CÓDIGO]:[CÓDIGO]],'Inventario '!$B151,TablaConsumos[[Planta]:[Planta]],'Inventario '!L$1)</f>
        <v>0</v>
      </c>
      <c r="M151" s="131">
        <f>SUMIFS(TablaConsumos[[CANTIDAD ]:[CANTIDAD ]],TablaConsumos[[CÓDIGO]:[CÓDIGO]],'Inventario '!$B151,TablaConsumos[[Planta]:[Planta]],'Inventario '!M$1)</f>
        <v>0</v>
      </c>
      <c r="N151" s="131">
        <f>SUMIFS(TablaConsumos[[CANTIDAD ]:[CANTIDAD ]],TablaConsumos[[CÓDIGO]:[CÓDIGO]],'Inventario '!$B151,TablaConsumos[[Planta]:[Planta]],'Inventario '!N$1)</f>
        <v>0</v>
      </c>
      <c r="O151" s="131">
        <f>SUMIFS(TablaConsumos[[CANTIDAD ]:[CANTIDAD ]],TablaConsumos[[CÓDIGO]:[CÓDIGO]],'Inventario '!$B151,TablaConsumos[[Planta]:[Planta]],'Inventario '!O$1)</f>
        <v>0</v>
      </c>
      <c r="P151" s="131">
        <f>SUMIFS(TablaConsumos[[CANTIDAD ]:[CANTIDAD ]],TablaConsumos[[CÓDIGO]:[CÓDIGO]],'Inventario '!$B151,TablaConsumos[[Planta]:[Planta]],'Inventario '!P$1)</f>
        <v>0</v>
      </c>
      <c r="Q151" s="131">
        <f>SUMIFS(TablaConsumos[[CANTIDAD ]:[CANTIDAD ]],TablaConsumos[[CÓDIGO]:[CÓDIGO]],'Inventario '!$B151,TablaConsumos[[Planta]:[Planta]],'Inventario '!Q$1)</f>
        <v>0</v>
      </c>
      <c r="R151" s="131">
        <f>SUMIFS(TablaConsumos[[CANTIDAD ]:[CANTIDAD ]],TablaConsumos[[CÓDIGO]:[CÓDIGO]],'Inventario '!$B151,TablaConsumos[[Planta]:[Planta]],'Inventario '!R$1)</f>
        <v>0</v>
      </c>
      <c r="S151" s="130">
        <f t="shared" si="114"/>
        <v>0</v>
      </c>
      <c r="T151" s="130">
        <f t="shared" si="117"/>
        <v>0</v>
      </c>
      <c r="U151" s="177"/>
      <c r="V151" s="132"/>
      <c r="W151" s="179">
        <v>30.48</v>
      </c>
      <c r="X151" s="133">
        <f t="shared" si="143"/>
        <v>0</v>
      </c>
      <c r="Y151" s="130">
        <f t="shared" si="144"/>
        <v>0</v>
      </c>
      <c r="Z151" s="132"/>
      <c r="AA151" s="132">
        <f t="shared" si="145"/>
        <v>0</v>
      </c>
      <c r="AB151" s="132"/>
      <c r="AC151" s="131">
        <f t="shared" si="146"/>
        <v>0</v>
      </c>
      <c r="AD151" s="131"/>
      <c r="AE151" s="132" t="s">
        <v>612</v>
      </c>
      <c r="AF151" s="132">
        <v>3048</v>
      </c>
      <c r="AG151" s="168"/>
      <c r="AH151" s="134">
        <f t="shared" si="147"/>
        <v>0</v>
      </c>
      <c r="AI151" s="134">
        <f t="shared" si="148"/>
        <v>0</v>
      </c>
      <c r="AJ151" s="134">
        <f t="shared" si="149"/>
        <v>0</v>
      </c>
      <c r="AK151" s="134">
        <f t="shared" si="150"/>
        <v>0</v>
      </c>
      <c r="AL151" s="134">
        <f t="shared" si="151"/>
        <v>0</v>
      </c>
      <c r="AM151" s="134">
        <f t="shared" si="152"/>
        <v>0</v>
      </c>
      <c r="AN151" s="134">
        <f t="shared" si="153"/>
        <v>0</v>
      </c>
      <c r="AO151" s="134">
        <f t="shared" si="154"/>
        <v>0</v>
      </c>
      <c r="AP151" s="134">
        <f t="shared" si="155"/>
        <v>0</v>
      </c>
      <c r="AQ151" s="134">
        <f t="shared" si="156"/>
        <v>0</v>
      </c>
      <c r="AR151" s="134">
        <f t="shared" si="157"/>
        <v>0</v>
      </c>
      <c r="AS151" s="135">
        <f t="shared" si="115"/>
        <v>0</v>
      </c>
      <c r="AT151" s="137" t="str">
        <f t="shared" si="158"/>
        <v>0</v>
      </c>
      <c r="AU151" s="137" t="str">
        <f t="shared" si="159"/>
        <v>0</v>
      </c>
      <c r="AV151" s="137" t="str">
        <f t="shared" si="160"/>
        <v>0</v>
      </c>
      <c r="AW151" s="137" t="str">
        <f t="shared" si="161"/>
        <v>0</v>
      </c>
      <c r="AX151" s="137" t="str">
        <f t="shared" si="162"/>
        <v>0</v>
      </c>
      <c r="AY151" s="137" t="str">
        <f t="shared" si="163"/>
        <v>0</v>
      </c>
      <c r="AZ151" s="137" t="str">
        <f t="shared" si="164"/>
        <v>0</v>
      </c>
      <c r="BA151" s="137" t="str">
        <f t="shared" si="165"/>
        <v>0</v>
      </c>
      <c r="BB151" s="137" t="str">
        <f t="shared" si="166"/>
        <v>0</v>
      </c>
      <c r="BC151" s="137" t="str">
        <f t="shared" si="167"/>
        <v>0</v>
      </c>
      <c r="BD151" s="131">
        <f t="shared" si="116"/>
        <v>0</v>
      </c>
    </row>
    <row r="152" spans="2:56" x14ac:dyDescent="0.25">
      <c r="B152" s="136">
        <v>8205262</v>
      </c>
      <c r="C152" s="128" t="s">
        <v>30</v>
      </c>
      <c r="D152" s="128"/>
      <c r="E152" s="136" t="s">
        <v>238</v>
      </c>
      <c r="F152" s="274"/>
      <c r="G152" s="130">
        <f>+SUMIFS(TablaIngresos[Cantidad],TablaIngresos[Código],'Inventario '!B152)</f>
        <v>0</v>
      </c>
      <c r="H152" s="130">
        <f t="shared" si="118"/>
        <v>0</v>
      </c>
      <c r="I152" s="131">
        <f>SUMIFS(TablaConsumos[[CANTIDAD ]:[CANTIDAD ]],TablaConsumos[[CÓDIGO]:[CÓDIGO]],'Inventario '!$B152,TablaConsumos[[Planta]:[Planta]],'Inventario '!I$1)</f>
        <v>0</v>
      </c>
      <c r="J152" s="131">
        <f>SUMIFS(TablaConsumos[[CANTIDAD ]:[CANTIDAD ]],TablaConsumos[[CÓDIGO]:[CÓDIGO]],'Inventario '!$B152,TablaConsumos[[Planta]:[Planta]],'Inventario '!J$1)</f>
        <v>0</v>
      </c>
      <c r="K152" s="131">
        <f>SUMIFS(TablaConsumos[[CANTIDAD ]:[CANTIDAD ]],TablaConsumos[[CÓDIGO]:[CÓDIGO]],'Inventario '!$B152,TablaConsumos[[Planta]:[Planta]],'Inventario '!K$1)</f>
        <v>0</v>
      </c>
      <c r="L152" s="131">
        <f>SUMIFS(TablaConsumos[[CANTIDAD ]:[CANTIDAD ]],TablaConsumos[[CÓDIGO]:[CÓDIGO]],'Inventario '!$B152,TablaConsumos[[Planta]:[Planta]],'Inventario '!L$1)</f>
        <v>0</v>
      </c>
      <c r="M152" s="131">
        <f>SUMIFS(TablaConsumos[[CANTIDAD ]:[CANTIDAD ]],TablaConsumos[[CÓDIGO]:[CÓDIGO]],'Inventario '!$B152,TablaConsumos[[Planta]:[Planta]],'Inventario '!M$1)</f>
        <v>0</v>
      </c>
      <c r="N152" s="131">
        <f>SUMIFS(TablaConsumos[[CANTIDAD ]:[CANTIDAD ]],TablaConsumos[[CÓDIGO]:[CÓDIGO]],'Inventario '!$B152,TablaConsumos[[Planta]:[Planta]],'Inventario '!N$1)</f>
        <v>0</v>
      </c>
      <c r="O152" s="131">
        <f>SUMIFS(TablaConsumos[[CANTIDAD ]:[CANTIDAD ]],TablaConsumos[[CÓDIGO]:[CÓDIGO]],'Inventario '!$B152,TablaConsumos[[Planta]:[Planta]],'Inventario '!O$1)</f>
        <v>0</v>
      </c>
      <c r="P152" s="131">
        <f>SUMIFS(TablaConsumos[[CANTIDAD ]:[CANTIDAD ]],TablaConsumos[[CÓDIGO]:[CÓDIGO]],'Inventario '!$B152,TablaConsumos[[Planta]:[Planta]],'Inventario '!P$1)</f>
        <v>0</v>
      </c>
      <c r="Q152" s="131">
        <f>SUMIFS(TablaConsumos[[CANTIDAD ]:[CANTIDAD ]],TablaConsumos[[CÓDIGO]:[CÓDIGO]],'Inventario '!$B152,TablaConsumos[[Planta]:[Planta]],'Inventario '!Q$1)</f>
        <v>0</v>
      </c>
      <c r="R152" s="131">
        <f>SUMIFS(TablaConsumos[[CANTIDAD ]:[CANTIDAD ]],TablaConsumos[[CÓDIGO]:[CÓDIGO]],'Inventario '!$B152,TablaConsumos[[Planta]:[Planta]],'Inventario '!R$1)</f>
        <v>0</v>
      </c>
      <c r="S152" s="130">
        <f t="shared" si="114"/>
        <v>0</v>
      </c>
      <c r="T152" s="130">
        <f t="shared" si="117"/>
        <v>0</v>
      </c>
      <c r="U152" s="177"/>
      <c r="V152" s="132"/>
      <c r="W152" s="179">
        <v>30.48</v>
      </c>
      <c r="X152" s="133">
        <f t="shared" si="143"/>
        <v>0</v>
      </c>
      <c r="Y152" s="130">
        <f t="shared" si="144"/>
        <v>0</v>
      </c>
      <c r="Z152" s="132"/>
      <c r="AA152" s="132">
        <f t="shared" si="145"/>
        <v>0</v>
      </c>
      <c r="AB152" s="132"/>
      <c r="AC152" s="131">
        <f t="shared" si="146"/>
        <v>0</v>
      </c>
      <c r="AD152" s="131"/>
      <c r="AE152" s="132" t="s">
        <v>612</v>
      </c>
      <c r="AF152" s="132">
        <v>3048</v>
      </c>
      <c r="AG152" s="168"/>
      <c r="AH152" s="134">
        <f t="shared" si="147"/>
        <v>0</v>
      </c>
      <c r="AI152" s="134">
        <f t="shared" si="148"/>
        <v>0</v>
      </c>
      <c r="AJ152" s="134">
        <f t="shared" si="149"/>
        <v>0</v>
      </c>
      <c r="AK152" s="134">
        <f t="shared" si="150"/>
        <v>0</v>
      </c>
      <c r="AL152" s="134">
        <f t="shared" si="151"/>
        <v>0</v>
      </c>
      <c r="AM152" s="134">
        <f t="shared" si="152"/>
        <v>0</v>
      </c>
      <c r="AN152" s="134">
        <f t="shared" si="153"/>
        <v>0</v>
      </c>
      <c r="AO152" s="134">
        <f t="shared" si="154"/>
        <v>0</v>
      </c>
      <c r="AP152" s="134">
        <f t="shared" si="155"/>
        <v>0</v>
      </c>
      <c r="AQ152" s="134">
        <f t="shared" si="156"/>
        <v>0</v>
      </c>
      <c r="AR152" s="134">
        <f t="shared" si="157"/>
        <v>0</v>
      </c>
      <c r="AS152" s="135">
        <f t="shared" si="115"/>
        <v>0</v>
      </c>
      <c r="AT152" s="137" t="str">
        <f t="shared" si="158"/>
        <v>0</v>
      </c>
      <c r="AU152" s="137" t="str">
        <f t="shared" si="159"/>
        <v>0</v>
      </c>
      <c r="AV152" s="137" t="str">
        <f t="shared" si="160"/>
        <v>0</v>
      </c>
      <c r="AW152" s="137" t="str">
        <f t="shared" si="161"/>
        <v>0</v>
      </c>
      <c r="AX152" s="137" t="str">
        <f t="shared" si="162"/>
        <v>0</v>
      </c>
      <c r="AY152" s="137" t="str">
        <f t="shared" si="163"/>
        <v>0</v>
      </c>
      <c r="AZ152" s="137" t="str">
        <f t="shared" si="164"/>
        <v>0</v>
      </c>
      <c r="BA152" s="137" t="str">
        <f t="shared" si="165"/>
        <v>0</v>
      </c>
      <c r="BB152" s="137" t="str">
        <f t="shared" si="166"/>
        <v>0</v>
      </c>
      <c r="BC152" s="137" t="str">
        <f t="shared" si="167"/>
        <v>0</v>
      </c>
      <c r="BD152" s="131">
        <f t="shared" si="116"/>
        <v>0</v>
      </c>
    </row>
    <row r="153" spans="2:56" x14ac:dyDescent="0.25">
      <c r="B153" s="136">
        <v>8205263</v>
      </c>
      <c r="C153" s="128" t="s">
        <v>30</v>
      </c>
      <c r="D153" s="128"/>
      <c r="E153" s="136" t="s">
        <v>239</v>
      </c>
      <c r="F153" s="274"/>
      <c r="G153" s="130">
        <f>+SUMIFS(TablaIngresos[Cantidad],TablaIngresos[Código],'Inventario '!B153)</f>
        <v>0</v>
      </c>
      <c r="H153" s="130">
        <f t="shared" si="118"/>
        <v>0</v>
      </c>
      <c r="I153" s="131">
        <f>SUMIFS(TablaConsumos[[CANTIDAD ]:[CANTIDAD ]],TablaConsumos[[CÓDIGO]:[CÓDIGO]],'Inventario '!$B153,TablaConsumos[[Planta]:[Planta]],'Inventario '!I$1)</f>
        <v>0</v>
      </c>
      <c r="J153" s="131">
        <f>SUMIFS(TablaConsumos[[CANTIDAD ]:[CANTIDAD ]],TablaConsumos[[CÓDIGO]:[CÓDIGO]],'Inventario '!$B153,TablaConsumos[[Planta]:[Planta]],'Inventario '!J$1)</f>
        <v>0</v>
      </c>
      <c r="K153" s="131">
        <f>SUMIFS(TablaConsumos[[CANTIDAD ]:[CANTIDAD ]],TablaConsumos[[CÓDIGO]:[CÓDIGO]],'Inventario '!$B153,TablaConsumos[[Planta]:[Planta]],'Inventario '!K$1)</f>
        <v>0</v>
      </c>
      <c r="L153" s="131">
        <f>SUMIFS(TablaConsumos[[CANTIDAD ]:[CANTIDAD ]],TablaConsumos[[CÓDIGO]:[CÓDIGO]],'Inventario '!$B153,TablaConsumos[[Planta]:[Planta]],'Inventario '!L$1)</f>
        <v>0</v>
      </c>
      <c r="M153" s="131">
        <f>SUMIFS(TablaConsumos[[CANTIDAD ]:[CANTIDAD ]],TablaConsumos[[CÓDIGO]:[CÓDIGO]],'Inventario '!$B153,TablaConsumos[[Planta]:[Planta]],'Inventario '!M$1)</f>
        <v>0</v>
      </c>
      <c r="N153" s="131">
        <f>SUMIFS(TablaConsumos[[CANTIDAD ]:[CANTIDAD ]],TablaConsumos[[CÓDIGO]:[CÓDIGO]],'Inventario '!$B153,TablaConsumos[[Planta]:[Planta]],'Inventario '!N$1)</f>
        <v>0</v>
      </c>
      <c r="O153" s="131">
        <f>SUMIFS(TablaConsumos[[CANTIDAD ]:[CANTIDAD ]],TablaConsumos[[CÓDIGO]:[CÓDIGO]],'Inventario '!$B153,TablaConsumos[[Planta]:[Planta]],'Inventario '!O$1)</f>
        <v>0</v>
      </c>
      <c r="P153" s="131">
        <f>SUMIFS(TablaConsumos[[CANTIDAD ]:[CANTIDAD ]],TablaConsumos[[CÓDIGO]:[CÓDIGO]],'Inventario '!$B153,TablaConsumos[[Planta]:[Planta]],'Inventario '!P$1)</f>
        <v>0</v>
      </c>
      <c r="Q153" s="131">
        <f>SUMIFS(TablaConsumos[[CANTIDAD ]:[CANTIDAD ]],TablaConsumos[[CÓDIGO]:[CÓDIGO]],'Inventario '!$B153,TablaConsumos[[Planta]:[Planta]],'Inventario '!Q$1)</f>
        <v>0</v>
      </c>
      <c r="R153" s="131">
        <f>SUMIFS(TablaConsumos[[CANTIDAD ]:[CANTIDAD ]],TablaConsumos[[CÓDIGO]:[CÓDIGO]],'Inventario '!$B153,TablaConsumos[[Planta]:[Planta]],'Inventario '!R$1)</f>
        <v>0</v>
      </c>
      <c r="S153" s="130">
        <f t="shared" si="114"/>
        <v>0</v>
      </c>
      <c r="T153" s="130">
        <f t="shared" si="117"/>
        <v>0</v>
      </c>
      <c r="U153" s="177"/>
      <c r="V153" s="132"/>
      <c r="W153" s="179">
        <v>30.48</v>
      </c>
      <c r="X153" s="133">
        <f t="shared" si="143"/>
        <v>0</v>
      </c>
      <c r="Y153" s="130">
        <f t="shared" si="144"/>
        <v>0</v>
      </c>
      <c r="Z153" s="132"/>
      <c r="AA153" s="132">
        <f t="shared" si="145"/>
        <v>0</v>
      </c>
      <c r="AB153" s="132"/>
      <c r="AC153" s="131">
        <f t="shared" si="146"/>
        <v>0</v>
      </c>
      <c r="AD153" s="131"/>
      <c r="AE153" s="132" t="s">
        <v>612</v>
      </c>
      <c r="AF153" s="132">
        <v>3048</v>
      </c>
      <c r="AG153" s="168"/>
      <c r="AH153" s="134">
        <f t="shared" si="147"/>
        <v>0</v>
      </c>
      <c r="AI153" s="134">
        <f t="shared" si="148"/>
        <v>0</v>
      </c>
      <c r="AJ153" s="134">
        <f t="shared" si="149"/>
        <v>0</v>
      </c>
      <c r="AK153" s="134">
        <f t="shared" si="150"/>
        <v>0</v>
      </c>
      <c r="AL153" s="134">
        <f t="shared" si="151"/>
        <v>0</v>
      </c>
      <c r="AM153" s="134">
        <f t="shared" si="152"/>
        <v>0</v>
      </c>
      <c r="AN153" s="134">
        <f t="shared" si="153"/>
        <v>0</v>
      </c>
      <c r="AO153" s="134">
        <f t="shared" si="154"/>
        <v>0</v>
      </c>
      <c r="AP153" s="134">
        <f t="shared" si="155"/>
        <v>0</v>
      </c>
      <c r="AQ153" s="134">
        <f t="shared" si="156"/>
        <v>0</v>
      </c>
      <c r="AR153" s="134">
        <f t="shared" si="157"/>
        <v>0</v>
      </c>
      <c r="AS153" s="135">
        <f t="shared" si="115"/>
        <v>0</v>
      </c>
      <c r="AT153" s="137" t="str">
        <f t="shared" si="158"/>
        <v>0</v>
      </c>
      <c r="AU153" s="137" t="str">
        <f t="shared" si="159"/>
        <v>0</v>
      </c>
      <c r="AV153" s="137" t="str">
        <f t="shared" si="160"/>
        <v>0</v>
      </c>
      <c r="AW153" s="137" t="str">
        <f t="shared" si="161"/>
        <v>0</v>
      </c>
      <c r="AX153" s="137" t="str">
        <f t="shared" si="162"/>
        <v>0</v>
      </c>
      <c r="AY153" s="137" t="str">
        <f t="shared" si="163"/>
        <v>0</v>
      </c>
      <c r="AZ153" s="137" t="str">
        <f t="shared" si="164"/>
        <v>0</v>
      </c>
      <c r="BA153" s="137" t="str">
        <f t="shared" si="165"/>
        <v>0</v>
      </c>
      <c r="BB153" s="137" t="str">
        <f t="shared" si="166"/>
        <v>0</v>
      </c>
      <c r="BC153" s="137" t="str">
        <f t="shared" si="167"/>
        <v>0</v>
      </c>
      <c r="BD153" s="131">
        <f t="shared" si="116"/>
        <v>0</v>
      </c>
    </row>
    <row r="154" spans="2:56" x14ac:dyDescent="0.25">
      <c r="B154" s="136">
        <v>8205510</v>
      </c>
      <c r="C154" s="128" t="s">
        <v>30</v>
      </c>
      <c r="D154" s="128"/>
      <c r="E154" s="147" t="s">
        <v>240</v>
      </c>
      <c r="F154" s="274"/>
      <c r="G154" s="130">
        <f>+SUMIFS(TablaIngresos[Cantidad],TablaIngresos[Código],'Inventario '!B154)</f>
        <v>0</v>
      </c>
      <c r="H154" s="130">
        <f t="shared" si="118"/>
        <v>0</v>
      </c>
      <c r="I154" s="131">
        <f>SUMIFS(TablaConsumos[[CANTIDAD ]:[CANTIDAD ]],TablaConsumos[[CÓDIGO]:[CÓDIGO]],'Inventario '!$B154,TablaConsumos[[Planta]:[Planta]],'Inventario '!I$1)</f>
        <v>0</v>
      </c>
      <c r="J154" s="131">
        <f>SUMIFS(TablaConsumos[[CANTIDAD ]:[CANTIDAD ]],TablaConsumos[[CÓDIGO]:[CÓDIGO]],'Inventario '!$B154,TablaConsumos[[Planta]:[Planta]],'Inventario '!J$1)</f>
        <v>0</v>
      </c>
      <c r="K154" s="131">
        <f>SUMIFS(TablaConsumos[[CANTIDAD ]:[CANTIDAD ]],TablaConsumos[[CÓDIGO]:[CÓDIGO]],'Inventario '!$B154,TablaConsumos[[Planta]:[Planta]],'Inventario '!K$1)</f>
        <v>0</v>
      </c>
      <c r="L154" s="131">
        <f>SUMIFS(TablaConsumos[[CANTIDAD ]:[CANTIDAD ]],TablaConsumos[[CÓDIGO]:[CÓDIGO]],'Inventario '!$B154,TablaConsumos[[Planta]:[Planta]],'Inventario '!L$1)</f>
        <v>0</v>
      </c>
      <c r="M154" s="131">
        <f>SUMIFS(TablaConsumos[[CANTIDAD ]:[CANTIDAD ]],TablaConsumos[[CÓDIGO]:[CÓDIGO]],'Inventario '!$B154,TablaConsumos[[Planta]:[Planta]],'Inventario '!M$1)</f>
        <v>0</v>
      </c>
      <c r="N154" s="131">
        <f>SUMIFS(TablaConsumos[[CANTIDAD ]:[CANTIDAD ]],TablaConsumos[[CÓDIGO]:[CÓDIGO]],'Inventario '!$B154,TablaConsumos[[Planta]:[Planta]],'Inventario '!N$1)</f>
        <v>0</v>
      </c>
      <c r="O154" s="131">
        <f>SUMIFS(TablaConsumos[[CANTIDAD ]:[CANTIDAD ]],TablaConsumos[[CÓDIGO]:[CÓDIGO]],'Inventario '!$B154,TablaConsumos[[Planta]:[Planta]],'Inventario '!O$1)</f>
        <v>0</v>
      </c>
      <c r="P154" s="131">
        <f>SUMIFS(TablaConsumos[[CANTIDAD ]:[CANTIDAD ]],TablaConsumos[[CÓDIGO]:[CÓDIGO]],'Inventario '!$B154,TablaConsumos[[Planta]:[Planta]],'Inventario '!P$1)</f>
        <v>0</v>
      </c>
      <c r="Q154" s="131">
        <f>SUMIFS(TablaConsumos[[CANTIDAD ]:[CANTIDAD ]],TablaConsumos[[CÓDIGO]:[CÓDIGO]],'Inventario '!$B154,TablaConsumos[[Planta]:[Planta]],'Inventario '!Q$1)</f>
        <v>0</v>
      </c>
      <c r="R154" s="131">
        <f>SUMIFS(TablaConsumos[[CANTIDAD ]:[CANTIDAD ]],TablaConsumos[[CÓDIGO]:[CÓDIGO]],'Inventario '!$B154,TablaConsumos[[Planta]:[Planta]],'Inventario '!R$1)</f>
        <v>0</v>
      </c>
      <c r="S154" s="130">
        <f t="shared" si="114"/>
        <v>0</v>
      </c>
      <c r="T154" s="130">
        <f t="shared" si="117"/>
        <v>0</v>
      </c>
      <c r="U154" s="177"/>
      <c r="V154" s="130"/>
      <c r="W154" s="179">
        <v>30.48</v>
      </c>
      <c r="X154" s="133">
        <f t="shared" si="143"/>
        <v>0</v>
      </c>
      <c r="Y154" s="130">
        <f t="shared" si="144"/>
        <v>0</v>
      </c>
      <c r="Z154" s="132"/>
      <c r="AA154" s="132">
        <f t="shared" si="145"/>
        <v>0</v>
      </c>
      <c r="AB154" s="132"/>
      <c r="AC154" s="131">
        <f t="shared" si="146"/>
        <v>0</v>
      </c>
      <c r="AD154" s="131"/>
      <c r="AE154" s="132" t="s">
        <v>612</v>
      </c>
      <c r="AF154" s="132">
        <v>3048</v>
      </c>
      <c r="AG154" s="168"/>
      <c r="AH154" s="134">
        <f t="shared" si="147"/>
        <v>0</v>
      </c>
      <c r="AI154" s="134">
        <f t="shared" si="148"/>
        <v>0</v>
      </c>
      <c r="AJ154" s="134">
        <f t="shared" si="149"/>
        <v>0</v>
      </c>
      <c r="AK154" s="134">
        <f t="shared" si="150"/>
        <v>0</v>
      </c>
      <c r="AL154" s="134">
        <f t="shared" si="151"/>
        <v>0</v>
      </c>
      <c r="AM154" s="134">
        <f t="shared" si="152"/>
        <v>0</v>
      </c>
      <c r="AN154" s="134">
        <f t="shared" si="153"/>
        <v>0</v>
      </c>
      <c r="AO154" s="134">
        <f t="shared" si="154"/>
        <v>0</v>
      </c>
      <c r="AP154" s="134">
        <f t="shared" si="155"/>
        <v>0</v>
      </c>
      <c r="AQ154" s="134">
        <f t="shared" si="156"/>
        <v>0</v>
      </c>
      <c r="AR154" s="134">
        <f t="shared" si="157"/>
        <v>0</v>
      </c>
      <c r="AS154" s="135">
        <f t="shared" si="115"/>
        <v>0</v>
      </c>
      <c r="AT154" s="137" t="str">
        <f t="shared" si="158"/>
        <v>0</v>
      </c>
      <c r="AU154" s="137" t="str">
        <f t="shared" si="159"/>
        <v>0</v>
      </c>
      <c r="AV154" s="137" t="str">
        <f t="shared" si="160"/>
        <v>0</v>
      </c>
      <c r="AW154" s="137" t="str">
        <f t="shared" si="161"/>
        <v>0</v>
      </c>
      <c r="AX154" s="137" t="str">
        <f t="shared" si="162"/>
        <v>0</v>
      </c>
      <c r="AY154" s="137" t="str">
        <f t="shared" si="163"/>
        <v>0</v>
      </c>
      <c r="AZ154" s="137" t="str">
        <f t="shared" si="164"/>
        <v>0</v>
      </c>
      <c r="BA154" s="137" t="str">
        <f t="shared" si="165"/>
        <v>0</v>
      </c>
      <c r="BB154" s="137" t="str">
        <f t="shared" si="166"/>
        <v>0</v>
      </c>
      <c r="BC154" s="137" t="str">
        <f t="shared" si="167"/>
        <v>0</v>
      </c>
      <c r="BD154" s="131">
        <f t="shared" si="116"/>
        <v>0</v>
      </c>
    </row>
    <row r="155" spans="2:56" x14ac:dyDescent="0.25">
      <c r="B155" s="136">
        <v>8205260</v>
      </c>
      <c r="C155" s="128" t="s">
        <v>30</v>
      </c>
      <c r="D155" s="128"/>
      <c r="E155" s="136" t="s">
        <v>241</v>
      </c>
      <c r="F155" s="274"/>
      <c r="G155" s="130">
        <f>+SUMIFS(TablaIngresos[Cantidad],TablaIngresos[Código],'Inventario '!B155)</f>
        <v>0</v>
      </c>
      <c r="H155" s="130">
        <f t="shared" si="118"/>
        <v>0</v>
      </c>
      <c r="I155" s="131">
        <f>SUMIFS(TablaConsumos[[CANTIDAD ]:[CANTIDAD ]],TablaConsumos[[CÓDIGO]:[CÓDIGO]],'Inventario '!$B155,TablaConsumos[[Planta]:[Planta]],'Inventario '!I$1)</f>
        <v>0</v>
      </c>
      <c r="J155" s="131">
        <f>SUMIFS(TablaConsumos[[CANTIDAD ]:[CANTIDAD ]],TablaConsumos[[CÓDIGO]:[CÓDIGO]],'Inventario '!$B155,TablaConsumos[[Planta]:[Planta]],'Inventario '!J$1)</f>
        <v>0</v>
      </c>
      <c r="K155" s="131">
        <f>SUMIFS(TablaConsumos[[CANTIDAD ]:[CANTIDAD ]],TablaConsumos[[CÓDIGO]:[CÓDIGO]],'Inventario '!$B155,TablaConsumos[[Planta]:[Planta]],'Inventario '!K$1)</f>
        <v>0</v>
      </c>
      <c r="L155" s="131">
        <f>SUMIFS(TablaConsumos[[CANTIDAD ]:[CANTIDAD ]],TablaConsumos[[CÓDIGO]:[CÓDIGO]],'Inventario '!$B155,TablaConsumos[[Planta]:[Planta]],'Inventario '!L$1)</f>
        <v>0</v>
      </c>
      <c r="M155" s="131">
        <f>SUMIFS(TablaConsumos[[CANTIDAD ]:[CANTIDAD ]],TablaConsumos[[CÓDIGO]:[CÓDIGO]],'Inventario '!$B155,TablaConsumos[[Planta]:[Planta]],'Inventario '!M$1)</f>
        <v>0</v>
      </c>
      <c r="N155" s="131">
        <f>SUMIFS(TablaConsumos[[CANTIDAD ]:[CANTIDAD ]],TablaConsumos[[CÓDIGO]:[CÓDIGO]],'Inventario '!$B155,TablaConsumos[[Planta]:[Planta]],'Inventario '!N$1)</f>
        <v>0</v>
      </c>
      <c r="O155" s="131">
        <f>SUMIFS(TablaConsumos[[CANTIDAD ]:[CANTIDAD ]],TablaConsumos[[CÓDIGO]:[CÓDIGO]],'Inventario '!$B155,TablaConsumos[[Planta]:[Planta]],'Inventario '!O$1)</f>
        <v>0</v>
      </c>
      <c r="P155" s="131">
        <f>SUMIFS(TablaConsumos[[CANTIDAD ]:[CANTIDAD ]],TablaConsumos[[CÓDIGO]:[CÓDIGO]],'Inventario '!$B155,TablaConsumos[[Planta]:[Planta]],'Inventario '!P$1)</f>
        <v>0</v>
      </c>
      <c r="Q155" s="131">
        <f>SUMIFS(TablaConsumos[[CANTIDAD ]:[CANTIDAD ]],TablaConsumos[[CÓDIGO]:[CÓDIGO]],'Inventario '!$B155,TablaConsumos[[Planta]:[Planta]],'Inventario '!Q$1)</f>
        <v>0</v>
      </c>
      <c r="R155" s="131">
        <f>SUMIFS(TablaConsumos[[CANTIDAD ]:[CANTIDAD ]],TablaConsumos[[CÓDIGO]:[CÓDIGO]],'Inventario '!$B155,TablaConsumos[[Planta]:[Planta]],'Inventario '!R$1)</f>
        <v>0</v>
      </c>
      <c r="S155" s="130">
        <f t="shared" si="114"/>
        <v>0</v>
      </c>
      <c r="T155" s="130">
        <f t="shared" si="117"/>
        <v>0</v>
      </c>
      <c r="U155" s="177"/>
      <c r="V155" s="130"/>
      <c r="W155" s="179">
        <v>30.48</v>
      </c>
      <c r="X155" s="133">
        <f t="shared" si="143"/>
        <v>0</v>
      </c>
      <c r="Y155" s="130">
        <f t="shared" si="144"/>
        <v>0</v>
      </c>
      <c r="Z155" s="132"/>
      <c r="AA155" s="132">
        <f t="shared" si="145"/>
        <v>0</v>
      </c>
      <c r="AB155" s="132"/>
      <c r="AC155" s="131">
        <f t="shared" si="146"/>
        <v>0</v>
      </c>
      <c r="AD155" s="131"/>
      <c r="AE155" s="132" t="s">
        <v>612</v>
      </c>
      <c r="AF155" s="132">
        <v>3048</v>
      </c>
      <c r="AG155" s="168"/>
      <c r="AH155" s="134">
        <f t="shared" si="147"/>
        <v>0</v>
      </c>
      <c r="AI155" s="134">
        <f t="shared" si="148"/>
        <v>0</v>
      </c>
      <c r="AJ155" s="134">
        <f t="shared" si="149"/>
        <v>0</v>
      </c>
      <c r="AK155" s="134">
        <f t="shared" si="150"/>
        <v>0</v>
      </c>
      <c r="AL155" s="134">
        <f t="shared" si="151"/>
        <v>0</v>
      </c>
      <c r="AM155" s="134">
        <f t="shared" si="152"/>
        <v>0</v>
      </c>
      <c r="AN155" s="134">
        <f t="shared" si="153"/>
        <v>0</v>
      </c>
      <c r="AO155" s="134">
        <f t="shared" si="154"/>
        <v>0</v>
      </c>
      <c r="AP155" s="134">
        <f t="shared" si="155"/>
        <v>0</v>
      </c>
      <c r="AQ155" s="134">
        <f t="shared" si="156"/>
        <v>0</v>
      </c>
      <c r="AR155" s="134">
        <f t="shared" si="157"/>
        <v>0</v>
      </c>
      <c r="AS155" s="135">
        <f t="shared" si="115"/>
        <v>0</v>
      </c>
      <c r="AT155" s="137" t="str">
        <f t="shared" si="158"/>
        <v>0</v>
      </c>
      <c r="AU155" s="137" t="str">
        <f t="shared" si="159"/>
        <v>0</v>
      </c>
      <c r="AV155" s="137" t="str">
        <f t="shared" si="160"/>
        <v>0</v>
      </c>
      <c r="AW155" s="137" t="str">
        <f t="shared" si="161"/>
        <v>0</v>
      </c>
      <c r="AX155" s="137" t="str">
        <f t="shared" si="162"/>
        <v>0</v>
      </c>
      <c r="AY155" s="137" t="str">
        <f t="shared" si="163"/>
        <v>0</v>
      </c>
      <c r="AZ155" s="137" t="str">
        <f t="shared" si="164"/>
        <v>0</v>
      </c>
      <c r="BA155" s="137" t="str">
        <f t="shared" si="165"/>
        <v>0</v>
      </c>
      <c r="BB155" s="137" t="str">
        <f t="shared" si="166"/>
        <v>0</v>
      </c>
      <c r="BC155" s="137" t="str">
        <f t="shared" si="167"/>
        <v>0</v>
      </c>
      <c r="BD155" s="131">
        <f t="shared" si="116"/>
        <v>0</v>
      </c>
    </row>
    <row r="156" spans="2:56" x14ac:dyDescent="0.25">
      <c r="B156" s="136">
        <v>8205264</v>
      </c>
      <c r="C156" s="128" t="s">
        <v>30</v>
      </c>
      <c r="D156" s="128"/>
      <c r="E156" s="136" t="s">
        <v>242</v>
      </c>
      <c r="F156" s="274"/>
      <c r="G156" s="130">
        <f>+SUMIFS(TablaIngresos[Cantidad],TablaIngresos[Código],'Inventario '!B156)</f>
        <v>0</v>
      </c>
      <c r="H156" s="130">
        <f t="shared" si="118"/>
        <v>0</v>
      </c>
      <c r="I156" s="131">
        <f>SUMIFS(TablaConsumos[[CANTIDAD ]:[CANTIDAD ]],TablaConsumos[[CÓDIGO]:[CÓDIGO]],'Inventario '!$B156,TablaConsumos[[Planta]:[Planta]],'Inventario '!I$1)</f>
        <v>0</v>
      </c>
      <c r="J156" s="131">
        <f>SUMIFS(TablaConsumos[[CANTIDAD ]:[CANTIDAD ]],TablaConsumos[[CÓDIGO]:[CÓDIGO]],'Inventario '!$B156,TablaConsumos[[Planta]:[Planta]],'Inventario '!J$1)</f>
        <v>0</v>
      </c>
      <c r="K156" s="131">
        <f>SUMIFS(TablaConsumos[[CANTIDAD ]:[CANTIDAD ]],TablaConsumos[[CÓDIGO]:[CÓDIGO]],'Inventario '!$B156,TablaConsumos[[Planta]:[Planta]],'Inventario '!K$1)</f>
        <v>0</v>
      </c>
      <c r="L156" s="131">
        <f>SUMIFS(TablaConsumos[[CANTIDAD ]:[CANTIDAD ]],TablaConsumos[[CÓDIGO]:[CÓDIGO]],'Inventario '!$B156,TablaConsumos[[Planta]:[Planta]],'Inventario '!L$1)</f>
        <v>0</v>
      </c>
      <c r="M156" s="131">
        <f>SUMIFS(TablaConsumos[[CANTIDAD ]:[CANTIDAD ]],TablaConsumos[[CÓDIGO]:[CÓDIGO]],'Inventario '!$B156,TablaConsumos[[Planta]:[Planta]],'Inventario '!M$1)</f>
        <v>0</v>
      </c>
      <c r="N156" s="131">
        <f>SUMIFS(TablaConsumos[[CANTIDAD ]:[CANTIDAD ]],TablaConsumos[[CÓDIGO]:[CÓDIGO]],'Inventario '!$B156,TablaConsumos[[Planta]:[Planta]],'Inventario '!N$1)</f>
        <v>0</v>
      </c>
      <c r="O156" s="131">
        <f>SUMIFS(TablaConsumos[[CANTIDAD ]:[CANTIDAD ]],TablaConsumos[[CÓDIGO]:[CÓDIGO]],'Inventario '!$B156,TablaConsumos[[Planta]:[Planta]],'Inventario '!O$1)</f>
        <v>0</v>
      </c>
      <c r="P156" s="131">
        <f>SUMIFS(TablaConsumos[[CANTIDAD ]:[CANTIDAD ]],TablaConsumos[[CÓDIGO]:[CÓDIGO]],'Inventario '!$B156,TablaConsumos[[Planta]:[Planta]],'Inventario '!P$1)</f>
        <v>0</v>
      </c>
      <c r="Q156" s="131">
        <f>SUMIFS(TablaConsumos[[CANTIDAD ]:[CANTIDAD ]],TablaConsumos[[CÓDIGO]:[CÓDIGO]],'Inventario '!$B156,TablaConsumos[[Planta]:[Planta]],'Inventario '!Q$1)</f>
        <v>0</v>
      </c>
      <c r="R156" s="131">
        <f>SUMIFS(TablaConsumos[[CANTIDAD ]:[CANTIDAD ]],TablaConsumos[[CÓDIGO]:[CÓDIGO]],'Inventario '!$B156,TablaConsumos[[Planta]:[Planta]],'Inventario '!R$1)</f>
        <v>0</v>
      </c>
      <c r="S156" s="130">
        <f t="shared" si="114"/>
        <v>0</v>
      </c>
      <c r="T156" s="130">
        <f t="shared" si="117"/>
        <v>0</v>
      </c>
      <c r="U156" s="177"/>
      <c r="V156" s="130"/>
      <c r="W156" s="179">
        <v>30.48</v>
      </c>
      <c r="X156" s="133">
        <f t="shared" si="143"/>
        <v>0</v>
      </c>
      <c r="Y156" s="130">
        <f t="shared" si="144"/>
        <v>0</v>
      </c>
      <c r="Z156" s="132"/>
      <c r="AA156" s="132">
        <f t="shared" si="145"/>
        <v>0</v>
      </c>
      <c r="AB156" s="132"/>
      <c r="AC156" s="131">
        <f t="shared" si="146"/>
        <v>0</v>
      </c>
      <c r="AD156" s="131"/>
      <c r="AE156" s="132" t="s">
        <v>612</v>
      </c>
      <c r="AF156" s="132">
        <v>3048</v>
      </c>
      <c r="AG156" s="168"/>
      <c r="AH156" s="134">
        <f t="shared" si="147"/>
        <v>0</v>
      </c>
      <c r="AI156" s="134">
        <f t="shared" si="148"/>
        <v>0</v>
      </c>
      <c r="AJ156" s="134">
        <f t="shared" si="149"/>
        <v>0</v>
      </c>
      <c r="AK156" s="134">
        <f t="shared" si="150"/>
        <v>0</v>
      </c>
      <c r="AL156" s="134">
        <f t="shared" si="151"/>
        <v>0</v>
      </c>
      <c r="AM156" s="134">
        <f t="shared" si="152"/>
        <v>0</v>
      </c>
      <c r="AN156" s="134">
        <f t="shared" si="153"/>
        <v>0</v>
      </c>
      <c r="AO156" s="134">
        <f t="shared" si="154"/>
        <v>0</v>
      </c>
      <c r="AP156" s="134">
        <f t="shared" si="155"/>
        <v>0</v>
      </c>
      <c r="AQ156" s="134">
        <f t="shared" si="156"/>
        <v>0</v>
      </c>
      <c r="AR156" s="134">
        <f t="shared" si="157"/>
        <v>0</v>
      </c>
      <c r="AS156" s="135">
        <f t="shared" si="115"/>
        <v>0</v>
      </c>
      <c r="AT156" s="137" t="str">
        <f t="shared" si="158"/>
        <v>0</v>
      </c>
      <c r="AU156" s="137" t="str">
        <f t="shared" si="159"/>
        <v>0</v>
      </c>
      <c r="AV156" s="137" t="str">
        <f t="shared" si="160"/>
        <v>0</v>
      </c>
      <c r="AW156" s="137" t="str">
        <f t="shared" si="161"/>
        <v>0</v>
      </c>
      <c r="AX156" s="137" t="str">
        <f t="shared" si="162"/>
        <v>0</v>
      </c>
      <c r="AY156" s="137" t="str">
        <f t="shared" si="163"/>
        <v>0</v>
      </c>
      <c r="AZ156" s="137" t="str">
        <f t="shared" si="164"/>
        <v>0</v>
      </c>
      <c r="BA156" s="137" t="str">
        <f t="shared" si="165"/>
        <v>0</v>
      </c>
      <c r="BB156" s="137" t="str">
        <f t="shared" si="166"/>
        <v>0</v>
      </c>
      <c r="BC156" s="137" t="str">
        <f t="shared" si="167"/>
        <v>0</v>
      </c>
      <c r="BD156" s="131">
        <f t="shared" si="116"/>
        <v>0</v>
      </c>
    </row>
    <row r="157" spans="2:56" x14ac:dyDescent="0.25">
      <c r="B157" s="136">
        <v>8205266</v>
      </c>
      <c r="C157" s="128" t="s">
        <v>30</v>
      </c>
      <c r="D157" s="128"/>
      <c r="E157" s="136" t="s">
        <v>243</v>
      </c>
      <c r="F157" s="274"/>
      <c r="G157" s="130">
        <f>+SUMIFS(TablaIngresos[Cantidad],TablaIngresos[Código],'Inventario '!B157)</f>
        <v>0</v>
      </c>
      <c r="H157" s="130">
        <f t="shared" si="118"/>
        <v>0</v>
      </c>
      <c r="I157" s="131">
        <f>SUMIFS(TablaConsumos[[CANTIDAD ]:[CANTIDAD ]],TablaConsumos[[CÓDIGO]:[CÓDIGO]],'Inventario '!$B157,TablaConsumos[[Planta]:[Planta]],'Inventario '!I$1)</f>
        <v>0</v>
      </c>
      <c r="J157" s="131">
        <f>SUMIFS(TablaConsumos[[CANTIDAD ]:[CANTIDAD ]],TablaConsumos[[CÓDIGO]:[CÓDIGO]],'Inventario '!$B157,TablaConsumos[[Planta]:[Planta]],'Inventario '!J$1)</f>
        <v>0</v>
      </c>
      <c r="K157" s="131">
        <f>SUMIFS(TablaConsumos[[CANTIDAD ]:[CANTIDAD ]],TablaConsumos[[CÓDIGO]:[CÓDIGO]],'Inventario '!$B157,TablaConsumos[[Planta]:[Planta]],'Inventario '!K$1)</f>
        <v>0</v>
      </c>
      <c r="L157" s="131">
        <f>SUMIFS(TablaConsumos[[CANTIDAD ]:[CANTIDAD ]],TablaConsumos[[CÓDIGO]:[CÓDIGO]],'Inventario '!$B157,TablaConsumos[[Planta]:[Planta]],'Inventario '!L$1)</f>
        <v>0</v>
      </c>
      <c r="M157" s="131">
        <f>SUMIFS(TablaConsumos[[CANTIDAD ]:[CANTIDAD ]],TablaConsumos[[CÓDIGO]:[CÓDIGO]],'Inventario '!$B157,TablaConsumos[[Planta]:[Planta]],'Inventario '!M$1)</f>
        <v>0</v>
      </c>
      <c r="N157" s="131">
        <f>SUMIFS(TablaConsumos[[CANTIDAD ]:[CANTIDAD ]],TablaConsumos[[CÓDIGO]:[CÓDIGO]],'Inventario '!$B157,TablaConsumos[[Planta]:[Planta]],'Inventario '!N$1)</f>
        <v>0</v>
      </c>
      <c r="O157" s="131">
        <f>SUMIFS(TablaConsumos[[CANTIDAD ]:[CANTIDAD ]],TablaConsumos[[CÓDIGO]:[CÓDIGO]],'Inventario '!$B157,TablaConsumos[[Planta]:[Planta]],'Inventario '!O$1)</f>
        <v>0</v>
      </c>
      <c r="P157" s="131">
        <f>SUMIFS(TablaConsumos[[CANTIDAD ]:[CANTIDAD ]],TablaConsumos[[CÓDIGO]:[CÓDIGO]],'Inventario '!$B157,TablaConsumos[[Planta]:[Planta]],'Inventario '!P$1)</f>
        <v>0</v>
      </c>
      <c r="Q157" s="131">
        <f>SUMIFS(TablaConsumos[[CANTIDAD ]:[CANTIDAD ]],TablaConsumos[[CÓDIGO]:[CÓDIGO]],'Inventario '!$B157,TablaConsumos[[Planta]:[Planta]],'Inventario '!Q$1)</f>
        <v>0</v>
      </c>
      <c r="R157" s="131">
        <f>SUMIFS(TablaConsumos[[CANTIDAD ]:[CANTIDAD ]],TablaConsumos[[CÓDIGO]:[CÓDIGO]],'Inventario '!$B157,TablaConsumos[[Planta]:[Planta]],'Inventario '!R$1)</f>
        <v>0</v>
      </c>
      <c r="S157" s="130">
        <f t="shared" si="114"/>
        <v>0</v>
      </c>
      <c r="T157" s="130">
        <f t="shared" si="117"/>
        <v>0</v>
      </c>
      <c r="U157" s="177"/>
      <c r="V157" s="130"/>
      <c r="W157" s="179">
        <v>30.48</v>
      </c>
      <c r="X157" s="133">
        <f t="shared" si="143"/>
        <v>0</v>
      </c>
      <c r="Y157" s="130">
        <f t="shared" si="144"/>
        <v>0</v>
      </c>
      <c r="Z157" s="132"/>
      <c r="AA157" s="132">
        <f t="shared" si="145"/>
        <v>0</v>
      </c>
      <c r="AB157" s="132"/>
      <c r="AC157" s="131">
        <f t="shared" si="146"/>
        <v>0</v>
      </c>
      <c r="AD157" s="131"/>
      <c r="AE157" s="132" t="s">
        <v>612</v>
      </c>
      <c r="AF157" s="132">
        <v>3048</v>
      </c>
      <c r="AG157" s="168"/>
      <c r="AH157" s="134">
        <f t="shared" si="147"/>
        <v>0</v>
      </c>
      <c r="AI157" s="134">
        <f t="shared" si="148"/>
        <v>0</v>
      </c>
      <c r="AJ157" s="134">
        <f t="shared" si="149"/>
        <v>0</v>
      </c>
      <c r="AK157" s="134">
        <f t="shared" si="150"/>
        <v>0</v>
      </c>
      <c r="AL157" s="134">
        <f t="shared" si="151"/>
        <v>0</v>
      </c>
      <c r="AM157" s="134">
        <f t="shared" si="152"/>
        <v>0</v>
      </c>
      <c r="AN157" s="134">
        <f t="shared" si="153"/>
        <v>0</v>
      </c>
      <c r="AO157" s="134">
        <f t="shared" si="154"/>
        <v>0</v>
      </c>
      <c r="AP157" s="134">
        <f t="shared" si="155"/>
        <v>0</v>
      </c>
      <c r="AQ157" s="134">
        <f t="shared" si="156"/>
        <v>0</v>
      </c>
      <c r="AR157" s="134">
        <f t="shared" si="157"/>
        <v>0</v>
      </c>
      <c r="AS157" s="135">
        <f t="shared" si="115"/>
        <v>0</v>
      </c>
      <c r="AT157" s="137" t="str">
        <f t="shared" si="158"/>
        <v>0</v>
      </c>
      <c r="AU157" s="137" t="str">
        <f t="shared" si="159"/>
        <v>0</v>
      </c>
      <c r="AV157" s="137" t="str">
        <f t="shared" si="160"/>
        <v>0</v>
      </c>
      <c r="AW157" s="137" t="str">
        <f t="shared" si="161"/>
        <v>0</v>
      </c>
      <c r="AX157" s="137" t="str">
        <f t="shared" si="162"/>
        <v>0</v>
      </c>
      <c r="AY157" s="137" t="str">
        <f t="shared" si="163"/>
        <v>0</v>
      </c>
      <c r="AZ157" s="137" t="str">
        <f t="shared" si="164"/>
        <v>0</v>
      </c>
      <c r="BA157" s="137" t="str">
        <f t="shared" si="165"/>
        <v>0</v>
      </c>
      <c r="BB157" s="137" t="str">
        <f t="shared" si="166"/>
        <v>0</v>
      </c>
      <c r="BC157" s="137" t="str">
        <f t="shared" si="167"/>
        <v>0</v>
      </c>
      <c r="BD157" s="131">
        <f t="shared" si="116"/>
        <v>0</v>
      </c>
    </row>
    <row r="158" spans="2:56" x14ac:dyDescent="0.25">
      <c r="B158" s="136">
        <v>8205268</v>
      </c>
      <c r="C158" s="128" t="s">
        <v>30</v>
      </c>
      <c r="D158" s="128"/>
      <c r="E158" s="136" t="s">
        <v>244</v>
      </c>
      <c r="F158" s="274"/>
      <c r="G158" s="130">
        <f>+SUMIFS(TablaIngresos[Cantidad],TablaIngresos[Código],'Inventario '!B158)</f>
        <v>0</v>
      </c>
      <c r="H158" s="130">
        <f t="shared" si="118"/>
        <v>0</v>
      </c>
      <c r="I158" s="131">
        <f>SUMIFS(TablaConsumos[[CANTIDAD ]:[CANTIDAD ]],TablaConsumos[[CÓDIGO]:[CÓDIGO]],'Inventario '!$B158,TablaConsumos[[Planta]:[Planta]],'Inventario '!I$1)</f>
        <v>0</v>
      </c>
      <c r="J158" s="131">
        <f>SUMIFS(TablaConsumos[[CANTIDAD ]:[CANTIDAD ]],TablaConsumos[[CÓDIGO]:[CÓDIGO]],'Inventario '!$B158,TablaConsumos[[Planta]:[Planta]],'Inventario '!J$1)</f>
        <v>0</v>
      </c>
      <c r="K158" s="131">
        <f>SUMIFS(TablaConsumos[[CANTIDAD ]:[CANTIDAD ]],TablaConsumos[[CÓDIGO]:[CÓDIGO]],'Inventario '!$B158,TablaConsumos[[Planta]:[Planta]],'Inventario '!K$1)</f>
        <v>0</v>
      </c>
      <c r="L158" s="131">
        <f>SUMIFS(TablaConsumos[[CANTIDAD ]:[CANTIDAD ]],TablaConsumos[[CÓDIGO]:[CÓDIGO]],'Inventario '!$B158,TablaConsumos[[Planta]:[Planta]],'Inventario '!L$1)</f>
        <v>0</v>
      </c>
      <c r="M158" s="131">
        <f>SUMIFS(TablaConsumos[[CANTIDAD ]:[CANTIDAD ]],TablaConsumos[[CÓDIGO]:[CÓDIGO]],'Inventario '!$B158,TablaConsumos[[Planta]:[Planta]],'Inventario '!M$1)</f>
        <v>0</v>
      </c>
      <c r="N158" s="131">
        <f>SUMIFS(TablaConsumos[[CANTIDAD ]:[CANTIDAD ]],TablaConsumos[[CÓDIGO]:[CÓDIGO]],'Inventario '!$B158,TablaConsumos[[Planta]:[Planta]],'Inventario '!N$1)</f>
        <v>0</v>
      </c>
      <c r="O158" s="131">
        <f>SUMIFS(TablaConsumos[[CANTIDAD ]:[CANTIDAD ]],TablaConsumos[[CÓDIGO]:[CÓDIGO]],'Inventario '!$B158,TablaConsumos[[Planta]:[Planta]],'Inventario '!O$1)</f>
        <v>0</v>
      </c>
      <c r="P158" s="131">
        <f>SUMIFS(TablaConsumos[[CANTIDAD ]:[CANTIDAD ]],TablaConsumos[[CÓDIGO]:[CÓDIGO]],'Inventario '!$B158,TablaConsumos[[Planta]:[Planta]],'Inventario '!P$1)</f>
        <v>0</v>
      </c>
      <c r="Q158" s="131">
        <f>SUMIFS(TablaConsumos[[CANTIDAD ]:[CANTIDAD ]],TablaConsumos[[CÓDIGO]:[CÓDIGO]],'Inventario '!$B158,TablaConsumos[[Planta]:[Planta]],'Inventario '!Q$1)</f>
        <v>0</v>
      </c>
      <c r="R158" s="131">
        <f>SUMIFS(TablaConsumos[[CANTIDAD ]:[CANTIDAD ]],TablaConsumos[[CÓDIGO]:[CÓDIGO]],'Inventario '!$B158,TablaConsumos[[Planta]:[Planta]],'Inventario '!R$1)</f>
        <v>0</v>
      </c>
      <c r="S158" s="130">
        <f t="shared" si="114"/>
        <v>0</v>
      </c>
      <c r="T158" s="130">
        <f t="shared" si="117"/>
        <v>0</v>
      </c>
      <c r="U158" s="177"/>
      <c r="V158" s="130"/>
      <c r="W158" s="179">
        <v>30.48</v>
      </c>
      <c r="X158" s="133">
        <f t="shared" si="143"/>
        <v>0</v>
      </c>
      <c r="Y158" s="130">
        <f t="shared" si="144"/>
        <v>0</v>
      </c>
      <c r="Z158" s="132"/>
      <c r="AA158" s="132">
        <f t="shared" si="145"/>
        <v>0</v>
      </c>
      <c r="AB158" s="132"/>
      <c r="AC158" s="131">
        <f t="shared" si="146"/>
        <v>0</v>
      </c>
      <c r="AD158" s="131"/>
      <c r="AE158" s="132" t="s">
        <v>612</v>
      </c>
      <c r="AF158" s="132">
        <v>3048</v>
      </c>
      <c r="AG158" s="168"/>
      <c r="AH158" s="134">
        <f t="shared" si="147"/>
        <v>0</v>
      </c>
      <c r="AI158" s="134">
        <f t="shared" si="148"/>
        <v>0</v>
      </c>
      <c r="AJ158" s="134">
        <f t="shared" si="149"/>
        <v>0</v>
      </c>
      <c r="AK158" s="134">
        <f t="shared" si="150"/>
        <v>0</v>
      </c>
      <c r="AL158" s="134">
        <f t="shared" si="151"/>
        <v>0</v>
      </c>
      <c r="AM158" s="134">
        <f t="shared" si="152"/>
        <v>0</v>
      </c>
      <c r="AN158" s="134">
        <f t="shared" si="153"/>
        <v>0</v>
      </c>
      <c r="AO158" s="134">
        <f t="shared" si="154"/>
        <v>0</v>
      </c>
      <c r="AP158" s="134">
        <f t="shared" si="155"/>
        <v>0</v>
      </c>
      <c r="AQ158" s="134">
        <f t="shared" si="156"/>
        <v>0</v>
      </c>
      <c r="AR158" s="134">
        <f t="shared" si="157"/>
        <v>0</v>
      </c>
      <c r="AS158" s="135">
        <f t="shared" si="115"/>
        <v>0</v>
      </c>
      <c r="AT158" s="137" t="str">
        <f t="shared" si="158"/>
        <v>0</v>
      </c>
      <c r="AU158" s="137" t="str">
        <f t="shared" si="159"/>
        <v>0</v>
      </c>
      <c r="AV158" s="137" t="str">
        <f t="shared" si="160"/>
        <v>0</v>
      </c>
      <c r="AW158" s="137" t="str">
        <f t="shared" si="161"/>
        <v>0</v>
      </c>
      <c r="AX158" s="137" t="str">
        <f t="shared" si="162"/>
        <v>0</v>
      </c>
      <c r="AY158" s="137" t="str">
        <f t="shared" si="163"/>
        <v>0</v>
      </c>
      <c r="AZ158" s="137" t="str">
        <f t="shared" si="164"/>
        <v>0</v>
      </c>
      <c r="BA158" s="137" t="str">
        <f t="shared" si="165"/>
        <v>0</v>
      </c>
      <c r="BB158" s="137" t="str">
        <f t="shared" si="166"/>
        <v>0</v>
      </c>
      <c r="BC158" s="137" t="str">
        <f t="shared" si="167"/>
        <v>0</v>
      </c>
      <c r="BD158" s="131">
        <f t="shared" si="116"/>
        <v>0</v>
      </c>
    </row>
    <row r="159" spans="2:56" x14ac:dyDescent="0.25">
      <c r="B159" s="136">
        <v>8205271</v>
      </c>
      <c r="C159" s="128" t="s">
        <v>30</v>
      </c>
      <c r="D159" s="128"/>
      <c r="E159" s="136" t="s">
        <v>245</v>
      </c>
      <c r="F159" s="274"/>
      <c r="G159" s="130">
        <f>+SUMIFS(TablaIngresos[Cantidad],TablaIngresos[Código],'Inventario '!B159)</f>
        <v>0</v>
      </c>
      <c r="H159" s="130">
        <f t="shared" si="118"/>
        <v>0</v>
      </c>
      <c r="I159" s="131">
        <f>SUMIFS(TablaConsumos[[CANTIDAD ]:[CANTIDAD ]],TablaConsumos[[CÓDIGO]:[CÓDIGO]],'Inventario '!$B159,TablaConsumos[[Planta]:[Planta]],'Inventario '!I$1)</f>
        <v>0</v>
      </c>
      <c r="J159" s="131">
        <f>SUMIFS(TablaConsumos[[CANTIDAD ]:[CANTIDAD ]],TablaConsumos[[CÓDIGO]:[CÓDIGO]],'Inventario '!$B159,TablaConsumos[[Planta]:[Planta]],'Inventario '!J$1)</f>
        <v>0</v>
      </c>
      <c r="K159" s="131">
        <f>SUMIFS(TablaConsumos[[CANTIDAD ]:[CANTIDAD ]],TablaConsumos[[CÓDIGO]:[CÓDIGO]],'Inventario '!$B159,TablaConsumos[[Planta]:[Planta]],'Inventario '!K$1)</f>
        <v>0</v>
      </c>
      <c r="L159" s="131">
        <f>SUMIFS(TablaConsumos[[CANTIDAD ]:[CANTIDAD ]],TablaConsumos[[CÓDIGO]:[CÓDIGO]],'Inventario '!$B159,TablaConsumos[[Planta]:[Planta]],'Inventario '!L$1)</f>
        <v>0</v>
      </c>
      <c r="M159" s="131">
        <f>SUMIFS(TablaConsumos[[CANTIDAD ]:[CANTIDAD ]],TablaConsumos[[CÓDIGO]:[CÓDIGO]],'Inventario '!$B159,TablaConsumos[[Planta]:[Planta]],'Inventario '!M$1)</f>
        <v>0</v>
      </c>
      <c r="N159" s="131">
        <f>SUMIFS(TablaConsumos[[CANTIDAD ]:[CANTIDAD ]],TablaConsumos[[CÓDIGO]:[CÓDIGO]],'Inventario '!$B159,TablaConsumos[[Planta]:[Planta]],'Inventario '!N$1)</f>
        <v>0</v>
      </c>
      <c r="O159" s="131">
        <f>SUMIFS(TablaConsumos[[CANTIDAD ]:[CANTIDAD ]],TablaConsumos[[CÓDIGO]:[CÓDIGO]],'Inventario '!$B159,TablaConsumos[[Planta]:[Planta]],'Inventario '!O$1)</f>
        <v>0</v>
      </c>
      <c r="P159" s="131">
        <f>SUMIFS(TablaConsumos[[CANTIDAD ]:[CANTIDAD ]],TablaConsumos[[CÓDIGO]:[CÓDIGO]],'Inventario '!$B159,TablaConsumos[[Planta]:[Planta]],'Inventario '!P$1)</f>
        <v>0</v>
      </c>
      <c r="Q159" s="131">
        <f>SUMIFS(TablaConsumos[[CANTIDAD ]:[CANTIDAD ]],TablaConsumos[[CÓDIGO]:[CÓDIGO]],'Inventario '!$B159,TablaConsumos[[Planta]:[Planta]],'Inventario '!Q$1)</f>
        <v>0</v>
      </c>
      <c r="R159" s="131">
        <f>SUMIFS(TablaConsumos[[CANTIDAD ]:[CANTIDAD ]],TablaConsumos[[CÓDIGO]:[CÓDIGO]],'Inventario '!$B159,TablaConsumos[[Planta]:[Planta]],'Inventario '!R$1)</f>
        <v>0</v>
      </c>
      <c r="S159" s="130">
        <f t="shared" si="114"/>
        <v>0</v>
      </c>
      <c r="T159" s="130">
        <f t="shared" si="117"/>
        <v>0</v>
      </c>
      <c r="U159" s="177"/>
      <c r="V159" s="130"/>
      <c r="W159" s="179">
        <v>30.48</v>
      </c>
      <c r="X159" s="133">
        <f t="shared" si="143"/>
        <v>0</v>
      </c>
      <c r="Y159" s="130">
        <f t="shared" si="144"/>
        <v>0</v>
      </c>
      <c r="Z159" s="132"/>
      <c r="AA159" s="132">
        <f t="shared" si="145"/>
        <v>0</v>
      </c>
      <c r="AB159" s="132"/>
      <c r="AC159" s="131">
        <f t="shared" si="146"/>
        <v>0</v>
      </c>
      <c r="AD159" s="131"/>
      <c r="AE159" s="132" t="s">
        <v>612</v>
      </c>
      <c r="AF159" s="132">
        <v>3048</v>
      </c>
      <c r="AG159" s="168"/>
      <c r="AH159" s="134">
        <f t="shared" si="147"/>
        <v>0</v>
      </c>
      <c r="AI159" s="134">
        <f t="shared" si="148"/>
        <v>0</v>
      </c>
      <c r="AJ159" s="134">
        <f t="shared" si="149"/>
        <v>0</v>
      </c>
      <c r="AK159" s="134">
        <f t="shared" si="150"/>
        <v>0</v>
      </c>
      <c r="AL159" s="134">
        <f t="shared" si="151"/>
        <v>0</v>
      </c>
      <c r="AM159" s="134">
        <f t="shared" si="152"/>
        <v>0</v>
      </c>
      <c r="AN159" s="134">
        <f t="shared" si="153"/>
        <v>0</v>
      </c>
      <c r="AO159" s="134">
        <f t="shared" si="154"/>
        <v>0</v>
      </c>
      <c r="AP159" s="134">
        <f t="shared" si="155"/>
        <v>0</v>
      </c>
      <c r="AQ159" s="134">
        <f t="shared" si="156"/>
        <v>0</v>
      </c>
      <c r="AR159" s="134">
        <f t="shared" si="157"/>
        <v>0</v>
      </c>
      <c r="AS159" s="135">
        <f t="shared" si="115"/>
        <v>0</v>
      </c>
      <c r="AT159" s="137" t="str">
        <f t="shared" si="158"/>
        <v>0</v>
      </c>
      <c r="AU159" s="137" t="str">
        <f t="shared" si="159"/>
        <v>0</v>
      </c>
      <c r="AV159" s="137" t="str">
        <f t="shared" si="160"/>
        <v>0</v>
      </c>
      <c r="AW159" s="137" t="str">
        <f t="shared" si="161"/>
        <v>0</v>
      </c>
      <c r="AX159" s="137" t="str">
        <f t="shared" si="162"/>
        <v>0</v>
      </c>
      <c r="AY159" s="137" t="str">
        <f t="shared" si="163"/>
        <v>0</v>
      </c>
      <c r="AZ159" s="137" t="str">
        <f t="shared" si="164"/>
        <v>0</v>
      </c>
      <c r="BA159" s="137" t="str">
        <f t="shared" si="165"/>
        <v>0</v>
      </c>
      <c r="BB159" s="137" t="str">
        <f t="shared" si="166"/>
        <v>0</v>
      </c>
      <c r="BC159" s="137" t="str">
        <f t="shared" si="167"/>
        <v>0</v>
      </c>
      <c r="BD159" s="131">
        <f t="shared" si="116"/>
        <v>0</v>
      </c>
    </row>
    <row r="160" spans="2:56" x14ac:dyDescent="0.25">
      <c r="B160" s="136">
        <v>8205274</v>
      </c>
      <c r="C160" s="128" t="s">
        <v>30</v>
      </c>
      <c r="D160" s="128"/>
      <c r="E160" s="136" t="s">
        <v>246</v>
      </c>
      <c r="F160" s="274"/>
      <c r="G160" s="130">
        <f>+SUMIFS(TablaIngresos[Cantidad],TablaIngresos[Código],'Inventario '!B160)</f>
        <v>0</v>
      </c>
      <c r="H160" s="130">
        <f t="shared" si="118"/>
        <v>0</v>
      </c>
      <c r="I160" s="131">
        <f>SUMIFS(TablaConsumos[[CANTIDAD ]:[CANTIDAD ]],TablaConsumos[[CÓDIGO]:[CÓDIGO]],'Inventario '!$B160,TablaConsumos[[Planta]:[Planta]],'Inventario '!I$1)</f>
        <v>0</v>
      </c>
      <c r="J160" s="131">
        <f>SUMIFS(TablaConsumos[[CANTIDAD ]:[CANTIDAD ]],TablaConsumos[[CÓDIGO]:[CÓDIGO]],'Inventario '!$B160,TablaConsumos[[Planta]:[Planta]],'Inventario '!J$1)</f>
        <v>0</v>
      </c>
      <c r="K160" s="131">
        <f>SUMIFS(TablaConsumos[[CANTIDAD ]:[CANTIDAD ]],TablaConsumos[[CÓDIGO]:[CÓDIGO]],'Inventario '!$B160,TablaConsumos[[Planta]:[Planta]],'Inventario '!K$1)</f>
        <v>0</v>
      </c>
      <c r="L160" s="131">
        <f>SUMIFS(TablaConsumos[[CANTIDAD ]:[CANTIDAD ]],TablaConsumos[[CÓDIGO]:[CÓDIGO]],'Inventario '!$B160,TablaConsumos[[Planta]:[Planta]],'Inventario '!L$1)</f>
        <v>0</v>
      </c>
      <c r="M160" s="131">
        <f>SUMIFS(TablaConsumos[[CANTIDAD ]:[CANTIDAD ]],TablaConsumos[[CÓDIGO]:[CÓDIGO]],'Inventario '!$B160,TablaConsumos[[Planta]:[Planta]],'Inventario '!M$1)</f>
        <v>0</v>
      </c>
      <c r="N160" s="131">
        <f>SUMIFS(TablaConsumos[[CANTIDAD ]:[CANTIDAD ]],TablaConsumos[[CÓDIGO]:[CÓDIGO]],'Inventario '!$B160,TablaConsumos[[Planta]:[Planta]],'Inventario '!N$1)</f>
        <v>0</v>
      </c>
      <c r="O160" s="131">
        <f>SUMIFS(TablaConsumos[[CANTIDAD ]:[CANTIDAD ]],TablaConsumos[[CÓDIGO]:[CÓDIGO]],'Inventario '!$B160,TablaConsumos[[Planta]:[Planta]],'Inventario '!O$1)</f>
        <v>0</v>
      </c>
      <c r="P160" s="131">
        <f>SUMIFS(TablaConsumos[[CANTIDAD ]:[CANTIDAD ]],TablaConsumos[[CÓDIGO]:[CÓDIGO]],'Inventario '!$B160,TablaConsumos[[Planta]:[Planta]],'Inventario '!P$1)</f>
        <v>0</v>
      </c>
      <c r="Q160" s="131">
        <f>SUMIFS(TablaConsumos[[CANTIDAD ]:[CANTIDAD ]],TablaConsumos[[CÓDIGO]:[CÓDIGO]],'Inventario '!$B160,TablaConsumos[[Planta]:[Planta]],'Inventario '!Q$1)</f>
        <v>0</v>
      </c>
      <c r="R160" s="131">
        <f>SUMIFS(TablaConsumos[[CANTIDAD ]:[CANTIDAD ]],TablaConsumos[[CÓDIGO]:[CÓDIGO]],'Inventario '!$B160,TablaConsumos[[Planta]:[Planta]],'Inventario '!R$1)</f>
        <v>0</v>
      </c>
      <c r="S160" s="130">
        <f t="shared" si="114"/>
        <v>0</v>
      </c>
      <c r="T160" s="130">
        <f t="shared" si="117"/>
        <v>0</v>
      </c>
      <c r="U160" s="177"/>
      <c r="V160" s="130"/>
      <c r="W160" s="179">
        <v>30.48</v>
      </c>
      <c r="X160" s="133">
        <f t="shared" si="143"/>
        <v>0</v>
      </c>
      <c r="Y160" s="130">
        <f t="shared" si="144"/>
        <v>0</v>
      </c>
      <c r="Z160" s="132"/>
      <c r="AA160" s="132">
        <f t="shared" si="145"/>
        <v>0</v>
      </c>
      <c r="AB160" s="132"/>
      <c r="AC160" s="131">
        <f t="shared" si="146"/>
        <v>0</v>
      </c>
      <c r="AD160" s="131"/>
      <c r="AE160" s="132" t="s">
        <v>612</v>
      </c>
      <c r="AF160" s="132">
        <v>3048</v>
      </c>
      <c r="AG160" s="168"/>
      <c r="AH160" s="134">
        <f t="shared" si="147"/>
        <v>0</v>
      </c>
      <c r="AI160" s="134">
        <f t="shared" si="148"/>
        <v>0</v>
      </c>
      <c r="AJ160" s="134">
        <f t="shared" si="149"/>
        <v>0</v>
      </c>
      <c r="AK160" s="134">
        <f t="shared" si="150"/>
        <v>0</v>
      </c>
      <c r="AL160" s="134">
        <f t="shared" si="151"/>
        <v>0</v>
      </c>
      <c r="AM160" s="134">
        <f t="shared" si="152"/>
        <v>0</v>
      </c>
      <c r="AN160" s="134">
        <f t="shared" si="153"/>
        <v>0</v>
      </c>
      <c r="AO160" s="134">
        <f t="shared" si="154"/>
        <v>0</v>
      </c>
      <c r="AP160" s="134">
        <f t="shared" si="155"/>
        <v>0</v>
      </c>
      <c r="AQ160" s="134">
        <f t="shared" si="156"/>
        <v>0</v>
      </c>
      <c r="AR160" s="134">
        <f t="shared" si="157"/>
        <v>0</v>
      </c>
      <c r="AS160" s="135">
        <f t="shared" si="115"/>
        <v>0</v>
      </c>
      <c r="AT160" s="137" t="str">
        <f t="shared" si="158"/>
        <v>0</v>
      </c>
      <c r="AU160" s="137" t="str">
        <f t="shared" si="159"/>
        <v>0</v>
      </c>
      <c r="AV160" s="137" t="str">
        <f t="shared" si="160"/>
        <v>0</v>
      </c>
      <c r="AW160" s="137" t="str">
        <f t="shared" si="161"/>
        <v>0</v>
      </c>
      <c r="AX160" s="137" t="str">
        <f t="shared" si="162"/>
        <v>0</v>
      </c>
      <c r="AY160" s="137" t="str">
        <f t="shared" si="163"/>
        <v>0</v>
      </c>
      <c r="AZ160" s="137" t="str">
        <f t="shared" si="164"/>
        <v>0</v>
      </c>
      <c r="BA160" s="137" t="str">
        <f t="shared" si="165"/>
        <v>0</v>
      </c>
      <c r="BB160" s="137" t="str">
        <f t="shared" si="166"/>
        <v>0</v>
      </c>
      <c r="BC160" s="137" t="str">
        <f t="shared" si="167"/>
        <v>0</v>
      </c>
      <c r="BD160" s="131">
        <f t="shared" si="116"/>
        <v>0</v>
      </c>
    </row>
    <row r="161" spans="2:56" x14ac:dyDescent="0.25">
      <c r="B161" s="136">
        <v>8205760</v>
      </c>
      <c r="C161" s="128" t="s">
        <v>30</v>
      </c>
      <c r="D161" s="128"/>
      <c r="E161" s="147" t="s">
        <v>248</v>
      </c>
      <c r="F161" s="274"/>
      <c r="G161" s="130">
        <f>+SUMIFS(TablaIngresos[Cantidad],TablaIngresos[Código],'Inventario '!B161)</f>
        <v>0</v>
      </c>
      <c r="H161" s="130">
        <f t="shared" si="118"/>
        <v>0</v>
      </c>
      <c r="I161" s="131">
        <f>SUMIFS(TablaConsumos[[CANTIDAD ]:[CANTIDAD ]],TablaConsumos[[CÓDIGO]:[CÓDIGO]],'Inventario '!$B161,TablaConsumos[[Planta]:[Planta]],'Inventario '!I$1)</f>
        <v>0</v>
      </c>
      <c r="J161" s="131">
        <f>SUMIFS(TablaConsumos[[CANTIDAD ]:[CANTIDAD ]],TablaConsumos[[CÓDIGO]:[CÓDIGO]],'Inventario '!$B161,TablaConsumos[[Planta]:[Planta]],'Inventario '!J$1)</f>
        <v>0</v>
      </c>
      <c r="K161" s="131">
        <f>SUMIFS(TablaConsumos[[CANTIDAD ]:[CANTIDAD ]],TablaConsumos[[CÓDIGO]:[CÓDIGO]],'Inventario '!$B161,TablaConsumos[[Planta]:[Planta]],'Inventario '!K$1)</f>
        <v>0</v>
      </c>
      <c r="L161" s="131">
        <f>SUMIFS(TablaConsumos[[CANTIDAD ]:[CANTIDAD ]],TablaConsumos[[CÓDIGO]:[CÓDIGO]],'Inventario '!$B161,TablaConsumos[[Planta]:[Planta]],'Inventario '!L$1)</f>
        <v>0</v>
      </c>
      <c r="M161" s="131">
        <f>SUMIFS(TablaConsumos[[CANTIDAD ]:[CANTIDAD ]],TablaConsumos[[CÓDIGO]:[CÓDIGO]],'Inventario '!$B161,TablaConsumos[[Planta]:[Planta]],'Inventario '!M$1)</f>
        <v>0</v>
      </c>
      <c r="N161" s="131">
        <f>SUMIFS(TablaConsumos[[CANTIDAD ]:[CANTIDAD ]],TablaConsumos[[CÓDIGO]:[CÓDIGO]],'Inventario '!$B161,TablaConsumos[[Planta]:[Planta]],'Inventario '!N$1)</f>
        <v>0</v>
      </c>
      <c r="O161" s="131">
        <f>SUMIFS(TablaConsumos[[CANTIDAD ]:[CANTIDAD ]],TablaConsumos[[CÓDIGO]:[CÓDIGO]],'Inventario '!$B161,TablaConsumos[[Planta]:[Planta]],'Inventario '!O$1)</f>
        <v>0</v>
      </c>
      <c r="P161" s="131">
        <f>SUMIFS(TablaConsumos[[CANTIDAD ]:[CANTIDAD ]],TablaConsumos[[CÓDIGO]:[CÓDIGO]],'Inventario '!$B161,TablaConsumos[[Planta]:[Planta]],'Inventario '!P$1)</f>
        <v>0</v>
      </c>
      <c r="Q161" s="131">
        <f>SUMIFS(TablaConsumos[[CANTIDAD ]:[CANTIDAD ]],TablaConsumos[[CÓDIGO]:[CÓDIGO]],'Inventario '!$B161,TablaConsumos[[Planta]:[Planta]],'Inventario '!Q$1)</f>
        <v>0</v>
      </c>
      <c r="R161" s="131">
        <f>SUMIFS(TablaConsumos[[CANTIDAD ]:[CANTIDAD ]],TablaConsumos[[CÓDIGO]:[CÓDIGO]],'Inventario '!$B161,TablaConsumos[[Planta]:[Planta]],'Inventario '!R$1)</f>
        <v>0</v>
      </c>
      <c r="S161" s="130">
        <f t="shared" ref="S161:S211" si="168">+SUM(I161:R161)</f>
        <v>0</v>
      </c>
      <c r="T161" s="130">
        <f t="shared" si="117"/>
        <v>0</v>
      </c>
      <c r="U161" s="177"/>
      <c r="V161" s="132"/>
      <c r="W161" s="179">
        <v>30.48</v>
      </c>
      <c r="X161" s="133">
        <f t="shared" si="143"/>
        <v>0</v>
      </c>
      <c r="Y161" s="130">
        <f t="shared" si="144"/>
        <v>0</v>
      </c>
      <c r="Z161" s="132"/>
      <c r="AA161" s="132">
        <f t="shared" si="145"/>
        <v>0</v>
      </c>
      <c r="AB161" s="132"/>
      <c r="AC161" s="131">
        <f t="shared" si="146"/>
        <v>0</v>
      </c>
      <c r="AD161" s="131"/>
      <c r="AE161" s="132" t="s">
        <v>612</v>
      </c>
      <c r="AF161" s="132">
        <v>3048</v>
      </c>
      <c r="AG161" s="168"/>
      <c r="AH161" s="134">
        <f t="shared" si="147"/>
        <v>0</v>
      </c>
      <c r="AI161" s="134">
        <f t="shared" si="148"/>
        <v>0</v>
      </c>
      <c r="AJ161" s="134">
        <f t="shared" si="149"/>
        <v>0</v>
      </c>
      <c r="AK161" s="134">
        <f t="shared" si="150"/>
        <v>0</v>
      </c>
      <c r="AL161" s="134">
        <f t="shared" si="151"/>
        <v>0</v>
      </c>
      <c r="AM161" s="134">
        <f t="shared" si="152"/>
        <v>0</v>
      </c>
      <c r="AN161" s="134">
        <f t="shared" si="153"/>
        <v>0</v>
      </c>
      <c r="AO161" s="134">
        <f t="shared" si="154"/>
        <v>0</v>
      </c>
      <c r="AP161" s="134">
        <f t="shared" si="155"/>
        <v>0</v>
      </c>
      <c r="AQ161" s="134">
        <f t="shared" si="156"/>
        <v>0</v>
      </c>
      <c r="AR161" s="134">
        <f t="shared" si="157"/>
        <v>0</v>
      </c>
      <c r="AS161" s="135">
        <f t="shared" ref="AS161:AS211" si="169">+SUM(AI161:AR161)</f>
        <v>0</v>
      </c>
      <c r="AT161" s="137" t="str">
        <f t="shared" si="158"/>
        <v>0</v>
      </c>
      <c r="AU161" s="137" t="str">
        <f t="shared" si="159"/>
        <v>0</v>
      </c>
      <c r="AV161" s="137" t="str">
        <f t="shared" si="160"/>
        <v>0</v>
      </c>
      <c r="AW161" s="137" t="str">
        <f t="shared" si="161"/>
        <v>0</v>
      </c>
      <c r="AX161" s="137" t="str">
        <f t="shared" si="162"/>
        <v>0</v>
      </c>
      <c r="AY161" s="137" t="str">
        <f t="shared" si="163"/>
        <v>0</v>
      </c>
      <c r="AZ161" s="137" t="str">
        <f t="shared" si="164"/>
        <v>0</v>
      </c>
      <c r="BA161" s="137" t="str">
        <f t="shared" si="165"/>
        <v>0</v>
      </c>
      <c r="BB161" s="137" t="str">
        <f t="shared" si="166"/>
        <v>0</v>
      </c>
      <c r="BC161" s="137" t="str">
        <f t="shared" si="167"/>
        <v>0</v>
      </c>
      <c r="BD161" s="131">
        <f t="shared" ref="BD161:BD211" si="170">+SUM(AT161:BC161)</f>
        <v>0</v>
      </c>
    </row>
    <row r="162" spans="2:56" x14ac:dyDescent="0.25">
      <c r="B162" s="136">
        <v>8205761</v>
      </c>
      <c r="C162" s="128" t="s">
        <v>30</v>
      </c>
      <c r="D162" s="128"/>
      <c r="E162" s="136" t="s">
        <v>249</v>
      </c>
      <c r="F162" s="274"/>
      <c r="G162" s="130">
        <f>+SUMIFS(TablaIngresos[Cantidad],TablaIngresos[Código],'Inventario '!B162)</f>
        <v>0</v>
      </c>
      <c r="H162" s="130">
        <f t="shared" si="118"/>
        <v>0</v>
      </c>
      <c r="I162" s="131">
        <f>SUMIFS(TablaConsumos[[CANTIDAD ]:[CANTIDAD ]],TablaConsumos[[CÓDIGO]:[CÓDIGO]],'Inventario '!$B162,TablaConsumos[[Planta]:[Planta]],'Inventario '!I$1)</f>
        <v>0</v>
      </c>
      <c r="J162" s="131">
        <f>SUMIFS(TablaConsumos[[CANTIDAD ]:[CANTIDAD ]],TablaConsumos[[CÓDIGO]:[CÓDIGO]],'Inventario '!$B162,TablaConsumos[[Planta]:[Planta]],'Inventario '!J$1)</f>
        <v>0</v>
      </c>
      <c r="K162" s="131">
        <f>SUMIFS(TablaConsumos[[CANTIDAD ]:[CANTIDAD ]],TablaConsumos[[CÓDIGO]:[CÓDIGO]],'Inventario '!$B162,TablaConsumos[[Planta]:[Planta]],'Inventario '!K$1)</f>
        <v>0</v>
      </c>
      <c r="L162" s="131">
        <f>SUMIFS(TablaConsumos[[CANTIDAD ]:[CANTIDAD ]],TablaConsumos[[CÓDIGO]:[CÓDIGO]],'Inventario '!$B162,TablaConsumos[[Planta]:[Planta]],'Inventario '!L$1)</f>
        <v>0</v>
      </c>
      <c r="M162" s="131">
        <f>SUMIFS(TablaConsumos[[CANTIDAD ]:[CANTIDAD ]],TablaConsumos[[CÓDIGO]:[CÓDIGO]],'Inventario '!$B162,TablaConsumos[[Planta]:[Planta]],'Inventario '!M$1)</f>
        <v>0</v>
      </c>
      <c r="N162" s="131">
        <f>SUMIFS(TablaConsumos[[CANTIDAD ]:[CANTIDAD ]],TablaConsumos[[CÓDIGO]:[CÓDIGO]],'Inventario '!$B162,TablaConsumos[[Planta]:[Planta]],'Inventario '!N$1)</f>
        <v>0</v>
      </c>
      <c r="O162" s="131">
        <f>SUMIFS(TablaConsumos[[CANTIDAD ]:[CANTIDAD ]],TablaConsumos[[CÓDIGO]:[CÓDIGO]],'Inventario '!$B162,TablaConsumos[[Planta]:[Planta]],'Inventario '!O$1)</f>
        <v>0</v>
      </c>
      <c r="P162" s="131">
        <f>SUMIFS(TablaConsumos[[CANTIDAD ]:[CANTIDAD ]],TablaConsumos[[CÓDIGO]:[CÓDIGO]],'Inventario '!$B162,TablaConsumos[[Planta]:[Planta]],'Inventario '!P$1)</f>
        <v>0</v>
      </c>
      <c r="Q162" s="131">
        <f>SUMIFS(TablaConsumos[[CANTIDAD ]:[CANTIDAD ]],TablaConsumos[[CÓDIGO]:[CÓDIGO]],'Inventario '!$B162,TablaConsumos[[Planta]:[Planta]],'Inventario '!Q$1)</f>
        <v>0</v>
      </c>
      <c r="R162" s="131">
        <f>SUMIFS(TablaConsumos[[CANTIDAD ]:[CANTIDAD ]],TablaConsumos[[CÓDIGO]:[CÓDIGO]],'Inventario '!$B162,TablaConsumos[[Planta]:[Planta]],'Inventario '!R$1)</f>
        <v>0</v>
      </c>
      <c r="S162" s="130">
        <f t="shared" si="168"/>
        <v>0</v>
      </c>
      <c r="T162" s="130">
        <f t="shared" si="117"/>
        <v>0</v>
      </c>
      <c r="U162" s="177"/>
      <c r="V162" s="132"/>
      <c r="W162" s="179">
        <v>30.48</v>
      </c>
      <c r="X162" s="133">
        <f t="shared" si="143"/>
        <v>0</v>
      </c>
      <c r="Y162" s="130">
        <f t="shared" si="144"/>
        <v>0</v>
      </c>
      <c r="Z162" s="132"/>
      <c r="AA162" s="132">
        <f t="shared" si="145"/>
        <v>0</v>
      </c>
      <c r="AB162" s="132"/>
      <c r="AC162" s="131">
        <f t="shared" si="146"/>
        <v>0</v>
      </c>
      <c r="AD162" s="131"/>
      <c r="AE162" s="132" t="s">
        <v>612</v>
      </c>
      <c r="AF162" s="132">
        <v>3048</v>
      </c>
      <c r="AG162" s="168"/>
      <c r="AH162" s="134">
        <f t="shared" si="147"/>
        <v>0</v>
      </c>
      <c r="AI162" s="134">
        <f t="shared" si="148"/>
        <v>0</v>
      </c>
      <c r="AJ162" s="134">
        <f t="shared" si="149"/>
        <v>0</v>
      </c>
      <c r="AK162" s="134">
        <f t="shared" si="150"/>
        <v>0</v>
      </c>
      <c r="AL162" s="134">
        <f t="shared" si="151"/>
        <v>0</v>
      </c>
      <c r="AM162" s="134">
        <f t="shared" si="152"/>
        <v>0</v>
      </c>
      <c r="AN162" s="134">
        <f t="shared" si="153"/>
        <v>0</v>
      </c>
      <c r="AO162" s="134">
        <f t="shared" si="154"/>
        <v>0</v>
      </c>
      <c r="AP162" s="134">
        <f t="shared" si="155"/>
        <v>0</v>
      </c>
      <c r="AQ162" s="134">
        <f t="shared" si="156"/>
        <v>0</v>
      </c>
      <c r="AR162" s="134">
        <f t="shared" si="157"/>
        <v>0</v>
      </c>
      <c r="AS162" s="135">
        <f t="shared" si="169"/>
        <v>0</v>
      </c>
      <c r="AT162" s="137" t="str">
        <f t="shared" si="158"/>
        <v>0</v>
      </c>
      <c r="AU162" s="137" t="str">
        <f t="shared" si="159"/>
        <v>0</v>
      </c>
      <c r="AV162" s="137" t="str">
        <f t="shared" si="160"/>
        <v>0</v>
      </c>
      <c r="AW162" s="137" t="str">
        <f t="shared" si="161"/>
        <v>0</v>
      </c>
      <c r="AX162" s="137" t="str">
        <f t="shared" si="162"/>
        <v>0</v>
      </c>
      <c r="AY162" s="137" t="str">
        <f t="shared" si="163"/>
        <v>0</v>
      </c>
      <c r="AZ162" s="137" t="str">
        <f t="shared" si="164"/>
        <v>0</v>
      </c>
      <c r="BA162" s="137" t="str">
        <f t="shared" si="165"/>
        <v>0</v>
      </c>
      <c r="BB162" s="137" t="str">
        <f t="shared" si="166"/>
        <v>0</v>
      </c>
      <c r="BC162" s="137" t="str">
        <f t="shared" si="167"/>
        <v>0</v>
      </c>
      <c r="BD162" s="131">
        <f t="shared" si="170"/>
        <v>0</v>
      </c>
    </row>
    <row r="163" spans="2:56" x14ac:dyDescent="0.25">
      <c r="B163" s="136">
        <v>8205762</v>
      </c>
      <c r="C163" s="128" t="s">
        <v>30</v>
      </c>
      <c r="D163" s="128"/>
      <c r="E163" s="136" t="s">
        <v>250</v>
      </c>
      <c r="F163" s="274"/>
      <c r="G163" s="130">
        <f>+SUMIFS(TablaIngresos[Cantidad],TablaIngresos[Código],'Inventario '!B163)</f>
        <v>0</v>
      </c>
      <c r="H163" s="130">
        <f t="shared" si="118"/>
        <v>0</v>
      </c>
      <c r="I163" s="131">
        <f>SUMIFS(TablaConsumos[[CANTIDAD ]:[CANTIDAD ]],TablaConsumos[[CÓDIGO]:[CÓDIGO]],'Inventario '!$B163,TablaConsumos[[Planta]:[Planta]],'Inventario '!I$1)</f>
        <v>0</v>
      </c>
      <c r="J163" s="131">
        <f>SUMIFS(TablaConsumos[[CANTIDAD ]:[CANTIDAD ]],TablaConsumos[[CÓDIGO]:[CÓDIGO]],'Inventario '!$B163,TablaConsumos[[Planta]:[Planta]],'Inventario '!J$1)</f>
        <v>0</v>
      </c>
      <c r="K163" s="131">
        <f>SUMIFS(TablaConsumos[[CANTIDAD ]:[CANTIDAD ]],TablaConsumos[[CÓDIGO]:[CÓDIGO]],'Inventario '!$B163,TablaConsumos[[Planta]:[Planta]],'Inventario '!K$1)</f>
        <v>0</v>
      </c>
      <c r="L163" s="131">
        <f>SUMIFS(TablaConsumos[[CANTIDAD ]:[CANTIDAD ]],TablaConsumos[[CÓDIGO]:[CÓDIGO]],'Inventario '!$B163,TablaConsumos[[Planta]:[Planta]],'Inventario '!L$1)</f>
        <v>0</v>
      </c>
      <c r="M163" s="131">
        <f>SUMIFS(TablaConsumos[[CANTIDAD ]:[CANTIDAD ]],TablaConsumos[[CÓDIGO]:[CÓDIGO]],'Inventario '!$B163,TablaConsumos[[Planta]:[Planta]],'Inventario '!M$1)</f>
        <v>0</v>
      </c>
      <c r="N163" s="131">
        <f>SUMIFS(TablaConsumos[[CANTIDAD ]:[CANTIDAD ]],TablaConsumos[[CÓDIGO]:[CÓDIGO]],'Inventario '!$B163,TablaConsumos[[Planta]:[Planta]],'Inventario '!N$1)</f>
        <v>0</v>
      </c>
      <c r="O163" s="131">
        <f>SUMIFS(TablaConsumos[[CANTIDAD ]:[CANTIDAD ]],TablaConsumos[[CÓDIGO]:[CÓDIGO]],'Inventario '!$B163,TablaConsumos[[Planta]:[Planta]],'Inventario '!O$1)</f>
        <v>0</v>
      </c>
      <c r="P163" s="131">
        <f>SUMIFS(TablaConsumos[[CANTIDAD ]:[CANTIDAD ]],TablaConsumos[[CÓDIGO]:[CÓDIGO]],'Inventario '!$B163,TablaConsumos[[Planta]:[Planta]],'Inventario '!P$1)</f>
        <v>0</v>
      </c>
      <c r="Q163" s="131">
        <f>SUMIFS(TablaConsumos[[CANTIDAD ]:[CANTIDAD ]],TablaConsumos[[CÓDIGO]:[CÓDIGO]],'Inventario '!$B163,TablaConsumos[[Planta]:[Planta]],'Inventario '!Q$1)</f>
        <v>0</v>
      </c>
      <c r="R163" s="131">
        <f>SUMIFS(TablaConsumos[[CANTIDAD ]:[CANTIDAD ]],TablaConsumos[[CÓDIGO]:[CÓDIGO]],'Inventario '!$B163,TablaConsumos[[Planta]:[Planta]],'Inventario '!R$1)</f>
        <v>0</v>
      </c>
      <c r="S163" s="130">
        <f t="shared" si="168"/>
        <v>0</v>
      </c>
      <c r="T163" s="130">
        <f t="shared" si="117"/>
        <v>0</v>
      </c>
      <c r="U163" s="177"/>
      <c r="V163" s="130"/>
      <c r="W163" s="179">
        <v>30.48</v>
      </c>
      <c r="X163" s="133">
        <f t="shared" si="143"/>
        <v>0</v>
      </c>
      <c r="Y163" s="130">
        <f t="shared" si="144"/>
        <v>0</v>
      </c>
      <c r="Z163" s="132"/>
      <c r="AA163" s="132">
        <f t="shared" si="145"/>
        <v>0</v>
      </c>
      <c r="AB163" s="132"/>
      <c r="AC163" s="131">
        <f t="shared" si="146"/>
        <v>0</v>
      </c>
      <c r="AD163" s="131"/>
      <c r="AE163" s="132" t="s">
        <v>612</v>
      </c>
      <c r="AF163" s="132">
        <v>3048</v>
      </c>
      <c r="AG163" s="168"/>
      <c r="AH163" s="134">
        <f t="shared" si="147"/>
        <v>0</v>
      </c>
      <c r="AI163" s="134">
        <f t="shared" si="148"/>
        <v>0</v>
      </c>
      <c r="AJ163" s="134">
        <f t="shared" si="149"/>
        <v>0</v>
      </c>
      <c r="AK163" s="134">
        <f t="shared" si="150"/>
        <v>0</v>
      </c>
      <c r="AL163" s="134">
        <f t="shared" si="151"/>
        <v>0</v>
      </c>
      <c r="AM163" s="134">
        <f t="shared" si="152"/>
        <v>0</v>
      </c>
      <c r="AN163" s="134">
        <f t="shared" si="153"/>
        <v>0</v>
      </c>
      <c r="AO163" s="134">
        <f t="shared" si="154"/>
        <v>0</v>
      </c>
      <c r="AP163" s="134">
        <f t="shared" si="155"/>
        <v>0</v>
      </c>
      <c r="AQ163" s="134">
        <f t="shared" si="156"/>
        <v>0</v>
      </c>
      <c r="AR163" s="134">
        <f t="shared" si="157"/>
        <v>0</v>
      </c>
      <c r="AS163" s="135">
        <f t="shared" si="169"/>
        <v>0</v>
      </c>
      <c r="AT163" s="137" t="str">
        <f t="shared" si="158"/>
        <v>0</v>
      </c>
      <c r="AU163" s="137" t="str">
        <f t="shared" si="159"/>
        <v>0</v>
      </c>
      <c r="AV163" s="137" t="str">
        <f t="shared" si="160"/>
        <v>0</v>
      </c>
      <c r="AW163" s="137" t="str">
        <f t="shared" si="161"/>
        <v>0</v>
      </c>
      <c r="AX163" s="137" t="str">
        <f t="shared" si="162"/>
        <v>0</v>
      </c>
      <c r="AY163" s="137" t="str">
        <f t="shared" si="163"/>
        <v>0</v>
      </c>
      <c r="AZ163" s="137" t="str">
        <f t="shared" si="164"/>
        <v>0</v>
      </c>
      <c r="BA163" s="137" t="str">
        <f t="shared" si="165"/>
        <v>0</v>
      </c>
      <c r="BB163" s="137" t="str">
        <f t="shared" si="166"/>
        <v>0</v>
      </c>
      <c r="BC163" s="137" t="str">
        <f t="shared" si="167"/>
        <v>0</v>
      </c>
      <c r="BD163" s="131">
        <f t="shared" si="170"/>
        <v>0</v>
      </c>
    </row>
    <row r="164" spans="2:56" x14ac:dyDescent="0.25">
      <c r="B164" s="136">
        <v>8205265</v>
      </c>
      <c r="C164" s="128" t="s">
        <v>30</v>
      </c>
      <c r="D164" s="128"/>
      <c r="E164" s="136" t="s">
        <v>251</v>
      </c>
      <c r="F164" s="274"/>
      <c r="G164" s="130">
        <f>+SUMIFS(TablaIngresos[Cantidad],TablaIngresos[Código],'Inventario '!B164)</f>
        <v>0</v>
      </c>
      <c r="H164" s="130">
        <f t="shared" si="118"/>
        <v>0</v>
      </c>
      <c r="I164" s="131">
        <f>SUMIFS(TablaConsumos[[CANTIDAD ]:[CANTIDAD ]],TablaConsumos[[CÓDIGO]:[CÓDIGO]],'Inventario '!$B164,TablaConsumos[[Planta]:[Planta]],'Inventario '!I$1)</f>
        <v>0</v>
      </c>
      <c r="J164" s="131">
        <f>SUMIFS(TablaConsumos[[CANTIDAD ]:[CANTIDAD ]],TablaConsumos[[CÓDIGO]:[CÓDIGO]],'Inventario '!$B164,TablaConsumos[[Planta]:[Planta]],'Inventario '!J$1)</f>
        <v>0</v>
      </c>
      <c r="K164" s="131">
        <f>SUMIFS(TablaConsumos[[CANTIDAD ]:[CANTIDAD ]],TablaConsumos[[CÓDIGO]:[CÓDIGO]],'Inventario '!$B164,TablaConsumos[[Planta]:[Planta]],'Inventario '!K$1)</f>
        <v>0</v>
      </c>
      <c r="L164" s="131">
        <f>SUMIFS(TablaConsumos[[CANTIDAD ]:[CANTIDAD ]],TablaConsumos[[CÓDIGO]:[CÓDIGO]],'Inventario '!$B164,TablaConsumos[[Planta]:[Planta]],'Inventario '!L$1)</f>
        <v>0</v>
      </c>
      <c r="M164" s="131">
        <f>SUMIFS(TablaConsumos[[CANTIDAD ]:[CANTIDAD ]],TablaConsumos[[CÓDIGO]:[CÓDIGO]],'Inventario '!$B164,TablaConsumos[[Planta]:[Planta]],'Inventario '!M$1)</f>
        <v>0</v>
      </c>
      <c r="N164" s="131">
        <f>SUMIFS(TablaConsumos[[CANTIDAD ]:[CANTIDAD ]],TablaConsumos[[CÓDIGO]:[CÓDIGO]],'Inventario '!$B164,TablaConsumos[[Planta]:[Planta]],'Inventario '!N$1)</f>
        <v>0</v>
      </c>
      <c r="O164" s="131">
        <f>SUMIFS(TablaConsumos[[CANTIDAD ]:[CANTIDAD ]],TablaConsumos[[CÓDIGO]:[CÓDIGO]],'Inventario '!$B164,TablaConsumos[[Planta]:[Planta]],'Inventario '!O$1)</f>
        <v>0</v>
      </c>
      <c r="P164" s="131">
        <f>SUMIFS(TablaConsumos[[CANTIDAD ]:[CANTIDAD ]],TablaConsumos[[CÓDIGO]:[CÓDIGO]],'Inventario '!$B164,TablaConsumos[[Planta]:[Planta]],'Inventario '!P$1)</f>
        <v>0</v>
      </c>
      <c r="Q164" s="131">
        <f>SUMIFS(TablaConsumos[[CANTIDAD ]:[CANTIDAD ]],TablaConsumos[[CÓDIGO]:[CÓDIGO]],'Inventario '!$B164,TablaConsumos[[Planta]:[Planta]],'Inventario '!Q$1)</f>
        <v>0</v>
      </c>
      <c r="R164" s="131">
        <f>SUMIFS(TablaConsumos[[CANTIDAD ]:[CANTIDAD ]],TablaConsumos[[CÓDIGO]:[CÓDIGO]],'Inventario '!$B164,TablaConsumos[[Planta]:[Planta]],'Inventario '!R$1)</f>
        <v>0</v>
      </c>
      <c r="S164" s="130">
        <f t="shared" si="168"/>
        <v>0</v>
      </c>
      <c r="T164" s="130">
        <f t="shared" si="117"/>
        <v>0</v>
      </c>
      <c r="U164" s="177"/>
      <c r="V164" s="130"/>
      <c r="W164" s="179">
        <v>30.48</v>
      </c>
      <c r="X164" s="133">
        <f t="shared" si="143"/>
        <v>0</v>
      </c>
      <c r="Y164" s="130">
        <f t="shared" si="144"/>
        <v>0</v>
      </c>
      <c r="Z164" s="132"/>
      <c r="AA164" s="132">
        <f t="shared" si="145"/>
        <v>0</v>
      </c>
      <c r="AB164" s="132"/>
      <c r="AC164" s="131">
        <f t="shared" si="146"/>
        <v>0</v>
      </c>
      <c r="AD164" s="131"/>
      <c r="AE164" s="132" t="s">
        <v>612</v>
      </c>
      <c r="AF164" s="132">
        <v>3048</v>
      </c>
      <c r="AG164" s="168"/>
      <c r="AH164" s="134">
        <f t="shared" si="147"/>
        <v>0</v>
      </c>
      <c r="AI164" s="134">
        <f t="shared" si="148"/>
        <v>0</v>
      </c>
      <c r="AJ164" s="134">
        <f t="shared" si="149"/>
        <v>0</v>
      </c>
      <c r="AK164" s="134">
        <f t="shared" si="150"/>
        <v>0</v>
      </c>
      <c r="AL164" s="134">
        <f t="shared" si="151"/>
        <v>0</v>
      </c>
      <c r="AM164" s="134">
        <f t="shared" si="152"/>
        <v>0</v>
      </c>
      <c r="AN164" s="134">
        <f t="shared" si="153"/>
        <v>0</v>
      </c>
      <c r="AO164" s="134">
        <f t="shared" si="154"/>
        <v>0</v>
      </c>
      <c r="AP164" s="134">
        <f t="shared" si="155"/>
        <v>0</v>
      </c>
      <c r="AQ164" s="134">
        <f t="shared" si="156"/>
        <v>0</v>
      </c>
      <c r="AR164" s="134">
        <f t="shared" si="157"/>
        <v>0</v>
      </c>
      <c r="AS164" s="135">
        <f t="shared" si="169"/>
        <v>0</v>
      </c>
      <c r="AT164" s="137" t="str">
        <f t="shared" si="158"/>
        <v>0</v>
      </c>
      <c r="AU164" s="137" t="str">
        <f t="shared" si="159"/>
        <v>0</v>
      </c>
      <c r="AV164" s="137" t="str">
        <f t="shared" si="160"/>
        <v>0</v>
      </c>
      <c r="AW164" s="137" t="str">
        <f t="shared" si="161"/>
        <v>0</v>
      </c>
      <c r="AX164" s="137" t="str">
        <f t="shared" si="162"/>
        <v>0</v>
      </c>
      <c r="AY164" s="137" t="str">
        <f t="shared" si="163"/>
        <v>0</v>
      </c>
      <c r="AZ164" s="137" t="str">
        <f t="shared" si="164"/>
        <v>0</v>
      </c>
      <c r="BA164" s="137" t="str">
        <f t="shared" si="165"/>
        <v>0</v>
      </c>
      <c r="BB164" s="137" t="str">
        <f t="shared" si="166"/>
        <v>0</v>
      </c>
      <c r="BC164" s="137" t="str">
        <f t="shared" si="167"/>
        <v>0</v>
      </c>
      <c r="BD164" s="131">
        <f t="shared" si="170"/>
        <v>0</v>
      </c>
    </row>
    <row r="165" spans="2:56" x14ac:dyDescent="0.25">
      <c r="B165" s="136">
        <v>8205910</v>
      </c>
      <c r="C165" s="128" t="s">
        <v>30</v>
      </c>
      <c r="D165" s="128"/>
      <c r="E165" s="136" t="s">
        <v>252</v>
      </c>
      <c r="F165" s="274"/>
      <c r="G165" s="130">
        <f>+SUMIFS(TablaIngresos[Cantidad],TablaIngresos[Código],'Inventario '!B165)</f>
        <v>0</v>
      </c>
      <c r="H165" s="130">
        <f t="shared" si="118"/>
        <v>0</v>
      </c>
      <c r="I165" s="131">
        <f>SUMIFS(TablaConsumos[[CANTIDAD ]:[CANTIDAD ]],TablaConsumos[[CÓDIGO]:[CÓDIGO]],'Inventario '!$B165,TablaConsumos[[Planta]:[Planta]],'Inventario '!I$1)</f>
        <v>0</v>
      </c>
      <c r="J165" s="131">
        <f>SUMIFS(TablaConsumos[[CANTIDAD ]:[CANTIDAD ]],TablaConsumos[[CÓDIGO]:[CÓDIGO]],'Inventario '!$B165,TablaConsumos[[Planta]:[Planta]],'Inventario '!J$1)</f>
        <v>0</v>
      </c>
      <c r="K165" s="131">
        <f>SUMIFS(TablaConsumos[[CANTIDAD ]:[CANTIDAD ]],TablaConsumos[[CÓDIGO]:[CÓDIGO]],'Inventario '!$B165,TablaConsumos[[Planta]:[Planta]],'Inventario '!K$1)</f>
        <v>0</v>
      </c>
      <c r="L165" s="131">
        <f>SUMIFS(TablaConsumos[[CANTIDAD ]:[CANTIDAD ]],TablaConsumos[[CÓDIGO]:[CÓDIGO]],'Inventario '!$B165,TablaConsumos[[Planta]:[Planta]],'Inventario '!L$1)</f>
        <v>0</v>
      </c>
      <c r="M165" s="131">
        <f>SUMIFS(TablaConsumos[[CANTIDAD ]:[CANTIDAD ]],TablaConsumos[[CÓDIGO]:[CÓDIGO]],'Inventario '!$B165,TablaConsumos[[Planta]:[Planta]],'Inventario '!M$1)</f>
        <v>0</v>
      </c>
      <c r="N165" s="131">
        <f>SUMIFS(TablaConsumos[[CANTIDAD ]:[CANTIDAD ]],TablaConsumos[[CÓDIGO]:[CÓDIGO]],'Inventario '!$B165,TablaConsumos[[Planta]:[Planta]],'Inventario '!N$1)</f>
        <v>0</v>
      </c>
      <c r="O165" s="131">
        <f>SUMIFS(TablaConsumos[[CANTIDAD ]:[CANTIDAD ]],TablaConsumos[[CÓDIGO]:[CÓDIGO]],'Inventario '!$B165,TablaConsumos[[Planta]:[Planta]],'Inventario '!O$1)</f>
        <v>0</v>
      </c>
      <c r="P165" s="131">
        <f>SUMIFS(TablaConsumos[[CANTIDAD ]:[CANTIDAD ]],TablaConsumos[[CÓDIGO]:[CÓDIGO]],'Inventario '!$B165,TablaConsumos[[Planta]:[Planta]],'Inventario '!P$1)</f>
        <v>0</v>
      </c>
      <c r="Q165" s="131">
        <f>SUMIFS(TablaConsumos[[CANTIDAD ]:[CANTIDAD ]],TablaConsumos[[CÓDIGO]:[CÓDIGO]],'Inventario '!$B165,TablaConsumos[[Planta]:[Planta]],'Inventario '!Q$1)</f>
        <v>0</v>
      </c>
      <c r="R165" s="131">
        <f>SUMIFS(TablaConsumos[[CANTIDAD ]:[CANTIDAD ]],TablaConsumos[[CÓDIGO]:[CÓDIGO]],'Inventario '!$B165,TablaConsumos[[Planta]:[Planta]],'Inventario '!R$1)</f>
        <v>0</v>
      </c>
      <c r="S165" s="130">
        <f t="shared" si="168"/>
        <v>0</v>
      </c>
      <c r="T165" s="130">
        <f t="shared" si="117"/>
        <v>0</v>
      </c>
      <c r="U165" s="177"/>
      <c r="V165" s="130"/>
      <c r="W165" s="179">
        <v>30.48</v>
      </c>
      <c r="X165" s="133">
        <f t="shared" si="143"/>
        <v>0</v>
      </c>
      <c r="Y165" s="130">
        <f t="shared" si="144"/>
        <v>0</v>
      </c>
      <c r="Z165" s="132"/>
      <c r="AA165" s="132">
        <f t="shared" si="145"/>
        <v>0</v>
      </c>
      <c r="AB165" s="132"/>
      <c r="AC165" s="131">
        <f t="shared" si="146"/>
        <v>0</v>
      </c>
      <c r="AD165" s="131"/>
      <c r="AE165" s="132" t="s">
        <v>612</v>
      </c>
      <c r="AF165" s="132">
        <v>3048</v>
      </c>
      <c r="AG165" s="168"/>
      <c r="AH165" s="134">
        <f t="shared" si="147"/>
        <v>0</v>
      </c>
      <c r="AI165" s="134">
        <f t="shared" si="148"/>
        <v>0</v>
      </c>
      <c r="AJ165" s="134">
        <f t="shared" si="149"/>
        <v>0</v>
      </c>
      <c r="AK165" s="134">
        <f t="shared" si="150"/>
        <v>0</v>
      </c>
      <c r="AL165" s="134">
        <f t="shared" si="151"/>
        <v>0</v>
      </c>
      <c r="AM165" s="134">
        <f t="shared" si="152"/>
        <v>0</v>
      </c>
      <c r="AN165" s="134">
        <f t="shared" si="153"/>
        <v>0</v>
      </c>
      <c r="AO165" s="134">
        <f t="shared" si="154"/>
        <v>0</v>
      </c>
      <c r="AP165" s="134">
        <f t="shared" si="155"/>
        <v>0</v>
      </c>
      <c r="AQ165" s="134">
        <f t="shared" si="156"/>
        <v>0</v>
      </c>
      <c r="AR165" s="134">
        <f t="shared" si="157"/>
        <v>0</v>
      </c>
      <c r="AS165" s="135">
        <f t="shared" si="169"/>
        <v>0</v>
      </c>
      <c r="AT165" s="137" t="str">
        <f t="shared" si="158"/>
        <v>0</v>
      </c>
      <c r="AU165" s="137" t="str">
        <f t="shared" si="159"/>
        <v>0</v>
      </c>
      <c r="AV165" s="137" t="str">
        <f t="shared" si="160"/>
        <v>0</v>
      </c>
      <c r="AW165" s="137" t="str">
        <f t="shared" si="161"/>
        <v>0</v>
      </c>
      <c r="AX165" s="137" t="str">
        <f t="shared" si="162"/>
        <v>0</v>
      </c>
      <c r="AY165" s="137" t="str">
        <f t="shared" si="163"/>
        <v>0</v>
      </c>
      <c r="AZ165" s="137" t="str">
        <f t="shared" si="164"/>
        <v>0</v>
      </c>
      <c r="BA165" s="137" t="str">
        <f t="shared" si="165"/>
        <v>0</v>
      </c>
      <c r="BB165" s="137" t="str">
        <f t="shared" si="166"/>
        <v>0</v>
      </c>
      <c r="BC165" s="137" t="str">
        <f t="shared" si="167"/>
        <v>0</v>
      </c>
      <c r="BD165" s="131">
        <f t="shared" si="170"/>
        <v>0</v>
      </c>
    </row>
    <row r="166" spans="2:56" x14ac:dyDescent="0.25">
      <c r="B166" s="136">
        <v>8205911</v>
      </c>
      <c r="C166" s="128" t="s">
        <v>30</v>
      </c>
      <c r="D166" s="128"/>
      <c r="E166" s="136" t="s">
        <v>253</v>
      </c>
      <c r="F166" s="274"/>
      <c r="G166" s="130">
        <f>+SUMIFS(TablaIngresos[Cantidad],TablaIngresos[Código],'Inventario '!B166)</f>
        <v>0</v>
      </c>
      <c r="H166" s="130">
        <f t="shared" si="118"/>
        <v>0</v>
      </c>
      <c r="I166" s="131">
        <f>SUMIFS(TablaConsumos[[CANTIDAD ]:[CANTIDAD ]],TablaConsumos[[CÓDIGO]:[CÓDIGO]],'Inventario '!$B166,TablaConsumos[[Planta]:[Planta]],'Inventario '!I$1)</f>
        <v>0</v>
      </c>
      <c r="J166" s="131">
        <f>SUMIFS(TablaConsumos[[CANTIDAD ]:[CANTIDAD ]],TablaConsumos[[CÓDIGO]:[CÓDIGO]],'Inventario '!$B166,TablaConsumos[[Planta]:[Planta]],'Inventario '!J$1)</f>
        <v>0</v>
      </c>
      <c r="K166" s="131">
        <f>SUMIFS(TablaConsumos[[CANTIDAD ]:[CANTIDAD ]],TablaConsumos[[CÓDIGO]:[CÓDIGO]],'Inventario '!$B166,TablaConsumos[[Planta]:[Planta]],'Inventario '!K$1)</f>
        <v>0</v>
      </c>
      <c r="L166" s="131">
        <f>SUMIFS(TablaConsumos[[CANTIDAD ]:[CANTIDAD ]],TablaConsumos[[CÓDIGO]:[CÓDIGO]],'Inventario '!$B166,TablaConsumos[[Planta]:[Planta]],'Inventario '!L$1)</f>
        <v>0</v>
      </c>
      <c r="M166" s="131">
        <f>SUMIFS(TablaConsumos[[CANTIDAD ]:[CANTIDAD ]],TablaConsumos[[CÓDIGO]:[CÓDIGO]],'Inventario '!$B166,TablaConsumos[[Planta]:[Planta]],'Inventario '!M$1)</f>
        <v>0</v>
      </c>
      <c r="N166" s="131">
        <f>SUMIFS(TablaConsumos[[CANTIDAD ]:[CANTIDAD ]],TablaConsumos[[CÓDIGO]:[CÓDIGO]],'Inventario '!$B166,TablaConsumos[[Planta]:[Planta]],'Inventario '!N$1)</f>
        <v>0</v>
      </c>
      <c r="O166" s="131">
        <f>SUMIFS(TablaConsumos[[CANTIDAD ]:[CANTIDAD ]],TablaConsumos[[CÓDIGO]:[CÓDIGO]],'Inventario '!$B166,TablaConsumos[[Planta]:[Planta]],'Inventario '!O$1)</f>
        <v>0</v>
      </c>
      <c r="P166" s="131">
        <f>SUMIFS(TablaConsumos[[CANTIDAD ]:[CANTIDAD ]],TablaConsumos[[CÓDIGO]:[CÓDIGO]],'Inventario '!$B166,TablaConsumos[[Planta]:[Planta]],'Inventario '!P$1)</f>
        <v>0</v>
      </c>
      <c r="Q166" s="131">
        <f>SUMIFS(TablaConsumos[[CANTIDAD ]:[CANTIDAD ]],TablaConsumos[[CÓDIGO]:[CÓDIGO]],'Inventario '!$B166,TablaConsumos[[Planta]:[Planta]],'Inventario '!Q$1)</f>
        <v>0</v>
      </c>
      <c r="R166" s="131">
        <f>SUMIFS(TablaConsumos[[CANTIDAD ]:[CANTIDAD ]],TablaConsumos[[CÓDIGO]:[CÓDIGO]],'Inventario '!$B166,TablaConsumos[[Planta]:[Planta]],'Inventario '!R$1)</f>
        <v>0</v>
      </c>
      <c r="S166" s="130">
        <f t="shared" si="168"/>
        <v>0</v>
      </c>
      <c r="T166" s="130">
        <f t="shared" ref="T166:T211" si="171">+H166-S166</f>
        <v>0</v>
      </c>
      <c r="U166" s="177"/>
      <c r="V166" s="130"/>
      <c r="W166" s="179">
        <v>30.48</v>
      </c>
      <c r="X166" s="133">
        <f t="shared" si="143"/>
        <v>0</v>
      </c>
      <c r="Y166" s="130">
        <f t="shared" si="144"/>
        <v>0</v>
      </c>
      <c r="Z166" s="132"/>
      <c r="AA166" s="132">
        <f t="shared" si="145"/>
        <v>0</v>
      </c>
      <c r="AB166" s="132"/>
      <c r="AC166" s="131">
        <f t="shared" si="146"/>
        <v>0</v>
      </c>
      <c r="AD166" s="131"/>
      <c r="AE166" s="132" t="s">
        <v>612</v>
      </c>
      <c r="AF166" s="132">
        <v>3048</v>
      </c>
      <c r="AG166" s="168"/>
      <c r="AH166" s="134">
        <f t="shared" si="147"/>
        <v>0</v>
      </c>
      <c r="AI166" s="134">
        <f t="shared" si="148"/>
        <v>0</v>
      </c>
      <c r="AJ166" s="134">
        <f t="shared" si="149"/>
        <v>0</v>
      </c>
      <c r="AK166" s="134">
        <f t="shared" si="150"/>
        <v>0</v>
      </c>
      <c r="AL166" s="134">
        <f t="shared" si="151"/>
        <v>0</v>
      </c>
      <c r="AM166" s="134">
        <f t="shared" si="152"/>
        <v>0</v>
      </c>
      <c r="AN166" s="134">
        <f t="shared" si="153"/>
        <v>0</v>
      </c>
      <c r="AO166" s="134">
        <f t="shared" si="154"/>
        <v>0</v>
      </c>
      <c r="AP166" s="134">
        <f t="shared" si="155"/>
        <v>0</v>
      </c>
      <c r="AQ166" s="134">
        <f t="shared" si="156"/>
        <v>0</v>
      </c>
      <c r="AR166" s="134">
        <f t="shared" si="157"/>
        <v>0</v>
      </c>
      <c r="AS166" s="135">
        <f t="shared" si="169"/>
        <v>0</v>
      </c>
      <c r="AT166" s="137" t="str">
        <f t="shared" si="158"/>
        <v>0</v>
      </c>
      <c r="AU166" s="137" t="str">
        <f t="shared" si="159"/>
        <v>0</v>
      </c>
      <c r="AV166" s="137" t="str">
        <f t="shared" si="160"/>
        <v>0</v>
      </c>
      <c r="AW166" s="137" t="str">
        <f t="shared" si="161"/>
        <v>0</v>
      </c>
      <c r="AX166" s="137" t="str">
        <f t="shared" si="162"/>
        <v>0</v>
      </c>
      <c r="AY166" s="137" t="str">
        <f t="shared" si="163"/>
        <v>0</v>
      </c>
      <c r="AZ166" s="137" t="str">
        <f t="shared" si="164"/>
        <v>0</v>
      </c>
      <c r="BA166" s="137" t="str">
        <f t="shared" si="165"/>
        <v>0</v>
      </c>
      <c r="BB166" s="137" t="str">
        <f t="shared" si="166"/>
        <v>0</v>
      </c>
      <c r="BC166" s="137" t="str">
        <f t="shared" si="167"/>
        <v>0</v>
      </c>
      <c r="BD166" s="131">
        <f t="shared" si="170"/>
        <v>0</v>
      </c>
    </row>
    <row r="167" spans="2:56" x14ac:dyDescent="0.25">
      <c r="B167" s="136">
        <v>8206270</v>
      </c>
      <c r="C167" s="232" t="s">
        <v>30</v>
      </c>
      <c r="D167" s="232"/>
      <c r="E167" s="233" t="s">
        <v>833</v>
      </c>
      <c r="F167" s="274"/>
      <c r="G167" s="130">
        <f>+SUMIFS(TablaIngresos[Cantidad],TablaIngresos[Código],'Inventario '!B167)</f>
        <v>0</v>
      </c>
      <c r="H167" s="130">
        <f t="shared" ref="H167:H183" si="172">+F167+G167</f>
        <v>0</v>
      </c>
      <c r="I167" s="131">
        <f>SUMIFS(TablaConsumos[[CANTIDAD ]:[CANTIDAD ]],TablaConsumos[[CÓDIGO]:[CÓDIGO]],'Inventario '!$B167,TablaConsumos[[Planta]:[Planta]],'Inventario '!I$1)</f>
        <v>0</v>
      </c>
      <c r="J167" s="131">
        <f>SUMIFS(TablaConsumos[[CANTIDAD ]:[CANTIDAD ]],TablaConsumos[[CÓDIGO]:[CÓDIGO]],'Inventario '!$B167,TablaConsumos[[Planta]:[Planta]],'Inventario '!J$1)</f>
        <v>0</v>
      </c>
      <c r="K167" s="131">
        <f>SUMIFS(TablaConsumos[[CANTIDAD ]:[CANTIDAD ]],TablaConsumos[[CÓDIGO]:[CÓDIGO]],'Inventario '!$B167,TablaConsumos[[Planta]:[Planta]],'Inventario '!K$1)</f>
        <v>0</v>
      </c>
      <c r="L167" s="131">
        <f>SUMIFS(TablaConsumos[[CANTIDAD ]:[CANTIDAD ]],TablaConsumos[[CÓDIGO]:[CÓDIGO]],'Inventario '!$B167,TablaConsumos[[Planta]:[Planta]],'Inventario '!L$1)</f>
        <v>0</v>
      </c>
      <c r="M167" s="131">
        <f>SUMIFS(TablaConsumos[[CANTIDAD ]:[CANTIDAD ]],TablaConsumos[[CÓDIGO]:[CÓDIGO]],'Inventario '!$B167,TablaConsumos[[Planta]:[Planta]],'Inventario '!M$1)</f>
        <v>0</v>
      </c>
      <c r="N167" s="131">
        <f>SUMIFS(TablaConsumos[[CANTIDAD ]:[CANTIDAD ]],TablaConsumos[[CÓDIGO]:[CÓDIGO]],'Inventario '!$B167,TablaConsumos[[Planta]:[Planta]],'Inventario '!N$1)</f>
        <v>0</v>
      </c>
      <c r="O167" s="131">
        <f>SUMIFS(TablaConsumos[[CANTIDAD ]:[CANTIDAD ]],TablaConsumos[[CÓDIGO]:[CÓDIGO]],'Inventario '!$B167,TablaConsumos[[Planta]:[Planta]],'Inventario '!O$1)</f>
        <v>0</v>
      </c>
      <c r="P167" s="131">
        <f>SUMIFS(TablaConsumos[[CANTIDAD ]:[CANTIDAD ]],TablaConsumos[[CÓDIGO]:[CÓDIGO]],'Inventario '!$B167,TablaConsumos[[Planta]:[Planta]],'Inventario '!P$1)</f>
        <v>0</v>
      </c>
      <c r="Q167" s="131">
        <f>SUMIFS(TablaConsumos[[CANTIDAD ]:[CANTIDAD ]],TablaConsumos[[CÓDIGO]:[CÓDIGO]],'Inventario '!$B167,TablaConsumos[[Planta]:[Planta]],'Inventario '!Q$1)</f>
        <v>0</v>
      </c>
      <c r="R167" s="131">
        <f>SUMIFS(TablaConsumos[[CANTIDAD ]:[CANTIDAD ]],TablaConsumos[[CÓDIGO]:[CÓDIGO]],'Inventario '!$B167,TablaConsumos[[Planta]:[Planta]],'Inventario '!R$1)</f>
        <v>0</v>
      </c>
      <c r="S167" s="130">
        <f t="shared" ref="S167:S183" si="173">+SUM(I167:R167)</f>
        <v>0</v>
      </c>
      <c r="T167" s="130">
        <f t="shared" ref="T167:T183" si="174">+H167-S167</f>
        <v>0</v>
      </c>
      <c r="U167" s="177"/>
      <c r="V167" s="130"/>
      <c r="W167" s="179">
        <v>30.48</v>
      </c>
      <c r="X167" s="133">
        <f t="shared" ref="X167:X183" si="175">+U167*W167</f>
        <v>0</v>
      </c>
      <c r="Y167" s="130">
        <f t="shared" ref="Y167:Y183" si="176">+T167-X167</f>
        <v>0</v>
      </c>
      <c r="Z167" s="132"/>
      <c r="AA167" s="132">
        <f t="shared" si="145"/>
        <v>0</v>
      </c>
      <c r="AB167" s="132"/>
      <c r="AC167" s="131"/>
      <c r="AD167" s="131"/>
      <c r="AE167" s="132" t="s">
        <v>612</v>
      </c>
      <c r="AF167" s="132">
        <v>3048</v>
      </c>
      <c r="AG167" s="168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5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31"/>
    </row>
    <row r="168" spans="2:56" x14ac:dyDescent="0.25">
      <c r="B168" s="136">
        <v>8206271</v>
      </c>
      <c r="C168" s="232" t="s">
        <v>30</v>
      </c>
      <c r="D168" s="232"/>
      <c r="E168" s="233" t="s">
        <v>834</v>
      </c>
      <c r="F168" s="274"/>
      <c r="G168" s="130">
        <f>+SUMIFS(TablaIngresos[Cantidad],TablaIngresos[Código],'Inventario '!B168)</f>
        <v>0</v>
      </c>
      <c r="H168" s="130">
        <f t="shared" si="172"/>
        <v>0</v>
      </c>
      <c r="I168" s="131">
        <f>SUMIFS(TablaConsumos[[CANTIDAD ]:[CANTIDAD ]],TablaConsumos[[CÓDIGO]:[CÓDIGO]],'Inventario '!$B168,TablaConsumos[[Planta]:[Planta]],'Inventario '!I$1)</f>
        <v>0</v>
      </c>
      <c r="J168" s="131">
        <f>SUMIFS(TablaConsumos[[CANTIDAD ]:[CANTIDAD ]],TablaConsumos[[CÓDIGO]:[CÓDIGO]],'Inventario '!$B168,TablaConsumos[[Planta]:[Planta]],'Inventario '!J$1)</f>
        <v>0</v>
      </c>
      <c r="K168" s="131">
        <f>SUMIFS(TablaConsumos[[CANTIDAD ]:[CANTIDAD ]],TablaConsumos[[CÓDIGO]:[CÓDIGO]],'Inventario '!$B168,TablaConsumos[[Planta]:[Planta]],'Inventario '!K$1)</f>
        <v>0</v>
      </c>
      <c r="L168" s="131">
        <f>SUMIFS(TablaConsumos[[CANTIDAD ]:[CANTIDAD ]],TablaConsumos[[CÓDIGO]:[CÓDIGO]],'Inventario '!$B168,TablaConsumos[[Planta]:[Planta]],'Inventario '!L$1)</f>
        <v>0</v>
      </c>
      <c r="M168" s="131">
        <f>SUMIFS(TablaConsumos[[CANTIDAD ]:[CANTIDAD ]],TablaConsumos[[CÓDIGO]:[CÓDIGO]],'Inventario '!$B168,TablaConsumos[[Planta]:[Planta]],'Inventario '!M$1)</f>
        <v>0</v>
      </c>
      <c r="N168" s="131">
        <f>SUMIFS(TablaConsumos[[CANTIDAD ]:[CANTIDAD ]],TablaConsumos[[CÓDIGO]:[CÓDIGO]],'Inventario '!$B168,TablaConsumos[[Planta]:[Planta]],'Inventario '!N$1)</f>
        <v>0</v>
      </c>
      <c r="O168" s="131">
        <f>SUMIFS(TablaConsumos[[CANTIDAD ]:[CANTIDAD ]],TablaConsumos[[CÓDIGO]:[CÓDIGO]],'Inventario '!$B168,TablaConsumos[[Planta]:[Planta]],'Inventario '!O$1)</f>
        <v>0</v>
      </c>
      <c r="P168" s="131">
        <f>SUMIFS(TablaConsumos[[CANTIDAD ]:[CANTIDAD ]],TablaConsumos[[CÓDIGO]:[CÓDIGO]],'Inventario '!$B168,TablaConsumos[[Planta]:[Planta]],'Inventario '!P$1)</f>
        <v>0</v>
      </c>
      <c r="Q168" s="131">
        <f>SUMIFS(TablaConsumos[[CANTIDAD ]:[CANTIDAD ]],TablaConsumos[[CÓDIGO]:[CÓDIGO]],'Inventario '!$B168,TablaConsumos[[Planta]:[Planta]],'Inventario '!Q$1)</f>
        <v>0</v>
      </c>
      <c r="R168" s="131">
        <f>SUMIFS(TablaConsumos[[CANTIDAD ]:[CANTIDAD ]],TablaConsumos[[CÓDIGO]:[CÓDIGO]],'Inventario '!$B168,TablaConsumos[[Planta]:[Planta]],'Inventario '!R$1)</f>
        <v>0</v>
      </c>
      <c r="S168" s="130">
        <f t="shared" si="173"/>
        <v>0</v>
      </c>
      <c r="T168" s="130">
        <f t="shared" si="174"/>
        <v>0</v>
      </c>
      <c r="U168" s="177"/>
      <c r="V168" s="130"/>
      <c r="W168" s="179">
        <v>30.48</v>
      </c>
      <c r="X168" s="133">
        <f t="shared" si="175"/>
        <v>0</v>
      </c>
      <c r="Y168" s="130">
        <f t="shared" si="176"/>
        <v>0</v>
      </c>
      <c r="Z168" s="132"/>
      <c r="AA168" s="132">
        <f t="shared" si="145"/>
        <v>0</v>
      </c>
      <c r="AB168" s="132"/>
      <c r="AC168" s="131"/>
      <c r="AD168" s="131"/>
      <c r="AE168" s="132" t="s">
        <v>612</v>
      </c>
      <c r="AF168" s="132">
        <v>3048</v>
      </c>
      <c r="AG168" s="168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5"/>
      <c r="AT168" s="137"/>
      <c r="AU168" s="137"/>
      <c r="AV168" s="137"/>
      <c r="AW168" s="137"/>
      <c r="AX168" s="137"/>
      <c r="AY168" s="137"/>
      <c r="AZ168" s="137"/>
      <c r="BA168" s="137"/>
      <c r="BB168" s="137"/>
      <c r="BC168" s="137"/>
      <c r="BD168" s="131"/>
    </row>
    <row r="169" spans="2:56" x14ac:dyDescent="0.25">
      <c r="B169" s="231">
        <v>8205267</v>
      </c>
      <c r="C169" s="232" t="s">
        <v>30</v>
      </c>
      <c r="D169" s="232"/>
      <c r="E169" s="233" t="s">
        <v>835</v>
      </c>
      <c r="F169" s="274"/>
      <c r="G169" s="130">
        <f>+SUMIFS(TablaIngresos[Cantidad],TablaIngresos[Código],'Inventario '!B169)</f>
        <v>0</v>
      </c>
      <c r="H169" s="130">
        <f t="shared" si="172"/>
        <v>0</v>
      </c>
      <c r="I169" s="131">
        <f>SUMIFS(TablaConsumos[[CANTIDAD ]:[CANTIDAD ]],TablaConsumos[[CÓDIGO]:[CÓDIGO]],'Inventario '!$B169,TablaConsumos[[Planta]:[Planta]],'Inventario '!I$1)</f>
        <v>0</v>
      </c>
      <c r="J169" s="131">
        <f>SUMIFS(TablaConsumos[[CANTIDAD ]:[CANTIDAD ]],TablaConsumos[[CÓDIGO]:[CÓDIGO]],'Inventario '!$B169,TablaConsumos[[Planta]:[Planta]],'Inventario '!J$1)</f>
        <v>0</v>
      </c>
      <c r="K169" s="131">
        <f>SUMIFS(TablaConsumos[[CANTIDAD ]:[CANTIDAD ]],TablaConsumos[[CÓDIGO]:[CÓDIGO]],'Inventario '!$B169,TablaConsumos[[Planta]:[Planta]],'Inventario '!K$1)</f>
        <v>0</v>
      </c>
      <c r="L169" s="131">
        <f>SUMIFS(TablaConsumos[[CANTIDAD ]:[CANTIDAD ]],TablaConsumos[[CÓDIGO]:[CÓDIGO]],'Inventario '!$B169,TablaConsumos[[Planta]:[Planta]],'Inventario '!L$1)</f>
        <v>0</v>
      </c>
      <c r="M169" s="131">
        <f>SUMIFS(TablaConsumos[[CANTIDAD ]:[CANTIDAD ]],TablaConsumos[[CÓDIGO]:[CÓDIGO]],'Inventario '!$B169,TablaConsumos[[Planta]:[Planta]],'Inventario '!M$1)</f>
        <v>0</v>
      </c>
      <c r="N169" s="131">
        <f>SUMIFS(TablaConsumos[[CANTIDAD ]:[CANTIDAD ]],TablaConsumos[[CÓDIGO]:[CÓDIGO]],'Inventario '!$B169,TablaConsumos[[Planta]:[Planta]],'Inventario '!N$1)</f>
        <v>0</v>
      </c>
      <c r="O169" s="131">
        <f>SUMIFS(TablaConsumos[[CANTIDAD ]:[CANTIDAD ]],TablaConsumos[[CÓDIGO]:[CÓDIGO]],'Inventario '!$B169,TablaConsumos[[Planta]:[Planta]],'Inventario '!O$1)</f>
        <v>0</v>
      </c>
      <c r="P169" s="131">
        <f>SUMIFS(TablaConsumos[[CANTIDAD ]:[CANTIDAD ]],TablaConsumos[[CÓDIGO]:[CÓDIGO]],'Inventario '!$B169,TablaConsumos[[Planta]:[Planta]],'Inventario '!P$1)</f>
        <v>0</v>
      </c>
      <c r="Q169" s="131">
        <f>SUMIFS(TablaConsumos[[CANTIDAD ]:[CANTIDAD ]],TablaConsumos[[CÓDIGO]:[CÓDIGO]],'Inventario '!$B169,TablaConsumos[[Planta]:[Planta]],'Inventario '!Q$1)</f>
        <v>0</v>
      </c>
      <c r="R169" s="131">
        <f>SUMIFS(TablaConsumos[[CANTIDAD ]:[CANTIDAD ]],TablaConsumos[[CÓDIGO]:[CÓDIGO]],'Inventario '!$B169,TablaConsumos[[Planta]:[Planta]],'Inventario '!R$1)</f>
        <v>0</v>
      </c>
      <c r="S169" s="130">
        <f t="shared" si="173"/>
        <v>0</v>
      </c>
      <c r="T169" s="130">
        <f t="shared" si="174"/>
        <v>0</v>
      </c>
      <c r="U169" s="177"/>
      <c r="V169" s="130"/>
      <c r="W169" s="179">
        <v>30.48</v>
      </c>
      <c r="X169" s="133">
        <f t="shared" si="175"/>
        <v>0</v>
      </c>
      <c r="Y169" s="130">
        <f t="shared" si="176"/>
        <v>0</v>
      </c>
      <c r="Z169" s="132"/>
      <c r="AA169" s="132">
        <f t="shared" si="145"/>
        <v>0</v>
      </c>
      <c r="AB169" s="132"/>
      <c r="AC169" s="131"/>
      <c r="AD169" s="131"/>
      <c r="AE169" s="132" t="s">
        <v>612</v>
      </c>
      <c r="AF169" s="132">
        <v>3048</v>
      </c>
      <c r="AG169" s="168"/>
      <c r="AH169" s="134"/>
      <c r="AI169" s="134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5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31"/>
    </row>
    <row r="170" spans="2:56" x14ac:dyDescent="0.25">
      <c r="B170" s="231">
        <v>8205269</v>
      </c>
      <c r="C170" s="232" t="s">
        <v>30</v>
      </c>
      <c r="D170" s="232"/>
      <c r="E170" s="233" t="s">
        <v>836</v>
      </c>
      <c r="F170" s="274"/>
      <c r="G170" s="130">
        <f>+SUMIFS(TablaIngresos[Cantidad],TablaIngresos[Código],'Inventario '!B170)</f>
        <v>0</v>
      </c>
      <c r="H170" s="130">
        <f t="shared" si="172"/>
        <v>0</v>
      </c>
      <c r="I170" s="131">
        <f>SUMIFS(TablaConsumos[[CANTIDAD ]:[CANTIDAD ]],TablaConsumos[[CÓDIGO]:[CÓDIGO]],'Inventario '!$B170,TablaConsumos[[Planta]:[Planta]],'Inventario '!I$1)</f>
        <v>0</v>
      </c>
      <c r="J170" s="131">
        <f>SUMIFS(TablaConsumos[[CANTIDAD ]:[CANTIDAD ]],TablaConsumos[[CÓDIGO]:[CÓDIGO]],'Inventario '!$B170,TablaConsumos[[Planta]:[Planta]],'Inventario '!J$1)</f>
        <v>0</v>
      </c>
      <c r="K170" s="131">
        <f>SUMIFS(TablaConsumos[[CANTIDAD ]:[CANTIDAD ]],TablaConsumos[[CÓDIGO]:[CÓDIGO]],'Inventario '!$B170,TablaConsumos[[Planta]:[Planta]],'Inventario '!K$1)</f>
        <v>0</v>
      </c>
      <c r="L170" s="131">
        <f>SUMIFS(TablaConsumos[[CANTIDAD ]:[CANTIDAD ]],TablaConsumos[[CÓDIGO]:[CÓDIGO]],'Inventario '!$B170,TablaConsumos[[Planta]:[Planta]],'Inventario '!L$1)</f>
        <v>0</v>
      </c>
      <c r="M170" s="131">
        <f>SUMIFS(TablaConsumos[[CANTIDAD ]:[CANTIDAD ]],TablaConsumos[[CÓDIGO]:[CÓDIGO]],'Inventario '!$B170,TablaConsumos[[Planta]:[Planta]],'Inventario '!M$1)</f>
        <v>0</v>
      </c>
      <c r="N170" s="131">
        <f>SUMIFS(TablaConsumos[[CANTIDAD ]:[CANTIDAD ]],TablaConsumos[[CÓDIGO]:[CÓDIGO]],'Inventario '!$B170,TablaConsumos[[Planta]:[Planta]],'Inventario '!N$1)</f>
        <v>0</v>
      </c>
      <c r="O170" s="131">
        <f>SUMIFS(TablaConsumos[[CANTIDAD ]:[CANTIDAD ]],TablaConsumos[[CÓDIGO]:[CÓDIGO]],'Inventario '!$B170,TablaConsumos[[Planta]:[Planta]],'Inventario '!O$1)</f>
        <v>0</v>
      </c>
      <c r="P170" s="131">
        <f>SUMIFS(TablaConsumos[[CANTIDAD ]:[CANTIDAD ]],TablaConsumos[[CÓDIGO]:[CÓDIGO]],'Inventario '!$B170,TablaConsumos[[Planta]:[Planta]],'Inventario '!P$1)</f>
        <v>0</v>
      </c>
      <c r="Q170" s="131">
        <f>SUMIFS(TablaConsumos[[CANTIDAD ]:[CANTIDAD ]],TablaConsumos[[CÓDIGO]:[CÓDIGO]],'Inventario '!$B170,TablaConsumos[[Planta]:[Planta]],'Inventario '!Q$1)</f>
        <v>0</v>
      </c>
      <c r="R170" s="131">
        <f>SUMIFS(TablaConsumos[[CANTIDAD ]:[CANTIDAD ]],TablaConsumos[[CÓDIGO]:[CÓDIGO]],'Inventario '!$B170,TablaConsumos[[Planta]:[Planta]],'Inventario '!R$1)</f>
        <v>0</v>
      </c>
      <c r="S170" s="130">
        <f t="shared" si="173"/>
        <v>0</v>
      </c>
      <c r="T170" s="130">
        <f t="shared" si="174"/>
        <v>0</v>
      </c>
      <c r="U170" s="177"/>
      <c r="V170" s="130"/>
      <c r="W170" s="179">
        <v>30.48</v>
      </c>
      <c r="X170" s="133">
        <f t="shared" si="175"/>
        <v>0</v>
      </c>
      <c r="Y170" s="130">
        <f t="shared" si="176"/>
        <v>0</v>
      </c>
      <c r="Z170" s="132"/>
      <c r="AA170" s="132">
        <f t="shared" si="145"/>
        <v>0</v>
      </c>
      <c r="AB170" s="132"/>
      <c r="AC170" s="131"/>
      <c r="AD170" s="131"/>
      <c r="AE170" s="132" t="s">
        <v>612</v>
      </c>
      <c r="AF170" s="132">
        <v>3048</v>
      </c>
      <c r="AG170" s="168"/>
      <c r="AH170" s="134"/>
      <c r="AI170" s="134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5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31"/>
    </row>
    <row r="171" spans="2:56" x14ac:dyDescent="0.25">
      <c r="B171" s="231">
        <v>8205270</v>
      </c>
      <c r="C171" s="232" t="s">
        <v>30</v>
      </c>
      <c r="D171" s="232"/>
      <c r="E171" s="233" t="s">
        <v>837</v>
      </c>
      <c r="F171" s="274"/>
      <c r="G171" s="130">
        <f>+SUMIFS(TablaIngresos[Cantidad],TablaIngresos[Código],'Inventario '!B171)</f>
        <v>0</v>
      </c>
      <c r="H171" s="130">
        <f t="shared" si="172"/>
        <v>0</v>
      </c>
      <c r="I171" s="131">
        <f>SUMIFS(TablaConsumos[[CANTIDAD ]:[CANTIDAD ]],TablaConsumos[[CÓDIGO]:[CÓDIGO]],'Inventario '!$B171,TablaConsumos[[Planta]:[Planta]],'Inventario '!I$1)</f>
        <v>0</v>
      </c>
      <c r="J171" s="131">
        <f>SUMIFS(TablaConsumos[[CANTIDAD ]:[CANTIDAD ]],TablaConsumos[[CÓDIGO]:[CÓDIGO]],'Inventario '!$B171,TablaConsumos[[Planta]:[Planta]],'Inventario '!J$1)</f>
        <v>0</v>
      </c>
      <c r="K171" s="131">
        <f>SUMIFS(TablaConsumos[[CANTIDAD ]:[CANTIDAD ]],TablaConsumos[[CÓDIGO]:[CÓDIGO]],'Inventario '!$B171,TablaConsumos[[Planta]:[Planta]],'Inventario '!K$1)</f>
        <v>0</v>
      </c>
      <c r="L171" s="131">
        <f>SUMIFS(TablaConsumos[[CANTIDAD ]:[CANTIDAD ]],TablaConsumos[[CÓDIGO]:[CÓDIGO]],'Inventario '!$B171,TablaConsumos[[Planta]:[Planta]],'Inventario '!L$1)</f>
        <v>0</v>
      </c>
      <c r="M171" s="131">
        <f>SUMIFS(TablaConsumos[[CANTIDAD ]:[CANTIDAD ]],TablaConsumos[[CÓDIGO]:[CÓDIGO]],'Inventario '!$B171,TablaConsumos[[Planta]:[Planta]],'Inventario '!M$1)</f>
        <v>0</v>
      </c>
      <c r="N171" s="131">
        <f>SUMIFS(TablaConsumos[[CANTIDAD ]:[CANTIDAD ]],TablaConsumos[[CÓDIGO]:[CÓDIGO]],'Inventario '!$B171,TablaConsumos[[Planta]:[Planta]],'Inventario '!N$1)</f>
        <v>0</v>
      </c>
      <c r="O171" s="131">
        <f>SUMIFS(TablaConsumos[[CANTIDAD ]:[CANTIDAD ]],TablaConsumos[[CÓDIGO]:[CÓDIGO]],'Inventario '!$B171,TablaConsumos[[Planta]:[Planta]],'Inventario '!O$1)</f>
        <v>0</v>
      </c>
      <c r="P171" s="131">
        <f>SUMIFS(TablaConsumos[[CANTIDAD ]:[CANTIDAD ]],TablaConsumos[[CÓDIGO]:[CÓDIGO]],'Inventario '!$B171,TablaConsumos[[Planta]:[Planta]],'Inventario '!P$1)</f>
        <v>0</v>
      </c>
      <c r="Q171" s="131">
        <f>SUMIFS(TablaConsumos[[CANTIDAD ]:[CANTIDAD ]],TablaConsumos[[CÓDIGO]:[CÓDIGO]],'Inventario '!$B171,TablaConsumos[[Planta]:[Planta]],'Inventario '!Q$1)</f>
        <v>0</v>
      </c>
      <c r="R171" s="131">
        <f>SUMIFS(TablaConsumos[[CANTIDAD ]:[CANTIDAD ]],TablaConsumos[[CÓDIGO]:[CÓDIGO]],'Inventario '!$B171,TablaConsumos[[Planta]:[Planta]],'Inventario '!R$1)</f>
        <v>0</v>
      </c>
      <c r="S171" s="130">
        <f t="shared" si="173"/>
        <v>0</v>
      </c>
      <c r="T171" s="130">
        <f t="shared" si="174"/>
        <v>0</v>
      </c>
      <c r="U171" s="177"/>
      <c r="V171" s="130"/>
      <c r="W171" s="179">
        <v>30.48</v>
      </c>
      <c r="X171" s="133">
        <f t="shared" si="175"/>
        <v>0</v>
      </c>
      <c r="Y171" s="130">
        <f t="shared" si="176"/>
        <v>0</v>
      </c>
      <c r="Z171" s="132"/>
      <c r="AA171" s="132">
        <f t="shared" si="145"/>
        <v>0</v>
      </c>
      <c r="AB171" s="132"/>
      <c r="AC171" s="131"/>
      <c r="AD171" s="131"/>
      <c r="AE171" s="132" t="s">
        <v>612</v>
      </c>
      <c r="AF171" s="132">
        <v>3048</v>
      </c>
      <c r="AG171" s="168"/>
      <c r="AH171" s="134"/>
      <c r="AI171" s="134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5"/>
      <c r="AT171" s="137"/>
      <c r="AU171" s="137"/>
      <c r="AV171" s="137"/>
      <c r="AW171" s="137"/>
      <c r="AX171" s="137"/>
      <c r="AY171" s="137"/>
      <c r="AZ171" s="137"/>
      <c r="BA171" s="137"/>
      <c r="BB171" s="137"/>
      <c r="BC171" s="137"/>
      <c r="BD171" s="131"/>
    </row>
    <row r="172" spans="2:56" x14ac:dyDescent="0.25">
      <c r="B172" s="231">
        <v>8205272</v>
      </c>
      <c r="C172" s="232" t="s">
        <v>30</v>
      </c>
      <c r="D172" s="232"/>
      <c r="E172" s="233" t="s">
        <v>838</v>
      </c>
      <c r="F172" s="274"/>
      <c r="G172" s="130">
        <f>+SUMIFS(TablaIngresos[Cantidad],TablaIngresos[Código],'Inventario '!B172)</f>
        <v>0</v>
      </c>
      <c r="H172" s="130">
        <f t="shared" si="172"/>
        <v>0</v>
      </c>
      <c r="I172" s="131">
        <f>SUMIFS(TablaConsumos[[CANTIDAD ]:[CANTIDAD ]],TablaConsumos[[CÓDIGO]:[CÓDIGO]],'Inventario '!$B172,TablaConsumos[[Planta]:[Planta]],'Inventario '!I$1)</f>
        <v>0</v>
      </c>
      <c r="J172" s="131">
        <f>SUMIFS(TablaConsumos[[CANTIDAD ]:[CANTIDAD ]],TablaConsumos[[CÓDIGO]:[CÓDIGO]],'Inventario '!$B172,TablaConsumos[[Planta]:[Planta]],'Inventario '!J$1)</f>
        <v>0</v>
      </c>
      <c r="K172" s="131">
        <f>SUMIFS(TablaConsumos[[CANTIDAD ]:[CANTIDAD ]],TablaConsumos[[CÓDIGO]:[CÓDIGO]],'Inventario '!$B172,TablaConsumos[[Planta]:[Planta]],'Inventario '!K$1)</f>
        <v>0</v>
      </c>
      <c r="L172" s="131">
        <f>SUMIFS(TablaConsumos[[CANTIDAD ]:[CANTIDAD ]],TablaConsumos[[CÓDIGO]:[CÓDIGO]],'Inventario '!$B172,TablaConsumos[[Planta]:[Planta]],'Inventario '!L$1)</f>
        <v>0</v>
      </c>
      <c r="M172" s="131">
        <f>SUMIFS(TablaConsumos[[CANTIDAD ]:[CANTIDAD ]],TablaConsumos[[CÓDIGO]:[CÓDIGO]],'Inventario '!$B172,TablaConsumos[[Planta]:[Planta]],'Inventario '!M$1)</f>
        <v>0</v>
      </c>
      <c r="N172" s="131">
        <f>SUMIFS(TablaConsumos[[CANTIDAD ]:[CANTIDAD ]],TablaConsumos[[CÓDIGO]:[CÓDIGO]],'Inventario '!$B172,TablaConsumos[[Planta]:[Planta]],'Inventario '!N$1)</f>
        <v>0</v>
      </c>
      <c r="O172" s="131">
        <f>SUMIFS(TablaConsumos[[CANTIDAD ]:[CANTIDAD ]],TablaConsumos[[CÓDIGO]:[CÓDIGO]],'Inventario '!$B172,TablaConsumos[[Planta]:[Planta]],'Inventario '!O$1)</f>
        <v>0</v>
      </c>
      <c r="P172" s="131">
        <f>SUMIFS(TablaConsumos[[CANTIDAD ]:[CANTIDAD ]],TablaConsumos[[CÓDIGO]:[CÓDIGO]],'Inventario '!$B172,TablaConsumos[[Planta]:[Planta]],'Inventario '!P$1)</f>
        <v>0</v>
      </c>
      <c r="Q172" s="131">
        <f>SUMIFS(TablaConsumos[[CANTIDAD ]:[CANTIDAD ]],TablaConsumos[[CÓDIGO]:[CÓDIGO]],'Inventario '!$B172,TablaConsumos[[Planta]:[Planta]],'Inventario '!Q$1)</f>
        <v>0</v>
      </c>
      <c r="R172" s="131">
        <f>SUMIFS(TablaConsumos[[CANTIDAD ]:[CANTIDAD ]],TablaConsumos[[CÓDIGO]:[CÓDIGO]],'Inventario '!$B172,TablaConsumos[[Planta]:[Planta]],'Inventario '!R$1)</f>
        <v>0</v>
      </c>
      <c r="S172" s="130">
        <f t="shared" si="173"/>
        <v>0</v>
      </c>
      <c r="T172" s="130">
        <f t="shared" si="174"/>
        <v>0</v>
      </c>
      <c r="U172" s="177"/>
      <c r="V172" s="130"/>
      <c r="W172" s="179">
        <v>30.48</v>
      </c>
      <c r="X172" s="133">
        <f t="shared" si="175"/>
        <v>0</v>
      </c>
      <c r="Y172" s="130">
        <f t="shared" si="176"/>
        <v>0</v>
      </c>
      <c r="Z172" s="132"/>
      <c r="AA172" s="132">
        <f t="shared" si="145"/>
        <v>0</v>
      </c>
      <c r="AB172" s="132"/>
      <c r="AC172" s="131"/>
      <c r="AD172" s="131"/>
      <c r="AE172" s="132" t="s">
        <v>612</v>
      </c>
      <c r="AF172" s="132">
        <v>3048</v>
      </c>
      <c r="AG172" s="168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5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31"/>
    </row>
    <row r="173" spans="2:56" x14ac:dyDescent="0.25">
      <c r="B173" s="231">
        <v>8205273</v>
      </c>
      <c r="C173" s="232" t="s">
        <v>30</v>
      </c>
      <c r="D173" s="232"/>
      <c r="E173" s="233" t="s">
        <v>839</v>
      </c>
      <c r="F173" s="274"/>
      <c r="G173" s="130">
        <f>+SUMIFS(TablaIngresos[Cantidad],TablaIngresos[Código],'Inventario '!B173)</f>
        <v>0</v>
      </c>
      <c r="H173" s="130">
        <f t="shared" si="172"/>
        <v>0</v>
      </c>
      <c r="I173" s="131">
        <f>SUMIFS(TablaConsumos[[CANTIDAD ]:[CANTIDAD ]],TablaConsumos[[CÓDIGO]:[CÓDIGO]],'Inventario '!$B173,TablaConsumos[[Planta]:[Planta]],'Inventario '!I$1)</f>
        <v>0</v>
      </c>
      <c r="J173" s="131">
        <f>SUMIFS(TablaConsumos[[CANTIDAD ]:[CANTIDAD ]],TablaConsumos[[CÓDIGO]:[CÓDIGO]],'Inventario '!$B173,TablaConsumos[[Planta]:[Planta]],'Inventario '!J$1)</f>
        <v>0</v>
      </c>
      <c r="K173" s="131">
        <f>SUMIFS(TablaConsumos[[CANTIDAD ]:[CANTIDAD ]],TablaConsumos[[CÓDIGO]:[CÓDIGO]],'Inventario '!$B173,TablaConsumos[[Planta]:[Planta]],'Inventario '!K$1)</f>
        <v>0</v>
      </c>
      <c r="L173" s="131">
        <f>SUMIFS(TablaConsumos[[CANTIDAD ]:[CANTIDAD ]],TablaConsumos[[CÓDIGO]:[CÓDIGO]],'Inventario '!$B173,TablaConsumos[[Planta]:[Planta]],'Inventario '!L$1)</f>
        <v>0</v>
      </c>
      <c r="M173" s="131">
        <f>SUMIFS(TablaConsumos[[CANTIDAD ]:[CANTIDAD ]],TablaConsumos[[CÓDIGO]:[CÓDIGO]],'Inventario '!$B173,TablaConsumos[[Planta]:[Planta]],'Inventario '!M$1)</f>
        <v>0</v>
      </c>
      <c r="N173" s="131">
        <f>SUMIFS(TablaConsumos[[CANTIDAD ]:[CANTIDAD ]],TablaConsumos[[CÓDIGO]:[CÓDIGO]],'Inventario '!$B173,TablaConsumos[[Planta]:[Planta]],'Inventario '!N$1)</f>
        <v>0</v>
      </c>
      <c r="O173" s="131">
        <f>SUMIFS(TablaConsumos[[CANTIDAD ]:[CANTIDAD ]],TablaConsumos[[CÓDIGO]:[CÓDIGO]],'Inventario '!$B173,TablaConsumos[[Planta]:[Planta]],'Inventario '!O$1)</f>
        <v>0</v>
      </c>
      <c r="P173" s="131">
        <f>SUMIFS(TablaConsumos[[CANTIDAD ]:[CANTIDAD ]],TablaConsumos[[CÓDIGO]:[CÓDIGO]],'Inventario '!$B173,TablaConsumos[[Planta]:[Planta]],'Inventario '!P$1)</f>
        <v>0</v>
      </c>
      <c r="Q173" s="131">
        <f>SUMIFS(TablaConsumos[[CANTIDAD ]:[CANTIDAD ]],TablaConsumos[[CÓDIGO]:[CÓDIGO]],'Inventario '!$B173,TablaConsumos[[Planta]:[Planta]],'Inventario '!Q$1)</f>
        <v>0</v>
      </c>
      <c r="R173" s="131">
        <f>SUMIFS(TablaConsumos[[CANTIDAD ]:[CANTIDAD ]],TablaConsumos[[CÓDIGO]:[CÓDIGO]],'Inventario '!$B173,TablaConsumos[[Planta]:[Planta]],'Inventario '!R$1)</f>
        <v>0</v>
      </c>
      <c r="S173" s="130">
        <f t="shared" si="173"/>
        <v>0</v>
      </c>
      <c r="T173" s="130">
        <f t="shared" si="174"/>
        <v>0</v>
      </c>
      <c r="U173" s="177"/>
      <c r="V173" s="130"/>
      <c r="W173" s="179">
        <v>30.48</v>
      </c>
      <c r="X173" s="133">
        <f t="shared" si="175"/>
        <v>0</v>
      </c>
      <c r="Y173" s="130">
        <f t="shared" si="176"/>
        <v>0</v>
      </c>
      <c r="Z173" s="132"/>
      <c r="AA173" s="132">
        <f t="shared" si="145"/>
        <v>0</v>
      </c>
      <c r="AB173" s="132"/>
      <c r="AC173" s="131"/>
      <c r="AD173" s="131"/>
      <c r="AE173" s="132" t="s">
        <v>612</v>
      </c>
      <c r="AF173" s="132">
        <v>3048</v>
      </c>
      <c r="AG173" s="168"/>
      <c r="AH173" s="134"/>
      <c r="AI173" s="134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5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31"/>
    </row>
    <row r="174" spans="2:56" x14ac:dyDescent="0.25">
      <c r="B174" s="231">
        <v>8205275</v>
      </c>
      <c r="C174" s="232" t="s">
        <v>30</v>
      </c>
      <c r="D174" s="232"/>
      <c r="E174" s="233" t="s">
        <v>840</v>
      </c>
      <c r="F174" s="274"/>
      <c r="G174" s="130">
        <f>+SUMIFS(TablaIngresos[Cantidad],TablaIngresos[Código],'Inventario '!B174)</f>
        <v>0</v>
      </c>
      <c r="H174" s="130">
        <f t="shared" si="172"/>
        <v>0</v>
      </c>
      <c r="I174" s="131">
        <f>SUMIFS(TablaConsumos[[CANTIDAD ]:[CANTIDAD ]],TablaConsumos[[CÓDIGO]:[CÓDIGO]],'Inventario '!$B174,TablaConsumos[[Planta]:[Planta]],'Inventario '!I$1)</f>
        <v>0</v>
      </c>
      <c r="J174" s="131">
        <f>SUMIFS(TablaConsumos[[CANTIDAD ]:[CANTIDAD ]],TablaConsumos[[CÓDIGO]:[CÓDIGO]],'Inventario '!$B174,TablaConsumos[[Planta]:[Planta]],'Inventario '!J$1)</f>
        <v>0</v>
      </c>
      <c r="K174" s="131">
        <f>SUMIFS(TablaConsumos[[CANTIDAD ]:[CANTIDAD ]],TablaConsumos[[CÓDIGO]:[CÓDIGO]],'Inventario '!$B174,TablaConsumos[[Planta]:[Planta]],'Inventario '!K$1)</f>
        <v>0</v>
      </c>
      <c r="L174" s="131">
        <f>SUMIFS(TablaConsumos[[CANTIDAD ]:[CANTIDAD ]],TablaConsumos[[CÓDIGO]:[CÓDIGO]],'Inventario '!$B174,TablaConsumos[[Planta]:[Planta]],'Inventario '!L$1)</f>
        <v>0</v>
      </c>
      <c r="M174" s="131">
        <f>SUMIFS(TablaConsumos[[CANTIDAD ]:[CANTIDAD ]],TablaConsumos[[CÓDIGO]:[CÓDIGO]],'Inventario '!$B174,TablaConsumos[[Planta]:[Planta]],'Inventario '!M$1)</f>
        <v>0</v>
      </c>
      <c r="N174" s="131">
        <f>SUMIFS(TablaConsumos[[CANTIDAD ]:[CANTIDAD ]],TablaConsumos[[CÓDIGO]:[CÓDIGO]],'Inventario '!$B174,TablaConsumos[[Planta]:[Planta]],'Inventario '!N$1)</f>
        <v>0</v>
      </c>
      <c r="O174" s="131">
        <f>SUMIFS(TablaConsumos[[CANTIDAD ]:[CANTIDAD ]],TablaConsumos[[CÓDIGO]:[CÓDIGO]],'Inventario '!$B174,TablaConsumos[[Planta]:[Planta]],'Inventario '!O$1)</f>
        <v>0</v>
      </c>
      <c r="P174" s="131">
        <f>SUMIFS(TablaConsumos[[CANTIDAD ]:[CANTIDAD ]],TablaConsumos[[CÓDIGO]:[CÓDIGO]],'Inventario '!$B174,TablaConsumos[[Planta]:[Planta]],'Inventario '!P$1)</f>
        <v>0</v>
      </c>
      <c r="Q174" s="131">
        <f>SUMIFS(TablaConsumos[[CANTIDAD ]:[CANTIDAD ]],TablaConsumos[[CÓDIGO]:[CÓDIGO]],'Inventario '!$B174,TablaConsumos[[Planta]:[Planta]],'Inventario '!Q$1)</f>
        <v>0</v>
      </c>
      <c r="R174" s="131">
        <f>SUMIFS(TablaConsumos[[CANTIDAD ]:[CANTIDAD ]],TablaConsumos[[CÓDIGO]:[CÓDIGO]],'Inventario '!$B174,TablaConsumos[[Planta]:[Planta]],'Inventario '!R$1)</f>
        <v>0</v>
      </c>
      <c r="S174" s="130">
        <f t="shared" si="173"/>
        <v>0</v>
      </c>
      <c r="T174" s="130">
        <f t="shared" si="174"/>
        <v>0</v>
      </c>
      <c r="U174" s="177"/>
      <c r="V174" s="130"/>
      <c r="W174" s="179">
        <v>30.48</v>
      </c>
      <c r="X174" s="133">
        <f t="shared" si="175"/>
        <v>0</v>
      </c>
      <c r="Y174" s="130">
        <f t="shared" si="176"/>
        <v>0</v>
      </c>
      <c r="Z174" s="132"/>
      <c r="AA174" s="132">
        <f t="shared" si="145"/>
        <v>0</v>
      </c>
      <c r="AB174" s="132"/>
      <c r="AC174" s="131"/>
      <c r="AD174" s="131"/>
      <c r="AE174" s="132" t="s">
        <v>612</v>
      </c>
      <c r="AF174" s="132">
        <v>3048</v>
      </c>
      <c r="AG174" s="168"/>
      <c r="AH174" s="134"/>
      <c r="AI174" s="134"/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5"/>
      <c r="AT174" s="137"/>
      <c r="AU174" s="137"/>
      <c r="AV174" s="137"/>
      <c r="AW174" s="137"/>
      <c r="AX174" s="137"/>
      <c r="AY174" s="137"/>
      <c r="AZ174" s="137"/>
      <c r="BA174" s="137"/>
      <c r="BB174" s="137"/>
      <c r="BC174" s="137"/>
      <c r="BD174" s="131"/>
    </row>
    <row r="175" spans="2:56" x14ac:dyDescent="0.25">
      <c r="B175" s="231">
        <v>8205276</v>
      </c>
      <c r="C175" s="232" t="s">
        <v>30</v>
      </c>
      <c r="D175" s="232"/>
      <c r="E175" s="233" t="s">
        <v>841</v>
      </c>
      <c r="F175" s="274"/>
      <c r="G175" s="130">
        <f>+SUMIFS(TablaIngresos[Cantidad],TablaIngresos[Código],'Inventario '!B175)</f>
        <v>0</v>
      </c>
      <c r="H175" s="130">
        <f t="shared" si="172"/>
        <v>0</v>
      </c>
      <c r="I175" s="131">
        <f>SUMIFS(TablaConsumos[[CANTIDAD ]:[CANTIDAD ]],TablaConsumos[[CÓDIGO]:[CÓDIGO]],'Inventario '!$B175,TablaConsumos[[Planta]:[Planta]],'Inventario '!I$1)</f>
        <v>0</v>
      </c>
      <c r="J175" s="131">
        <f>SUMIFS(TablaConsumos[[CANTIDAD ]:[CANTIDAD ]],TablaConsumos[[CÓDIGO]:[CÓDIGO]],'Inventario '!$B175,TablaConsumos[[Planta]:[Planta]],'Inventario '!J$1)</f>
        <v>0</v>
      </c>
      <c r="K175" s="131">
        <f>SUMIFS(TablaConsumos[[CANTIDAD ]:[CANTIDAD ]],TablaConsumos[[CÓDIGO]:[CÓDIGO]],'Inventario '!$B175,TablaConsumos[[Planta]:[Planta]],'Inventario '!K$1)</f>
        <v>0</v>
      </c>
      <c r="L175" s="131">
        <f>SUMIFS(TablaConsumos[[CANTIDAD ]:[CANTIDAD ]],TablaConsumos[[CÓDIGO]:[CÓDIGO]],'Inventario '!$B175,TablaConsumos[[Planta]:[Planta]],'Inventario '!L$1)</f>
        <v>0</v>
      </c>
      <c r="M175" s="131">
        <f>SUMIFS(TablaConsumos[[CANTIDAD ]:[CANTIDAD ]],TablaConsumos[[CÓDIGO]:[CÓDIGO]],'Inventario '!$B175,TablaConsumos[[Planta]:[Planta]],'Inventario '!M$1)</f>
        <v>0</v>
      </c>
      <c r="N175" s="131">
        <f>SUMIFS(TablaConsumos[[CANTIDAD ]:[CANTIDAD ]],TablaConsumos[[CÓDIGO]:[CÓDIGO]],'Inventario '!$B175,TablaConsumos[[Planta]:[Planta]],'Inventario '!N$1)</f>
        <v>0</v>
      </c>
      <c r="O175" s="131">
        <f>SUMIFS(TablaConsumos[[CANTIDAD ]:[CANTIDAD ]],TablaConsumos[[CÓDIGO]:[CÓDIGO]],'Inventario '!$B175,TablaConsumos[[Planta]:[Planta]],'Inventario '!O$1)</f>
        <v>0</v>
      </c>
      <c r="P175" s="131">
        <f>SUMIFS(TablaConsumos[[CANTIDAD ]:[CANTIDAD ]],TablaConsumos[[CÓDIGO]:[CÓDIGO]],'Inventario '!$B175,TablaConsumos[[Planta]:[Planta]],'Inventario '!P$1)</f>
        <v>0</v>
      </c>
      <c r="Q175" s="131">
        <f>SUMIFS(TablaConsumos[[CANTIDAD ]:[CANTIDAD ]],TablaConsumos[[CÓDIGO]:[CÓDIGO]],'Inventario '!$B175,TablaConsumos[[Planta]:[Planta]],'Inventario '!Q$1)</f>
        <v>0</v>
      </c>
      <c r="R175" s="131">
        <f>SUMIFS(TablaConsumos[[CANTIDAD ]:[CANTIDAD ]],TablaConsumos[[CÓDIGO]:[CÓDIGO]],'Inventario '!$B175,TablaConsumos[[Planta]:[Planta]],'Inventario '!R$1)</f>
        <v>0</v>
      </c>
      <c r="S175" s="130">
        <f t="shared" si="173"/>
        <v>0</v>
      </c>
      <c r="T175" s="130">
        <f t="shared" si="174"/>
        <v>0</v>
      </c>
      <c r="U175" s="177"/>
      <c r="V175" s="130"/>
      <c r="W175" s="179">
        <v>30.48</v>
      </c>
      <c r="X175" s="133">
        <f t="shared" si="175"/>
        <v>0</v>
      </c>
      <c r="Y175" s="130">
        <f t="shared" si="176"/>
        <v>0</v>
      </c>
      <c r="Z175" s="132"/>
      <c r="AA175" s="132">
        <f t="shared" si="145"/>
        <v>0</v>
      </c>
      <c r="AB175" s="132"/>
      <c r="AC175" s="131"/>
      <c r="AD175" s="131"/>
      <c r="AE175" s="132" t="s">
        <v>612</v>
      </c>
      <c r="AF175" s="132">
        <v>3048</v>
      </c>
      <c r="AG175" s="168"/>
      <c r="AH175" s="134"/>
      <c r="AI175" s="134"/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5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31"/>
    </row>
    <row r="176" spans="2:56" x14ac:dyDescent="0.25">
      <c r="B176" s="231">
        <v>8206000</v>
      </c>
      <c r="C176" s="232" t="s">
        <v>30</v>
      </c>
      <c r="D176" s="232"/>
      <c r="E176" s="233" t="s">
        <v>842</v>
      </c>
      <c r="F176" s="274"/>
      <c r="G176" s="130">
        <f>+SUMIFS(TablaIngresos[Cantidad],TablaIngresos[Código],'Inventario '!B176)</f>
        <v>0</v>
      </c>
      <c r="H176" s="130">
        <f t="shared" si="172"/>
        <v>0</v>
      </c>
      <c r="I176" s="131">
        <f>SUMIFS(TablaConsumos[[CANTIDAD ]:[CANTIDAD ]],TablaConsumos[[CÓDIGO]:[CÓDIGO]],'Inventario '!$B176,TablaConsumos[[Planta]:[Planta]],'Inventario '!I$1)</f>
        <v>0</v>
      </c>
      <c r="J176" s="131">
        <f>SUMIFS(TablaConsumos[[CANTIDAD ]:[CANTIDAD ]],TablaConsumos[[CÓDIGO]:[CÓDIGO]],'Inventario '!$B176,TablaConsumos[[Planta]:[Planta]],'Inventario '!J$1)</f>
        <v>0</v>
      </c>
      <c r="K176" s="131">
        <f>SUMIFS(TablaConsumos[[CANTIDAD ]:[CANTIDAD ]],TablaConsumos[[CÓDIGO]:[CÓDIGO]],'Inventario '!$B176,TablaConsumos[[Planta]:[Planta]],'Inventario '!K$1)</f>
        <v>0</v>
      </c>
      <c r="L176" s="131">
        <f>SUMIFS(TablaConsumos[[CANTIDAD ]:[CANTIDAD ]],TablaConsumos[[CÓDIGO]:[CÓDIGO]],'Inventario '!$B176,TablaConsumos[[Planta]:[Planta]],'Inventario '!L$1)</f>
        <v>0</v>
      </c>
      <c r="M176" s="131">
        <f>SUMIFS(TablaConsumos[[CANTIDAD ]:[CANTIDAD ]],TablaConsumos[[CÓDIGO]:[CÓDIGO]],'Inventario '!$B176,TablaConsumos[[Planta]:[Planta]],'Inventario '!M$1)</f>
        <v>0</v>
      </c>
      <c r="N176" s="131">
        <f>SUMIFS(TablaConsumos[[CANTIDAD ]:[CANTIDAD ]],TablaConsumos[[CÓDIGO]:[CÓDIGO]],'Inventario '!$B176,TablaConsumos[[Planta]:[Planta]],'Inventario '!N$1)</f>
        <v>0</v>
      </c>
      <c r="O176" s="131">
        <f>SUMIFS(TablaConsumos[[CANTIDAD ]:[CANTIDAD ]],TablaConsumos[[CÓDIGO]:[CÓDIGO]],'Inventario '!$B176,TablaConsumos[[Planta]:[Planta]],'Inventario '!O$1)</f>
        <v>0</v>
      </c>
      <c r="P176" s="131">
        <f>SUMIFS(TablaConsumos[[CANTIDAD ]:[CANTIDAD ]],TablaConsumos[[CÓDIGO]:[CÓDIGO]],'Inventario '!$B176,TablaConsumos[[Planta]:[Planta]],'Inventario '!P$1)</f>
        <v>0</v>
      </c>
      <c r="Q176" s="131">
        <f>SUMIFS(TablaConsumos[[CANTIDAD ]:[CANTIDAD ]],TablaConsumos[[CÓDIGO]:[CÓDIGO]],'Inventario '!$B176,TablaConsumos[[Planta]:[Planta]],'Inventario '!Q$1)</f>
        <v>0</v>
      </c>
      <c r="R176" s="131">
        <f>SUMIFS(TablaConsumos[[CANTIDAD ]:[CANTIDAD ]],TablaConsumos[[CÓDIGO]:[CÓDIGO]],'Inventario '!$B176,TablaConsumos[[Planta]:[Planta]],'Inventario '!R$1)</f>
        <v>0</v>
      </c>
      <c r="S176" s="130">
        <f t="shared" si="173"/>
        <v>0</v>
      </c>
      <c r="T176" s="130">
        <f t="shared" si="174"/>
        <v>0</v>
      </c>
      <c r="U176" s="177"/>
      <c r="V176" s="130"/>
      <c r="W176" s="179">
        <v>30.48</v>
      </c>
      <c r="X176" s="133">
        <f t="shared" si="175"/>
        <v>0</v>
      </c>
      <c r="Y176" s="130">
        <f t="shared" si="176"/>
        <v>0</v>
      </c>
      <c r="Z176" s="132"/>
      <c r="AA176" s="132">
        <f t="shared" si="145"/>
        <v>0</v>
      </c>
      <c r="AB176" s="132"/>
      <c r="AC176" s="131"/>
      <c r="AD176" s="131"/>
      <c r="AE176" s="132" t="s">
        <v>612</v>
      </c>
      <c r="AF176" s="132">
        <v>3048</v>
      </c>
      <c r="AG176" s="168"/>
      <c r="AH176" s="134"/>
      <c r="AI176" s="134"/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5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31"/>
    </row>
    <row r="177" spans="2:56" x14ac:dyDescent="0.25">
      <c r="B177" s="231">
        <v>8206001</v>
      </c>
      <c r="C177" s="232" t="s">
        <v>30</v>
      </c>
      <c r="D177" s="232"/>
      <c r="E177" s="233" t="s">
        <v>843</v>
      </c>
      <c r="F177" s="274"/>
      <c r="G177" s="130">
        <f>+SUMIFS(TablaIngresos[Cantidad],TablaIngresos[Código],'Inventario '!B177)</f>
        <v>0</v>
      </c>
      <c r="H177" s="130">
        <f t="shared" si="172"/>
        <v>0</v>
      </c>
      <c r="I177" s="131">
        <f>SUMIFS(TablaConsumos[[CANTIDAD ]:[CANTIDAD ]],TablaConsumos[[CÓDIGO]:[CÓDIGO]],'Inventario '!$B177,TablaConsumos[[Planta]:[Planta]],'Inventario '!I$1)</f>
        <v>0</v>
      </c>
      <c r="J177" s="131">
        <f>SUMIFS(TablaConsumos[[CANTIDAD ]:[CANTIDAD ]],TablaConsumos[[CÓDIGO]:[CÓDIGO]],'Inventario '!$B177,TablaConsumos[[Planta]:[Planta]],'Inventario '!J$1)</f>
        <v>0</v>
      </c>
      <c r="K177" s="131">
        <f>SUMIFS(TablaConsumos[[CANTIDAD ]:[CANTIDAD ]],TablaConsumos[[CÓDIGO]:[CÓDIGO]],'Inventario '!$B177,TablaConsumos[[Planta]:[Planta]],'Inventario '!K$1)</f>
        <v>0</v>
      </c>
      <c r="L177" s="131">
        <f>SUMIFS(TablaConsumos[[CANTIDAD ]:[CANTIDAD ]],TablaConsumos[[CÓDIGO]:[CÓDIGO]],'Inventario '!$B177,TablaConsumos[[Planta]:[Planta]],'Inventario '!L$1)</f>
        <v>0</v>
      </c>
      <c r="M177" s="131">
        <f>SUMIFS(TablaConsumos[[CANTIDAD ]:[CANTIDAD ]],TablaConsumos[[CÓDIGO]:[CÓDIGO]],'Inventario '!$B177,TablaConsumos[[Planta]:[Planta]],'Inventario '!M$1)</f>
        <v>0</v>
      </c>
      <c r="N177" s="131">
        <f>SUMIFS(TablaConsumos[[CANTIDAD ]:[CANTIDAD ]],TablaConsumos[[CÓDIGO]:[CÓDIGO]],'Inventario '!$B177,TablaConsumos[[Planta]:[Planta]],'Inventario '!N$1)</f>
        <v>0</v>
      </c>
      <c r="O177" s="131">
        <f>SUMIFS(TablaConsumos[[CANTIDAD ]:[CANTIDAD ]],TablaConsumos[[CÓDIGO]:[CÓDIGO]],'Inventario '!$B177,TablaConsumos[[Planta]:[Planta]],'Inventario '!O$1)</f>
        <v>0</v>
      </c>
      <c r="P177" s="131">
        <f>SUMIFS(TablaConsumos[[CANTIDAD ]:[CANTIDAD ]],TablaConsumos[[CÓDIGO]:[CÓDIGO]],'Inventario '!$B177,TablaConsumos[[Planta]:[Planta]],'Inventario '!P$1)</f>
        <v>0</v>
      </c>
      <c r="Q177" s="131">
        <f>SUMIFS(TablaConsumos[[CANTIDAD ]:[CANTIDAD ]],TablaConsumos[[CÓDIGO]:[CÓDIGO]],'Inventario '!$B177,TablaConsumos[[Planta]:[Planta]],'Inventario '!Q$1)</f>
        <v>0</v>
      </c>
      <c r="R177" s="131">
        <f>SUMIFS(TablaConsumos[[CANTIDAD ]:[CANTIDAD ]],TablaConsumos[[CÓDIGO]:[CÓDIGO]],'Inventario '!$B177,TablaConsumos[[Planta]:[Planta]],'Inventario '!R$1)</f>
        <v>0</v>
      </c>
      <c r="S177" s="130">
        <f t="shared" si="173"/>
        <v>0</v>
      </c>
      <c r="T177" s="130">
        <f t="shared" si="174"/>
        <v>0</v>
      </c>
      <c r="U177" s="177"/>
      <c r="V177" s="130"/>
      <c r="W177" s="179">
        <v>30.48</v>
      </c>
      <c r="X177" s="133">
        <f t="shared" si="175"/>
        <v>0</v>
      </c>
      <c r="Y177" s="130">
        <f t="shared" si="176"/>
        <v>0</v>
      </c>
      <c r="Z177" s="132"/>
      <c r="AA177" s="132">
        <f t="shared" si="145"/>
        <v>0</v>
      </c>
      <c r="AB177" s="132"/>
      <c r="AC177" s="131"/>
      <c r="AD177" s="131"/>
      <c r="AE177" s="132" t="s">
        <v>612</v>
      </c>
      <c r="AF177" s="132">
        <v>3048</v>
      </c>
      <c r="AG177" s="168"/>
      <c r="AH177" s="134"/>
      <c r="AI177" s="134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5"/>
      <c r="AT177" s="137"/>
      <c r="AU177" s="137"/>
      <c r="AV177" s="137"/>
      <c r="AW177" s="137"/>
      <c r="AX177" s="137"/>
      <c r="AY177" s="137"/>
      <c r="AZ177" s="137"/>
      <c r="BA177" s="137"/>
      <c r="BB177" s="137"/>
      <c r="BC177" s="137"/>
      <c r="BD177" s="131"/>
    </row>
    <row r="178" spans="2:56" x14ac:dyDescent="0.25">
      <c r="B178" s="231">
        <v>8206002</v>
      </c>
      <c r="C178" s="232" t="s">
        <v>30</v>
      </c>
      <c r="D178" s="232"/>
      <c r="E178" s="233" t="s">
        <v>844</v>
      </c>
      <c r="F178" s="274"/>
      <c r="G178" s="130">
        <f>+SUMIFS(TablaIngresos[Cantidad],TablaIngresos[Código],'Inventario '!B178)</f>
        <v>0</v>
      </c>
      <c r="H178" s="130">
        <f t="shared" si="172"/>
        <v>0</v>
      </c>
      <c r="I178" s="131">
        <f>SUMIFS(TablaConsumos[[CANTIDAD ]:[CANTIDAD ]],TablaConsumos[[CÓDIGO]:[CÓDIGO]],'Inventario '!$B178,TablaConsumos[[Planta]:[Planta]],'Inventario '!I$1)</f>
        <v>0</v>
      </c>
      <c r="J178" s="131">
        <f>SUMIFS(TablaConsumos[[CANTIDAD ]:[CANTIDAD ]],TablaConsumos[[CÓDIGO]:[CÓDIGO]],'Inventario '!$B178,TablaConsumos[[Planta]:[Planta]],'Inventario '!J$1)</f>
        <v>0</v>
      </c>
      <c r="K178" s="131">
        <f>SUMIFS(TablaConsumos[[CANTIDAD ]:[CANTIDAD ]],TablaConsumos[[CÓDIGO]:[CÓDIGO]],'Inventario '!$B178,TablaConsumos[[Planta]:[Planta]],'Inventario '!K$1)</f>
        <v>0</v>
      </c>
      <c r="L178" s="131">
        <f>SUMIFS(TablaConsumos[[CANTIDAD ]:[CANTIDAD ]],TablaConsumos[[CÓDIGO]:[CÓDIGO]],'Inventario '!$B178,TablaConsumos[[Planta]:[Planta]],'Inventario '!L$1)</f>
        <v>0</v>
      </c>
      <c r="M178" s="131">
        <f>SUMIFS(TablaConsumos[[CANTIDAD ]:[CANTIDAD ]],TablaConsumos[[CÓDIGO]:[CÓDIGO]],'Inventario '!$B178,TablaConsumos[[Planta]:[Planta]],'Inventario '!M$1)</f>
        <v>0</v>
      </c>
      <c r="N178" s="131">
        <f>SUMIFS(TablaConsumos[[CANTIDAD ]:[CANTIDAD ]],TablaConsumos[[CÓDIGO]:[CÓDIGO]],'Inventario '!$B178,TablaConsumos[[Planta]:[Planta]],'Inventario '!N$1)</f>
        <v>0</v>
      </c>
      <c r="O178" s="131">
        <f>SUMIFS(TablaConsumos[[CANTIDAD ]:[CANTIDAD ]],TablaConsumos[[CÓDIGO]:[CÓDIGO]],'Inventario '!$B178,TablaConsumos[[Planta]:[Planta]],'Inventario '!O$1)</f>
        <v>0</v>
      </c>
      <c r="P178" s="131">
        <f>SUMIFS(TablaConsumos[[CANTIDAD ]:[CANTIDAD ]],TablaConsumos[[CÓDIGO]:[CÓDIGO]],'Inventario '!$B178,TablaConsumos[[Planta]:[Planta]],'Inventario '!P$1)</f>
        <v>0</v>
      </c>
      <c r="Q178" s="131">
        <f>SUMIFS(TablaConsumos[[CANTIDAD ]:[CANTIDAD ]],TablaConsumos[[CÓDIGO]:[CÓDIGO]],'Inventario '!$B178,TablaConsumos[[Planta]:[Planta]],'Inventario '!Q$1)</f>
        <v>0</v>
      </c>
      <c r="R178" s="131">
        <f>SUMIFS(TablaConsumos[[CANTIDAD ]:[CANTIDAD ]],TablaConsumos[[CÓDIGO]:[CÓDIGO]],'Inventario '!$B178,TablaConsumos[[Planta]:[Planta]],'Inventario '!R$1)</f>
        <v>0</v>
      </c>
      <c r="S178" s="130">
        <f t="shared" si="173"/>
        <v>0</v>
      </c>
      <c r="T178" s="130">
        <f t="shared" si="174"/>
        <v>0</v>
      </c>
      <c r="U178" s="177"/>
      <c r="V178" s="130"/>
      <c r="W178" s="179">
        <v>30.48</v>
      </c>
      <c r="X178" s="133">
        <f t="shared" si="175"/>
        <v>0</v>
      </c>
      <c r="Y178" s="130">
        <f t="shared" si="176"/>
        <v>0</v>
      </c>
      <c r="Z178" s="132"/>
      <c r="AA178" s="132">
        <f t="shared" si="145"/>
        <v>0</v>
      </c>
      <c r="AB178" s="132"/>
      <c r="AC178" s="131"/>
      <c r="AD178" s="131"/>
      <c r="AE178" s="132" t="s">
        <v>612</v>
      </c>
      <c r="AF178" s="132">
        <v>3048</v>
      </c>
      <c r="AG178" s="168"/>
      <c r="AH178" s="134"/>
      <c r="AI178" s="134"/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5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31"/>
    </row>
    <row r="179" spans="2:56" x14ac:dyDescent="0.25">
      <c r="B179" s="231">
        <v>8206003</v>
      </c>
      <c r="C179" s="232" t="s">
        <v>30</v>
      </c>
      <c r="D179" s="232"/>
      <c r="E179" s="233" t="s">
        <v>845</v>
      </c>
      <c r="F179" s="274"/>
      <c r="G179" s="130">
        <f>+SUMIFS(TablaIngresos[Cantidad],TablaIngresos[Código],'Inventario '!B179)</f>
        <v>0</v>
      </c>
      <c r="H179" s="130">
        <f t="shared" si="172"/>
        <v>0</v>
      </c>
      <c r="I179" s="131">
        <f>SUMIFS(TablaConsumos[[CANTIDAD ]:[CANTIDAD ]],TablaConsumos[[CÓDIGO]:[CÓDIGO]],'Inventario '!$B179,TablaConsumos[[Planta]:[Planta]],'Inventario '!I$1)</f>
        <v>0</v>
      </c>
      <c r="J179" s="131">
        <f>SUMIFS(TablaConsumos[[CANTIDAD ]:[CANTIDAD ]],TablaConsumos[[CÓDIGO]:[CÓDIGO]],'Inventario '!$B179,TablaConsumos[[Planta]:[Planta]],'Inventario '!J$1)</f>
        <v>0</v>
      </c>
      <c r="K179" s="131">
        <f>SUMIFS(TablaConsumos[[CANTIDAD ]:[CANTIDAD ]],TablaConsumos[[CÓDIGO]:[CÓDIGO]],'Inventario '!$B179,TablaConsumos[[Planta]:[Planta]],'Inventario '!K$1)</f>
        <v>0</v>
      </c>
      <c r="L179" s="131">
        <f>SUMIFS(TablaConsumos[[CANTIDAD ]:[CANTIDAD ]],TablaConsumos[[CÓDIGO]:[CÓDIGO]],'Inventario '!$B179,TablaConsumos[[Planta]:[Planta]],'Inventario '!L$1)</f>
        <v>0</v>
      </c>
      <c r="M179" s="131">
        <f>SUMIFS(TablaConsumos[[CANTIDAD ]:[CANTIDAD ]],TablaConsumos[[CÓDIGO]:[CÓDIGO]],'Inventario '!$B179,TablaConsumos[[Planta]:[Planta]],'Inventario '!M$1)</f>
        <v>0</v>
      </c>
      <c r="N179" s="131">
        <f>SUMIFS(TablaConsumos[[CANTIDAD ]:[CANTIDAD ]],TablaConsumos[[CÓDIGO]:[CÓDIGO]],'Inventario '!$B179,TablaConsumos[[Planta]:[Planta]],'Inventario '!N$1)</f>
        <v>0</v>
      </c>
      <c r="O179" s="131">
        <f>SUMIFS(TablaConsumos[[CANTIDAD ]:[CANTIDAD ]],TablaConsumos[[CÓDIGO]:[CÓDIGO]],'Inventario '!$B179,TablaConsumos[[Planta]:[Planta]],'Inventario '!O$1)</f>
        <v>0</v>
      </c>
      <c r="P179" s="131">
        <f>SUMIFS(TablaConsumos[[CANTIDAD ]:[CANTIDAD ]],TablaConsumos[[CÓDIGO]:[CÓDIGO]],'Inventario '!$B179,TablaConsumos[[Planta]:[Planta]],'Inventario '!P$1)</f>
        <v>0</v>
      </c>
      <c r="Q179" s="131">
        <f>SUMIFS(TablaConsumos[[CANTIDAD ]:[CANTIDAD ]],TablaConsumos[[CÓDIGO]:[CÓDIGO]],'Inventario '!$B179,TablaConsumos[[Planta]:[Planta]],'Inventario '!Q$1)</f>
        <v>0</v>
      </c>
      <c r="R179" s="131">
        <f>SUMIFS(TablaConsumos[[CANTIDAD ]:[CANTIDAD ]],TablaConsumos[[CÓDIGO]:[CÓDIGO]],'Inventario '!$B179,TablaConsumos[[Planta]:[Planta]],'Inventario '!R$1)</f>
        <v>0</v>
      </c>
      <c r="S179" s="130">
        <f t="shared" si="173"/>
        <v>0</v>
      </c>
      <c r="T179" s="130">
        <f t="shared" si="174"/>
        <v>0</v>
      </c>
      <c r="U179" s="177"/>
      <c r="V179" s="130"/>
      <c r="W179" s="179">
        <v>30.48</v>
      </c>
      <c r="X179" s="133">
        <f t="shared" si="175"/>
        <v>0</v>
      </c>
      <c r="Y179" s="130">
        <f t="shared" si="176"/>
        <v>0</v>
      </c>
      <c r="Z179" s="132"/>
      <c r="AA179" s="132">
        <f t="shared" si="145"/>
        <v>0</v>
      </c>
      <c r="AB179" s="132"/>
      <c r="AC179" s="131"/>
      <c r="AD179" s="131"/>
      <c r="AE179" s="132" t="s">
        <v>612</v>
      </c>
      <c r="AF179" s="132">
        <v>3048</v>
      </c>
      <c r="AG179" s="168"/>
      <c r="AH179" s="134"/>
      <c r="AI179" s="134"/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5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31"/>
    </row>
    <row r="180" spans="2:56" x14ac:dyDescent="0.25">
      <c r="B180" s="231">
        <v>8206004</v>
      </c>
      <c r="C180" s="232" t="s">
        <v>30</v>
      </c>
      <c r="D180" s="232"/>
      <c r="E180" s="233" t="s">
        <v>846</v>
      </c>
      <c r="F180" s="274"/>
      <c r="G180" s="130">
        <f>+SUMIFS(TablaIngresos[Cantidad],TablaIngresos[Código],'Inventario '!B180)</f>
        <v>0</v>
      </c>
      <c r="H180" s="130">
        <f t="shared" si="172"/>
        <v>0</v>
      </c>
      <c r="I180" s="131">
        <f>SUMIFS(TablaConsumos[[CANTIDAD ]:[CANTIDAD ]],TablaConsumos[[CÓDIGO]:[CÓDIGO]],'Inventario '!$B180,TablaConsumos[[Planta]:[Planta]],'Inventario '!I$1)</f>
        <v>0</v>
      </c>
      <c r="J180" s="131">
        <f>SUMIFS(TablaConsumos[[CANTIDAD ]:[CANTIDAD ]],TablaConsumos[[CÓDIGO]:[CÓDIGO]],'Inventario '!$B180,TablaConsumos[[Planta]:[Planta]],'Inventario '!J$1)</f>
        <v>0</v>
      </c>
      <c r="K180" s="131">
        <f>SUMIFS(TablaConsumos[[CANTIDAD ]:[CANTIDAD ]],TablaConsumos[[CÓDIGO]:[CÓDIGO]],'Inventario '!$B180,TablaConsumos[[Planta]:[Planta]],'Inventario '!K$1)</f>
        <v>0</v>
      </c>
      <c r="L180" s="131">
        <f>SUMIFS(TablaConsumos[[CANTIDAD ]:[CANTIDAD ]],TablaConsumos[[CÓDIGO]:[CÓDIGO]],'Inventario '!$B180,TablaConsumos[[Planta]:[Planta]],'Inventario '!L$1)</f>
        <v>0</v>
      </c>
      <c r="M180" s="131">
        <f>SUMIFS(TablaConsumos[[CANTIDAD ]:[CANTIDAD ]],TablaConsumos[[CÓDIGO]:[CÓDIGO]],'Inventario '!$B180,TablaConsumos[[Planta]:[Planta]],'Inventario '!M$1)</f>
        <v>0</v>
      </c>
      <c r="N180" s="131">
        <f>SUMIFS(TablaConsumos[[CANTIDAD ]:[CANTIDAD ]],TablaConsumos[[CÓDIGO]:[CÓDIGO]],'Inventario '!$B180,TablaConsumos[[Planta]:[Planta]],'Inventario '!N$1)</f>
        <v>0</v>
      </c>
      <c r="O180" s="131">
        <f>SUMIFS(TablaConsumos[[CANTIDAD ]:[CANTIDAD ]],TablaConsumos[[CÓDIGO]:[CÓDIGO]],'Inventario '!$B180,TablaConsumos[[Planta]:[Planta]],'Inventario '!O$1)</f>
        <v>0</v>
      </c>
      <c r="P180" s="131">
        <f>SUMIFS(TablaConsumos[[CANTIDAD ]:[CANTIDAD ]],TablaConsumos[[CÓDIGO]:[CÓDIGO]],'Inventario '!$B180,TablaConsumos[[Planta]:[Planta]],'Inventario '!P$1)</f>
        <v>0</v>
      </c>
      <c r="Q180" s="131">
        <f>SUMIFS(TablaConsumos[[CANTIDAD ]:[CANTIDAD ]],TablaConsumos[[CÓDIGO]:[CÓDIGO]],'Inventario '!$B180,TablaConsumos[[Planta]:[Planta]],'Inventario '!Q$1)</f>
        <v>0</v>
      </c>
      <c r="R180" s="131">
        <f>SUMIFS(TablaConsumos[[CANTIDAD ]:[CANTIDAD ]],TablaConsumos[[CÓDIGO]:[CÓDIGO]],'Inventario '!$B180,TablaConsumos[[Planta]:[Planta]],'Inventario '!R$1)</f>
        <v>0</v>
      </c>
      <c r="S180" s="130">
        <f t="shared" si="173"/>
        <v>0</v>
      </c>
      <c r="T180" s="130">
        <f t="shared" si="174"/>
        <v>0</v>
      </c>
      <c r="U180" s="177"/>
      <c r="V180" s="130"/>
      <c r="W180" s="179">
        <v>30.48</v>
      </c>
      <c r="X180" s="133">
        <f t="shared" si="175"/>
        <v>0</v>
      </c>
      <c r="Y180" s="130">
        <f t="shared" si="176"/>
        <v>0</v>
      </c>
      <c r="Z180" s="132"/>
      <c r="AA180" s="132">
        <f t="shared" ref="AA180:AA186" si="177">(Z180-X180)</f>
        <v>0</v>
      </c>
      <c r="AB180" s="132"/>
      <c r="AC180" s="131"/>
      <c r="AD180" s="131"/>
      <c r="AE180" s="132" t="s">
        <v>612</v>
      </c>
      <c r="AF180" s="132">
        <v>3048</v>
      </c>
      <c r="AG180" s="168"/>
      <c r="AH180" s="134"/>
      <c r="AI180" s="134"/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5"/>
      <c r="AT180" s="137"/>
      <c r="AU180" s="137"/>
      <c r="AV180" s="137"/>
      <c r="AW180" s="137"/>
      <c r="AX180" s="137"/>
      <c r="AY180" s="137"/>
      <c r="AZ180" s="137"/>
      <c r="BA180" s="137"/>
      <c r="BB180" s="137"/>
      <c r="BC180" s="137"/>
      <c r="BD180" s="131"/>
    </row>
    <row r="181" spans="2:56" x14ac:dyDescent="0.25">
      <c r="B181" s="231">
        <v>8206005</v>
      </c>
      <c r="C181" s="232" t="s">
        <v>30</v>
      </c>
      <c r="D181" s="232"/>
      <c r="E181" s="233" t="s">
        <v>847</v>
      </c>
      <c r="F181" s="274"/>
      <c r="G181" s="130">
        <f>+SUMIFS(TablaIngresos[Cantidad],TablaIngresos[Código],'Inventario '!B181)</f>
        <v>0</v>
      </c>
      <c r="H181" s="130">
        <f t="shared" si="172"/>
        <v>0</v>
      </c>
      <c r="I181" s="131">
        <f>SUMIFS(TablaConsumos[[CANTIDAD ]:[CANTIDAD ]],TablaConsumos[[CÓDIGO]:[CÓDIGO]],'Inventario '!$B181,TablaConsumos[[Planta]:[Planta]],'Inventario '!I$1)</f>
        <v>0</v>
      </c>
      <c r="J181" s="131">
        <f>SUMIFS(TablaConsumos[[CANTIDAD ]:[CANTIDAD ]],TablaConsumos[[CÓDIGO]:[CÓDIGO]],'Inventario '!$B181,TablaConsumos[[Planta]:[Planta]],'Inventario '!J$1)</f>
        <v>0</v>
      </c>
      <c r="K181" s="131">
        <f>SUMIFS(TablaConsumos[[CANTIDAD ]:[CANTIDAD ]],TablaConsumos[[CÓDIGO]:[CÓDIGO]],'Inventario '!$B181,TablaConsumos[[Planta]:[Planta]],'Inventario '!K$1)</f>
        <v>0</v>
      </c>
      <c r="L181" s="131">
        <f>SUMIFS(TablaConsumos[[CANTIDAD ]:[CANTIDAD ]],TablaConsumos[[CÓDIGO]:[CÓDIGO]],'Inventario '!$B181,TablaConsumos[[Planta]:[Planta]],'Inventario '!L$1)</f>
        <v>0</v>
      </c>
      <c r="M181" s="131">
        <f>SUMIFS(TablaConsumos[[CANTIDAD ]:[CANTIDAD ]],TablaConsumos[[CÓDIGO]:[CÓDIGO]],'Inventario '!$B181,TablaConsumos[[Planta]:[Planta]],'Inventario '!M$1)</f>
        <v>0</v>
      </c>
      <c r="N181" s="131">
        <f>SUMIFS(TablaConsumos[[CANTIDAD ]:[CANTIDAD ]],TablaConsumos[[CÓDIGO]:[CÓDIGO]],'Inventario '!$B181,TablaConsumos[[Planta]:[Planta]],'Inventario '!N$1)</f>
        <v>0</v>
      </c>
      <c r="O181" s="131">
        <f>SUMIFS(TablaConsumos[[CANTIDAD ]:[CANTIDAD ]],TablaConsumos[[CÓDIGO]:[CÓDIGO]],'Inventario '!$B181,TablaConsumos[[Planta]:[Planta]],'Inventario '!O$1)</f>
        <v>0</v>
      </c>
      <c r="P181" s="131">
        <f>SUMIFS(TablaConsumos[[CANTIDAD ]:[CANTIDAD ]],TablaConsumos[[CÓDIGO]:[CÓDIGO]],'Inventario '!$B181,TablaConsumos[[Planta]:[Planta]],'Inventario '!P$1)</f>
        <v>0</v>
      </c>
      <c r="Q181" s="131">
        <f>SUMIFS(TablaConsumos[[CANTIDAD ]:[CANTIDAD ]],TablaConsumos[[CÓDIGO]:[CÓDIGO]],'Inventario '!$B181,TablaConsumos[[Planta]:[Planta]],'Inventario '!Q$1)</f>
        <v>0</v>
      </c>
      <c r="R181" s="131">
        <f>SUMIFS(TablaConsumos[[CANTIDAD ]:[CANTIDAD ]],TablaConsumos[[CÓDIGO]:[CÓDIGO]],'Inventario '!$B181,TablaConsumos[[Planta]:[Planta]],'Inventario '!R$1)</f>
        <v>0</v>
      </c>
      <c r="S181" s="130">
        <f t="shared" si="173"/>
        <v>0</v>
      </c>
      <c r="T181" s="130">
        <f t="shared" si="174"/>
        <v>0</v>
      </c>
      <c r="U181" s="177"/>
      <c r="V181" s="130"/>
      <c r="W181" s="179">
        <v>30.48</v>
      </c>
      <c r="X181" s="133">
        <f t="shared" si="175"/>
        <v>0</v>
      </c>
      <c r="Y181" s="130">
        <f t="shared" si="176"/>
        <v>0</v>
      </c>
      <c r="Z181" s="132"/>
      <c r="AA181" s="132">
        <f t="shared" si="177"/>
        <v>0</v>
      </c>
      <c r="AB181" s="132"/>
      <c r="AC181" s="131"/>
      <c r="AD181" s="131"/>
      <c r="AE181" s="132" t="s">
        <v>612</v>
      </c>
      <c r="AF181" s="132">
        <v>3048</v>
      </c>
      <c r="AG181" s="168"/>
      <c r="AH181" s="134"/>
      <c r="AI181" s="134"/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5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31"/>
    </row>
    <row r="182" spans="2:56" x14ac:dyDescent="0.25">
      <c r="B182" s="231">
        <v>8206006</v>
      </c>
      <c r="C182" s="232" t="s">
        <v>30</v>
      </c>
      <c r="D182" s="232"/>
      <c r="E182" s="233" t="s">
        <v>848</v>
      </c>
      <c r="F182" s="274"/>
      <c r="G182" s="130">
        <f>+SUMIFS(TablaIngresos[Cantidad],TablaIngresos[Código],'Inventario '!B182)</f>
        <v>0</v>
      </c>
      <c r="H182" s="130">
        <f t="shared" si="172"/>
        <v>0</v>
      </c>
      <c r="I182" s="131">
        <f>SUMIFS(TablaConsumos[[CANTIDAD ]:[CANTIDAD ]],TablaConsumos[[CÓDIGO]:[CÓDIGO]],'Inventario '!$B182,TablaConsumos[[Planta]:[Planta]],'Inventario '!I$1)</f>
        <v>0</v>
      </c>
      <c r="J182" s="131">
        <f>SUMIFS(TablaConsumos[[CANTIDAD ]:[CANTIDAD ]],TablaConsumos[[CÓDIGO]:[CÓDIGO]],'Inventario '!$B182,TablaConsumos[[Planta]:[Planta]],'Inventario '!J$1)</f>
        <v>0</v>
      </c>
      <c r="K182" s="131">
        <f>SUMIFS(TablaConsumos[[CANTIDAD ]:[CANTIDAD ]],TablaConsumos[[CÓDIGO]:[CÓDIGO]],'Inventario '!$B182,TablaConsumos[[Planta]:[Planta]],'Inventario '!K$1)</f>
        <v>0</v>
      </c>
      <c r="L182" s="131">
        <f>SUMIFS(TablaConsumos[[CANTIDAD ]:[CANTIDAD ]],TablaConsumos[[CÓDIGO]:[CÓDIGO]],'Inventario '!$B182,TablaConsumos[[Planta]:[Planta]],'Inventario '!L$1)</f>
        <v>0</v>
      </c>
      <c r="M182" s="131">
        <f>SUMIFS(TablaConsumos[[CANTIDAD ]:[CANTIDAD ]],TablaConsumos[[CÓDIGO]:[CÓDIGO]],'Inventario '!$B182,TablaConsumos[[Planta]:[Planta]],'Inventario '!M$1)</f>
        <v>0</v>
      </c>
      <c r="N182" s="131">
        <f>SUMIFS(TablaConsumos[[CANTIDAD ]:[CANTIDAD ]],TablaConsumos[[CÓDIGO]:[CÓDIGO]],'Inventario '!$B182,TablaConsumos[[Planta]:[Planta]],'Inventario '!N$1)</f>
        <v>0</v>
      </c>
      <c r="O182" s="131">
        <f>SUMIFS(TablaConsumos[[CANTIDAD ]:[CANTIDAD ]],TablaConsumos[[CÓDIGO]:[CÓDIGO]],'Inventario '!$B182,TablaConsumos[[Planta]:[Planta]],'Inventario '!O$1)</f>
        <v>0</v>
      </c>
      <c r="P182" s="131">
        <f>SUMIFS(TablaConsumos[[CANTIDAD ]:[CANTIDAD ]],TablaConsumos[[CÓDIGO]:[CÓDIGO]],'Inventario '!$B182,TablaConsumos[[Planta]:[Planta]],'Inventario '!P$1)</f>
        <v>0</v>
      </c>
      <c r="Q182" s="131">
        <f>SUMIFS(TablaConsumos[[CANTIDAD ]:[CANTIDAD ]],TablaConsumos[[CÓDIGO]:[CÓDIGO]],'Inventario '!$B182,TablaConsumos[[Planta]:[Planta]],'Inventario '!Q$1)</f>
        <v>0</v>
      </c>
      <c r="R182" s="131">
        <f>SUMIFS(TablaConsumos[[CANTIDAD ]:[CANTIDAD ]],TablaConsumos[[CÓDIGO]:[CÓDIGO]],'Inventario '!$B182,TablaConsumos[[Planta]:[Planta]],'Inventario '!R$1)</f>
        <v>0</v>
      </c>
      <c r="S182" s="130">
        <f t="shared" si="173"/>
        <v>0</v>
      </c>
      <c r="T182" s="130">
        <f t="shared" si="174"/>
        <v>0</v>
      </c>
      <c r="U182" s="177"/>
      <c r="V182" s="130"/>
      <c r="W182" s="179">
        <v>30.48</v>
      </c>
      <c r="X182" s="133">
        <f t="shared" si="175"/>
        <v>0</v>
      </c>
      <c r="Y182" s="130">
        <f t="shared" si="176"/>
        <v>0</v>
      </c>
      <c r="Z182" s="132"/>
      <c r="AA182" s="132">
        <f t="shared" si="177"/>
        <v>0</v>
      </c>
      <c r="AB182" s="132"/>
      <c r="AC182" s="131"/>
      <c r="AD182" s="131"/>
      <c r="AE182" s="132" t="s">
        <v>612</v>
      </c>
      <c r="AF182" s="132">
        <v>3048</v>
      </c>
      <c r="AG182" s="168"/>
      <c r="AH182" s="134"/>
      <c r="AI182" s="134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5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31"/>
    </row>
    <row r="183" spans="2:56" x14ac:dyDescent="0.25">
      <c r="B183" s="231">
        <v>8206007</v>
      </c>
      <c r="C183" s="232" t="s">
        <v>30</v>
      </c>
      <c r="D183" s="232"/>
      <c r="E183" s="233" t="s">
        <v>849</v>
      </c>
      <c r="F183" s="274"/>
      <c r="G183" s="130">
        <f>+SUMIFS(TablaIngresos[Cantidad],TablaIngresos[Código],'Inventario '!B183)</f>
        <v>0</v>
      </c>
      <c r="H183" s="130">
        <f t="shared" si="172"/>
        <v>0</v>
      </c>
      <c r="I183" s="131">
        <f>SUMIFS(TablaConsumos[[CANTIDAD ]:[CANTIDAD ]],TablaConsumos[[CÓDIGO]:[CÓDIGO]],'Inventario '!$B183,TablaConsumos[[Planta]:[Planta]],'Inventario '!I$1)</f>
        <v>0</v>
      </c>
      <c r="J183" s="131">
        <f>SUMIFS(TablaConsumos[[CANTIDAD ]:[CANTIDAD ]],TablaConsumos[[CÓDIGO]:[CÓDIGO]],'Inventario '!$B183,TablaConsumos[[Planta]:[Planta]],'Inventario '!J$1)</f>
        <v>0</v>
      </c>
      <c r="K183" s="131">
        <f>SUMIFS(TablaConsumos[[CANTIDAD ]:[CANTIDAD ]],TablaConsumos[[CÓDIGO]:[CÓDIGO]],'Inventario '!$B183,TablaConsumos[[Planta]:[Planta]],'Inventario '!K$1)</f>
        <v>0</v>
      </c>
      <c r="L183" s="131">
        <f>SUMIFS(TablaConsumos[[CANTIDAD ]:[CANTIDAD ]],TablaConsumos[[CÓDIGO]:[CÓDIGO]],'Inventario '!$B183,TablaConsumos[[Planta]:[Planta]],'Inventario '!L$1)</f>
        <v>0</v>
      </c>
      <c r="M183" s="131">
        <f>SUMIFS(TablaConsumos[[CANTIDAD ]:[CANTIDAD ]],TablaConsumos[[CÓDIGO]:[CÓDIGO]],'Inventario '!$B183,TablaConsumos[[Planta]:[Planta]],'Inventario '!M$1)</f>
        <v>0</v>
      </c>
      <c r="N183" s="131">
        <f>SUMIFS(TablaConsumos[[CANTIDAD ]:[CANTIDAD ]],TablaConsumos[[CÓDIGO]:[CÓDIGO]],'Inventario '!$B183,TablaConsumos[[Planta]:[Planta]],'Inventario '!N$1)</f>
        <v>0</v>
      </c>
      <c r="O183" s="131">
        <f>SUMIFS(TablaConsumos[[CANTIDAD ]:[CANTIDAD ]],TablaConsumos[[CÓDIGO]:[CÓDIGO]],'Inventario '!$B183,TablaConsumos[[Planta]:[Planta]],'Inventario '!O$1)</f>
        <v>0</v>
      </c>
      <c r="P183" s="131">
        <f>SUMIFS(TablaConsumos[[CANTIDAD ]:[CANTIDAD ]],TablaConsumos[[CÓDIGO]:[CÓDIGO]],'Inventario '!$B183,TablaConsumos[[Planta]:[Planta]],'Inventario '!P$1)</f>
        <v>0</v>
      </c>
      <c r="Q183" s="131">
        <f>SUMIFS(TablaConsumos[[CANTIDAD ]:[CANTIDAD ]],TablaConsumos[[CÓDIGO]:[CÓDIGO]],'Inventario '!$B183,TablaConsumos[[Planta]:[Planta]],'Inventario '!Q$1)</f>
        <v>0</v>
      </c>
      <c r="R183" s="131">
        <f>SUMIFS(TablaConsumos[[CANTIDAD ]:[CANTIDAD ]],TablaConsumos[[CÓDIGO]:[CÓDIGO]],'Inventario '!$B183,TablaConsumos[[Planta]:[Planta]],'Inventario '!R$1)</f>
        <v>0</v>
      </c>
      <c r="S183" s="130">
        <f t="shared" si="173"/>
        <v>0</v>
      </c>
      <c r="T183" s="130">
        <f t="shared" si="174"/>
        <v>0</v>
      </c>
      <c r="U183" s="177"/>
      <c r="V183" s="130"/>
      <c r="W183" s="179">
        <v>30.48</v>
      </c>
      <c r="X183" s="133">
        <f t="shared" si="175"/>
        <v>0</v>
      </c>
      <c r="Y183" s="130">
        <f t="shared" si="176"/>
        <v>0</v>
      </c>
      <c r="Z183" s="132"/>
      <c r="AA183" s="132">
        <f t="shared" si="177"/>
        <v>0</v>
      </c>
      <c r="AB183" s="132"/>
      <c r="AC183" s="131"/>
      <c r="AD183" s="131"/>
      <c r="AE183" s="132" t="s">
        <v>612</v>
      </c>
      <c r="AF183" s="132">
        <v>3048</v>
      </c>
      <c r="AG183" s="168"/>
      <c r="AH183" s="134"/>
      <c r="AI183" s="134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5"/>
      <c r="AT183" s="137"/>
      <c r="AU183" s="137"/>
      <c r="AV183" s="137"/>
      <c r="AW183" s="137"/>
      <c r="AX183" s="137"/>
      <c r="AY183" s="137"/>
      <c r="AZ183" s="137"/>
      <c r="BA183" s="137"/>
      <c r="BB183" s="137"/>
      <c r="BC183" s="137"/>
      <c r="BD183" s="131"/>
    </row>
    <row r="184" spans="2:56" x14ac:dyDescent="0.25">
      <c r="B184" s="231">
        <v>8206370</v>
      </c>
      <c r="C184" s="232" t="s">
        <v>30</v>
      </c>
      <c r="D184" s="232"/>
      <c r="E184" s="233" t="s">
        <v>853</v>
      </c>
      <c r="F184" s="274"/>
      <c r="G184" s="130">
        <f>+SUMIFS(TablaIngresos[Cantidad],TablaIngresos[Código],'Inventario '!B184)</f>
        <v>0</v>
      </c>
      <c r="H184" s="130">
        <f>+F184+G184</f>
        <v>0</v>
      </c>
      <c r="I184" s="131">
        <f>SUMIFS(TablaConsumos[[CANTIDAD ]:[CANTIDAD ]],TablaConsumos[[CÓDIGO]:[CÓDIGO]],'Inventario '!$B184,TablaConsumos[[Planta]:[Planta]],'Inventario '!I$1)</f>
        <v>0</v>
      </c>
      <c r="J184" s="131">
        <f>SUMIFS(TablaConsumos[[CANTIDAD ]:[CANTIDAD ]],TablaConsumos[[CÓDIGO]:[CÓDIGO]],'Inventario '!$B184,TablaConsumos[[Planta]:[Planta]],'Inventario '!J$1)</f>
        <v>0</v>
      </c>
      <c r="K184" s="131">
        <f>SUMIFS(TablaConsumos[[CANTIDAD ]:[CANTIDAD ]],TablaConsumos[[CÓDIGO]:[CÓDIGO]],'Inventario '!$B184,TablaConsumos[[Planta]:[Planta]],'Inventario '!K$1)</f>
        <v>0</v>
      </c>
      <c r="L184" s="131">
        <f>SUMIFS(TablaConsumos[[CANTIDAD ]:[CANTIDAD ]],TablaConsumos[[CÓDIGO]:[CÓDIGO]],'Inventario '!$B184,TablaConsumos[[Planta]:[Planta]],'Inventario '!L$1)</f>
        <v>0</v>
      </c>
      <c r="M184" s="131">
        <f>SUMIFS(TablaConsumos[[CANTIDAD ]:[CANTIDAD ]],TablaConsumos[[CÓDIGO]:[CÓDIGO]],'Inventario '!$B184,TablaConsumos[[Planta]:[Planta]],'Inventario '!M$1)</f>
        <v>0</v>
      </c>
      <c r="N184" s="131">
        <f>SUMIFS(TablaConsumos[[CANTIDAD ]:[CANTIDAD ]],TablaConsumos[[CÓDIGO]:[CÓDIGO]],'Inventario '!$B184,TablaConsumos[[Planta]:[Planta]],'Inventario '!N$1)</f>
        <v>0</v>
      </c>
      <c r="O184" s="131">
        <f>SUMIFS(TablaConsumos[[CANTIDAD ]:[CANTIDAD ]],TablaConsumos[[CÓDIGO]:[CÓDIGO]],'Inventario '!$B184,TablaConsumos[[Planta]:[Planta]],'Inventario '!O$1)</f>
        <v>0</v>
      </c>
      <c r="P184" s="131">
        <f>SUMIFS(TablaConsumos[[CANTIDAD ]:[CANTIDAD ]],TablaConsumos[[CÓDIGO]:[CÓDIGO]],'Inventario '!$B184,TablaConsumos[[Planta]:[Planta]],'Inventario '!P$1)</f>
        <v>0</v>
      </c>
      <c r="Q184" s="131">
        <f>SUMIFS(TablaConsumos[[CANTIDAD ]:[CANTIDAD ]],TablaConsumos[[CÓDIGO]:[CÓDIGO]],'Inventario '!$B184,TablaConsumos[[Planta]:[Planta]],'Inventario '!Q$1)</f>
        <v>0</v>
      </c>
      <c r="R184" s="131">
        <f>SUMIFS(TablaConsumos[[CANTIDAD ]:[CANTIDAD ]],TablaConsumos[[CÓDIGO]:[CÓDIGO]],'Inventario '!$B184,TablaConsumos[[Planta]:[Planta]],'Inventario '!R$1)</f>
        <v>0</v>
      </c>
      <c r="S184" s="130">
        <f>+SUM(I184:R184)</f>
        <v>0</v>
      </c>
      <c r="T184" s="130">
        <f>+H184-S184</f>
        <v>0</v>
      </c>
      <c r="U184" s="132"/>
      <c r="V184" s="130"/>
      <c r="W184" s="179">
        <v>30.48</v>
      </c>
      <c r="X184" s="133">
        <f>+U184*W184</f>
        <v>0</v>
      </c>
      <c r="Y184" s="130">
        <f>+T184-X184</f>
        <v>0</v>
      </c>
      <c r="Z184" s="132"/>
      <c r="AA184" s="132">
        <f t="shared" si="177"/>
        <v>0</v>
      </c>
      <c r="AB184" s="132"/>
      <c r="AC184" s="131"/>
      <c r="AD184" s="131"/>
      <c r="AE184" s="132" t="s">
        <v>615</v>
      </c>
      <c r="AF184" s="132">
        <v>3048</v>
      </c>
      <c r="AG184" s="168"/>
      <c r="AH184" s="134"/>
      <c r="AI184" s="134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5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31"/>
    </row>
    <row r="185" spans="2:56" x14ac:dyDescent="0.25">
      <c r="B185" s="231">
        <v>8201282</v>
      </c>
      <c r="C185" s="232" t="s">
        <v>30</v>
      </c>
      <c r="D185" s="232"/>
      <c r="E185" s="233" t="s">
        <v>1214</v>
      </c>
      <c r="F185" s="274"/>
      <c r="G185" s="130">
        <f>+SUMIFS(TablaIngresos[Cantidad],TablaIngresos[Código],'Inventario '!B185)</f>
        <v>0</v>
      </c>
      <c r="H185" s="130">
        <f>+F185+G185</f>
        <v>0</v>
      </c>
      <c r="I185" s="131">
        <f>SUMIFS(TablaConsumos[[CANTIDAD ]:[CANTIDAD ]],TablaConsumos[[CÓDIGO]:[CÓDIGO]],'Inventario '!$B185,TablaConsumos[[Planta]:[Planta]],'Inventario '!I$1)</f>
        <v>0</v>
      </c>
      <c r="J185" s="131">
        <f>SUMIFS(TablaConsumos[[CANTIDAD ]:[CANTIDAD ]],TablaConsumos[[CÓDIGO]:[CÓDIGO]],'Inventario '!$B185,TablaConsumos[[Planta]:[Planta]],'Inventario '!J$1)</f>
        <v>0</v>
      </c>
      <c r="K185" s="131">
        <f>SUMIFS(TablaConsumos[[CANTIDAD ]:[CANTIDAD ]],TablaConsumos[[CÓDIGO]:[CÓDIGO]],'Inventario '!$B185,TablaConsumos[[Planta]:[Planta]],'Inventario '!K$1)</f>
        <v>0</v>
      </c>
      <c r="L185" s="131">
        <f>SUMIFS(TablaConsumos[[CANTIDAD ]:[CANTIDAD ]],TablaConsumos[[CÓDIGO]:[CÓDIGO]],'Inventario '!$B185,TablaConsumos[[Planta]:[Planta]],'Inventario '!L$1)</f>
        <v>0</v>
      </c>
      <c r="M185" s="131">
        <f>SUMIFS(TablaConsumos[[CANTIDAD ]:[CANTIDAD ]],TablaConsumos[[CÓDIGO]:[CÓDIGO]],'Inventario '!$B185,TablaConsumos[[Planta]:[Planta]],'Inventario '!M$1)</f>
        <v>0</v>
      </c>
      <c r="N185" s="131">
        <f>SUMIFS(TablaConsumos[[CANTIDAD ]:[CANTIDAD ]],TablaConsumos[[CÓDIGO]:[CÓDIGO]],'Inventario '!$B185,TablaConsumos[[Planta]:[Planta]],'Inventario '!N$1)</f>
        <v>0</v>
      </c>
      <c r="O185" s="131">
        <f>SUMIFS(TablaConsumos[[CANTIDAD ]:[CANTIDAD ]],TablaConsumos[[CÓDIGO]:[CÓDIGO]],'Inventario '!$B185,TablaConsumos[[Planta]:[Planta]],'Inventario '!O$1)</f>
        <v>0</v>
      </c>
      <c r="P185" s="131">
        <f>SUMIFS(TablaConsumos[[CANTIDAD ]:[CANTIDAD ]],TablaConsumos[[CÓDIGO]:[CÓDIGO]],'Inventario '!$B185,TablaConsumos[[Planta]:[Planta]],'Inventario '!P$1)</f>
        <v>0</v>
      </c>
      <c r="Q185" s="131">
        <f>SUMIFS(TablaConsumos[[CANTIDAD ]:[CANTIDAD ]],TablaConsumos[[CÓDIGO]:[CÓDIGO]],'Inventario '!$B185,TablaConsumos[[Planta]:[Planta]],'Inventario '!Q$1)</f>
        <v>0</v>
      </c>
      <c r="R185" s="131">
        <f>SUMIFS(TablaConsumos[[CANTIDAD ]:[CANTIDAD ]],TablaConsumos[[CÓDIGO]:[CÓDIGO]],'Inventario '!$B185,TablaConsumos[[Planta]:[Planta]],'Inventario '!R$1)</f>
        <v>0</v>
      </c>
      <c r="S185" s="130">
        <f>+SUM(I185:R185)</f>
        <v>0</v>
      </c>
      <c r="T185" s="130">
        <f>+H185-S185</f>
        <v>0</v>
      </c>
      <c r="U185" s="132"/>
      <c r="V185" s="130"/>
      <c r="W185" s="179">
        <v>30.48</v>
      </c>
      <c r="X185" s="133">
        <f>+U185*W185</f>
        <v>0</v>
      </c>
      <c r="Y185" s="130">
        <f>+T185-X185</f>
        <v>0</v>
      </c>
      <c r="Z185" s="132"/>
      <c r="AA185" s="132">
        <f t="shared" si="177"/>
        <v>0</v>
      </c>
      <c r="AB185" s="132"/>
      <c r="AC185" s="131"/>
      <c r="AD185" s="131"/>
      <c r="AE185" s="132"/>
      <c r="AF185" s="132"/>
      <c r="AG185" s="168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5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31"/>
    </row>
    <row r="186" spans="2:56" x14ac:dyDescent="0.25">
      <c r="B186" s="136">
        <v>8205912</v>
      </c>
      <c r="C186" s="200" t="s">
        <v>30</v>
      </c>
      <c r="D186" s="200"/>
      <c r="E186" s="201" t="s">
        <v>254</v>
      </c>
      <c r="F186" s="274"/>
      <c r="G186" s="130">
        <f>+SUMIFS(TablaIngresos[Cantidad],TablaIngresos[Código],'Inventario '!B186)</f>
        <v>0</v>
      </c>
      <c r="H186" s="130">
        <f t="shared" ref="H186:H211" si="178">+F186+G186</f>
        <v>0</v>
      </c>
      <c r="I186" s="131">
        <f>SUMIFS(TablaConsumos[[CANTIDAD ]:[CANTIDAD ]],TablaConsumos[[CÓDIGO]:[CÓDIGO]],'Inventario '!$B186,TablaConsumos[[Planta]:[Planta]],'Inventario '!I$1)</f>
        <v>0</v>
      </c>
      <c r="J186" s="131">
        <f>SUMIFS(TablaConsumos[[CANTIDAD ]:[CANTIDAD ]],TablaConsumos[[CÓDIGO]:[CÓDIGO]],'Inventario '!$B186,TablaConsumos[[Planta]:[Planta]],'Inventario '!J$1)</f>
        <v>0</v>
      </c>
      <c r="K186" s="131">
        <f>SUMIFS(TablaConsumos[[CANTIDAD ]:[CANTIDAD ]],TablaConsumos[[CÓDIGO]:[CÓDIGO]],'Inventario '!$B186,TablaConsumos[[Planta]:[Planta]],'Inventario '!K$1)</f>
        <v>0</v>
      </c>
      <c r="L186" s="131">
        <f>SUMIFS(TablaConsumos[[CANTIDAD ]:[CANTIDAD ]],TablaConsumos[[CÓDIGO]:[CÓDIGO]],'Inventario '!$B186,TablaConsumos[[Planta]:[Planta]],'Inventario '!L$1)</f>
        <v>0</v>
      </c>
      <c r="M186" s="131">
        <f>SUMIFS(TablaConsumos[[CANTIDAD ]:[CANTIDAD ]],TablaConsumos[[CÓDIGO]:[CÓDIGO]],'Inventario '!$B186,TablaConsumos[[Planta]:[Planta]],'Inventario '!M$1)</f>
        <v>0</v>
      </c>
      <c r="N186" s="131">
        <f>SUMIFS(TablaConsumos[[CANTIDAD ]:[CANTIDAD ]],TablaConsumos[[CÓDIGO]:[CÓDIGO]],'Inventario '!$B186,TablaConsumos[[Planta]:[Planta]],'Inventario '!N$1)</f>
        <v>0</v>
      </c>
      <c r="O186" s="131">
        <f>SUMIFS(TablaConsumos[[CANTIDAD ]:[CANTIDAD ]],TablaConsumos[[CÓDIGO]:[CÓDIGO]],'Inventario '!$B186,TablaConsumos[[Planta]:[Planta]],'Inventario '!O$1)</f>
        <v>0</v>
      </c>
      <c r="P186" s="131">
        <f>SUMIFS(TablaConsumos[[CANTIDAD ]:[CANTIDAD ]],TablaConsumos[[CÓDIGO]:[CÓDIGO]],'Inventario '!$B186,TablaConsumos[[Planta]:[Planta]],'Inventario '!P$1)</f>
        <v>0</v>
      </c>
      <c r="Q186" s="131">
        <f>SUMIFS(TablaConsumos[[CANTIDAD ]:[CANTIDAD ]],TablaConsumos[[CÓDIGO]:[CÓDIGO]],'Inventario '!$B186,TablaConsumos[[Planta]:[Planta]],'Inventario '!Q$1)</f>
        <v>0</v>
      </c>
      <c r="R186" s="131">
        <f>SUMIFS(TablaConsumos[[CANTIDAD ]:[CANTIDAD ]],TablaConsumos[[CÓDIGO]:[CÓDIGO]],'Inventario '!$B186,TablaConsumos[[Planta]:[Planta]],'Inventario '!R$1)</f>
        <v>0</v>
      </c>
      <c r="S186" s="130">
        <f t="shared" si="168"/>
        <v>0</v>
      </c>
      <c r="T186" s="130">
        <f t="shared" si="171"/>
        <v>0</v>
      </c>
      <c r="U186" s="177"/>
      <c r="V186" s="130"/>
      <c r="W186" s="179">
        <v>30.48</v>
      </c>
      <c r="X186" s="133">
        <f t="shared" si="143"/>
        <v>0</v>
      </c>
      <c r="Y186" s="130">
        <f t="shared" si="144"/>
        <v>0</v>
      </c>
      <c r="Z186" s="132"/>
      <c r="AA186" s="132">
        <f t="shared" si="177"/>
        <v>0</v>
      </c>
      <c r="AB186" s="132"/>
      <c r="AC186" s="131">
        <f>+Z186-AA186</f>
        <v>0</v>
      </c>
      <c r="AD186" s="131"/>
      <c r="AE186" s="132" t="s">
        <v>612</v>
      </c>
      <c r="AF186" s="132">
        <v>3048</v>
      </c>
      <c r="AG186" s="168"/>
      <c r="AH186" s="134">
        <f>+IF(S186=0,0,AF186/S186)</f>
        <v>0</v>
      </c>
      <c r="AI186" s="134">
        <f t="shared" ref="AI186:AR186" si="179">+IF(I186=0,0,I186/$S186)</f>
        <v>0</v>
      </c>
      <c r="AJ186" s="134">
        <f t="shared" si="179"/>
        <v>0</v>
      </c>
      <c r="AK186" s="134">
        <f t="shared" si="179"/>
        <v>0</v>
      </c>
      <c r="AL186" s="134">
        <f t="shared" si="179"/>
        <v>0</v>
      </c>
      <c r="AM186" s="134">
        <f t="shared" si="179"/>
        <v>0</v>
      </c>
      <c r="AN186" s="134">
        <f t="shared" si="179"/>
        <v>0</v>
      </c>
      <c r="AO186" s="134">
        <f t="shared" si="179"/>
        <v>0</v>
      </c>
      <c r="AP186" s="134">
        <f t="shared" si="179"/>
        <v>0</v>
      </c>
      <c r="AQ186" s="134">
        <f t="shared" si="179"/>
        <v>0</v>
      </c>
      <c r="AR186" s="134">
        <f t="shared" si="179"/>
        <v>0</v>
      </c>
      <c r="AS186" s="135">
        <f t="shared" si="169"/>
        <v>0</v>
      </c>
      <c r="AT186" s="137" t="str">
        <f t="shared" ref="AT186:BC186" si="180">+IF(I186=-I186,"0",I186+$Y186*AI186)</f>
        <v>0</v>
      </c>
      <c r="AU186" s="137" t="str">
        <f t="shared" si="180"/>
        <v>0</v>
      </c>
      <c r="AV186" s="137" t="str">
        <f t="shared" si="180"/>
        <v>0</v>
      </c>
      <c r="AW186" s="137" t="str">
        <f t="shared" si="180"/>
        <v>0</v>
      </c>
      <c r="AX186" s="137" t="str">
        <f t="shared" si="180"/>
        <v>0</v>
      </c>
      <c r="AY186" s="137" t="str">
        <f t="shared" si="180"/>
        <v>0</v>
      </c>
      <c r="AZ186" s="137" t="str">
        <f t="shared" si="180"/>
        <v>0</v>
      </c>
      <c r="BA186" s="137" t="str">
        <f t="shared" si="180"/>
        <v>0</v>
      </c>
      <c r="BB186" s="137" t="str">
        <f t="shared" si="180"/>
        <v>0</v>
      </c>
      <c r="BC186" s="137" t="str">
        <f t="shared" si="180"/>
        <v>0</v>
      </c>
      <c r="BD186" s="131">
        <f t="shared" si="170"/>
        <v>0</v>
      </c>
    </row>
    <row r="187" spans="2:56" x14ac:dyDescent="0.25">
      <c r="B187" s="204" t="s">
        <v>255</v>
      </c>
      <c r="C187" s="206"/>
      <c r="D187" s="207"/>
      <c r="E187" s="208"/>
      <c r="F187" s="121"/>
      <c r="G187" s="121"/>
      <c r="H187" s="121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81"/>
      <c r="AH187" s="123"/>
      <c r="AI187" s="145"/>
      <c r="AJ187" s="145"/>
      <c r="AK187" s="145"/>
      <c r="AL187" s="145"/>
      <c r="AM187" s="145"/>
      <c r="AN187" s="145"/>
      <c r="AO187" s="145"/>
      <c r="AP187" s="145"/>
      <c r="AQ187" s="145"/>
      <c r="AR187" s="145"/>
      <c r="AS187" s="124"/>
      <c r="AT187" s="143"/>
      <c r="AU187" s="143"/>
      <c r="AV187" s="143"/>
      <c r="AW187" s="143"/>
      <c r="AX187" s="143"/>
      <c r="AY187" s="146"/>
      <c r="AZ187" s="146"/>
      <c r="BA187" s="146"/>
      <c r="BB187" s="146"/>
      <c r="BC187" s="146"/>
      <c r="BD187" s="122"/>
    </row>
    <row r="188" spans="2:56" x14ac:dyDescent="0.25">
      <c r="B188" s="136">
        <v>8200094</v>
      </c>
      <c r="C188" s="202" t="s">
        <v>30</v>
      </c>
      <c r="D188" s="202"/>
      <c r="E188" s="203" t="s">
        <v>257</v>
      </c>
      <c r="F188" s="274"/>
      <c r="G188" s="130">
        <f>+SUMIFS(TablaIngresos[Cantidad],TablaIngresos[Código],'Inventario '!B188)</f>
        <v>0</v>
      </c>
      <c r="H188" s="130">
        <f t="shared" si="178"/>
        <v>0</v>
      </c>
      <c r="I188" s="131">
        <f>SUMIFS(TablaConsumos[[CANTIDAD ]:[CANTIDAD ]],TablaConsumos[[CÓDIGO]:[CÓDIGO]],'Inventario '!$B188,TablaConsumos[[Planta]:[Planta]],'Inventario '!I$1)</f>
        <v>0</v>
      </c>
      <c r="J188" s="131">
        <f>SUMIFS(TablaConsumos[[CANTIDAD ]:[CANTIDAD ]],TablaConsumos[[CÓDIGO]:[CÓDIGO]],'Inventario '!$B188,TablaConsumos[[Planta]:[Planta]],'Inventario '!J$1)</f>
        <v>0</v>
      </c>
      <c r="K188" s="131">
        <f>SUMIFS(TablaConsumos[[CANTIDAD ]:[CANTIDAD ]],TablaConsumos[[CÓDIGO]:[CÓDIGO]],'Inventario '!$B188,TablaConsumos[[Planta]:[Planta]],'Inventario '!K$1)</f>
        <v>0</v>
      </c>
      <c r="L188" s="131">
        <f>SUMIFS(TablaConsumos[[CANTIDAD ]:[CANTIDAD ]],TablaConsumos[[CÓDIGO]:[CÓDIGO]],'Inventario '!$B188,TablaConsumos[[Planta]:[Planta]],'Inventario '!L$1)</f>
        <v>0</v>
      </c>
      <c r="M188" s="131">
        <f>SUMIFS(TablaConsumos[[CANTIDAD ]:[CANTIDAD ]],TablaConsumos[[CÓDIGO]:[CÓDIGO]],'Inventario '!$B188,TablaConsumos[[Planta]:[Planta]],'Inventario '!M$1)</f>
        <v>0</v>
      </c>
      <c r="N188" s="131">
        <f>SUMIFS(TablaConsumos[[CANTIDAD ]:[CANTIDAD ]],TablaConsumos[[CÓDIGO]:[CÓDIGO]],'Inventario '!$B188,TablaConsumos[[Planta]:[Planta]],'Inventario '!N$1)</f>
        <v>0</v>
      </c>
      <c r="O188" s="131">
        <f>SUMIFS(TablaConsumos[[CANTIDAD ]:[CANTIDAD ]],TablaConsumos[[CÓDIGO]:[CÓDIGO]],'Inventario '!$B188,TablaConsumos[[Planta]:[Planta]],'Inventario '!O$1)</f>
        <v>0</v>
      </c>
      <c r="P188" s="131">
        <f>SUMIFS(TablaConsumos[[CANTIDAD ]:[CANTIDAD ]],TablaConsumos[[CÓDIGO]:[CÓDIGO]],'Inventario '!$B188,TablaConsumos[[Planta]:[Planta]],'Inventario '!P$1)</f>
        <v>0</v>
      </c>
      <c r="Q188" s="131">
        <f>SUMIFS(TablaConsumos[[CANTIDAD ]:[CANTIDAD ]],TablaConsumos[[CÓDIGO]:[CÓDIGO]],'Inventario '!$B188,TablaConsumos[[Planta]:[Planta]],'Inventario '!Q$1)</f>
        <v>0</v>
      </c>
      <c r="R188" s="131">
        <f>SUMIFS(TablaConsumos[[CANTIDAD ]:[CANTIDAD ]],TablaConsumos[[CÓDIGO]:[CÓDIGO]],'Inventario '!$B188,TablaConsumos[[Planta]:[Planta]],'Inventario '!R$1)</f>
        <v>0</v>
      </c>
      <c r="S188" s="130">
        <f t="shared" si="168"/>
        <v>0</v>
      </c>
      <c r="T188" s="130">
        <f t="shared" si="171"/>
        <v>0</v>
      </c>
      <c r="U188" s="177"/>
      <c r="V188" s="132"/>
      <c r="W188" s="179">
        <v>30.48</v>
      </c>
      <c r="X188" s="133">
        <f t="shared" si="143"/>
        <v>0</v>
      </c>
      <c r="Y188" s="130">
        <f t="shared" ref="Y188:Y211" si="181">+T188-X188</f>
        <v>0</v>
      </c>
      <c r="Z188" s="132"/>
      <c r="AA188" s="132">
        <f t="shared" ref="AA188:AA211" si="182">(Z188-X188)</f>
        <v>0</v>
      </c>
      <c r="AB188" s="132"/>
      <c r="AC188" s="131">
        <f t="shared" ref="AC188:AC211" si="183">+Z188-AA188</f>
        <v>0</v>
      </c>
      <c r="AD188" s="131"/>
      <c r="AE188" s="132" t="s">
        <v>613</v>
      </c>
      <c r="AF188" s="132">
        <f>2*3048</f>
        <v>6096</v>
      </c>
      <c r="AG188" s="168"/>
      <c r="AH188" s="134">
        <f t="shared" ref="AH188:AH211" si="184">+IF(S188=0,0,AF188/S188)</f>
        <v>0</v>
      </c>
      <c r="AI188" s="134">
        <f t="shared" ref="AI188:AI211" si="185">+IF(I188=0,0,I188/$S188)</f>
        <v>0</v>
      </c>
      <c r="AJ188" s="134">
        <f t="shared" ref="AJ188:AJ211" si="186">+IF(J188=0,0,J188/$S188)</f>
        <v>0</v>
      </c>
      <c r="AK188" s="134">
        <f t="shared" ref="AK188:AK211" si="187">+IF(K188=0,0,K188/$S188)</f>
        <v>0</v>
      </c>
      <c r="AL188" s="134">
        <f t="shared" ref="AL188:AL211" si="188">+IF(L188=0,0,L188/$S188)</f>
        <v>0</v>
      </c>
      <c r="AM188" s="134">
        <f t="shared" ref="AM188:AM211" si="189">+IF(M188=0,0,M188/$S188)</f>
        <v>0</v>
      </c>
      <c r="AN188" s="134">
        <f t="shared" ref="AN188:AN211" si="190">+IF(N188=0,0,N188/$S188)</f>
        <v>0</v>
      </c>
      <c r="AO188" s="134">
        <f t="shared" ref="AO188:AO211" si="191">+IF(O188=0,0,O188/$S188)</f>
        <v>0</v>
      </c>
      <c r="AP188" s="134">
        <f t="shared" ref="AP188:AP211" si="192">+IF(P188=0,0,P188/$S188)</f>
        <v>0</v>
      </c>
      <c r="AQ188" s="134">
        <f t="shared" ref="AQ188:AQ211" si="193">+IF(Q188=0,0,Q188/$S188)</f>
        <v>0</v>
      </c>
      <c r="AR188" s="134">
        <f t="shared" ref="AR188:AR211" si="194">+IF(R188=0,0,R188/$S188)</f>
        <v>0</v>
      </c>
      <c r="AS188" s="135">
        <f t="shared" si="169"/>
        <v>0</v>
      </c>
      <c r="AT188" s="137" t="str">
        <f t="shared" ref="AT188:AT211" si="195">+IF(I188=-I188,"0",I188+$Y188*AI188)</f>
        <v>0</v>
      </c>
      <c r="AU188" s="137" t="str">
        <f t="shared" ref="AU188:AU211" si="196">+IF(J188=-J188,"0",J188+$Y188*AJ188)</f>
        <v>0</v>
      </c>
      <c r="AV188" s="137" t="str">
        <f t="shared" ref="AV188:AV211" si="197">+IF(K188=-K188,"0",K188+$Y188*AK188)</f>
        <v>0</v>
      </c>
      <c r="AW188" s="137" t="str">
        <f t="shared" ref="AW188:AW211" si="198">+IF(L188=-L188,"0",L188+$Y188*AL188)</f>
        <v>0</v>
      </c>
      <c r="AX188" s="137" t="str">
        <f t="shared" ref="AX188:AX211" si="199">+IF(M188=-M188,"0",M188+$Y188*AM188)</f>
        <v>0</v>
      </c>
      <c r="AY188" s="137" t="str">
        <f t="shared" ref="AY188:AY211" si="200">+IF(N188=-N188,"0",N188+$Y188*AN188)</f>
        <v>0</v>
      </c>
      <c r="AZ188" s="137" t="str">
        <f t="shared" ref="AZ188:AZ211" si="201">+IF(O188=-O188,"0",O188+$Y188*AO188)</f>
        <v>0</v>
      </c>
      <c r="BA188" s="137" t="str">
        <f t="shared" ref="BA188:BA211" si="202">+IF(P188=-P188,"0",P188+$Y188*AP188)</f>
        <v>0</v>
      </c>
      <c r="BB188" s="137" t="str">
        <f t="shared" ref="BB188:BB211" si="203">+IF(Q188=-Q188,"0",Q188+$Y188*AQ188)</f>
        <v>0</v>
      </c>
      <c r="BC188" s="137" t="str">
        <f t="shared" ref="BC188:BC211" si="204">+IF(R188=-R188,"0",R188+$Y188*AR188)</f>
        <v>0</v>
      </c>
      <c r="BD188" s="131">
        <f t="shared" si="170"/>
        <v>0</v>
      </c>
    </row>
    <row r="189" spans="2:56" x14ac:dyDescent="0.25">
      <c r="B189" s="136">
        <v>8200095</v>
      </c>
      <c r="C189" s="128" t="s">
        <v>30</v>
      </c>
      <c r="D189" s="128"/>
      <c r="E189" s="136" t="s">
        <v>259</v>
      </c>
      <c r="F189" s="274"/>
      <c r="G189" s="130">
        <f>+SUMIFS(TablaIngresos[Cantidad],TablaIngresos[Código],'Inventario '!B189)</f>
        <v>0</v>
      </c>
      <c r="H189" s="130">
        <f t="shared" si="178"/>
        <v>0</v>
      </c>
      <c r="I189" s="131">
        <f>SUMIFS(TablaConsumos[[CANTIDAD ]:[CANTIDAD ]],TablaConsumos[[CÓDIGO]:[CÓDIGO]],'Inventario '!$B189,TablaConsumos[[Planta]:[Planta]],'Inventario '!I$1)</f>
        <v>0</v>
      </c>
      <c r="J189" s="131">
        <f>SUMIFS(TablaConsumos[[CANTIDAD ]:[CANTIDAD ]],TablaConsumos[[CÓDIGO]:[CÓDIGO]],'Inventario '!$B189,TablaConsumos[[Planta]:[Planta]],'Inventario '!J$1)</f>
        <v>0</v>
      </c>
      <c r="K189" s="131">
        <f>SUMIFS(TablaConsumos[[CANTIDAD ]:[CANTIDAD ]],TablaConsumos[[CÓDIGO]:[CÓDIGO]],'Inventario '!$B189,TablaConsumos[[Planta]:[Planta]],'Inventario '!K$1)</f>
        <v>0</v>
      </c>
      <c r="L189" s="131">
        <f>SUMIFS(TablaConsumos[[CANTIDAD ]:[CANTIDAD ]],TablaConsumos[[CÓDIGO]:[CÓDIGO]],'Inventario '!$B189,TablaConsumos[[Planta]:[Planta]],'Inventario '!L$1)</f>
        <v>0</v>
      </c>
      <c r="M189" s="131">
        <f>SUMIFS(TablaConsumos[[CANTIDAD ]:[CANTIDAD ]],TablaConsumos[[CÓDIGO]:[CÓDIGO]],'Inventario '!$B189,TablaConsumos[[Planta]:[Planta]],'Inventario '!M$1)</f>
        <v>0</v>
      </c>
      <c r="N189" s="131">
        <f>SUMIFS(TablaConsumos[[CANTIDAD ]:[CANTIDAD ]],TablaConsumos[[CÓDIGO]:[CÓDIGO]],'Inventario '!$B189,TablaConsumos[[Planta]:[Planta]],'Inventario '!N$1)</f>
        <v>0</v>
      </c>
      <c r="O189" s="131">
        <f>SUMIFS(TablaConsumos[[CANTIDAD ]:[CANTIDAD ]],TablaConsumos[[CÓDIGO]:[CÓDIGO]],'Inventario '!$B189,TablaConsumos[[Planta]:[Planta]],'Inventario '!O$1)</f>
        <v>0</v>
      </c>
      <c r="P189" s="131">
        <f>SUMIFS(TablaConsumos[[CANTIDAD ]:[CANTIDAD ]],TablaConsumos[[CÓDIGO]:[CÓDIGO]],'Inventario '!$B189,TablaConsumos[[Planta]:[Planta]],'Inventario '!P$1)</f>
        <v>0</v>
      </c>
      <c r="Q189" s="131">
        <f>SUMIFS(TablaConsumos[[CANTIDAD ]:[CANTIDAD ]],TablaConsumos[[CÓDIGO]:[CÓDIGO]],'Inventario '!$B189,TablaConsumos[[Planta]:[Planta]],'Inventario '!Q$1)</f>
        <v>0</v>
      </c>
      <c r="R189" s="131">
        <f>SUMIFS(TablaConsumos[[CANTIDAD ]:[CANTIDAD ]],TablaConsumos[[CÓDIGO]:[CÓDIGO]],'Inventario '!$B189,TablaConsumos[[Planta]:[Planta]],'Inventario '!R$1)</f>
        <v>0</v>
      </c>
      <c r="S189" s="130">
        <f t="shared" si="168"/>
        <v>0</v>
      </c>
      <c r="T189" s="130">
        <f t="shared" si="171"/>
        <v>0</v>
      </c>
      <c r="U189" s="177"/>
      <c r="V189" s="130"/>
      <c r="W189" s="179">
        <v>30.48</v>
      </c>
      <c r="X189" s="133">
        <f t="shared" si="143"/>
        <v>0</v>
      </c>
      <c r="Y189" s="130">
        <f t="shared" si="181"/>
        <v>0</v>
      </c>
      <c r="Z189" s="132"/>
      <c r="AA189" s="132">
        <f t="shared" si="182"/>
        <v>0</v>
      </c>
      <c r="AB189" s="132"/>
      <c r="AC189" s="131">
        <f t="shared" si="183"/>
        <v>0</v>
      </c>
      <c r="AD189" s="131"/>
      <c r="AE189" s="132" t="s">
        <v>612</v>
      </c>
      <c r="AF189" s="132">
        <v>3048</v>
      </c>
      <c r="AG189" s="168"/>
      <c r="AH189" s="134">
        <f t="shared" si="184"/>
        <v>0</v>
      </c>
      <c r="AI189" s="134">
        <f t="shared" si="185"/>
        <v>0</v>
      </c>
      <c r="AJ189" s="134">
        <f t="shared" si="186"/>
        <v>0</v>
      </c>
      <c r="AK189" s="134">
        <f t="shared" si="187"/>
        <v>0</v>
      </c>
      <c r="AL189" s="134">
        <f t="shared" si="188"/>
        <v>0</v>
      </c>
      <c r="AM189" s="134">
        <f t="shared" si="189"/>
        <v>0</v>
      </c>
      <c r="AN189" s="134">
        <f t="shared" si="190"/>
        <v>0</v>
      </c>
      <c r="AO189" s="134">
        <f t="shared" si="191"/>
        <v>0</v>
      </c>
      <c r="AP189" s="134">
        <f t="shared" si="192"/>
        <v>0</v>
      </c>
      <c r="AQ189" s="134">
        <f t="shared" si="193"/>
        <v>0</v>
      </c>
      <c r="AR189" s="134">
        <f t="shared" si="194"/>
        <v>0</v>
      </c>
      <c r="AS189" s="135">
        <f t="shared" si="169"/>
        <v>0</v>
      </c>
      <c r="AT189" s="137" t="str">
        <f t="shared" si="195"/>
        <v>0</v>
      </c>
      <c r="AU189" s="137" t="str">
        <f t="shared" si="196"/>
        <v>0</v>
      </c>
      <c r="AV189" s="137" t="str">
        <f t="shared" si="197"/>
        <v>0</v>
      </c>
      <c r="AW189" s="137" t="str">
        <f t="shared" si="198"/>
        <v>0</v>
      </c>
      <c r="AX189" s="137" t="str">
        <f t="shared" si="199"/>
        <v>0</v>
      </c>
      <c r="AY189" s="137" t="str">
        <f t="shared" si="200"/>
        <v>0</v>
      </c>
      <c r="AZ189" s="137" t="str">
        <f t="shared" si="201"/>
        <v>0</v>
      </c>
      <c r="BA189" s="137" t="str">
        <f t="shared" si="202"/>
        <v>0</v>
      </c>
      <c r="BB189" s="137" t="str">
        <f t="shared" si="203"/>
        <v>0</v>
      </c>
      <c r="BC189" s="137" t="str">
        <f t="shared" si="204"/>
        <v>0</v>
      </c>
      <c r="BD189" s="131">
        <f t="shared" si="170"/>
        <v>0</v>
      </c>
    </row>
    <row r="190" spans="2:56" x14ac:dyDescent="0.25">
      <c r="B190" s="136">
        <v>8200096</v>
      </c>
      <c r="C190" s="128" t="s">
        <v>30</v>
      </c>
      <c r="D190" s="128"/>
      <c r="E190" s="136" t="s">
        <v>261</v>
      </c>
      <c r="F190" s="274"/>
      <c r="G190" s="130">
        <f>+SUMIFS(TablaIngresos[Cantidad],TablaIngresos[Código],'Inventario '!B190)</f>
        <v>0</v>
      </c>
      <c r="H190" s="130">
        <f t="shared" si="178"/>
        <v>0</v>
      </c>
      <c r="I190" s="131">
        <f>SUMIFS(TablaConsumos[[CANTIDAD ]:[CANTIDAD ]],TablaConsumos[[CÓDIGO]:[CÓDIGO]],'Inventario '!$B190,TablaConsumos[[Planta]:[Planta]],'Inventario '!I$1)</f>
        <v>0</v>
      </c>
      <c r="J190" s="131">
        <f>SUMIFS(TablaConsumos[[CANTIDAD ]:[CANTIDAD ]],TablaConsumos[[CÓDIGO]:[CÓDIGO]],'Inventario '!$B190,TablaConsumos[[Planta]:[Planta]],'Inventario '!J$1)</f>
        <v>0</v>
      </c>
      <c r="K190" s="131">
        <f>SUMIFS(TablaConsumos[[CANTIDAD ]:[CANTIDAD ]],TablaConsumos[[CÓDIGO]:[CÓDIGO]],'Inventario '!$B190,TablaConsumos[[Planta]:[Planta]],'Inventario '!K$1)</f>
        <v>0</v>
      </c>
      <c r="L190" s="131">
        <f>SUMIFS(TablaConsumos[[CANTIDAD ]:[CANTIDAD ]],TablaConsumos[[CÓDIGO]:[CÓDIGO]],'Inventario '!$B190,TablaConsumos[[Planta]:[Planta]],'Inventario '!L$1)</f>
        <v>0</v>
      </c>
      <c r="M190" s="131">
        <f>SUMIFS(TablaConsumos[[CANTIDAD ]:[CANTIDAD ]],TablaConsumos[[CÓDIGO]:[CÓDIGO]],'Inventario '!$B190,TablaConsumos[[Planta]:[Planta]],'Inventario '!M$1)</f>
        <v>0</v>
      </c>
      <c r="N190" s="131">
        <f>SUMIFS(TablaConsumos[[CANTIDAD ]:[CANTIDAD ]],TablaConsumos[[CÓDIGO]:[CÓDIGO]],'Inventario '!$B190,TablaConsumos[[Planta]:[Planta]],'Inventario '!N$1)</f>
        <v>0</v>
      </c>
      <c r="O190" s="131">
        <f>SUMIFS(TablaConsumos[[CANTIDAD ]:[CANTIDAD ]],TablaConsumos[[CÓDIGO]:[CÓDIGO]],'Inventario '!$B190,TablaConsumos[[Planta]:[Planta]],'Inventario '!O$1)</f>
        <v>0</v>
      </c>
      <c r="P190" s="131">
        <f>SUMIFS(TablaConsumos[[CANTIDAD ]:[CANTIDAD ]],TablaConsumos[[CÓDIGO]:[CÓDIGO]],'Inventario '!$B190,TablaConsumos[[Planta]:[Planta]],'Inventario '!P$1)</f>
        <v>0</v>
      </c>
      <c r="Q190" s="131">
        <f>SUMIFS(TablaConsumos[[CANTIDAD ]:[CANTIDAD ]],TablaConsumos[[CÓDIGO]:[CÓDIGO]],'Inventario '!$B190,TablaConsumos[[Planta]:[Planta]],'Inventario '!Q$1)</f>
        <v>0</v>
      </c>
      <c r="R190" s="131">
        <f>SUMIFS(TablaConsumos[[CANTIDAD ]:[CANTIDAD ]],TablaConsumos[[CÓDIGO]:[CÓDIGO]],'Inventario '!$B190,TablaConsumos[[Planta]:[Planta]],'Inventario '!R$1)</f>
        <v>0</v>
      </c>
      <c r="S190" s="130">
        <f t="shared" si="168"/>
        <v>0</v>
      </c>
      <c r="T190" s="130">
        <f t="shared" si="171"/>
        <v>0</v>
      </c>
      <c r="U190" s="177"/>
      <c r="V190" s="132"/>
      <c r="W190" s="179">
        <v>30.48</v>
      </c>
      <c r="X190" s="133">
        <f t="shared" si="143"/>
        <v>0</v>
      </c>
      <c r="Y190" s="130">
        <f t="shared" si="181"/>
        <v>0</v>
      </c>
      <c r="Z190" s="132"/>
      <c r="AA190" s="132">
        <f t="shared" si="182"/>
        <v>0</v>
      </c>
      <c r="AB190" s="132"/>
      <c r="AC190" s="131">
        <f t="shared" si="183"/>
        <v>0</v>
      </c>
      <c r="AD190" s="131"/>
      <c r="AE190" s="132" t="s">
        <v>613</v>
      </c>
      <c r="AF190" s="132">
        <f>3048*2</f>
        <v>6096</v>
      </c>
      <c r="AG190" s="168"/>
      <c r="AH190" s="134">
        <f t="shared" si="184"/>
        <v>0</v>
      </c>
      <c r="AI190" s="134">
        <f t="shared" si="185"/>
        <v>0</v>
      </c>
      <c r="AJ190" s="134">
        <f t="shared" si="186"/>
        <v>0</v>
      </c>
      <c r="AK190" s="134">
        <f t="shared" si="187"/>
        <v>0</v>
      </c>
      <c r="AL190" s="134">
        <f t="shared" si="188"/>
        <v>0</v>
      </c>
      <c r="AM190" s="134">
        <f t="shared" si="189"/>
        <v>0</v>
      </c>
      <c r="AN190" s="134">
        <f t="shared" si="190"/>
        <v>0</v>
      </c>
      <c r="AO190" s="134">
        <f t="shared" si="191"/>
        <v>0</v>
      </c>
      <c r="AP190" s="134">
        <f t="shared" si="192"/>
        <v>0</v>
      </c>
      <c r="AQ190" s="134">
        <f t="shared" si="193"/>
        <v>0</v>
      </c>
      <c r="AR190" s="134">
        <f t="shared" si="194"/>
        <v>0</v>
      </c>
      <c r="AS190" s="135">
        <f t="shared" si="169"/>
        <v>0</v>
      </c>
      <c r="AT190" s="137" t="str">
        <f t="shared" si="195"/>
        <v>0</v>
      </c>
      <c r="AU190" s="137" t="str">
        <f t="shared" si="196"/>
        <v>0</v>
      </c>
      <c r="AV190" s="137" t="str">
        <f t="shared" si="197"/>
        <v>0</v>
      </c>
      <c r="AW190" s="137" t="str">
        <f t="shared" si="198"/>
        <v>0</v>
      </c>
      <c r="AX190" s="137" t="str">
        <f t="shared" si="199"/>
        <v>0</v>
      </c>
      <c r="AY190" s="137" t="str">
        <f t="shared" si="200"/>
        <v>0</v>
      </c>
      <c r="AZ190" s="137" t="str">
        <f t="shared" si="201"/>
        <v>0</v>
      </c>
      <c r="BA190" s="137" t="str">
        <f t="shared" si="202"/>
        <v>0</v>
      </c>
      <c r="BB190" s="137" t="str">
        <f t="shared" si="203"/>
        <v>0</v>
      </c>
      <c r="BC190" s="137" t="str">
        <f t="shared" si="204"/>
        <v>0</v>
      </c>
      <c r="BD190" s="131">
        <f t="shared" si="170"/>
        <v>0</v>
      </c>
    </row>
    <row r="191" spans="2:56" x14ac:dyDescent="0.25">
      <c r="B191" s="136">
        <v>8200099</v>
      </c>
      <c r="C191" s="128" t="s">
        <v>30</v>
      </c>
      <c r="D191" s="128"/>
      <c r="E191" s="136" t="s">
        <v>263</v>
      </c>
      <c r="F191" s="274"/>
      <c r="G191" s="130">
        <f>+SUMIFS(TablaIngresos[Cantidad],TablaIngresos[Código],'Inventario '!B191)</f>
        <v>0</v>
      </c>
      <c r="H191" s="130">
        <f t="shared" si="178"/>
        <v>0</v>
      </c>
      <c r="I191" s="131">
        <f>SUMIFS(TablaConsumos[[CANTIDAD ]:[CANTIDAD ]],TablaConsumos[[CÓDIGO]:[CÓDIGO]],'Inventario '!$B191,TablaConsumos[[Planta]:[Planta]],'Inventario '!I$1)</f>
        <v>0</v>
      </c>
      <c r="J191" s="131">
        <f>SUMIFS(TablaConsumos[[CANTIDAD ]:[CANTIDAD ]],TablaConsumos[[CÓDIGO]:[CÓDIGO]],'Inventario '!$B191,TablaConsumos[[Planta]:[Planta]],'Inventario '!J$1)</f>
        <v>0</v>
      </c>
      <c r="K191" s="131">
        <f>SUMIFS(TablaConsumos[[CANTIDAD ]:[CANTIDAD ]],TablaConsumos[[CÓDIGO]:[CÓDIGO]],'Inventario '!$B191,TablaConsumos[[Planta]:[Planta]],'Inventario '!K$1)</f>
        <v>0</v>
      </c>
      <c r="L191" s="131">
        <f>SUMIFS(TablaConsumos[[CANTIDAD ]:[CANTIDAD ]],TablaConsumos[[CÓDIGO]:[CÓDIGO]],'Inventario '!$B191,TablaConsumos[[Planta]:[Planta]],'Inventario '!L$1)</f>
        <v>0</v>
      </c>
      <c r="M191" s="131">
        <f>SUMIFS(TablaConsumos[[CANTIDAD ]:[CANTIDAD ]],TablaConsumos[[CÓDIGO]:[CÓDIGO]],'Inventario '!$B191,TablaConsumos[[Planta]:[Planta]],'Inventario '!M$1)</f>
        <v>0</v>
      </c>
      <c r="N191" s="131">
        <f>SUMIFS(TablaConsumos[[CANTIDAD ]:[CANTIDAD ]],TablaConsumos[[CÓDIGO]:[CÓDIGO]],'Inventario '!$B191,TablaConsumos[[Planta]:[Planta]],'Inventario '!N$1)</f>
        <v>0</v>
      </c>
      <c r="O191" s="131">
        <f>SUMIFS(TablaConsumos[[CANTIDAD ]:[CANTIDAD ]],TablaConsumos[[CÓDIGO]:[CÓDIGO]],'Inventario '!$B191,TablaConsumos[[Planta]:[Planta]],'Inventario '!O$1)</f>
        <v>0</v>
      </c>
      <c r="P191" s="131">
        <f>SUMIFS(TablaConsumos[[CANTIDAD ]:[CANTIDAD ]],TablaConsumos[[CÓDIGO]:[CÓDIGO]],'Inventario '!$B191,TablaConsumos[[Planta]:[Planta]],'Inventario '!P$1)</f>
        <v>0</v>
      </c>
      <c r="Q191" s="131">
        <f>SUMIFS(TablaConsumos[[CANTIDAD ]:[CANTIDAD ]],TablaConsumos[[CÓDIGO]:[CÓDIGO]],'Inventario '!$B191,TablaConsumos[[Planta]:[Planta]],'Inventario '!Q$1)</f>
        <v>0</v>
      </c>
      <c r="R191" s="131">
        <f>SUMIFS(TablaConsumos[[CANTIDAD ]:[CANTIDAD ]],TablaConsumos[[CÓDIGO]:[CÓDIGO]],'Inventario '!$B191,TablaConsumos[[Planta]:[Planta]],'Inventario '!R$1)</f>
        <v>0</v>
      </c>
      <c r="S191" s="130">
        <f t="shared" si="168"/>
        <v>0</v>
      </c>
      <c r="T191" s="130">
        <f t="shared" si="171"/>
        <v>0</v>
      </c>
      <c r="U191" s="177"/>
      <c r="V191" s="130"/>
      <c r="W191" s="179">
        <v>30.48</v>
      </c>
      <c r="X191" s="133">
        <f t="shared" si="143"/>
        <v>0</v>
      </c>
      <c r="Y191" s="130">
        <f t="shared" si="181"/>
        <v>0</v>
      </c>
      <c r="Z191" s="132"/>
      <c r="AA191" s="132">
        <f t="shared" si="182"/>
        <v>0</v>
      </c>
      <c r="AB191" s="132"/>
      <c r="AC191" s="131">
        <f t="shared" si="183"/>
        <v>0</v>
      </c>
      <c r="AD191" s="131"/>
      <c r="AE191" s="132" t="s">
        <v>612</v>
      </c>
      <c r="AF191" s="132">
        <v>3048</v>
      </c>
      <c r="AG191" s="168"/>
      <c r="AH191" s="134">
        <f t="shared" si="184"/>
        <v>0</v>
      </c>
      <c r="AI191" s="134">
        <f t="shared" si="185"/>
        <v>0</v>
      </c>
      <c r="AJ191" s="134">
        <f t="shared" si="186"/>
        <v>0</v>
      </c>
      <c r="AK191" s="134">
        <f t="shared" si="187"/>
        <v>0</v>
      </c>
      <c r="AL191" s="134">
        <f t="shared" si="188"/>
        <v>0</v>
      </c>
      <c r="AM191" s="134">
        <f t="shared" si="189"/>
        <v>0</v>
      </c>
      <c r="AN191" s="134">
        <f t="shared" si="190"/>
        <v>0</v>
      </c>
      <c r="AO191" s="134">
        <f t="shared" si="191"/>
        <v>0</v>
      </c>
      <c r="AP191" s="134">
        <f t="shared" si="192"/>
        <v>0</v>
      </c>
      <c r="AQ191" s="134">
        <f t="shared" si="193"/>
        <v>0</v>
      </c>
      <c r="AR191" s="134">
        <f t="shared" si="194"/>
        <v>0</v>
      </c>
      <c r="AS191" s="135">
        <f t="shared" si="169"/>
        <v>0</v>
      </c>
      <c r="AT191" s="137" t="str">
        <f t="shared" si="195"/>
        <v>0</v>
      </c>
      <c r="AU191" s="137" t="str">
        <f t="shared" si="196"/>
        <v>0</v>
      </c>
      <c r="AV191" s="137" t="str">
        <f t="shared" si="197"/>
        <v>0</v>
      </c>
      <c r="AW191" s="137" t="str">
        <f t="shared" si="198"/>
        <v>0</v>
      </c>
      <c r="AX191" s="137" t="str">
        <f t="shared" si="199"/>
        <v>0</v>
      </c>
      <c r="AY191" s="137" t="str">
        <f t="shared" si="200"/>
        <v>0</v>
      </c>
      <c r="AZ191" s="137" t="str">
        <f t="shared" si="201"/>
        <v>0</v>
      </c>
      <c r="BA191" s="137" t="str">
        <f t="shared" si="202"/>
        <v>0</v>
      </c>
      <c r="BB191" s="137" t="str">
        <f t="shared" si="203"/>
        <v>0</v>
      </c>
      <c r="BC191" s="137" t="str">
        <f t="shared" si="204"/>
        <v>0</v>
      </c>
      <c r="BD191" s="131">
        <f t="shared" si="170"/>
        <v>0</v>
      </c>
    </row>
    <row r="192" spans="2:56" x14ac:dyDescent="0.25">
      <c r="B192" s="136">
        <v>8201101</v>
      </c>
      <c r="C192" s="128" t="s">
        <v>30</v>
      </c>
      <c r="D192" s="128"/>
      <c r="E192" s="136" t="s">
        <v>264</v>
      </c>
      <c r="F192" s="274"/>
      <c r="G192" s="130">
        <f>+SUMIFS(TablaIngresos[Cantidad],TablaIngresos[Código],'Inventario '!B192)</f>
        <v>0</v>
      </c>
      <c r="H192" s="130">
        <f t="shared" si="178"/>
        <v>0</v>
      </c>
      <c r="I192" s="131">
        <f>SUMIFS(TablaConsumos[[CANTIDAD ]:[CANTIDAD ]],TablaConsumos[[CÓDIGO]:[CÓDIGO]],'Inventario '!$B192,TablaConsumos[[Planta]:[Planta]],'Inventario '!I$1)</f>
        <v>0</v>
      </c>
      <c r="J192" s="131">
        <f>SUMIFS(TablaConsumos[[CANTIDAD ]:[CANTIDAD ]],TablaConsumos[[CÓDIGO]:[CÓDIGO]],'Inventario '!$B192,TablaConsumos[[Planta]:[Planta]],'Inventario '!J$1)</f>
        <v>0</v>
      </c>
      <c r="K192" s="131">
        <f>SUMIFS(TablaConsumos[[CANTIDAD ]:[CANTIDAD ]],TablaConsumos[[CÓDIGO]:[CÓDIGO]],'Inventario '!$B192,TablaConsumos[[Planta]:[Planta]],'Inventario '!K$1)</f>
        <v>0</v>
      </c>
      <c r="L192" s="131">
        <f>SUMIFS(TablaConsumos[[CANTIDAD ]:[CANTIDAD ]],TablaConsumos[[CÓDIGO]:[CÓDIGO]],'Inventario '!$B192,TablaConsumos[[Planta]:[Planta]],'Inventario '!L$1)</f>
        <v>0</v>
      </c>
      <c r="M192" s="131">
        <f>SUMIFS(TablaConsumos[[CANTIDAD ]:[CANTIDAD ]],TablaConsumos[[CÓDIGO]:[CÓDIGO]],'Inventario '!$B192,TablaConsumos[[Planta]:[Planta]],'Inventario '!M$1)</f>
        <v>0</v>
      </c>
      <c r="N192" s="131">
        <f>SUMIFS(TablaConsumos[[CANTIDAD ]:[CANTIDAD ]],TablaConsumos[[CÓDIGO]:[CÓDIGO]],'Inventario '!$B192,TablaConsumos[[Planta]:[Planta]],'Inventario '!N$1)</f>
        <v>0</v>
      </c>
      <c r="O192" s="131">
        <f>SUMIFS(TablaConsumos[[CANTIDAD ]:[CANTIDAD ]],TablaConsumos[[CÓDIGO]:[CÓDIGO]],'Inventario '!$B192,TablaConsumos[[Planta]:[Planta]],'Inventario '!O$1)</f>
        <v>0</v>
      </c>
      <c r="P192" s="131">
        <f>SUMIFS(TablaConsumos[[CANTIDAD ]:[CANTIDAD ]],TablaConsumos[[CÓDIGO]:[CÓDIGO]],'Inventario '!$B192,TablaConsumos[[Planta]:[Planta]],'Inventario '!P$1)</f>
        <v>0</v>
      </c>
      <c r="Q192" s="131">
        <f>SUMIFS(TablaConsumos[[CANTIDAD ]:[CANTIDAD ]],TablaConsumos[[CÓDIGO]:[CÓDIGO]],'Inventario '!$B192,TablaConsumos[[Planta]:[Planta]],'Inventario '!Q$1)</f>
        <v>0</v>
      </c>
      <c r="R192" s="131">
        <f>SUMIFS(TablaConsumos[[CANTIDAD ]:[CANTIDAD ]],TablaConsumos[[CÓDIGO]:[CÓDIGO]],'Inventario '!$B192,TablaConsumos[[Planta]:[Planta]],'Inventario '!R$1)</f>
        <v>0</v>
      </c>
      <c r="S192" s="130">
        <f t="shared" si="168"/>
        <v>0</v>
      </c>
      <c r="T192" s="130">
        <f t="shared" si="171"/>
        <v>0</v>
      </c>
      <c r="U192" s="177"/>
      <c r="V192" s="130"/>
      <c r="W192" s="179">
        <v>30.48</v>
      </c>
      <c r="X192" s="133">
        <f t="shared" si="143"/>
        <v>0</v>
      </c>
      <c r="Y192" s="130">
        <f t="shared" si="181"/>
        <v>0</v>
      </c>
      <c r="Z192" s="132"/>
      <c r="AA192" s="132">
        <f t="shared" si="182"/>
        <v>0</v>
      </c>
      <c r="AB192" s="132"/>
      <c r="AC192" s="131">
        <f t="shared" si="183"/>
        <v>0</v>
      </c>
      <c r="AD192" s="131"/>
      <c r="AE192" s="132" t="s">
        <v>612</v>
      </c>
      <c r="AF192" s="132">
        <v>3048</v>
      </c>
      <c r="AG192" s="168"/>
      <c r="AH192" s="134">
        <f t="shared" si="184"/>
        <v>0</v>
      </c>
      <c r="AI192" s="134">
        <f t="shared" si="185"/>
        <v>0</v>
      </c>
      <c r="AJ192" s="134">
        <f t="shared" si="186"/>
        <v>0</v>
      </c>
      <c r="AK192" s="134">
        <f t="shared" si="187"/>
        <v>0</v>
      </c>
      <c r="AL192" s="134">
        <f t="shared" si="188"/>
        <v>0</v>
      </c>
      <c r="AM192" s="134">
        <f t="shared" si="189"/>
        <v>0</v>
      </c>
      <c r="AN192" s="134">
        <f t="shared" si="190"/>
        <v>0</v>
      </c>
      <c r="AO192" s="134">
        <f t="shared" si="191"/>
        <v>0</v>
      </c>
      <c r="AP192" s="134">
        <f t="shared" si="192"/>
        <v>0</v>
      </c>
      <c r="AQ192" s="134">
        <f t="shared" si="193"/>
        <v>0</v>
      </c>
      <c r="AR192" s="134">
        <f t="shared" si="194"/>
        <v>0</v>
      </c>
      <c r="AS192" s="135">
        <f t="shared" si="169"/>
        <v>0</v>
      </c>
      <c r="AT192" s="137" t="str">
        <f t="shared" si="195"/>
        <v>0</v>
      </c>
      <c r="AU192" s="137" t="str">
        <f t="shared" si="196"/>
        <v>0</v>
      </c>
      <c r="AV192" s="137" t="str">
        <f t="shared" si="197"/>
        <v>0</v>
      </c>
      <c r="AW192" s="137" t="str">
        <f t="shared" si="198"/>
        <v>0</v>
      </c>
      <c r="AX192" s="137" t="str">
        <f t="shared" si="199"/>
        <v>0</v>
      </c>
      <c r="AY192" s="137" t="str">
        <f t="shared" si="200"/>
        <v>0</v>
      </c>
      <c r="AZ192" s="137" t="str">
        <f t="shared" si="201"/>
        <v>0</v>
      </c>
      <c r="BA192" s="137" t="str">
        <f t="shared" si="202"/>
        <v>0</v>
      </c>
      <c r="BB192" s="137" t="str">
        <f t="shared" si="203"/>
        <v>0</v>
      </c>
      <c r="BC192" s="137" t="str">
        <f t="shared" si="204"/>
        <v>0</v>
      </c>
      <c r="BD192" s="131">
        <f t="shared" si="170"/>
        <v>0</v>
      </c>
    </row>
    <row r="193" spans="2:56" x14ac:dyDescent="0.25">
      <c r="B193" s="136">
        <v>8202270</v>
      </c>
      <c r="C193" s="128" t="s">
        <v>30</v>
      </c>
      <c r="D193" s="128"/>
      <c r="E193" s="136" t="s">
        <v>265</v>
      </c>
      <c r="F193" s="274"/>
      <c r="G193" s="130">
        <f>+SUMIFS(TablaIngresos[Cantidad],TablaIngresos[Código],'Inventario '!B193)</f>
        <v>0</v>
      </c>
      <c r="H193" s="130">
        <f t="shared" si="178"/>
        <v>0</v>
      </c>
      <c r="I193" s="131">
        <f>SUMIFS(TablaConsumos[[CANTIDAD ]:[CANTIDAD ]],TablaConsumos[[CÓDIGO]:[CÓDIGO]],'Inventario '!$B193,TablaConsumos[[Planta]:[Planta]],'Inventario '!I$1)</f>
        <v>0</v>
      </c>
      <c r="J193" s="131">
        <f>SUMIFS(TablaConsumos[[CANTIDAD ]:[CANTIDAD ]],TablaConsumos[[CÓDIGO]:[CÓDIGO]],'Inventario '!$B193,TablaConsumos[[Planta]:[Planta]],'Inventario '!J$1)</f>
        <v>0</v>
      </c>
      <c r="K193" s="131">
        <f>SUMIFS(TablaConsumos[[CANTIDAD ]:[CANTIDAD ]],TablaConsumos[[CÓDIGO]:[CÓDIGO]],'Inventario '!$B193,TablaConsumos[[Planta]:[Planta]],'Inventario '!K$1)</f>
        <v>0</v>
      </c>
      <c r="L193" s="131">
        <f>SUMIFS(TablaConsumos[[CANTIDAD ]:[CANTIDAD ]],TablaConsumos[[CÓDIGO]:[CÓDIGO]],'Inventario '!$B193,TablaConsumos[[Planta]:[Planta]],'Inventario '!L$1)</f>
        <v>0</v>
      </c>
      <c r="M193" s="131">
        <f>SUMIFS(TablaConsumos[[CANTIDAD ]:[CANTIDAD ]],TablaConsumos[[CÓDIGO]:[CÓDIGO]],'Inventario '!$B193,TablaConsumos[[Planta]:[Planta]],'Inventario '!M$1)</f>
        <v>0</v>
      </c>
      <c r="N193" s="131">
        <f>SUMIFS(TablaConsumos[[CANTIDAD ]:[CANTIDAD ]],TablaConsumos[[CÓDIGO]:[CÓDIGO]],'Inventario '!$B193,TablaConsumos[[Planta]:[Planta]],'Inventario '!N$1)</f>
        <v>0</v>
      </c>
      <c r="O193" s="131">
        <f>SUMIFS(TablaConsumos[[CANTIDAD ]:[CANTIDAD ]],TablaConsumos[[CÓDIGO]:[CÓDIGO]],'Inventario '!$B193,TablaConsumos[[Planta]:[Planta]],'Inventario '!O$1)</f>
        <v>0</v>
      </c>
      <c r="P193" s="131">
        <f>SUMIFS(TablaConsumos[[CANTIDAD ]:[CANTIDAD ]],TablaConsumos[[CÓDIGO]:[CÓDIGO]],'Inventario '!$B193,TablaConsumos[[Planta]:[Planta]],'Inventario '!P$1)</f>
        <v>0</v>
      </c>
      <c r="Q193" s="131">
        <f>SUMIFS(TablaConsumos[[CANTIDAD ]:[CANTIDAD ]],TablaConsumos[[CÓDIGO]:[CÓDIGO]],'Inventario '!$B193,TablaConsumos[[Planta]:[Planta]],'Inventario '!Q$1)</f>
        <v>0</v>
      </c>
      <c r="R193" s="131">
        <f>SUMIFS(TablaConsumos[[CANTIDAD ]:[CANTIDAD ]],TablaConsumos[[CÓDIGO]:[CÓDIGO]],'Inventario '!$B193,TablaConsumos[[Planta]:[Planta]],'Inventario '!R$1)</f>
        <v>0</v>
      </c>
      <c r="S193" s="130">
        <f t="shared" si="168"/>
        <v>0</v>
      </c>
      <c r="T193" s="130">
        <f t="shared" si="171"/>
        <v>0</v>
      </c>
      <c r="U193" s="177"/>
      <c r="V193" s="130"/>
      <c r="W193" s="179">
        <v>30.48</v>
      </c>
      <c r="X193" s="133">
        <f t="shared" si="143"/>
        <v>0</v>
      </c>
      <c r="Y193" s="130">
        <f t="shared" si="181"/>
        <v>0</v>
      </c>
      <c r="Z193" s="132"/>
      <c r="AA193" s="132">
        <f t="shared" si="182"/>
        <v>0</v>
      </c>
      <c r="AB193" s="132"/>
      <c r="AC193" s="131">
        <f t="shared" si="183"/>
        <v>0</v>
      </c>
      <c r="AD193" s="131"/>
      <c r="AE193" s="132" t="s">
        <v>612</v>
      </c>
      <c r="AF193" s="132">
        <v>3048</v>
      </c>
      <c r="AG193" s="168"/>
      <c r="AH193" s="134">
        <f t="shared" si="184"/>
        <v>0</v>
      </c>
      <c r="AI193" s="134">
        <f t="shared" si="185"/>
        <v>0</v>
      </c>
      <c r="AJ193" s="134">
        <f t="shared" si="186"/>
        <v>0</v>
      </c>
      <c r="AK193" s="134">
        <f t="shared" si="187"/>
        <v>0</v>
      </c>
      <c r="AL193" s="134">
        <f t="shared" si="188"/>
        <v>0</v>
      </c>
      <c r="AM193" s="134">
        <f t="shared" si="189"/>
        <v>0</v>
      </c>
      <c r="AN193" s="134">
        <f t="shared" si="190"/>
        <v>0</v>
      </c>
      <c r="AO193" s="134">
        <f t="shared" si="191"/>
        <v>0</v>
      </c>
      <c r="AP193" s="134">
        <f t="shared" si="192"/>
        <v>0</v>
      </c>
      <c r="AQ193" s="134">
        <f t="shared" si="193"/>
        <v>0</v>
      </c>
      <c r="AR193" s="134">
        <f t="shared" si="194"/>
        <v>0</v>
      </c>
      <c r="AS193" s="135">
        <f t="shared" si="169"/>
        <v>0</v>
      </c>
      <c r="AT193" s="137" t="str">
        <f t="shared" si="195"/>
        <v>0</v>
      </c>
      <c r="AU193" s="137" t="str">
        <f t="shared" si="196"/>
        <v>0</v>
      </c>
      <c r="AV193" s="137" t="str">
        <f t="shared" si="197"/>
        <v>0</v>
      </c>
      <c r="AW193" s="137" t="str">
        <f t="shared" si="198"/>
        <v>0</v>
      </c>
      <c r="AX193" s="137" t="str">
        <f t="shared" si="199"/>
        <v>0</v>
      </c>
      <c r="AY193" s="137" t="str">
        <f t="shared" si="200"/>
        <v>0</v>
      </c>
      <c r="AZ193" s="137" t="str">
        <f t="shared" si="201"/>
        <v>0</v>
      </c>
      <c r="BA193" s="137" t="str">
        <f t="shared" si="202"/>
        <v>0</v>
      </c>
      <c r="BB193" s="137" t="str">
        <f t="shared" si="203"/>
        <v>0</v>
      </c>
      <c r="BC193" s="137" t="str">
        <f t="shared" si="204"/>
        <v>0</v>
      </c>
      <c r="BD193" s="131">
        <f t="shared" si="170"/>
        <v>0</v>
      </c>
    </row>
    <row r="194" spans="2:56" x14ac:dyDescent="0.25">
      <c r="B194" s="136">
        <v>8202271</v>
      </c>
      <c r="C194" s="128" t="s">
        <v>30</v>
      </c>
      <c r="D194" s="128"/>
      <c r="E194" s="136" t="s">
        <v>266</v>
      </c>
      <c r="F194" s="274"/>
      <c r="G194" s="130">
        <f>+SUMIFS(TablaIngresos[Cantidad],TablaIngresos[Código],'Inventario '!B194)</f>
        <v>0</v>
      </c>
      <c r="H194" s="130">
        <f t="shared" si="178"/>
        <v>0</v>
      </c>
      <c r="I194" s="131">
        <f>SUMIFS(TablaConsumos[[CANTIDAD ]:[CANTIDAD ]],TablaConsumos[[CÓDIGO]:[CÓDIGO]],'Inventario '!$B194,TablaConsumos[[Planta]:[Planta]],'Inventario '!I$1)</f>
        <v>0</v>
      </c>
      <c r="J194" s="131">
        <f>SUMIFS(TablaConsumos[[CANTIDAD ]:[CANTIDAD ]],TablaConsumos[[CÓDIGO]:[CÓDIGO]],'Inventario '!$B194,TablaConsumos[[Planta]:[Planta]],'Inventario '!J$1)</f>
        <v>0</v>
      </c>
      <c r="K194" s="131">
        <f>SUMIFS(TablaConsumos[[CANTIDAD ]:[CANTIDAD ]],TablaConsumos[[CÓDIGO]:[CÓDIGO]],'Inventario '!$B194,TablaConsumos[[Planta]:[Planta]],'Inventario '!K$1)</f>
        <v>0</v>
      </c>
      <c r="L194" s="131">
        <f>SUMIFS(TablaConsumos[[CANTIDAD ]:[CANTIDAD ]],TablaConsumos[[CÓDIGO]:[CÓDIGO]],'Inventario '!$B194,TablaConsumos[[Planta]:[Planta]],'Inventario '!L$1)</f>
        <v>0</v>
      </c>
      <c r="M194" s="131">
        <f>SUMIFS(TablaConsumos[[CANTIDAD ]:[CANTIDAD ]],TablaConsumos[[CÓDIGO]:[CÓDIGO]],'Inventario '!$B194,TablaConsumos[[Planta]:[Planta]],'Inventario '!M$1)</f>
        <v>0</v>
      </c>
      <c r="N194" s="131">
        <f>SUMIFS(TablaConsumos[[CANTIDAD ]:[CANTIDAD ]],TablaConsumos[[CÓDIGO]:[CÓDIGO]],'Inventario '!$B194,TablaConsumos[[Planta]:[Planta]],'Inventario '!N$1)</f>
        <v>0</v>
      </c>
      <c r="O194" s="131">
        <f>SUMIFS(TablaConsumos[[CANTIDAD ]:[CANTIDAD ]],TablaConsumos[[CÓDIGO]:[CÓDIGO]],'Inventario '!$B194,TablaConsumos[[Planta]:[Planta]],'Inventario '!O$1)</f>
        <v>0</v>
      </c>
      <c r="P194" s="131">
        <f>SUMIFS(TablaConsumos[[CANTIDAD ]:[CANTIDAD ]],TablaConsumos[[CÓDIGO]:[CÓDIGO]],'Inventario '!$B194,TablaConsumos[[Planta]:[Planta]],'Inventario '!P$1)</f>
        <v>0</v>
      </c>
      <c r="Q194" s="131">
        <f>SUMIFS(TablaConsumos[[CANTIDAD ]:[CANTIDAD ]],TablaConsumos[[CÓDIGO]:[CÓDIGO]],'Inventario '!$B194,TablaConsumos[[Planta]:[Planta]],'Inventario '!Q$1)</f>
        <v>0</v>
      </c>
      <c r="R194" s="131">
        <f>SUMIFS(TablaConsumos[[CANTIDAD ]:[CANTIDAD ]],TablaConsumos[[CÓDIGO]:[CÓDIGO]],'Inventario '!$B194,TablaConsumos[[Planta]:[Planta]],'Inventario '!R$1)</f>
        <v>0</v>
      </c>
      <c r="S194" s="130">
        <f t="shared" si="168"/>
        <v>0</v>
      </c>
      <c r="T194" s="130">
        <f t="shared" si="171"/>
        <v>0</v>
      </c>
      <c r="U194" s="177"/>
      <c r="V194" s="130"/>
      <c r="W194" s="179">
        <v>30.48</v>
      </c>
      <c r="X194" s="133">
        <f t="shared" si="143"/>
        <v>0</v>
      </c>
      <c r="Y194" s="130">
        <f t="shared" si="181"/>
        <v>0</v>
      </c>
      <c r="Z194" s="132"/>
      <c r="AA194" s="132">
        <f t="shared" si="182"/>
        <v>0</v>
      </c>
      <c r="AB194" s="132"/>
      <c r="AC194" s="131">
        <f t="shared" si="183"/>
        <v>0</v>
      </c>
      <c r="AD194" s="131"/>
      <c r="AE194" s="132" t="s">
        <v>612</v>
      </c>
      <c r="AF194" s="132">
        <v>3048</v>
      </c>
      <c r="AG194" s="168"/>
      <c r="AH194" s="134">
        <f t="shared" si="184"/>
        <v>0</v>
      </c>
      <c r="AI194" s="134">
        <f t="shared" si="185"/>
        <v>0</v>
      </c>
      <c r="AJ194" s="134">
        <f t="shared" si="186"/>
        <v>0</v>
      </c>
      <c r="AK194" s="134">
        <f t="shared" si="187"/>
        <v>0</v>
      </c>
      <c r="AL194" s="134">
        <f t="shared" si="188"/>
        <v>0</v>
      </c>
      <c r="AM194" s="134">
        <f t="shared" si="189"/>
        <v>0</v>
      </c>
      <c r="AN194" s="134">
        <f t="shared" si="190"/>
        <v>0</v>
      </c>
      <c r="AO194" s="134">
        <f t="shared" si="191"/>
        <v>0</v>
      </c>
      <c r="AP194" s="134">
        <f t="shared" si="192"/>
        <v>0</v>
      </c>
      <c r="AQ194" s="134">
        <f t="shared" si="193"/>
        <v>0</v>
      </c>
      <c r="AR194" s="134">
        <f t="shared" si="194"/>
        <v>0</v>
      </c>
      <c r="AS194" s="135">
        <f t="shared" si="169"/>
        <v>0</v>
      </c>
      <c r="AT194" s="137" t="str">
        <f t="shared" si="195"/>
        <v>0</v>
      </c>
      <c r="AU194" s="137" t="str">
        <f t="shared" si="196"/>
        <v>0</v>
      </c>
      <c r="AV194" s="137" t="str">
        <f t="shared" si="197"/>
        <v>0</v>
      </c>
      <c r="AW194" s="137" t="str">
        <f t="shared" si="198"/>
        <v>0</v>
      </c>
      <c r="AX194" s="137" t="str">
        <f t="shared" si="199"/>
        <v>0</v>
      </c>
      <c r="AY194" s="137" t="str">
        <f t="shared" si="200"/>
        <v>0</v>
      </c>
      <c r="AZ194" s="137" t="str">
        <f t="shared" si="201"/>
        <v>0</v>
      </c>
      <c r="BA194" s="137" t="str">
        <f t="shared" si="202"/>
        <v>0</v>
      </c>
      <c r="BB194" s="137" t="str">
        <f t="shared" si="203"/>
        <v>0</v>
      </c>
      <c r="BC194" s="137" t="str">
        <f t="shared" si="204"/>
        <v>0</v>
      </c>
      <c r="BD194" s="131">
        <f t="shared" si="170"/>
        <v>0</v>
      </c>
    </row>
    <row r="195" spans="2:56" x14ac:dyDescent="0.25">
      <c r="B195" s="136">
        <v>8204520</v>
      </c>
      <c r="C195" s="128" t="s">
        <v>30</v>
      </c>
      <c r="D195" s="128"/>
      <c r="E195" s="136" t="s">
        <v>267</v>
      </c>
      <c r="F195" s="274"/>
      <c r="G195" s="130">
        <f>+SUMIFS(TablaIngresos[Cantidad],TablaIngresos[Código],'Inventario '!B195)</f>
        <v>0</v>
      </c>
      <c r="H195" s="130">
        <f t="shared" si="178"/>
        <v>0</v>
      </c>
      <c r="I195" s="131">
        <f>SUMIFS(TablaConsumos[[CANTIDAD ]:[CANTIDAD ]],TablaConsumos[[CÓDIGO]:[CÓDIGO]],'Inventario '!$B195,TablaConsumos[[Planta]:[Planta]],'Inventario '!I$1)</f>
        <v>0</v>
      </c>
      <c r="J195" s="131">
        <f>SUMIFS(TablaConsumos[[CANTIDAD ]:[CANTIDAD ]],TablaConsumos[[CÓDIGO]:[CÓDIGO]],'Inventario '!$B195,TablaConsumos[[Planta]:[Planta]],'Inventario '!J$1)</f>
        <v>0</v>
      </c>
      <c r="K195" s="131">
        <f>SUMIFS(TablaConsumos[[CANTIDAD ]:[CANTIDAD ]],TablaConsumos[[CÓDIGO]:[CÓDIGO]],'Inventario '!$B195,TablaConsumos[[Planta]:[Planta]],'Inventario '!K$1)</f>
        <v>0</v>
      </c>
      <c r="L195" s="131">
        <f>SUMIFS(TablaConsumos[[CANTIDAD ]:[CANTIDAD ]],TablaConsumos[[CÓDIGO]:[CÓDIGO]],'Inventario '!$B195,TablaConsumos[[Planta]:[Planta]],'Inventario '!L$1)</f>
        <v>0</v>
      </c>
      <c r="M195" s="131">
        <f>SUMIFS(TablaConsumos[[CANTIDAD ]:[CANTIDAD ]],TablaConsumos[[CÓDIGO]:[CÓDIGO]],'Inventario '!$B195,TablaConsumos[[Planta]:[Planta]],'Inventario '!M$1)</f>
        <v>0</v>
      </c>
      <c r="N195" s="131">
        <f>SUMIFS(TablaConsumos[[CANTIDAD ]:[CANTIDAD ]],TablaConsumos[[CÓDIGO]:[CÓDIGO]],'Inventario '!$B195,TablaConsumos[[Planta]:[Planta]],'Inventario '!N$1)</f>
        <v>0</v>
      </c>
      <c r="O195" s="131">
        <f>SUMIFS(TablaConsumos[[CANTIDAD ]:[CANTIDAD ]],TablaConsumos[[CÓDIGO]:[CÓDIGO]],'Inventario '!$B195,TablaConsumos[[Planta]:[Planta]],'Inventario '!O$1)</f>
        <v>0</v>
      </c>
      <c r="P195" s="131">
        <f>SUMIFS(TablaConsumos[[CANTIDAD ]:[CANTIDAD ]],TablaConsumos[[CÓDIGO]:[CÓDIGO]],'Inventario '!$B195,TablaConsumos[[Planta]:[Planta]],'Inventario '!P$1)</f>
        <v>0</v>
      </c>
      <c r="Q195" s="131">
        <f>SUMIFS(TablaConsumos[[CANTIDAD ]:[CANTIDAD ]],TablaConsumos[[CÓDIGO]:[CÓDIGO]],'Inventario '!$B195,TablaConsumos[[Planta]:[Planta]],'Inventario '!Q$1)</f>
        <v>0</v>
      </c>
      <c r="R195" s="131">
        <f>SUMIFS(TablaConsumos[[CANTIDAD ]:[CANTIDAD ]],TablaConsumos[[CÓDIGO]:[CÓDIGO]],'Inventario '!$B195,TablaConsumos[[Planta]:[Planta]],'Inventario '!R$1)</f>
        <v>0</v>
      </c>
      <c r="S195" s="130">
        <f t="shared" si="168"/>
        <v>0</v>
      </c>
      <c r="T195" s="130">
        <f t="shared" si="171"/>
        <v>0</v>
      </c>
      <c r="U195" s="177"/>
      <c r="V195" s="132"/>
      <c r="W195" s="179">
        <v>30.48</v>
      </c>
      <c r="X195" s="133">
        <f t="shared" si="143"/>
        <v>0</v>
      </c>
      <c r="Y195" s="130">
        <f>+T195-X195</f>
        <v>0</v>
      </c>
      <c r="Z195" s="132"/>
      <c r="AA195" s="132">
        <f t="shared" si="182"/>
        <v>0</v>
      </c>
      <c r="AB195" s="132"/>
      <c r="AC195" s="131">
        <f t="shared" si="183"/>
        <v>0</v>
      </c>
      <c r="AD195" s="131"/>
      <c r="AE195" s="132" t="s">
        <v>612</v>
      </c>
      <c r="AF195" s="132">
        <v>3048</v>
      </c>
      <c r="AG195" s="168"/>
      <c r="AH195" s="134">
        <f t="shared" si="184"/>
        <v>0</v>
      </c>
      <c r="AI195" s="134">
        <f t="shared" si="185"/>
        <v>0</v>
      </c>
      <c r="AJ195" s="134">
        <f t="shared" si="186"/>
        <v>0</v>
      </c>
      <c r="AK195" s="134">
        <f t="shared" si="187"/>
        <v>0</v>
      </c>
      <c r="AL195" s="134">
        <f t="shared" si="188"/>
        <v>0</v>
      </c>
      <c r="AM195" s="134">
        <f t="shared" si="189"/>
        <v>0</v>
      </c>
      <c r="AN195" s="134">
        <f t="shared" si="190"/>
        <v>0</v>
      </c>
      <c r="AO195" s="134">
        <f t="shared" si="191"/>
        <v>0</v>
      </c>
      <c r="AP195" s="134">
        <f t="shared" si="192"/>
        <v>0</v>
      </c>
      <c r="AQ195" s="134">
        <f t="shared" si="193"/>
        <v>0</v>
      </c>
      <c r="AR195" s="134">
        <f t="shared" si="194"/>
        <v>0</v>
      </c>
      <c r="AS195" s="135">
        <f t="shared" si="169"/>
        <v>0</v>
      </c>
      <c r="AT195" s="137" t="str">
        <f t="shared" si="195"/>
        <v>0</v>
      </c>
      <c r="AU195" s="137" t="str">
        <f t="shared" si="196"/>
        <v>0</v>
      </c>
      <c r="AV195" s="137" t="str">
        <f t="shared" si="197"/>
        <v>0</v>
      </c>
      <c r="AW195" s="137" t="str">
        <f t="shared" si="198"/>
        <v>0</v>
      </c>
      <c r="AX195" s="137" t="str">
        <f t="shared" si="199"/>
        <v>0</v>
      </c>
      <c r="AY195" s="137" t="str">
        <f t="shared" si="200"/>
        <v>0</v>
      </c>
      <c r="AZ195" s="137" t="str">
        <f t="shared" si="201"/>
        <v>0</v>
      </c>
      <c r="BA195" s="137" t="str">
        <f t="shared" si="202"/>
        <v>0</v>
      </c>
      <c r="BB195" s="137" t="str">
        <f t="shared" si="203"/>
        <v>0</v>
      </c>
      <c r="BC195" s="137" t="str">
        <f t="shared" si="204"/>
        <v>0</v>
      </c>
      <c r="BD195" s="131">
        <f t="shared" si="170"/>
        <v>0</v>
      </c>
    </row>
    <row r="196" spans="2:56" x14ac:dyDescent="0.25">
      <c r="B196" s="136">
        <v>8204521</v>
      </c>
      <c r="C196" s="128" t="s">
        <v>30</v>
      </c>
      <c r="D196" s="128"/>
      <c r="E196" s="136" t="s">
        <v>268</v>
      </c>
      <c r="F196" s="274"/>
      <c r="G196" s="130">
        <f>+SUMIFS(TablaIngresos[Cantidad],TablaIngresos[Código],'Inventario '!B196)</f>
        <v>0</v>
      </c>
      <c r="H196" s="130">
        <f t="shared" si="178"/>
        <v>0</v>
      </c>
      <c r="I196" s="131">
        <f>SUMIFS(TablaConsumos[[CANTIDAD ]:[CANTIDAD ]],TablaConsumos[[CÓDIGO]:[CÓDIGO]],'Inventario '!$B196,TablaConsumos[[Planta]:[Planta]],'Inventario '!I$1)</f>
        <v>0</v>
      </c>
      <c r="J196" s="131">
        <f>SUMIFS(TablaConsumos[[CANTIDAD ]:[CANTIDAD ]],TablaConsumos[[CÓDIGO]:[CÓDIGO]],'Inventario '!$B196,TablaConsumos[[Planta]:[Planta]],'Inventario '!J$1)</f>
        <v>0</v>
      </c>
      <c r="K196" s="131">
        <f>SUMIFS(TablaConsumos[[CANTIDAD ]:[CANTIDAD ]],TablaConsumos[[CÓDIGO]:[CÓDIGO]],'Inventario '!$B196,TablaConsumos[[Planta]:[Planta]],'Inventario '!K$1)</f>
        <v>0</v>
      </c>
      <c r="L196" s="131">
        <f>SUMIFS(TablaConsumos[[CANTIDAD ]:[CANTIDAD ]],TablaConsumos[[CÓDIGO]:[CÓDIGO]],'Inventario '!$B196,TablaConsumos[[Planta]:[Planta]],'Inventario '!L$1)</f>
        <v>0</v>
      </c>
      <c r="M196" s="131">
        <f>SUMIFS(TablaConsumos[[CANTIDAD ]:[CANTIDAD ]],TablaConsumos[[CÓDIGO]:[CÓDIGO]],'Inventario '!$B196,TablaConsumos[[Planta]:[Planta]],'Inventario '!M$1)</f>
        <v>0</v>
      </c>
      <c r="N196" s="131">
        <f>SUMIFS(TablaConsumos[[CANTIDAD ]:[CANTIDAD ]],TablaConsumos[[CÓDIGO]:[CÓDIGO]],'Inventario '!$B196,TablaConsumos[[Planta]:[Planta]],'Inventario '!N$1)</f>
        <v>0</v>
      </c>
      <c r="O196" s="131">
        <f>SUMIFS(TablaConsumos[[CANTIDAD ]:[CANTIDAD ]],TablaConsumos[[CÓDIGO]:[CÓDIGO]],'Inventario '!$B196,TablaConsumos[[Planta]:[Planta]],'Inventario '!O$1)</f>
        <v>0</v>
      </c>
      <c r="P196" s="131">
        <f>SUMIFS(TablaConsumos[[CANTIDAD ]:[CANTIDAD ]],TablaConsumos[[CÓDIGO]:[CÓDIGO]],'Inventario '!$B196,TablaConsumos[[Planta]:[Planta]],'Inventario '!P$1)</f>
        <v>0</v>
      </c>
      <c r="Q196" s="131">
        <f>SUMIFS(TablaConsumos[[CANTIDAD ]:[CANTIDAD ]],TablaConsumos[[CÓDIGO]:[CÓDIGO]],'Inventario '!$B196,TablaConsumos[[Planta]:[Planta]],'Inventario '!Q$1)</f>
        <v>0</v>
      </c>
      <c r="R196" s="131">
        <f>SUMIFS(TablaConsumos[[CANTIDAD ]:[CANTIDAD ]],TablaConsumos[[CÓDIGO]:[CÓDIGO]],'Inventario '!$B196,TablaConsumos[[Planta]:[Planta]],'Inventario '!R$1)</f>
        <v>0</v>
      </c>
      <c r="S196" s="130">
        <f t="shared" si="168"/>
        <v>0</v>
      </c>
      <c r="T196" s="130">
        <f t="shared" si="171"/>
        <v>0</v>
      </c>
      <c r="U196" s="177"/>
      <c r="V196" s="132"/>
      <c r="W196" s="179">
        <v>30.48</v>
      </c>
      <c r="X196" s="133">
        <f t="shared" si="143"/>
        <v>0</v>
      </c>
      <c r="Y196" s="130">
        <f t="shared" si="181"/>
        <v>0</v>
      </c>
      <c r="Z196" s="132"/>
      <c r="AA196" s="132">
        <f t="shared" si="182"/>
        <v>0</v>
      </c>
      <c r="AB196" s="132"/>
      <c r="AC196" s="131">
        <f t="shared" si="183"/>
        <v>0</v>
      </c>
      <c r="AD196" s="131"/>
      <c r="AE196" s="132" t="s">
        <v>612</v>
      </c>
      <c r="AF196" s="132">
        <v>3048</v>
      </c>
      <c r="AG196" s="168"/>
      <c r="AH196" s="134">
        <f t="shared" si="184"/>
        <v>0</v>
      </c>
      <c r="AI196" s="134">
        <f t="shared" si="185"/>
        <v>0</v>
      </c>
      <c r="AJ196" s="134">
        <f t="shared" si="186"/>
        <v>0</v>
      </c>
      <c r="AK196" s="134">
        <f t="shared" si="187"/>
        <v>0</v>
      </c>
      <c r="AL196" s="134">
        <f t="shared" si="188"/>
        <v>0</v>
      </c>
      <c r="AM196" s="134">
        <f t="shared" si="189"/>
        <v>0</v>
      </c>
      <c r="AN196" s="134">
        <f t="shared" si="190"/>
        <v>0</v>
      </c>
      <c r="AO196" s="134">
        <f t="shared" si="191"/>
        <v>0</v>
      </c>
      <c r="AP196" s="134">
        <f t="shared" si="192"/>
        <v>0</v>
      </c>
      <c r="AQ196" s="134">
        <f t="shared" si="193"/>
        <v>0</v>
      </c>
      <c r="AR196" s="134">
        <f t="shared" si="194"/>
        <v>0</v>
      </c>
      <c r="AS196" s="135">
        <f t="shared" si="169"/>
        <v>0</v>
      </c>
      <c r="AT196" s="137" t="str">
        <f t="shared" si="195"/>
        <v>0</v>
      </c>
      <c r="AU196" s="137" t="str">
        <f t="shared" si="196"/>
        <v>0</v>
      </c>
      <c r="AV196" s="137" t="str">
        <f t="shared" si="197"/>
        <v>0</v>
      </c>
      <c r="AW196" s="137" t="str">
        <f t="shared" si="198"/>
        <v>0</v>
      </c>
      <c r="AX196" s="137" t="str">
        <f t="shared" si="199"/>
        <v>0</v>
      </c>
      <c r="AY196" s="137" t="str">
        <f t="shared" si="200"/>
        <v>0</v>
      </c>
      <c r="AZ196" s="137" t="str">
        <f t="shared" si="201"/>
        <v>0</v>
      </c>
      <c r="BA196" s="137" t="str">
        <f t="shared" si="202"/>
        <v>0</v>
      </c>
      <c r="BB196" s="137" t="str">
        <f t="shared" si="203"/>
        <v>0</v>
      </c>
      <c r="BC196" s="137" t="str">
        <f t="shared" si="204"/>
        <v>0</v>
      </c>
      <c r="BD196" s="131">
        <f t="shared" si="170"/>
        <v>0</v>
      </c>
    </row>
    <row r="197" spans="2:56" x14ac:dyDescent="0.25">
      <c r="B197" s="136">
        <v>8201921</v>
      </c>
      <c r="C197" s="128" t="s">
        <v>30</v>
      </c>
      <c r="D197" s="128"/>
      <c r="E197" s="136" t="s">
        <v>693</v>
      </c>
      <c r="F197" s="274"/>
      <c r="G197" s="130">
        <f>+SUMIFS(TablaIngresos[Cantidad],TablaIngresos[Código],'Inventario '!B197)</f>
        <v>0</v>
      </c>
      <c r="H197" s="130">
        <f t="shared" si="178"/>
        <v>0</v>
      </c>
      <c r="I197" s="131">
        <f>SUMIFS(TablaConsumos[[CANTIDAD ]:[CANTIDAD ]],TablaConsumos[[CÓDIGO]:[CÓDIGO]],'Inventario '!$B197,TablaConsumos[[Planta]:[Planta]],'Inventario '!I$1)</f>
        <v>0</v>
      </c>
      <c r="J197" s="131">
        <f>SUMIFS(TablaConsumos[[CANTIDAD ]:[CANTIDAD ]],TablaConsumos[[CÓDIGO]:[CÓDIGO]],'Inventario '!$B197,TablaConsumos[[Planta]:[Planta]],'Inventario '!J$1)</f>
        <v>0</v>
      </c>
      <c r="K197" s="131">
        <f>SUMIFS(TablaConsumos[[CANTIDAD ]:[CANTIDAD ]],TablaConsumos[[CÓDIGO]:[CÓDIGO]],'Inventario '!$B197,TablaConsumos[[Planta]:[Planta]],'Inventario '!K$1)</f>
        <v>0</v>
      </c>
      <c r="L197" s="131">
        <f>SUMIFS(TablaConsumos[[CANTIDAD ]:[CANTIDAD ]],TablaConsumos[[CÓDIGO]:[CÓDIGO]],'Inventario '!$B197,TablaConsumos[[Planta]:[Planta]],'Inventario '!L$1)</f>
        <v>0</v>
      </c>
      <c r="M197" s="131">
        <f>SUMIFS(TablaConsumos[[CANTIDAD ]:[CANTIDAD ]],TablaConsumos[[CÓDIGO]:[CÓDIGO]],'Inventario '!$B197,TablaConsumos[[Planta]:[Planta]],'Inventario '!M$1)</f>
        <v>0</v>
      </c>
      <c r="N197" s="131">
        <f>SUMIFS(TablaConsumos[[CANTIDAD ]:[CANTIDAD ]],TablaConsumos[[CÓDIGO]:[CÓDIGO]],'Inventario '!$B197,TablaConsumos[[Planta]:[Planta]],'Inventario '!N$1)</f>
        <v>0</v>
      </c>
      <c r="O197" s="131">
        <f>SUMIFS(TablaConsumos[[CANTIDAD ]:[CANTIDAD ]],TablaConsumos[[CÓDIGO]:[CÓDIGO]],'Inventario '!$B197,TablaConsumos[[Planta]:[Planta]],'Inventario '!O$1)</f>
        <v>0</v>
      </c>
      <c r="P197" s="131">
        <f>SUMIFS(TablaConsumos[[CANTIDAD ]:[CANTIDAD ]],TablaConsumos[[CÓDIGO]:[CÓDIGO]],'Inventario '!$B197,TablaConsumos[[Planta]:[Planta]],'Inventario '!P$1)</f>
        <v>0</v>
      </c>
      <c r="Q197" s="131">
        <f>SUMIFS(TablaConsumos[[CANTIDAD ]:[CANTIDAD ]],TablaConsumos[[CÓDIGO]:[CÓDIGO]],'Inventario '!$B197,TablaConsumos[[Planta]:[Planta]],'Inventario '!Q$1)</f>
        <v>0</v>
      </c>
      <c r="R197" s="131">
        <f>SUMIFS(TablaConsumos[[CANTIDAD ]:[CANTIDAD ]],TablaConsumos[[CÓDIGO]:[CÓDIGO]],'Inventario '!$B197,TablaConsumos[[Planta]:[Planta]],'Inventario '!R$1)</f>
        <v>0</v>
      </c>
      <c r="S197" s="130">
        <f t="shared" si="168"/>
        <v>0</v>
      </c>
      <c r="T197" s="130">
        <f t="shared" si="171"/>
        <v>0</v>
      </c>
      <c r="U197" s="177"/>
      <c r="V197" s="132"/>
      <c r="W197" s="179">
        <v>30.48</v>
      </c>
      <c r="X197" s="133">
        <f t="shared" si="143"/>
        <v>0</v>
      </c>
      <c r="Y197" s="130">
        <f t="shared" si="181"/>
        <v>0</v>
      </c>
      <c r="Z197" s="132"/>
      <c r="AA197" s="132">
        <f t="shared" si="182"/>
        <v>0</v>
      </c>
      <c r="AB197" s="132"/>
      <c r="AC197" s="131">
        <f t="shared" si="183"/>
        <v>0</v>
      </c>
      <c r="AD197" s="131"/>
      <c r="AE197" s="132" t="s">
        <v>612</v>
      </c>
      <c r="AF197" s="132">
        <v>3048</v>
      </c>
      <c r="AG197" s="168"/>
      <c r="AH197" s="134">
        <f t="shared" si="184"/>
        <v>0</v>
      </c>
      <c r="AI197" s="134">
        <f t="shared" si="185"/>
        <v>0</v>
      </c>
      <c r="AJ197" s="134">
        <f t="shared" si="186"/>
        <v>0</v>
      </c>
      <c r="AK197" s="134">
        <f t="shared" si="187"/>
        <v>0</v>
      </c>
      <c r="AL197" s="134">
        <f t="shared" si="188"/>
        <v>0</v>
      </c>
      <c r="AM197" s="134">
        <f t="shared" si="189"/>
        <v>0</v>
      </c>
      <c r="AN197" s="134">
        <f t="shared" si="190"/>
        <v>0</v>
      </c>
      <c r="AO197" s="134">
        <f t="shared" si="191"/>
        <v>0</v>
      </c>
      <c r="AP197" s="134">
        <f t="shared" si="192"/>
        <v>0</v>
      </c>
      <c r="AQ197" s="134">
        <f t="shared" si="193"/>
        <v>0</v>
      </c>
      <c r="AR197" s="134">
        <f t="shared" si="194"/>
        <v>0</v>
      </c>
      <c r="AS197" s="135">
        <f t="shared" si="169"/>
        <v>0</v>
      </c>
      <c r="AT197" s="137" t="str">
        <f t="shared" si="195"/>
        <v>0</v>
      </c>
      <c r="AU197" s="137" t="str">
        <f t="shared" si="196"/>
        <v>0</v>
      </c>
      <c r="AV197" s="137" t="str">
        <f t="shared" si="197"/>
        <v>0</v>
      </c>
      <c r="AW197" s="137" t="str">
        <f t="shared" si="198"/>
        <v>0</v>
      </c>
      <c r="AX197" s="137" t="str">
        <f t="shared" si="199"/>
        <v>0</v>
      </c>
      <c r="AY197" s="137" t="str">
        <f t="shared" si="200"/>
        <v>0</v>
      </c>
      <c r="AZ197" s="137" t="str">
        <f t="shared" si="201"/>
        <v>0</v>
      </c>
      <c r="BA197" s="137" t="str">
        <f t="shared" si="202"/>
        <v>0</v>
      </c>
      <c r="BB197" s="137" t="str">
        <f t="shared" si="203"/>
        <v>0</v>
      </c>
      <c r="BC197" s="137" t="str">
        <f t="shared" si="204"/>
        <v>0</v>
      </c>
      <c r="BD197" s="131">
        <f t="shared" si="170"/>
        <v>0</v>
      </c>
    </row>
    <row r="198" spans="2:56" x14ac:dyDescent="0.25">
      <c r="B198" s="136">
        <v>8204585</v>
      </c>
      <c r="C198" s="128" t="s">
        <v>30</v>
      </c>
      <c r="D198" s="128"/>
      <c r="E198" s="147" t="s">
        <v>272</v>
      </c>
      <c r="F198" s="274"/>
      <c r="G198" s="130">
        <f>+SUMIFS(TablaIngresos[Cantidad],TablaIngresos[Código],'Inventario '!B198)</f>
        <v>0</v>
      </c>
      <c r="H198" s="130">
        <f t="shared" si="178"/>
        <v>0</v>
      </c>
      <c r="I198" s="131">
        <f>SUMIFS(TablaConsumos[[CANTIDAD ]:[CANTIDAD ]],TablaConsumos[[CÓDIGO]:[CÓDIGO]],'Inventario '!$B198,TablaConsumos[[Planta]:[Planta]],'Inventario '!I$1)</f>
        <v>0</v>
      </c>
      <c r="J198" s="131">
        <f>SUMIFS(TablaConsumos[[CANTIDAD ]:[CANTIDAD ]],TablaConsumos[[CÓDIGO]:[CÓDIGO]],'Inventario '!$B198,TablaConsumos[[Planta]:[Planta]],'Inventario '!J$1)</f>
        <v>0</v>
      </c>
      <c r="K198" s="131">
        <f>SUMIFS(TablaConsumos[[CANTIDAD ]:[CANTIDAD ]],TablaConsumos[[CÓDIGO]:[CÓDIGO]],'Inventario '!$B198,TablaConsumos[[Planta]:[Planta]],'Inventario '!K$1)</f>
        <v>0</v>
      </c>
      <c r="L198" s="131">
        <f>SUMIFS(TablaConsumos[[CANTIDAD ]:[CANTIDAD ]],TablaConsumos[[CÓDIGO]:[CÓDIGO]],'Inventario '!$B198,TablaConsumos[[Planta]:[Planta]],'Inventario '!L$1)</f>
        <v>0</v>
      </c>
      <c r="M198" s="131">
        <f>SUMIFS(TablaConsumos[[CANTIDAD ]:[CANTIDAD ]],TablaConsumos[[CÓDIGO]:[CÓDIGO]],'Inventario '!$B198,TablaConsumos[[Planta]:[Planta]],'Inventario '!M$1)</f>
        <v>0</v>
      </c>
      <c r="N198" s="131">
        <f>SUMIFS(TablaConsumos[[CANTIDAD ]:[CANTIDAD ]],TablaConsumos[[CÓDIGO]:[CÓDIGO]],'Inventario '!$B198,TablaConsumos[[Planta]:[Planta]],'Inventario '!N$1)</f>
        <v>0</v>
      </c>
      <c r="O198" s="131">
        <f>SUMIFS(TablaConsumos[[CANTIDAD ]:[CANTIDAD ]],TablaConsumos[[CÓDIGO]:[CÓDIGO]],'Inventario '!$B198,TablaConsumos[[Planta]:[Planta]],'Inventario '!O$1)</f>
        <v>0</v>
      </c>
      <c r="P198" s="131">
        <f>SUMIFS(TablaConsumos[[CANTIDAD ]:[CANTIDAD ]],TablaConsumos[[CÓDIGO]:[CÓDIGO]],'Inventario '!$B198,TablaConsumos[[Planta]:[Planta]],'Inventario '!P$1)</f>
        <v>0</v>
      </c>
      <c r="Q198" s="131">
        <f>SUMIFS(TablaConsumos[[CANTIDAD ]:[CANTIDAD ]],TablaConsumos[[CÓDIGO]:[CÓDIGO]],'Inventario '!$B198,TablaConsumos[[Planta]:[Planta]],'Inventario '!Q$1)</f>
        <v>0</v>
      </c>
      <c r="R198" s="131">
        <f>SUMIFS(TablaConsumos[[CANTIDAD ]:[CANTIDAD ]],TablaConsumos[[CÓDIGO]:[CÓDIGO]],'Inventario '!$B198,TablaConsumos[[Planta]:[Planta]],'Inventario '!R$1)</f>
        <v>0</v>
      </c>
      <c r="S198" s="130">
        <f t="shared" si="168"/>
        <v>0</v>
      </c>
      <c r="T198" s="130">
        <f t="shared" si="171"/>
        <v>0</v>
      </c>
      <c r="U198" s="177"/>
      <c r="V198" s="132"/>
      <c r="W198" s="179">
        <v>30.48</v>
      </c>
      <c r="X198" s="133">
        <f t="shared" si="143"/>
        <v>0</v>
      </c>
      <c r="Y198" s="130">
        <f t="shared" si="181"/>
        <v>0</v>
      </c>
      <c r="Z198" s="132"/>
      <c r="AA198" s="132">
        <f t="shared" si="182"/>
        <v>0</v>
      </c>
      <c r="AB198" s="132"/>
      <c r="AC198" s="131">
        <f t="shared" si="183"/>
        <v>0</v>
      </c>
      <c r="AD198" s="131"/>
      <c r="AE198" s="132" t="s">
        <v>612</v>
      </c>
      <c r="AF198" s="132">
        <v>3048</v>
      </c>
      <c r="AG198" s="168"/>
      <c r="AH198" s="134">
        <f t="shared" si="184"/>
        <v>0</v>
      </c>
      <c r="AI198" s="134">
        <f t="shared" si="185"/>
        <v>0</v>
      </c>
      <c r="AJ198" s="134">
        <f t="shared" si="186"/>
        <v>0</v>
      </c>
      <c r="AK198" s="134">
        <f t="shared" si="187"/>
        <v>0</v>
      </c>
      <c r="AL198" s="134">
        <f t="shared" si="188"/>
        <v>0</v>
      </c>
      <c r="AM198" s="134">
        <f t="shared" si="189"/>
        <v>0</v>
      </c>
      <c r="AN198" s="134">
        <f t="shared" si="190"/>
        <v>0</v>
      </c>
      <c r="AO198" s="134">
        <f t="shared" si="191"/>
        <v>0</v>
      </c>
      <c r="AP198" s="134">
        <f t="shared" si="192"/>
        <v>0</v>
      </c>
      <c r="AQ198" s="134">
        <f t="shared" si="193"/>
        <v>0</v>
      </c>
      <c r="AR198" s="134">
        <f t="shared" si="194"/>
        <v>0</v>
      </c>
      <c r="AS198" s="135">
        <f t="shared" si="169"/>
        <v>0</v>
      </c>
      <c r="AT198" s="137" t="str">
        <f t="shared" si="195"/>
        <v>0</v>
      </c>
      <c r="AU198" s="137" t="str">
        <f t="shared" si="196"/>
        <v>0</v>
      </c>
      <c r="AV198" s="137" t="str">
        <f t="shared" si="197"/>
        <v>0</v>
      </c>
      <c r="AW198" s="137" t="str">
        <f t="shared" si="198"/>
        <v>0</v>
      </c>
      <c r="AX198" s="137" t="str">
        <f t="shared" si="199"/>
        <v>0</v>
      </c>
      <c r="AY198" s="137" t="str">
        <f t="shared" si="200"/>
        <v>0</v>
      </c>
      <c r="AZ198" s="137" t="str">
        <f t="shared" si="201"/>
        <v>0</v>
      </c>
      <c r="BA198" s="137" t="str">
        <f t="shared" si="202"/>
        <v>0</v>
      </c>
      <c r="BB198" s="137" t="str">
        <f t="shared" si="203"/>
        <v>0</v>
      </c>
      <c r="BC198" s="137" t="str">
        <f t="shared" si="204"/>
        <v>0</v>
      </c>
      <c r="BD198" s="131">
        <f t="shared" si="170"/>
        <v>0</v>
      </c>
    </row>
    <row r="199" spans="2:56" x14ac:dyDescent="0.25">
      <c r="B199" s="136">
        <v>8203090</v>
      </c>
      <c r="C199" s="128" t="s">
        <v>30</v>
      </c>
      <c r="D199" s="128"/>
      <c r="E199" s="136" t="s">
        <v>274</v>
      </c>
      <c r="F199" s="274"/>
      <c r="G199" s="130">
        <f>+SUMIFS(TablaIngresos[Cantidad],TablaIngresos[Código],'Inventario '!B199)</f>
        <v>0</v>
      </c>
      <c r="H199" s="130">
        <f t="shared" si="178"/>
        <v>0</v>
      </c>
      <c r="I199" s="131">
        <f>SUMIFS(TablaConsumos[[CANTIDAD ]:[CANTIDAD ]],TablaConsumos[[CÓDIGO]:[CÓDIGO]],'Inventario '!$B199,TablaConsumos[[Planta]:[Planta]],'Inventario '!I$1)</f>
        <v>0</v>
      </c>
      <c r="J199" s="131">
        <f>SUMIFS(TablaConsumos[[CANTIDAD ]:[CANTIDAD ]],TablaConsumos[[CÓDIGO]:[CÓDIGO]],'Inventario '!$B199,TablaConsumos[[Planta]:[Planta]],'Inventario '!J$1)</f>
        <v>0</v>
      </c>
      <c r="K199" s="131">
        <f>SUMIFS(TablaConsumos[[CANTIDAD ]:[CANTIDAD ]],TablaConsumos[[CÓDIGO]:[CÓDIGO]],'Inventario '!$B199,TablaConsumos[[Planta]:[Planta]],'Inventario '!K$1)</f>
        <v>0</v>
      </c>
      <c r="L199" s="131">
        <f>SUMIFS(TablaConsumos[[CANTIDAD ]:[CANTIDAD ]],TablaConsumos[[CÓDIGO]:[CÓDIGO]],'Inventario '!$B199,TablaConsumos[[Planta]:[Planta]],'Inventario '!L$1)</f>
        <v>0</v>
      </c>
      <c r="M199" s="131">
        <f>SUMIFS(TablaConsumos[[CANTIDAD ]:[CANTIDAD ]],TablaConsumos[[CÓDIGO]:[CÓDIGO]],'Inventario '!$B199,TablaConsumos[[Planta]:[Planta]],'Inventario '!M$1)</f>
        <v>0</v>
      </c>
      <c r="N199" s="131">
        <f>SUMIFS(TablaConsumos[[CANTIDAD ]:[CANTIDAD ]],TablaConsumos[[CÓDIGO]:[CÓDIGO]],'Inventario '!$B199,TablaConsumos[[Planta]:[Planta]],'Inventario '!N$1)</f>
        <v>0</v>
      </c>
      <c r="O199" s="131">
        <f>SUMIFS(TablaConsumos[[CANTIDAD ]:[CANTIDAD ]],TablaConsumos[[CÓDIGO]:[CÓDIGO]],'Inventario '!$B199,TablaConsumos[[Planta]:[Planta]],'Inventario '!O$1)</f>
        <v>0</v>
      </c>
      <c r="P199" s="131">
        <f>SUMIFS(TablaConsumos[[CANTIDAD ]:[CANTIDAD ]],TablaConsumos[[CÓDIGO]:[CÓDIGO]],'Inventario '!$B199,TablaConsumos[[Planta]:[Planta]],'Inventario '!P$1)</f>
        <v>0</v>
      </c>
      <c r="Q199" s="131">
        <f>SUMIFS(TablaConsumos[[CANTIDAD ]:[CANTIDAD ]],TablaConsumos[[CÓDIGO]:[CÓDIGO]],'Inventario '!$B199,TablaConsumos[[Planta]:[Planta]],'Inventario '!Q$1)</f>
        <v>0</v>
      </c>
      <c r="R199" s="131">
        <f>SUMIFS(TablaConsumos[[CANTIDAD ]:[CANTIDAD ]],TablaConsumos[[CÓDIGO]:[CÓDIGO]],'Inventario '!$B199,TablaConsumos[[Planta]:[Planta]],'Inventario '!R$1)</f>
        <v>0</v>
      </c>
      <c r="S199" s="130">
        <f t="shared" si="168"/>
        <v>0</v>
      </c>
      <c r="T199" s="130">
        <f t="shared" si="171"/>
        <v>0</v>
      </c>
      <c r="U199" s="177"/>
      <c r="V199" s="130"/>
      <c r="W199" s="179">
        <v>30.48</v>
      </c>
      <c r="X199" s="133">
        <f t="shared" si="143"/>
        <v>0</v>
      </c>
      <c r="Y199" s="130">
        <f t="shared" si="181"/>
        <v>0</v>
      </c>
      <c r="Z199" s="132"/>
      <c r="AA199" s="132">
        <f t="shared" si="182"/>
        <v>0</v>
      </c>
      <c r="AB199" s="132"/>
      <c r="AC199" s="131">
        <f t="shared" si="183"/>
        <v>0</v>
      </c>
      <c r="AD199" s="131"/>
      <c r="AE199" s="132" t="s">
        <v>612</v>
      </c>
      <c r="AF199" s="132">
        <v>3048</v>
      </c>
      <c r="AG199" s="168"/>
      <c r="AH199" s="134">
        <f t="shared" si="184"/>
        <v>0</v>
      </c>
      <c r="AI199" s="134">
        <f t="shared" si="185"/>
        <v>0</v>
      </c>
      <c r="AJ199" s="134">
        <f t="shared" si="186"/>
        <v>0</v>
      </c>
      <c r="AK199" s="134">
        <f t="shared" si="187"/>
        <v>0</v>
      </c>
      <c r="AL199" s="134">
        <f t="shared" si="188"/>
        <v>0</v>
      </c>
      <c r="AM199" s="134">
        <f t="shared" si="189"/>
        <v>0</v>
      </c>
      <c r="AN199" s="134">
        <f t="shared" si="190"/>
        <v>0</v>
      </c>
      <c r="AO199" s="134">
        <f t="shared" si="191"/>
        <v>0</v>
      </c>
      <c r="AP199" s="134">
        <f t="shared" si="192"/>
        <v>0</v>
      </c>
      <c r="AQ199" s="134">
        <f t="shared" si="193"/>
        <v>0</v>
      </c>
      <c r="AR199" s="134">
        <f t="shared" si="194"/>
        <v>0</v>
      </c>
      <c r="AS199" s="135">
        <f t="shared" si="169"/>
        <v>0</v>
      </c>
      <c r="AT199" s="137" t="str">
        <f t="shared" si="195"/>
        <v>0</v>
      </c>
      <c r="AU199" s="137" t="str">
        <f t="shared" si="196"/>
        <v>0</v>
      </c>
      <c r="AV199" s="137" t="str">
        <f t="shared" si="197"/>
        <v>0</v>
      </c>
      <c r="AW199" s="137" t="str">
        <f t="shared" si="198"/>
        <v>0</v>
      </c>
      <c r="AX199" s="137" t="str">
        <f t="shared" si="199"/>
        <v>0</v>
      </c>
      <c r="AY199" s="137" t="str">
        <f t="shared" si="200"/>
        <v>0</v>
      </c>
      <c r="AZ199" s="137" t="str">
        <f t="shared" si="201"/>
        <v>0</v>
      </c>
      <c r="BA199" s="137" t="str">
        <f t="shared" si="202"/>
        <v>0</v>
      </c>
      <c r="BB199" s="137" t="str">
        <f t="shared" si="203"/>
        <v>0</v>
      </c>
      <c r="BC199" s="137" t="str">
        <f t="shared" si="204"/>
        <v>0</v>
      </c>
      <c r="BD199" s="131">
        <f t="shared" si="170"/>
        <v>0</v>
      </c>
    </row>
    <row r="200" spans="2:56" x14ac:dyDescent="0.25">
      <c r="B200" s="136">
        <v>8205006</v>
      </c>
      <c r="C200" s="128" t="s">
        <v>30</v>
      </c>
      <c r="D200" s="128"/>
      <c r="E200" s="136" t="s">
        <v>275</v>
      </c>
      <c r="F200" s="274"/>
      <c r="G200" s="130">
        <f>+SUMIFS(TablaIngresos[Cantidad],TablaIngresos[Código],'Inventario '!B200)</f>
        <v>0</v>
      </c>
      <c r="H200" s="130">
        <f t="shared" si="178"/>
        <v>0</v>
      </c>
      <c r="I200" s="131">
        <f>SUMIFS(TablaConsumos[[CANTIDAD ]:[CANTIDAD ]],TablaConsumos[[CÓDIGO]:[CÓDIGO]],'Inventario '!$B200,TablaConsumos[[Planta]:[Planta]],'Inventario '!I$1)</f>
        <v>0</v>
      </c>
      <c r="J200" s="131">
        <f>SUMIFS(TablaConsumos[[CANTIDAD ]:[CANTIDAD ]],TablaConsumos[[CÓDIGO]:[CÓDIGO]],'Inventario '!$B200,TablaConsumos[[Planta]:[Planta]],'Inventario '!J$1)</f>
        <v>0</v>
      </c>
      <c r="K200" s="131">
        <f>SUMIFS(TablaConsumos[[CANTIDAD ]:[CANTIDAD ]],TablaConsumos[[CÓDIGO]:[CÓDIGO]],'Inventario '!$B200,TablaConsumos[[Planta]:[Planta]],'Inventario '!K$1)</f>
        <v>0</v>
      </c>
      <c r="L200" s="131">
        <f>SUMIFS(TablaConsumos[[CANTIDAD ]:[CANTIDAD ]],TablaConsumos[[CÓDIGO]:[CÓDIGO]],'Inventario '!$B200,TablaConsumos[[Planta]:[Planta]],'Inventario '!L$1)</f>
        <v>0</v>
      </c>
      <c r="M200" s="131">
        <f>SUMIFS(TablaConsumos[[CANTIDAD ]:[CANTIDAD ]],TablaConsumos[[CÓDIGO]:[CÓDIGO]],'Inventario '!$B200,TablaConsumos[[Planta]:[Planta]],'Inventario '!M$1)</f>
        <v>0</v>
      </c>
      <c r="N200" s="131">
        <f>SUMIFS(TablaConsumos[[CANTIDAD ]:[CANTIDAD ]],TablaConsumos[[CÓDIGO]:[CÓDIGO]],'Inventario '!$B200,TablaConsumos[[Planta]:[Planta]],'Inventario '!N$1)</f>
        <v>0</v>
      </c>
      <c r="O200" s="131">
        <f>SUMIFS(TablaConsumos[[CANTIDAD ]:[CANTIDAD ]],TablaConsumos[[CÓDIGO]:[CÓDIGO]],'Inventario '!$B200,TablaConsumos[[Planta]:[Planta]],'Inventario '!O$1)</f>
        <v>0</v>
      </c>
      <c r="P200" s="131">
        <f>SUMIFS(TablaConsumos[[CANTIDAD ]:[CANTIDAD ]],TablaConsumos[[CÓDIGO]:[CÓDIGO]],'Inventario '!$B200,TablaConsumos[[Planta]:[Planta]],'Inventario '!P$1)</f>
        <v>0</v>
      </c>
      <c r="Q200" s="131">
        <f>SUMIFS(TablaConsumos[[CANTIDAD ]:[CANTIDAD ]],TablaConsumos[[CÓDIGO]:[CÓDIGO]],'Inventario '!$B200,TablaConsumos[[Planta]:[Planta]],'Inventario '!Q$1)</f>
        <v>0</v>
      </c>
      <c r="R200" s="131">
        <f>SUMIFS(TablaConsumos[[CANTIDAD ]:[CANTIDAD ]],TablaConsumos[[CÓDIGO]:[CÓDIGO]],'Inventario '!$B200,TablaConsumos[[Planta]:[Planta]],'Inventario '!R$1)</f>
        <v>0</v>
      </c>
      <c r="S200" s="130">
        <f t="shared" si="168"/>
        <v>0</v>
      </c>
      <c r="T200" s="130">
        <f t="shared" si="171"/>
        <v>0</v>
      </c>
      <c r="U200" s="177"/>
      <c r="V200" s="130"/>
      <c r="W200" s="179">
        <v>30.48</v>
      </c>
      <c r="X200" s="133">
        <f t="shared" si="143"/>
        <v>0</v>
      </c>
      <c r="Y200" s="130">
        <f t="shared" si="181"/>
        <v>0</v>
      </c>
      <c r="Z200" s="132"/>
      <c r="AA200" s="132">
        <f t="shared" si="182"/>
        <v>0</v>
      </c>
      <c r="AB200" s="132"/>
      <c r="AC200" s="131">
        <f t="shared" si="183"/>
        <v>0</v>
      </c>
      <c r="AD200" s="131"/>
      <c r="AE200" s="132" t="s">
        <v>612</v>
      </c>
      <c r="AF200" s="132">
        <v>3048</v>
      </c>
      <c r="AG200" s="168"/>
      <c r="AH200" s="134">
        <f t="shared" si="184"/>
        <v>0</v>
      </c>
      <c r="AI200" s="134">
        <f t="shared" si="185"/>
        <v>0</v>
      </c>
      <c r="AJ200" s="134">
        <f t="shared" si="186"/>
        <v>0</v>
      </c>
      <c r="AK200" s="134">
        <f t="shared" si="187"/>
        <v>0</v>
      </c>
      <c r="AL200" s="134">
        <f t="shared" si="188"/>
        <v>0</v>
      </c>
      <c r="AM200" s="134">
        <f t="shared" si="189"/>
        <v>0</v>
      </c>
      <c r="AN200" s="134">
        <f t="shared" si="190"/>
        <v>0</v>
      </c>
      <c r="AO200" s="134">
        <f t="shared" si="191"/>
        <v>0</v>
      </c>
      <c r="AP200" s="134">
        <f t="shared" si="192"/>
        <v>0</v>
      </c>
      <c r="AQ200" s="134">
        <f t="shared" si="193"/>
        <v>0</v>
      </c>
      <c r="AR200" s="134">
        <f t="shared" si="194"/>
        <v>0</v>
      </c>
      <c r="AS200" s="135">
        <f t="shared" si="169"/>
        <v>0</v>
      </c>
      <c r="AT200" s="137" t="str">
        <f t="shared" si="195"/>
        <v>0</v>
      </c>
      <c r="AU200" s="137" t="str">
        <f t="shared" si="196"/>
        <v>0</v>
      </c>
      <c r="AV200" s="137" t="str">
        <f t="shared" si="197"/>
        <v>0</v>
      </c>
      <c r="AW200" s="137" t="str">
        <f t="shared" si="198"/>
        <v>0</v>
      </c>
      <c r="AX200" s="137" t="str">
        <f t="shared" si="199"/>
        <v>0</v>
      </c>
      <c r="AY200" s="137" t="str">
        <f t="shared" si="200"/>
        <v>0</v>
      </c>
      <c r="AZ200" s="137" t="str">
        <f t="shared" si="201"/>
        <v>0</v>
      </c>
      <c r="BA200" s="137" t="str">
        <f t="shared" si="202"/>
        <v>0</v>
      </c>
      <c r="BB200" s="137" t="str">
        <f t="shared" si="203"/>
        <v>0</v>
      </c>
      <c r="BC200" s="137" t="str">
        <f t="shared" si="204"/>
        <v>0</v>
      </c>
      <c r="BD200" s="131">
        <f t="shared" si="170"/>
        <v>0</v>
      </c>
    </row>
    <row r="201" spans="2:56" x14ac:dyDescent="0.25">
      <c r="B201" s="136">
        <v>8205007</v>
      </c>
      <c r="C201" s="128" t="s">
        <v>30</v>
      </c>
      <c r="D201" s="128"/>
      <c r="E201" s="136" t="s">
        <v>276</v>
      </c>
      <c r="F201" s="274"/>
      <c r="G201" s="130">
        <f>+SUMIFS(TablaIngresos[Cantidad],TablaIngresos[Código],'Inventario '!B201)</f>
        <v>0</v>
      </c>
      <c r="H201" s="130">
        <f t="shared" si="178"/>
        <v>0</v>
      </c>
      <c r="I201" s="131">
        <f>SUMIFS(TablaConsumos[[CANTIDAD ]:[CANTIDAD ]],TablaConsumos[[CÓDIGO]:[CÓDIGO]],'Inventario '!$B201,TablaConsumos[[Planta]:[Planta]],'Inventario '!I$1)</f>
        <v>0</v>
      </c>
      <c r="J201" s="131">
        <f>SUMIFS(TablaConsumos[[CANTIDAD ]:[CANTIDAD ]],TablaConsumos[[CÓDIGO]:[CÓDIGO]],'Inventario '!$B201,TablaConsumos[[Planta]:[Planta]],'Inventario '!J$1)</f>
        <v>0</v>
      </c>
      <c r="K201" s="131">
        <f>SUMIFS(TablaConsumos[[CANTIDAD ]:[CANTIDAD ]],TablaConsumos[[CÓDIGO]:[CÓDIGO]],'Inventario '!$B201,TablaConsumos[[Planta]:[Planta]],'Inventario '!K$1)</f>
        <v>0</v>
      </c>
      <c r="L201" s="131">
        <f>SUMIFS(TablaConsumos[[CANTIDAD ]:[CANTIDAD ]],TablaConsumos[[CÓDIGO]:[CÓDIGO]],'Inventario '!$B201,TablaConsumos[[Planta]:[Planta]],'Inventario '!L$1)</f>
        <v>0</v>
      </c>
      <c r="M201" s="131">
        <f>SUMIFS(TablaConsumos[[CANTIDAD ]:[CANTIDAD ]],TablaConsumos[[CÓDIGO]:[CÓDIGO]],'Inventario '!$B201,TablaConsumos[[Planta]:[Planta]],'Inventario '!M$1)</f>
        <v>0</v>
      </c>
      <c r="N201" s="131">
        <f>SUMIFS(TablaConsumos[[CANTIDAD ]:[CANTIDAD ]],TablaConsumos[[CÓDIGO]:[CÓDIGO]],'Inventario '!$B201,TablaConsumos[[Planta]:[Planta]],'Inventario '!N$1)</f>
        <v>0</v>
      </c>
      <c r="O201" s="131">
        <f>SUMIFS(TablaConsumos[[CANTIDAD ]:[CANTIDAD ]],TablaConsumos[[CÓDIGO]:[CÓDIGO]],'Inventario '!$B201,TablaConsumos[[Planta]:[Planta]],'Inventario '!O$1)</f>
        <v>0</v>
      </c>
      <c r="P201" s="131">
        <f>SUMIFS(TablaConsumos[[CANTIDAD ]:[CANTIDAD ]],TablaConsumos[[CÓDIGO]:[CÓDIGO]],'Inventario '!$B201,TablaConsumos[[Planta]:[Planta]],'Inventario '!P$1)</f>
        <v>0</v>
      </c>
      <c r="Q201" s="131">
        <f>SUMIFS(TablaConsumos[[CANTIDAD ]:[CANTIDAD ]],TablaConsumos[[CÓDIGO]:[CÓDIGO]],'Inventario '!$B201,TablaConsumos[[Planta]:[Planta]],'Inventario '!Q$1)</f>
        <v>0</v>
      </c>
      <c r="R201" s="131">
        <f>SUMIFS(TablaConsumos[[CANTIDAD ]:[CANTIDAD ]],TablaConsumos[[CÓDIGO]:[CÓDIGO]],'Inventario '!$B201,TablaConsumos[[Planta]:[Planta]],'Inventario '!R$1)</f>
        <v>0</v>
      </c>
      <c r="S201" s="130">
        <f t="shared" si="168"/>
        <v>0</v>
      </c>
      <c r="T201" s="130">
        <f t="shared" si="171"/>
        <v>0</v>
      </c>
      <c r="U201" s="177"/>
      <c r="V201" s="130"/>
      <c r="W201" s="179">
        <v>30.48</v>
      </c>
      <c r="X201" s="133">
        <f t="shared" si="143"/>
        <v>0</v>
      </c>
      <c r="Y201" s="130">
        <f t="shared" si="181"/>
        <v>0</v>
      </c>
      <c r="Z201" s="132"/>
      <c r="AA201" s="132">
        <f t="shared" si="182"/>
        <v>0</v>
      </c>
      <c r="AB201" s="132"/>
      <c r="AC201" s="131">
        <f t="shared" si="183"/>
        <v>0</v>
      </c>
      <c r="AD201" s="131"/>
      <c r="AE201" s="132" t="s">
        <v>612</v>
      </c>
      <c r="AF201" s="132">
        <v>3048</v>
      </c>
      <c r="AG201" s="168"/>
      <c r="AH201" s="134">
        <f t="shared" si="184"/>
        <v>0</v>
      </c>
      <c r="AI201" s="134">
        <f t="shared" si="185"/>
        <v>0</v>
      </c>
      <c r="AJ201" s="134">
        <f t="shared" si="186"/>
        <v>0</v>
      </c>
      <c r="AK201" s="134">
        <f t="shared" si="187"/>
        <v>0</v>
      </c>
      <c r="AL201" s="134">
        <f t="shared" si="188"/>
        <v>0</v>
      </c>
      <c r="AM201" s="134">
        <f t="shared" si="189"/>
        <v>0</v>
      </c>
      <c r="AN201" s="134">
        <f t="shared" si="190"/>
        <v>0</v>
      </c>
      <c r="AO201" s="134">
        <f t="shared" si="191"/>
        <v>0</v>
      </c>
      <c r="AP201" s="134">
        <f t="shared" si="192"/>
        <v>0</v>
      </c>
      <c r="AQ201" s="134">
        <f t="shared" si="193"/>
        <v>0</v>
      </c>
      <c r="AR201" s="134">
        <f t="shared" si="194"/>
        <v>0</v>
      </c>
      <c r="AS201" s="135">
        <f t="shared" si="169"/>
        <v>0</v>
      </c>
      <c r="AT201" s="137" t="str">
        <f t="shared" si="195"/>
        <v>0</v>
      </c>
      <c r="AU201" s="137" t="str">
        <f t="shared" si="196"/>
        <v>0</v>
      </c>
      <c r="AV201" s="137" t="str">
        <f t="shared" si="197"/>
        <v>0</v>
      </c>
      <c r="AW201" s="137" t="str">
        <f t="shared" si="198"/>
        <v>0</v>
      </c>
      <c r="AX201" s="137" t="str">
        <f t="shared" si="199"/>
        <v>0</v>
      </c>
      <c r="AY201" s="137" t="str">
        <f t="shared" si="200"/>
        <v>0</v>
      </c>
      <c r="AZ201" s="137" t="str">
        <f t="shared" si="201"/>
        <v>0</v>
      </c>
      <c r="BA201" s="137" t="str">
        <f t="shared" si="202"/>
        <v>0</v>
      </c>
      <c r="BB201" s="137" t="str">
        <f t="shared" si="203"/>
        <v>0</v>
      </c>
      <c r="BC201" s="137" t="str">
        <f t="shared" si="204"/>
        <v>0</v>
      </c>
      <c r="BD201" s="131">
        <f t="shared" si="170"/>
        <v>0</v>
      </c>
    </row>
    <row r="202" spans="2:56" x14ac:dyDescent="0.25">
      <c r="B202" s="136">
        <v>8205008</v>
      </c>
      <c r="C202" s="128" t="s">
        <v>30</v>
      </c>
      <c r="D202" s="128"/>
      <c r="E202" s="136" t="s">
        <v>277</v>
      </c>
      <c r="F202" s="274"/>
      <c r="G202" s="130">
        <f>+SUMIFS(TablaIngresos[Cantidad],TablaIngresos[Código],'Inventario '!B202)</f>
        <v>0</v>
      </c>
      <c r="H202" s="130">
        <f t="shared" si="178"/>
        <v>0</v>
      </c>
      <c r="I202" s="131">
        <f>SUMIFS(TablaConsumos[[CANTIDAD ]:[CANTIDAD ]],TablaConsumos[[CÓDIGO]:[CÓDIGO]],'Inventario '!$B202,TablaConsumos[[Planta]:[Planta]],'Inventario '!I$1)</f>
        <v>0</v>
      </c>
      <c r="J202" s="131">
        <f>SUMIFS(TablaConsumos[[CANTIDAD ]:[CANTIDAD ]],TablaConsumos[[CÓDIGO]:[CÓDIGO]],'Inventario '!$B202,TablaConsumos[[Planta]:[Planta]],'Inventario '!J$1)</f>
        <v>0</v>
      </c>
      <c r="K202" s="131">
        <f>SUMIFS(TablaConsumos[[CANTIDAD ]:[CANTIDAD ]],TablaConsumos[[CÓDIGO]:[CÓDIGO]],'Inventario '!$B202,TablaConsumos[[Planta]:[Planta]],'Inventario '!K$1)</f>
        <v>0</v>
      </c>
      <c r="L202" s="131">
        <f>SUMIFS(TablaConsumos[[CANTIDAD ]:[CANTIDAD ]],TablaConsumos[[CÓDIGO]:[CÓDIGO]],'Inventario '!$B202,TablaConsumos[[Planta]:[Planta]],'Inventario '!L$1)</f>
        <v>0</v>
      </c>
      <c r="M202" s="131">
        <f>SUMIFS(TablaConsumos[[CANTIDAD ]:[CANTIDAD ]],TablaConsumos[[CÓDIGO]:[CÓDIGO]],'Inventario '!$B202,TablaConsumos[[Planta]:[Planta]],'Inventario '!M$1)</f>
        <v>0</v>
      </c>
      <c r="N202" s="131">
        <f>SUMIFS(TablaConsumos[[CANTIDAD ]:[CANTIDAD ]],TablaConsumos[[CÓDIGO]:[CÓDIGO]],'Inventario '!$B202,TablaConsumos[[Planta]:[Planta]],'Inventario '!N$1)</f>
        <v>0</v>
      </c>
      <c r="O202" s="131">
        <f>SUMIFS(TablaConsumos[[CANTIDAD ]:[CANTIDAD ]],TablaConsumos[[CÓDIGO]:[CÓDIGO]],'Inventario '!$B202,TablaConsumos[[Planta]:[Planta]],'Inventario '!O$1)</f>
        <v>0</v>
      </c>
      <c r="P202" s="131">
        <f>SUMIFS(TablaConsumos[[CANTIDAD ]:[CANTIDAD ]],TablaConsumos[[CÓDIGO]:[CÓDIGO]],'Inventario '!$B202,TablaConsumos[[Planta]:[Planta]],'Inventario '!P$1)</f>
        <v>0</v>
      </c>
      <c r="Q202" s="131">
        <f>SUMIFS(TablaConsumos[[CANTIDAD ]:[CANTIDAD ]],TablaConsumos[[CÓDIGO]:[CÓDIGO]],'Inventario '!$B202,TablaConsumos[[Planta]:[Planta]],'Inventario '!Q$1)</f>
        <v>0</v>
      </c>
      <c r="R202" s="131">
        <f>SUMIFS(TablaConsumos[[CANTIDAD ]:[CANTIDAD ]],TablaConsumos[[CÓDIGO]:[CÓDIGO]],'Inventario '!$B202,TablaConsumos[[Planta]:[Planta]],'Inventario '!R$1)</f>
        <v>0</v>
      </c>
      <c r="S202" s="130">
        <f t="shared" si="168"/>
        <v>0</v>
      </c>
      <c r="T202" s="130">
        <f t="shared" si="171"/>
        <v>0</v>
      </c>
      <c r="U202" s="177"/>
      <c r="V202" s="132"/>
      <c r="W202" s="179">
        <v>30.48</v>
      </c>
      <c r="X202" s="133">
        <f t="shared" si="143"/>
        <v>0</v>
      </c>
      <c r="Y202" s="130">
        <f t="shared" si="181"/>
        <v>0</v>
      </c>
      <c r="Z202" s="132"/>
      <c r="AA202" s="132">
        <f t="shared" si="182"/>
        <v>0</v>
      </c>
      <c r="AB202" s="132"/>
      <c r="AC202" s="131">
        <f t="shared" si="183"/>
        <v>0</v>
      </c>
      <c r="AD202" s="131"/>
      <c r="AE202" s="132" t="s">
        <v>612</v>
      </c>
      <c r="AF202" s="132">
        <v>3048</v>
      </c>
      <c r="AG202" s="168"/>
      <c r="AH202" s="134">
        <f t="shared" si="184"/>
        <v>0</v>
      </c>
      <c r="AI202" s="134">
        <f t="shared" si="185"/>
        <v>0</v>
      </c>
      <c r="AJ202" s="134">
        <f t="shared" si="186"/>
        <v>0</v>
      </c>
      <c r="AK202" s="134">
        <f t="shared" si="187"/>
        <v>0</v>
      </c>
      <c r="AL202" s="134">
        <f t="shared" si="188"/>
        <v>0</v>
      </c>
      <c r="AM202" s="134">
        <f t="shared" si="189"/>
        <v>0</v>
      </c>
      <c r="AN202" s="134">
        <f t="shared" si="190"/>
        <v>0</v>
      </c>
      <c r="AO202" s="134">
        <f t="shared" si="191"/>
        <v>0</v>
      </c>
      <c r="AP202" s="134">
        <f t="shared" si="192"/>
        <v>0</v>
      </c>
      <c r="AQ202" s="134">
        <f t="shared" si="193"/>
        <v>0</v>
      </c>
      <c r="AR202" s="134">
        <f t="shared" si="194"/>
        <v>0</v>
      </c>
      <c r="AS202" s="135">
        <f t="shared" si="169"/>
        <v>0</v>
      </c>
      <c r="AT202" s="137" t="str">
        <f t="shared" si="195"/>
        <v>0</v>
      </c>
      <c r="AU202" s="137" t="str">
        <f t="shared" si="196"/>
        <v>0</v>
      </c>
      <c r="AV202" s="137" t="str">
        <f t="shared" si="197"/>
        <v>0</v>
      </c>
      <c r="AW202" s="137" t="str">
        <f t="shared" si="198"/>
        <v>0</v>
      </c>
      <c r="AX202" s="137" t="str">
        <f t="shared" si="199"/>
        <v>0</v>
      </c>
      <c r="AY202" s="137" t="str">
        <f t="shared" si="200"/>
        <v>0</v>
      </c>
      <c r="AZ202" s="137" t="str">
        <f t="shared" si="201"/>
        <v>0</v>
      </c>
      <c r="BA202" s="137" t="str">
        <f t="shared" si="202"/>
        <v>0</v>
      </c>
      <c r="BB202" s="137" t="str">
        <f t="shared" si="203"/>
        <v>0</v>
      </c>
      <c r="BC202" s="137" t="str">
        <f t="shared" si="204"/>
        <v>0</v>
      </c>
      <c r="BD202" s="131">
        <f t="shared" si="170"/>
        <v>0</v>
      </c>
    </row>
    <row r="203" spans="2:56" x14ac:dyDescent="0.25">
      <c r="B203" s="136">
        <v>8205009</v>
      </c>
      <c r="C203" s="128" t="s">
        <v>30</v>
      </c>
      <c r="D203" s="128"/>
      <c r="E203" s="136" t="s">
        <v>278</v>
      </c>
      <c r="F203" s="274"/>
      <c r="G203" s="130">
        <f>+SUMIFS(TablaIngresos[Cantidad],TablaIngresos[Código],'Inventario '!B203)</f>
        <v>0</v>
      </c>
      <c r="H203" s="130">
        <f t="shared" si="178"/>
        <v>0</v>
      </c>
      <c r="I203" s="131">
        <f>SUMIFS(TablaConsumos[[CANTIDAD ]:[CANTIDAD ]],TablaConsumos[[CÓDIGO]:[CÓDIGO]],'Inventario '!$B203,TablaConsumos[[Planta]:[Planta]],'Inventario '!I$1)</f>
        <v>0</v>
      </c>
      <c r="J203" s="131">
        <f>SUMIFS(TablaConsumos[[CANTIDAD ]:[CANTIDAD ]],TablaConsumos[[CÓDIGO]:[CÓDIGO]],'Inventario '!$B203,TablaConsumos[[Planta]:[Planta]],'Inventario '!J$1)</f>
        <v>0</v>
      </c>
      <c r="K203" s="131">
        <f>SUMIFS(TablaConsumos[[CANTIDAD ]:[CANTIDAD ]],TablaConsumos[[CÓDIGO]:[CÓDIGO]],'Inventario '!$B203,TablaConsumos[[Planta]:[Planta]],'Inventario '!K$1)</f>
        <v>0</v>
      </c>
      <c r="L203" s="131">
        <f>SUMIFS(TablaConsumos[[CANTIDAD ]:[CANTIDAD ]],TablaConsumos[[CÓDIGO]:[CÓDIGO]],'Inventario '!$B203,TablaConsumos[[Planta]:[Planta]],'Inventario '!L$1)</f>
        <v>0</v>
      </c>
      <c r="M203" s="131">
        <f>SUMIFS(TablaConsumos[[CANTIDAD ]:[CANTIDAD ]],TablaConsumos[[CÓDIGO]:[CÓDIGO]],'Inventario '!$B203,TablaConsumos[[Planta]:[Planta]],'Inventario '!M$1)</f>
        <v>0</v>
      </c>
      <c r="N203" s="131">
        <f>SUMIFS(TablaConsumos[[CANTIDAD ]:[CANTIDAD ]],TablaConsumos[[CÓDIGO]:[CÓDIGO]],'Inventario '!$B203,TablaConsumos[[Planta]:[Planta]],'Inventario '!N$1)</f>
        <v>0</v>
      </c>
      <c r="O203" s="131">
        <f>SUMIFS(TablaConsumos[[CANTIDAD ]:[CANTIDAD ]],TablaConsumos[[CÓDIGO]:[CÓDIGO]],'Inventario '!$B203,TablaConsumos[[Planta]:[Planta]],'Inventario '!O$1)</f>
        <v>0</v>
      </c>
      <c r="P203" s="131">
        <f>SUMIFS(TablaConsumos[[CANTIDAD ]:[CANTIDAD ]],TablaConsumos[[CÓDIGO]:[CÓDIGO]],'Inventario '!$B203,TablaConsumos[[Planta]:[Planta]],'Inventario '!P$1)</f>
        <v>0</v>
      </c>
      <c r="Q203" s="131">
        <f>SUMIFS(TablaConsumos[[CANTIDAD ]:[CANTIDAD ]],TablaConsumos[[CÓDIGO]:[CÓDIGO]],'Inventario '!$B203,TablaConsumos[[Planta]:[Planta]],'Inventario '!Q$1)</f>
        <v>0</v>
      </c>
      <c r="R203" s="131">
        <f>SUMIFS(TablaConsumos[[CANTIDAD ]:[CANTIDAD ]],TablaConsumos[[CÓDIGO]:[CÓDIGO]],'Inventario '!$B203,TablaConsumos[[Planta]:[Planta]],'Inventario '!R$1)</f>
        <v>0</v>
      </c>
      <c r="S203" s="130">
        <f t="shared" si="168"/>
        <v>0</v>
      </c>
      <c r="T203" s="130">
        <f t="shared" si="171"/>
        <v>0</v>
      </c>
      <c r="U203" s="177"/>
      <c r="V203" s="132"/>
      <c r="W203" s="179">
        <v>30.48</v>
      </c>
      <c r="X203" s="133">
        <f t="shared" si="143"/>
        <v>0</v>
      </c>
      <c r="Y203" s="130">
        <f t="shared" si="181"/>
        <v>0</v>
      </c>
      <c r="Z203" s="132"/>
      <c r="AA203" s="132">
        <f t="shared" si="182"/>
        <v>0</v>
      </c>
      <c r="AB203" s="132"/>
      <c r="AC203" s="131">
        <f t="shared" si="183"/>
        <v>0</v>
      </c>
      <c r="AD203" s="131"/>
      <c r="AE203" s="132" t="s">
        <v>612</v>
      </c>
      <c r="AF203" s="132">
        <v>3048</v>
      </c>
      <c r="AG203" s="168"/>
      <c r="AH203" s="134">
        <f t="shared" si="184"/>
        <v>0</v>
      </c>
      <c r="AI203" s="134">
        <f t="shared" si="185"/>
        <v>0</v>
      </c>
      <c r="AJ203" s="134">
        <f t="shared" si="186"/>
        <v>0</v>
      </c>
      <c r="AK203" s="134">
        <f t="shared" si="187"/>
        <v>0</v>
      </c>
      <c r="AL203" s="134">
        <f t="shared" si="188"/>
        <v>0</v>
      </c>
      <c r="AM203" s="134">
        <f t="shared" si="189"/>
        <v>0</v>
      </c>
      <c r="AN203" s="134">
        <f t="shared" si="190"/>
        <v>0</v>
      </c>
      <c r="AO203" s="134">
        <f t="shared" si="191"/>
        <v>0</v>
      </c>
      <c r="AP203" s="134">
        <f t="shared" si="192"/>
        <v>0</v>
      </c>
      <c r="AQ203" s="134">
        <f t="shared" si="193"/>
        <v>0</v>
      </c>
      <c r="AR203" s="134">
        <f t="shared" si="194"/>
        <v>0</v>
      </c>
      <c r="AS203" s="135">
        <f t="shared" si="169"/>
        <v>0</v>
      </c>
      <c r="AT203" s="137" t="str">
        <f t="shared" si="195"/>
        <v>0</v>
      </c>
      <c r="AU203" s="137" t="str">
        <f t="shared" si="196"/>
        <v>0</v>
      </c>
      <c r="AV203" s="137" t="str">
        <f t="shared" si="197"/>
        <v>0</v>
      </c>
      <c r="AW203" s="137" t="str">
        <f t="shared" si="198"/>
        <v>0</v>
      </c>
      <c r="AX203" s="137" t="str">
        <f t="shared" si="199"/>
        <v>0</v>
      </c>
      <c r="AY203" s="137" t="str">
        <f t="shared" si="200"/>
        <v>0</v>
      </c>
      <c r="AZ203" s="137" t="str">
        <f t="shared" si="201"/>
        <v>0</v>
      </c>
      <c r="BA203" s="137" t="str">
        <f t="shared" si="202"/>
        <v>0</v>
      </c>
      <c r="BB203" s="137" t="str">
        <f t="shared" si="203"/>
        <v>0</v>
      </c>
      <c r="BC203" s="137" t="str">
        <f t="shared" si="204"/>
        <v>0</v>
      </c>
      <c r="BD203" s="131">
        <f t="shared" si="170"/>
        <v>0</v>
      </c>
    </row>
    <row r="204" spans="2:56" x14ac:dyDescent="0.25">
      <c r="B204" s="136">
        <v>8205010</v>
      </c>
      <c r="C204" s="128" t="s">
        <v>30</v>
      </c>
      <c r="D204" s="128"/>
      <c r="E204" s="136" t="s">
        <v>279</v>
      </c>
      <c r="F204" s="274"/>
      <c r="G204" s="130">
        <f>+SUMIFS(TablaIngresos[Cantidad],TablaIngresos[Código],'Inventario '!B204)</f>
        <v>0</v>
      </c>
      <c r="H204" s="130">
        <f t="shared" si="178"/>
        <v>0</v>
      </c>
      <c r="I204" s="131">
        <f>SUMIFS(TablaConsumos[[CANTIDAD ]:[CANTIDAD ]],TablaConsumos[[CÓDIGO]:[CÓDIGO]],'Inventario '!$B204,TablaConsumos[[Planta]:[Planta]],'Inventario '!I$1)</f>
        <v>0</v>
      </c>
      <c r="J204" s="131">
        <f>SUMIFS(TablaConsumos[[CANTIDAD ]:[CANTIDAD ]],TablaConsumos[[CÓDIGO]:[CÓDIGO]],'Inventario '!$B204,TablaConsumos[[Planta]:[Planta]],'Inventario '!J$1)</f>
        <v>0</v>
      </c>
      <c r="K204" s="131">
        <f>SUMIFS(TablaConsumos[[CANTIDAD ]:[CANTIDAD ]],TablaConsumos[[CÓDIGO]:[CÓDIGO]],'Inventario '!$B204,TablaConsumos[[Planta]:[Planta]],'Inventario '!K$1)</f>
        <v>0</v>
      </c>
      <c r="L204" s="131">
        <f>SUMIFS(TablaConsumos[[CANTIDAD ]:[CANTIDAD ]],TablaConsumos[[CÓDIGO]:[CÓDIGO]],'Inventario '!$B204,TablaConsumos[[Planta]:[Planta]],'Inventario '!L$1)</f>
        <v>0</v>
      </c>
      <c r="M204" s="131">
        <f>SUMIFS(TablaConsumos[[CANTIDAD ]:[CANTIDAD ]],TablaConsumos[[CÓDIGO]:[CÓDIGO]],'Inventario '!$B204,TablaConsumos[[Planta]:[Planta]],'Inventario '!M$1)</f>
        <v>0</v>
      </c>
      <c r="N204" s="131">
        <f>SUMIFS(TablaConsumos[[CANTIDAD ]:[CANTIDAD ]],TablaConsumos[[CÓDIGO]:[CÓDIGO]],'Inventario '!$B204,TablaConsumos[[Planta]:[Planta]],'Inventario '!N$1)</f>
        <v>0</v>
      </c>
      <c r="O204" s="131">
        <f>SUMIFS(TablaConsumos[[CANTIDAD ]:[CANTIDAD ]],TablaConsumos[[CÓDIGO]:[CÓDIGO]],'Inventario '!$B204,TablaConsumos[[Planta]:[Planta]],'Inventario '!O$1)</f>
        <v>0</v>
      </c>
      <c r="P204" s="131">
        <f>SUMIFS(TablaConsumos[[CANTIDAD ]:[CANTIDAD ]],TablaConsumos[[CÓDIGO]:[CÓDIGO]],'Inventario '!$B204,TablaConsumos[[Planta]:[Planta]],'Inventario '!P$1)</f>
        <v>0</v>
      </c>
      <c r="Q204" s="131">
        <f>SUMIFS(TablaConsumos[[CANTIDAD ]:[CANTIDAD ]],TablaConsumos[[CÓDIGO]:[CÓDIGO]],'Inventario '!$B204,TablaConsumos[[Planta]:[Planta]],'Inventario '!Q$1)</f>
        <v>0</v>
      </c>
      <c r="R204" s="131">
        <f>SUMIFS(TablaConsumos[[CANTIDAD ]:[CANTIDAD ]],TablaConsumos[[CÓDIGO]:[CÓDIGO]],'Inventario '!$B204,TablaConsumos[[Planta]:[Planta]],'Inventario '!R$1)</f>
        <v>0</v>
      </c>
      <c r="S204" s="130">
        <f t="shared" si="168"/>
        <v>0</v>
      </c>
      <c r="T204" s="130">
        <f t="shared" si="171"/>
        <v>0</v>
      </c>
      <c r="U204" s="177"/>
      <c r="V204" s="132"/>
      <c r="W204" s="179">
        <v>30.48</v>
      </c>
      <c r="X204" s="133">
        <f t="shared" si="143"/>
        <v>0</v>
      </c>
      <c r="Y204" s="130">
        <f t="shared" si="181"/>
        <v>0</v>
      </c>
      <c r="Z204" s="132"/>
      <c r="AA204" s="132">
        <f t="shared" si="182"/>
        <v>0</v>
      </c>
      <c r="AB204" s="132"/>
      <c r="AC204" s="131">
        <f t="shared" si="183"/>
        <v>0</v>
      </c>
      <c r="AD204" s="131"/>
      <c r="AE204" s="132" t="s">
        <v>612</v>
      </c>
      <c r="AF204" s="132">
        <v>3048</v>
      </c>
      <c r="AG204" s="168"/>
      <c r="AH204" s="134">
        <f t="shared" si="184"/>
        <v>0</v>
      </c>
      <c r="AI204" s="134">
        <f t="shared" si="185"/>
        <v>0</v>
      </c>
      <c r="AJ204" s="134">
        <f t="shared" si="186"/>
        <v>0</v>
      </c>
      <c r="AK204" s="134">
        <f t="shared" si="187"/>
        <v>0</v>
      </c>
      <c r="AL204" s="134">
        <f t="shared" si="188"/>
        <v>0</v>
      </c>
      <c r="AM204" s="134">
        <f t="shared" si="189"/>
        <v>0</v>
      </c>
      <c r="AN204" s="134">
        <f t="shared" si="190"/>
        <v>0</v>
      </c>
      <c r="AO204" s="134">
        <f t="shared" si="191"/>
        <v>0</v>
      </c>
      <c r="AP204" s="134">
        <f t="shared" si="192"/>
        <v>0</v>
      </c>
      <c r="AQ204" s="134">
        <f t="shared" si="193"/>
        <v>0</v>
      </c>
      <c r="AR204" s="134">
        <f t="shared" si="194"/>
        <v>0</v>
      </c>
      <c r="AS204" s="135">
        <f t="shared" si="169"/>
        <v>0</v>
      </c>
      <c r="AT204" s="137" t="str">
        <f t="shared" si="195"/>
        <v>0</v>
      </c>
      <c r="AU204" s="137" t="str">
        <f t="shared" si="196"/>
        <v>0</v>
      </c>
      <c r="AV204" s="137" t="str">
        <f t="shared" si="197"/>
        <v>0</v>
      </c>
      <c r="AW204" s="137" t="str">
        <f t="shared" si="198"/>
        <v>0</v>
      </c>
      <c r="AX204" s="137" t="str">
        <f t="shared" si="199"/>
        <v>0</v>
      </c>
      <c r="AY204" s="137" t="str">
        <f t="shared" si="200"/>
        <v>0</v>
      </c>
      <c r="AZ204" s="137" t="str">
        <f t="shared" si="201"/>
        <v>0</v>
      </c>
      <c r="BA204" s="137" t="str">
        <f t="shared" si="202"/>
        <v>0</v>
      </c>
      <c r="BB204" s="137" t="str">
        <f t="shared" si="203"/>
        <v>0</v>
      </c>
      <c r="BC204" s="137" t="str">
        <f t="shared" si="204"/>
        <v>0</v>
      </c>
      <c r="BD204" s="131">
        <f t="shared" si="170"/>
        <v>0</v>
      </c>
    </row>
    <row r="205" spans="2:56" x14ac:dyDescent="0.25">
      <c r="B205" s="136">
        <v>8205011</v>
      </c>
      <c r="C205" s="128" t="s">
        <v>30</v>
      </c>
      <c r="D205" s="128"/>
      <c r="E205" s="136" t="s">
        <v>280</v>
      </c>
      <c r="F205" s="274"/>
      <c r="G205" s="130">
        <f>+SUMIFS(TablaIngresos[Cantidad],TablaIngresos[Código],'Inventario '!B205)</f>
        <v>0</v>
      </c>
      <c r="H205" s="130">
        <f t="shared" si="178"/>
        <v>0</v>
      </c>
      <c r="I205" s="131">
        <f>SUMIFS(TablaConsumos[[CANTIDAD ]:[CANTIDAD ]],TablaConsumos[[CÓDIGO]:[CÓDIGO]],'Inventario '!$B205,TablaConsumos[[Planta]:[Planta]],'Inventario '!I$1)</f>
        <v>0</v>
      </c>
      <c r="J205" s="131">
        <f>SUMIFS(TablaConsumos[[CANTIDAD ]:[CANTIDAD ]],TablaConsumos[[CÓDIGO]:[CÓDIGO]],'Inventario '!$B205,TablaConsumos[[Planta]:[Planta]],'Inventario '!J$1)</f>
        <v>0</v>
      </c>
      <c r="K205" s="131">
        <f>SUMIFS(TablaConsumos[[CANTIDAD ]:[CANTIDAD ]],TablaConsumos[[CÓDIGO]:[CÓDIGO]],'Inventario '!$B205,TablaConsumos[[Planta]:[Planta]],'Inventario '!K$1)</f>
        <v>0</v>
      </c>
      <c r="L205" s="131">
        <f>SUMIFS(TablaConsumos[[CANTIDAD ]:[CANTIDAD ]],TablaConsumos[[CÓDIGO]:[CÓDIGO]],'Inventario '!$B205,TablaConsumos[[Planta]:[Planta]],'Inventario '!L$1)</f>
        <v>0</v>
      </c>
      <c r="M205" s="131">
        <f>SUMIFS(TablaConsumos[[CANTIDAD ]:[CANTIDAD ]],TablaConsumos[[CÓDIGO]:[CÓDIGO]],'Inventario '!$B205,TablaConsumos[[Planta]:[Planta]],'Inventario '!M$1)</f>
        <v>0</v>
      </c>
      <c r="N205" s="131">
        <f>SUMIFS(TablaConsumos[[CANTIDAD ]:[CANTIDAD ]],TablaConsumos[[CÓDIGO]:[CÓDIGO]],'Inventario '!$B205,TablaConsumos[[Planta]:[Planta]],'Inventario '!N$1)</f>
        <v>0</v>
      </c>
      <c r="O205" s="131">
        <f>SUMIFS(TablaConsumos[[CANTIDAD ]:[CANTIDAD ]],TablaConsumos[[CÓDIGO]:[CÓDIGO]],'Inventario '!$B205,TablaConsumos[[Planta]:[Planta]],'Inventario '!O$1)</f>
        <v>0</v>
      </c>
      <c r="P205" s="131">
        <f>SUMIFS(TablaConsumos[[CANTIDAD ]:[CANTIDAD ]],TablaConsumos[[CÓDIGO]:[CÓDIGO]],'Inventario '!$B205,TablaConsumos[[Planta]:[Planta]],'Inventario '!P$1)</f>
        <v>0</v>
      </c>
      <c r="Q205" s="131">
        <f>SUMIFS(TablaConsumos[[CANTIDAD ]:[CANTIDAD ]],TablaConsumos[[CÓDIGO]:[CÓDIGO]],'Inventario '!$B205,TablaConsumos[[Planta]:[Planta]],'Inventario '!Q$1)</f>
        <v>0</v>
      </c>
      <c r="R205" s="131">
        <f>SUMIFS(TablaConsumos[[CANTIDAD ]:[CANTIDAD ]],TablaConsumos[[CÓDIGO]:[CÓDIGO]],'Inventario '!$B205,TablaConsumos[[Planta]:[Planta]],'Inventario '!R$1)</f>
        <v>0</v>
      </c>
      <c r="S205" s="130">
        <f t="shared" si="168"/>
        <v>0</v>
      </c>
      <c r="T205" s="130">
        <f t="shared" si="171"/>
        <v>0</v>
      </c>
      <c r="U205" s="177"/>
      <c r="V205" s="132"/>
      <c r="W205" s="179">
        <v>30.48</v>
      </c>
      <c r="X205" s="133">
        <f t="shared" si="143"/>
        <v>0</v>
      </c>
      <c r="Y205" s="130">
        <f t="shared" si="181"/>
        <v>0</v>
      </c>
      <c r="Z205" s="132"/>
      <c r="AA205" s="132">
        <f t="shared" si="182"/>
        <v>0</v>
      </c>
      <c r="AB205" s="132"/>
      <c r="AC205" s="131">
        <f t="shared" si="183"/>
        <v>0</v>
      </c>
      <c r="AD205" s="131"/>
      <c r="AE205" s="132" t="s">
        <v>612</v>
      </c>
      <c r="AF205" s="132">
        <v>3048</v>
      </c>
      <c r="AG205" s="168"/>
      <c r="AH205" s="134">
        <f t="shared" si="184"/>
        <v>0</v>
      </c>
      <c r="AI205" s="134">
        <f t="shared" si="185"/>
        <v>0</v>
      </c>
      <c r="AJ205" s="134">
        <f t="shared" si="186"/>
        <v>0</v>
      </c>
      <c r="AK205" s="134">
        <f t="shared" si="187"/>
        <v>0</v>
      </c>
      <c r="AL205" s="134">
        <f t="shared" si="188"/>
        <v>0</v>
      </c>
      <c r="AM205" s="134">
        <f t="shared" si="189"/>
        <v>0</v>
      </c>
      <c r="AN205" s="134">
        <f t="shared" si="190"/>
        <v>0</v>
      </c>
      <c r="AO205" s="134">
        <f t="shared" si="191"/>
        <v>0</v>
      </c>
      <c r="AP205" s="134">
        <f t="shared" si="192"/>
        <v>0</v>
      </c>
      <c r="AQ205" s="134">
        <f t="shared" si="193"/>
        <v>0</v>
      </c>
      <c r="AR205" s="134">
        <f t="shared" si="194"/>
        <v>0</v>
      </c>
      <c r="AS205" s="135">
        <f t="shared" si="169"/>
        <v>0</v>
      </c>
      <c r="AT205" s="137" t="str">
        <f t="shared" si="195"/>
        <v>0</v>
      </c>
      <c r="AU205" s="137" t="str">
        <f t="shared" si="196"/>
        <v>0</v>
      </c>
      <c r="AV205" s="137" t="str">
        <f t="shared" si="197"/>
        <v>0</v>
      </c>
      <c r="AW205" s="137" t="str">
        <f t="shared" si="198"/>
        <v>0</v>
      </c>
      <c r="AX205" s="137" t="str">
        <f t="shared" si="199"/>
        <v>0</v>
      </c>
      <c r="AY205" s="137" t="str">
        <f t="shared" si="200"/>
        <v>0</v>
      </c>
      <c r="AZ205" s="137" t="str">
        <f t="shared" si="201"/>
        <v>0</v>
      </c>
      <c r="BA205" s="137" t="str">
        <f t="shared" si="202"/>
        <v>0</v>
      </c>
      <c r="BB205" s="137" t="str">
        <f t="shared" si="203"/>
        <v>0</v>
      </c>
      <c r="BC205" s="137" t="str">
        <f t="shared" si="204"/>
        <v>0</v>
      </c>
      <c r="BD205" s="131">
        <f t="shared" si="170"/>
        <v>0</v>
      </c>
    </row>
    <row r="206" spans="2:56" x14ac:dyDescent="0.25">
      <c r="B206" s="136">
        <v>8205012</v>
      </c>
      <c r="C206" s="128" t="s">
        <v>30</v>
      </c>
      <c r="D206" s="128"/>
      <c r="E206" s="136" t="s">
        <v>281</v>
      </c>
      <c r="F206" s="274"/>
      <c r="G206" s="130">
        <f>+SUMIFS(TablaIngresos[Cantidad],TablaIngresos[Código],'Inventario '!B206)</f>
        <v>0</v>
      </c>
      <c r="H206" s="130">
        <f t="shared" si="178"/>
        <v>0</v>
      </c>
      <c r="I206" s="131">
        <f>SUMIFS(TablaConsumos[[CANTIDAD ]:[CANTIDAD ]],TablaConsumos[[CÓDIGO]:[CÓDIGO]],'Inventario '!$B206,TablaConsumos[[Planta]:[Planta]],'Inventario '!I$1)</f>
        <v>0</v>
      </c>
      <c r="J206" s="131">
        <f>SUMIFS(TablaConsumos[[CANTIDAD ]:[CANTIDAD ]],TablaConsumos[[CÓDIGO]:[CÓDIGO]],'Inventario '!$B206,TablaConsumos[[Planta]:[Planta]],'Inventario '!J$1)</f>
        <v>0</v>
      </c>
      <c r="K206" s="131">
        <f>SUMIFS(TablaConsumos[[CANTIDAD ]:[CANTIDAD ]],TablaConsumos[[CÓDIGO]:[CÓDIGO]],'Inventario '!$B206,TablaConsumos[[Planta]:[Planta]],'Inventario '!K$1)</f>
        <v>0</v>
      </c>
      <c r="L206" s="131">
        <f>SUMIFS(TablaConsumos[[CANTIDAD ]:[CANTIDAD ]],TablaConsumos[[CÓDIGO]:[CÓDIGO]],'Inventario '!$B206,TablaConsumos[[Planta]:[Planta]],'Inventario '!L$1)</f>
        <v>0</v>
      </c>
      <c r="M206" s="131">
        <f>SUMIFS(TablaConsumos[[CANTIDAD ]:[CANTIDAD ]],TablaConsumos[[CÓDIGO]:[CÓDIGO]],'Inventario '!$B206,TablaConsumos[[Planta]:[Planta]],'Inventario '!M$1)</f>
        <v>0</v>
      </c>
      <c r="N206" s="131">
        <f>SUMIFS(TablaConsumos[[CANTIDAD ]:[CANTIDAD ]],TablaConsumos[[CÓDIGO]:[CÓDIGO]],'Inventario '!$B206,TablaConsumos[[Planta]:[Planta]],'Inventario '!N$1)</f>
        <v>0</v>
      </c>
      <c r="O206" s="131">
        <f>SUMIFS(TablaConsumos[[CANTIDAD ]:[CANTIDAD ]],TablaConsumos[[CÓDIGO]:[CÓDIGO]],'Inventario '!$B206,TablaConsumos[[Planta]:[Planta]],'Inventario '!O$1)</f>
        <v>0</v>
      </c>
      <c r="P206" s="131">
        <f>SUMIFS(TablaConsumos[[CANTIDAD ]:[CANTIDAD ]],TablaConsumos[[CÓDIGO]:[CÓDIGO]],'Inventario '!$B206,TablaConsumos[[Planta]:[Planta]],'Inventario '!P$1)</f>
        <v>0</v>
      </c>
      <c r="Q206" s="131">
        <f>SUMIFS(TablaConsumos[[CANTIDAD ]:[CANTIDAD ]],TablaConsumos[[CÓDIGO]:[CÓDIGO]],'Inventario '!$B206,TablaConsumos[[Planta]:[Planta]],'Inventario '!Q$1)</f>
        <v>0</v>
      </c>
      <c r="R206" s="131">
        <f>SUMIFS(TablaConsumos[[CANTIDAD ]:[CANTIDAD ]],TablaConsumos[[CÓDIGO]:[CÓDIGO]],'Inventario '!$B206,TablaConsumos[[Planta]:[Planta]],'Inventario '!R$1)</f>
        <v>0</v>
      </c>
      <c r="S206" s="130">
        <f t="shared" si="168"/>
        <v>0</v>
      </c>
      <c r="T206" s="130">
        <f t="shared" si="171"/>
        <v>0</v>
      </c>
      <c r="U206" s="177"/>
      <c r="V206" s="132"/>
      <c r="W206" s="179">
        <v>30.48</v>
      </c>
      <c r="X206" s="133">
        <f t="shared" si="143"/>
        <v>0</v>
      </c>
      <c r="Y206" s="130">
        <f t="shared" si="181"/>
        <v>0</v>
      </c>
      <c r="Z206" s="132"/>
      <c r="AA206" s="132">
        <f t="shared" si="182"/>
        <v>0</v>
      </c>
      <c r="AB206" s="132"/>
      <c r="AC206" s="131">
        <f t="shared" si="183"/>
        <v>0</v>
      </c>
      <c r="AD206" s="131"/>
      <c r="AE206" s="132" t="s">
        <v>612</v>
      </c>
      <c r="AF206" s="132">
        <v>3048</v>
      </c>
      <c r="AG206" s="168"/>
      <c r="AH206" s="134">
        <f t="shared" si="184"/>
        <v>0</v>
      </c>
      <c r="AI206" s="134">
        <f t="shared" si="185"/>
        <v>0</v>
      </c>
      <c r="AJ206" s="134">
        <f t="shared" si="186"/>
        <v>0</v>
      </c>
      <c r="AK206" s="134">
        <f t="shared" si="187"/>
        <v>0</v>
      </c>
      <c r="AL206" s="134">
        <f t="shared" si="188"/>
        <v>0</v>
      </c>
      <c r="AM206" s="134">
        <f t="shared" si="189"/>
        <v>0</v>
      </c>
      <c r="AN206" s="134">
        <f t="shared" si="190"/>
        <v>0</v>
      </c>
      <c r="AO206" s="134">
        <f t="shared" si="191"/>
        <v>0</v>
      </c>
      <c r="AP206" s="134">
        <f t="shared" si="192"/>
        <v>0</v>
      </c>
      <c r="AQ206" s="134">
        <f t="shared" si="193"/>
        <v>0</v>
      </c>
      <c r="AR206" s="134">
        <f t="shared" si="194"/>
        <v>0</v>
      </c>
      <c r="AS206" s="135">
        <f t="shared" si="169"/>
        <v>0</v>
      </c>
      <c r="AT206" s="137" t="str">
        <f t="shared" si="195"/>
        <v>0</v>
      </c>
      <c r="AU206" s="137" t="str">
        <f t="shared" si="196"/>
        <v>0</v>
      </c>
      <c r="AV206" s="137" t="str">
        <f t="shared" si="197"/>
        <v>0</v>
      </c>
      <c r="AW206" s="137" t="str">
        <f t="shared" si="198"/>
        <v>0</v>
      </c>
      <c r="AX206" s="137" t="str">
        <f t="shared" si="199"/>
        <v>0</v>
      </c>
      <c r="AY206" s="137" t="str">
        <f t="shared" si="200"/>
        <v>0</v>
      </c>
      <c r="AZ206" s="137" t="str">
        <f t="shared" si="201"/>
        <v>0</v>
      </c>
      <c r="BA206" s="137" t="str">
        <f t="shared" si="202"/>
        <v>0</v>
      </c>
      <c r="BB206" s="137" t="str">
        <f t="shared" si="203"/>
        <v>0</v>
      </c>
      <c r="BC206" s="137" t="str">
        <f t="shared" si="204"/>
        <v>0</v>
      </c>
      <c r="BD206" s="131">
        <f t="shared" si="170"/>
        <v>0</v>
      </c>
    </row>
    <row r="207" spans="2:56" x14ac:dyDescent="0.25">
      <c r="B207" s="136">
        <v>8205013</v>
      </c>
      <c r="C207" s="128" t="s">
        <v>30</v>
      </c>
      <c r="D207" s="128"/>
      <c r="E207" s="136" t="s">
        <v>282</v>
      </c>
      <c r="F207" s="274"/>
      <c r="G207" s="130">
        <f>+SUMIFS(TablaIngresos[Cantidad],TablaIngresos[Código],'Inventario '!B207)</f>
        <v>0</v>
      </c>
      <c r="H207" s="130">
        <f t="shared" si="178"/>
        <v>0</v>
      </c>
      <c r="I207" s="131">
        <f>SUMIFS(TablaConsumos[[CANTIDAD ]:[CANTIDAD ]],TablaConsumos[[CÓDIGO]:[CÓDIGO]],'Inventario '!$B207,TablaConsumos[[Planta]:[Planta]],'Inventario '!I$1)</f>
        <v>0</v>
      </c>
      <c r="J207" s="131">
        <f>SUMIFS(TablaConsumos[[CANTIDAD ]:[CANTIDAD ]],TablaConsumos[[CÓDIGO]:[CÓDIGO]],'Inventario '!$B207,TablaConsumos[[Planta]:[Planta]],'Inventario '!J$1)</f>
        <v>0</v>
      </c>
      <c r="K207" s="131">
        <f>SUMIFS(TablaConsumos[[CANTIDAD ]:[CANTIDAD ]],TablaConsumos[[CÓDIGO]:[CÓDIGO]],'Inventario '!$B207,TablaConsumos[[Planta]:[Planta]],'Inventario '!K$1)</f>
        <v>0</v>
      </c>
      <c r="L207" s="131">
        <f>SUMIFS(TablaConsumos[[CANTIDAD ]:[CANTIDAD ]],TablaConsumos[[CÓDIGO]:[CÓDIGO]],'Inventario '!$B207,TablaConsumos[[Planta]:[Planta]],'Inventario '!L$1)</f>
        <v>0</v>
      </c>
      <c r="M207" s="131">
        <f>SUMIFS(TablaConsumos[[CANTIDAD ]:[CANTIDAD ]],TablaConsumos[[CÓDIGO]:[CÓDIGO]],'Inventario '!$B207,TablaConsumos[[Planta]:[Planta]],'Inventario '!M$1)</f>
        <v>0</v>
      </c>
      <c r="N207" s="131">
        <f>SUMIFS(TablaConsumos[[CANTIDAD ]:[CANTIDAD ]],TablaConsumos[[CÓDIGO]:[CÓDIGO]],'Inventario '!$B207,TablaConsumos[[Planta]:[Planta]],'Inventario '!N$1)</f>
        <v>0</v>
      </c>
      <c r="O207" s="131">
        <f>SUMIFS(TablaConsumos[[CANTIDAD ]:[CANTIDAD ]],TablaConsumos[[CÓDIGO]:[CÓDIGO]],'Inventario '!$B207,TablaConsumos[[Planta]:[Planta]],'Inventario '!O$1)</f>
        <v>0</v>
      </c>
      <c r="P207" s="131">
        <f>SUMIFS(TablaConsumos[[CANTIDAD ]:[CANTIDAD ]],TablaConsumos[[CÓDIGO]:[CÓDIGO]],'Inventario '!$B207,TablaConsumos[[Planta]:[Planta]],'Inventario '!P$1)</f>
        <v>0</v>
      </c>
      <c r="Q207" s="131">
        <f>SUMIFS(TablaConsumos[[CANTIDAD ]:[CANTIDAD ]],TablaConsumos[[CÓDIGO]:[CÓDIGO]],'Inventario '!$B207,TablaConsumos[[Planta]:[Planta]],'Inventario '!Q$1)</f>
        <v>0</v>
      </c>
      <c r="R207" s="131">
        <f>SUMIFS(TablaConsumos[[CANTIDAD ]:[CANTIDAD ]],TablaConsumos[[CÓDIGO]:[CÓDIGO]],'Inventario '!$B207,TablaConsumos[[Planta]:[Planta]],'Inventario '!R$1)</f>
        <v>0</v>
      </c>
      <c r="S207" s="130">
        <f t="shared" si="168"/>
        <v>0</v>
      </c>
      <c r="T207" s="130">
        <f t="shared" si="171"/>
        <v>0</v>
      </c>
      <c r="U207" s="177"/>
      <c r="V207" s="130"/>
      <c r="W207" s="179">
        <v>30.48</v>
      </c>
      <c r="X207" s="133">
        <f t="shared" si="143"/>
        <v>0</v>
      </c>
      <c r="Y207" s="130">
        <f t="shared" si="181"/>
        <v>0</v>
      </c>
      <c r="Z207" s="132"/>
      <c r="AA207" s="132">
        <f t="shared" si="182"/>
        <v>0</v>
      </c>
      <c r="AB207" s="132"/>
      <c r="AC207" s="131">
        <f t="shared" si="183"/>
        <v>0</v>
      </c>
      <c r="AD207" s="131"/>
      <c r="AE207" s="132" t="s">
        <v>612</v>
      </c>
      <c r="AF207" s="132">
        <v>3048</v>
      </c>
      <c r="AG207" s="168"/>
      <c r="AH207" s="134">
        <f t="shared" si="184"/>
        <v>0</v>
      </c>
      <c r="AI207" s="134">
        <f t="shared" si="185"/>
        <v>0</v>
      </c>
      <c r="AJ207" s="134">
        <f t="shared" si="186"/>
        <v>0</v>
      </c>
      <c r="AK207" s="134">
        <f t="shared" si="187"/>
        <v>0</v>
      </c>
      <c r="AL207" s="134">
        <f t="shared" si="188"/>
        <v>0</v>
      </c>
      <c r="AM207" s="134">
        <f t="shared" si="189"/>
        <v>0</v>
      </c>
      <c r="AN207" s="134">
        <f t="shared" si="190"/>
        <v>0</v>
      </c>
      <c r="AO207" s="134">
        <f t="shared" si="191"/>
        <v>0</v>
      </c>
      <c r="AP207" s="134">
        <f t="shared" si="192"/>
        <v>0</v>
      </c>
      <c r="AQ207" s="134">
        <f t="shared" si="193"/>
        <v>0</v>
      </c>
      <c r="AR207" s="134">
        <f t="shared" si="194"/>
        <v>0</v>
      </c>
      <c r="AS207" s="135">
        <f t="shared" si="169"/>
        <v>0</v>
      </c>
      <c r="AT207" s="137" t="str">
        <f t="shared" si="195"/>
        <v>0</v>
      </c>
      <c r="AU207" s="137" t="str">
        <f t="shared" si="196"/>
        <v>0</v>
      </c>
      <c r="AV207" s="137" t="str">
        <f t="shared" si="197"/>
        <v>0</v>
      </c>
      <c r="AW207" s="137" t="str">
        <f t="shared" si="198"/>
        <v>0</v>
      </c>
      <c r="AX207" s="137" t="str">
        <f t="shared" si="199"/>
        <v>0</v>
      </c>
      <c r="AY207" s="137" t="str">
        <f t="shared" si="200"/>
        <v>0</v>
      </c>
      <c r="AZ207" s="137" t="str">
        <f t="shared" si="201"/>
        <v>0</v>
      </c>
      <c r="BA207" s="137" t="str">
        <f t="shared" si="202"/>
        <v>0</v>
      </c>
      <c r="BB207" s="137" t="str">
        <f t="shared" si="203"/>
        <v>0</v>
      </c>
      <c r="BC207" s="137" t="str">
        <f t="shared" si="204"/>
        <v>0</v>
      </c>
      <c r="BD207" s="131">
        <f t="shared" si="170"/>
        <v>0</v>
      </c>
    </row>
    <row r="208" spans="2:56" x14ac:dyDescent="0.25">
      <c r="B208" s="136">
        <v>8201884</v>
      </c>
      <c r="C208" s="149" t="s">
        <v>30</v>
      </c>
      <c r="D208" s="149"/>
      <c r="E208" s="136" t="s">
        <v>287</v>
      </c>
      <c r="F208" s="274"/>
      <c r="G208" s="130">
        <f>+SUMIFS(TablaIngresos[Cantidad],TablaIngresos[Código],'Inventario '!B208)</f>
        <v>0</v>
      </c>
      <c r="H208" s="130">
        <f t="shared" si="178"/>
        <v>0</v>
      </c>
      <c r="I208" s="131">
        <f>SUMIFS(TablaConsumos[[CANTIDAD ]:[CANTIDAD ]],TablaConsumos[[CÓDIGO]:[CÓDIGO]],'Inventario '!$B208,TablaConsumos[[Planta]:[Planta]],'Inventario '!I$1)</f>
        <v>0</v>
      </c>
      <c r="J208" s="131">
        <f>SUMIFS(TablaConsumos[[CANTIDAD ]:[CANTIDAD ]],TablaConsumos[[CÓDIGO]:[CÓDIGO]],'Inventario '!$B208,TablaConsumos[[Planta]:[Planta]],'Inventario '!J$1)</f>
        <v>0</v>
      </c>
      <c r="K208" s="131">
        <f>SUMIFS(TablaConsumos[[CANTIDAD ]:[CANTIDAD ]],TablaConsumos[[CÓDIGO]:[CÓDIGO]],'Inventario '!$B208,TablaConsumos[[Planta]:[Planta]],'Inventario '!K$1)</f>
        <v>0</v>
      </c>
      <c r="L208" s="131">
        <f>SUMIFS(TablaConsumos[[CANTIDAD ]:[CANTIDAD ]],TablaConsumos[[CÓDIGO]:[CÓDIGO]],'Inventario '!$B208,TablaConsumos[[Planta]:[Planta]],'Inventario '!L$1)</f>
        <v>0</v>
      </c>
      <c r="M208" s="131">
        <f>SUMIFS(TablaConsumos[[CANTIDAD ]:[CANTIDAD ]],TablaConsumos[[CÓDIGO]:[CÓDIGO]],'Inventario '!$B208,TablaConsumos[[Planta]:[Planta]],'Inventario '!M$1)</f>
        <v>0</v>
      </c>
      <c r="N208" s="131">
        <f>SUMIFS(TablaConsumos[[CANTIDAD ]:[CANTIDAD ]],TablaConsumos[[CÓDIGO]:[CÓDIGO]],'Inventario '!$B208,TablaConsumos[[Planta]:[Planta]],'Inventario '!N$1)</f>
        <v>0</v>
      </c>
      <c r="O208" s="131">
        <f>SUMIFS(TablaConsumos[[CANTIDAD ]:[CANTIDAD ]],TablaConsumos[[CÓDIGO]:[CÓDIGO]],'Inventario '!$B208,TablaConsumos[[Planta]:[Planta]],'Inventario '!O$1)</f>
        <v>0</v>
      </c>
      <c r="P208" s="131">
        <f>SUMIFS(TablaConsumos[[CANTIDAD ]:[CANTIDAD ]],TablaConsumos[[CÓDIGO]:[CÓDIGO]],'Inventario '!$B208,TablaConsumos[[Planta]:[Planta]],'Inventario '!P$1)</f>
        <v>0</v>
      </c>
      <c r="Q208" s="131">
        <f>SUMIFS(TablaConsumos[[CANTIDAD ]:[CANTIDAD ]],TablaConsumos[[CÓDIGO]:[CÓDIGO]],'Inventario '!$B208,TablaConsumos[[Planta]:[Planta]],'Inventario '!Q$1)</f>
        <v>0</v>
      </c>
      <c r="R208" s="131">
        <f>SUMIFS(TablaConsumos[[CANTIDAD ]:[CANTIDAD ]],TablaConsumos[[CÓDIGO]:[CÓDIGO]],'Inventario '!$B208,TablaConsumos[[Planta]:[Planta]],'Inventario '!R$1)</f>
        <v>0</v>
      </c>
      <c r="S208" s="130">
        <f t="shared" si="168"/>
        <v>0</v>
      </c>
      <c r="T208" s="130">
        <f t="shared" si="171"/>
        <v>0</v>
      </c>
      <c r="U208" s="177"/>
      <c r="V208" s="132"/>
      <c r="W208" s="179">
        <v>30.48</v>
      </c>
      <c r="X208" s="133">
        <f t="shared" si="143"/>
        <v>0</v>
      </c>
      <c r="Y208" s="130">
        <f t="shared" si="181"/>
        <v>0</v>
      </c>
      <c r="Z208" s="132"/>
      <c r="AA208" s="132">
        <f t="shared" si="182"/>
        <v>0</v>
      </c>
      <c r="AB208" s="132"/>
      <c r="AC208" s="131">
        <f t="shared" si="183"/>
        <v>0</v>
      </c>
      <c r="AD208" s="131"/>
      <c r="AE208" s="132" t="s">
        <v>612</v>
      </c>
      <c r="AF208" s="132">
        <v>3048</v>
      </c>
      <c r="AG208" s="168"/>
      <c r="AH208" s="134">
        <f t="shared" si="184"/>
        <v>0</v>
      </c>
      <c r="AI208" s="134">
        <f t="shared" si="185"/>
        <v>0</v>
      </c>
      <c r="AJ208" s="134">
        <f t="shared" si="186"/>
        <v>0</v>
      </c>
      <c r="AK208" s="134">
        <f t="shared" si="187"/>
        <v>0</v>
      </c>
      <c r="AL208" s="134">
        <f t="shared" si="188"/>
        <v>0</v>
      </c>
      <c r="AM208" s="134">
        <f t="shared" si="189"/>
        <v>0</v>
      </c>
      <c r="AN208" s="134">
        <f t="shared" si="190"/>
        <v>0</v>
      </c>
      <c r="AO208" s="134">
        <f t="shared" si="191"/>
        <v>0</v>
      </c>
      <c r="AP208" s="134">
        <f t="shared" si="192"/>
        <v>0</v>
      </c>
      <c r="AQ208" s="134">
        <f t="shared" si="193"/>
        <v>0</v>
      </c>
      <c r="AR208" s="134">
        <f t="shared" si="194"/>
        <v>0</v>
      </c>
      <c r="AS208" s="135">
        <f t="shared" si="169"/>
        <v>0</v>
      </c>
      <c r="AT208" s="137" t="str">
        <f t="shared" si="195"/>
        <v>0</v>
      </c>
      <c r="AU208" s="137" t="str">
        <f t="shared" si="196"/>
        <v>0</v>
      </c>
      <c r="AV208" s="137" t="str">
        <f t="shared" si="197"/>
        <v>0</v>
      </c>
      <c r="AW208" s="137" t="str">
        <f t="shared" si="198"/>
        <v>0</v>
      </c>
      <c r="AX208" s="137" t="str">
        <f t="shared" si="199"/>
        <v>0</v>
      </c>
      <c r="AY208" s="137" t="str">
        <f t="shared" si="200"/>
        <v>0</v>
      </c>
      <c r="AZ208" s="137" t="str">
        <f t="shared" si="201"/>
        <v>0</v>
      </c>
      <c r="BA208" s="137" t="str">
        <f t="shared" si="202"/>
        <v>0</v>
      </c>
      <c r="BB208" s="137" t="str">
        <f t="shared" si="203"/>
        <v>0</v>
      </c>
      <c r="BC208" s="137" t="str">
        <f t="shared" si="204"/>
        <v>0</v>
      </c>
      <c r="BD208" s="131">
        <f t="shared" si="170"/>
        <v>0</v>
      </c>
    </row>
    <row r="209" spans="2:56" x14ac:dyDescent="0.25">
      <c r="B209" s="136">
        <v>8201885</v>
      </c>
      <c r="C209" s="149" t="s">
        <v>30</v>
      </c>
      <c r="D209" s="149"/>
      <c r="E209" s="136" t="s">
        <v>288</v>
      </c>
      <c r="F209" s="274"/>
      <c r="G209" s="130">
        <f>+SUMIFS(TablaIngresos[Cantidad],TablaIngresos[Código],'Inventario '!B209)</f>
        <v>0</v>
      </c>
      <c r="H209" s="130">
        <f t="shared" si="178"/>
        <v>0</v>
      </c>
      <c r="I209" s="131">
        <f>SUMIFS(TablaConsumos[[CANTIDAD ]:[CANTIDAD ]],TablaConsumos[[CÓDIGO]:[CÓDIGO]],'Inventario '!$B209,TablaConsumos[[Planta]:[Planta]],'Inventario '!I$1)</f>
        <v>0</v>
      </c>
      <c r="J209" s="131">
        <f>SUMIFS(TablaConsumos[[CANTIDAD ]:[CANTIDAD ]],TablaConsumos[[CÓDIGO]:[CÓDIGO]],'Inventario '!$B209,TablaConsumos[[Planta]:[Planta]],'Inventario '!J$1)</f>
        <v>0</v>
      </c>
      <c r="K209" s="131">
        <f>SUMIFS(TablaConsumos[[CANTIDAD ]:[CANTIDAD ]],TablaConsumos[[CÓDIGO]:[CÓDIGO]],'Inventario '!$B209,TablaConsumos[[Planta]:[Planta]],'Inventario '!K$1)</f>
        <v>0</v>
      </c>
      <c r="L209" s="131">
        <f>SUMIFS(TablaConsumos[[CANTIDAD ]:[CANTIDAD ]],TablaConsumos[[CÓDIGO]:[CÓDIGO]],'Inventario '!$B209,TablaConsumos[[Planta]:[Planta]],'Inventario '!L$1)</f>
        <v>0</v>
      </c>
      <c r="M209" s="131">
        <f>SUMIFS(TablaConsumos[[CANTIDAD ]:[CANTIDAD ]],TablaConsumos[[CÓDIGO]:[CÓDIGO]],'Inventario '!$B209,TablaConsumos[[Planta]:[Planta]],'Inventario '!M$1)</f>
        <v>0</v>
      </c>
      <c r="N209" s="131">
        <f>SUMIFS(TablaConsumos[[CANTIDAD ]:[CANTIDAD ]],TablaConsumos[[CÓDIGO]:[CÓDIGO]],'Inventario '!$B209,TablaConsumos[[Planta]:[Planta]],'Inventario '!N$1)</f>
        <v>0</v>
      </c>
      <c r="O209" s="131">
        <f>SUMIFS(TablaConsumos[[CANTIDAD ]:[CANTIDAD ]],TablaConsumos[[CÓDIGO]:[CÓDIGO]],'Inventario '!$B209,TablaConsumos[[Planta]:[Planta]],'Inventario '!O$1)</f>
        <v>0</v>
      </c>
      <c r="P209" s="131">
        <f>SUMIFS(TablaConsumos[[CANTIDAD ]:[CANTIDAD ]],TablaConsumos[[CÓDIGO]:[CÓDIGO]],'Inventario '!$B209,TablaConsumos[[Planta]:[Planta]],'Inventario '!P$1)</f>
        <v>0</v>
      </c>
      <c r="Q209" s="131">
        <f>SUMIFS(TablaConsumos[[CANTIDAD ]:[CANTIDAD ]],TablaConsumos[[CÓDIGO]:[CÓDIGO]],'Inventario '!$B209,TablaConsumos[[Planta]:[Planta]],'Inventario '!Q$1)</f>
        <v>0</v>
      </c>
      <c r="R209" s="131">
        <f>SUMIFS(TablaConsumos[[CANTIDAD ]:[CANTIDAD ]],TablaConsumos[[CÓDIGO]:[CÓDIGO]],'Inventario '!$B209,TablaConsumos[[Planta]:[Planta]],'Inventario '!R$1)</f>
        <v>0</v>
      </c>
      <c r="S209" s="130">
        <f t="shared" si="168"/>
        <v>0</v>
      </c>
      <c r="T209" s="130">
        <f t="shared" si="171"/>
        <v>0</v>
      </c>
      <c r="U209" s="177"/>
      <c r="V209" s="130"/>
      <c r="W209" s="179">
        <v>30.48</v>
      </c>
      <c r="X209" s="133">
        <f t="shared" si="143"/>
        <v>0</v>
      </c>
      <c r="Y209" s="130">
        <f t="shared" si="181"/>
        <v>0</v>
      </c>
      <c r="Z209" s="132"/>
      <c r="AA209" s="132">
        <f t="shared" si="182"/>
        <v>0</v>
      </c>
      <c r="AB209" s="132"/>
      <c r="AC209" s="131">
        <f t="shared" si="183"/>
        <v>0</v>
      </c>
      <c r="AD209" s="131"/>
      <c r="AE209" s="132" t="s">
        <v>612</v>
      </c>
      <c r="AF209" s="132">
        <v>3048</v>
      </c>
      <c r="AG209" s="168"/>
      <c r="AH209" s="134">
        <f t="shared" si="184"/>
        <v>0</v>
      </c>
      <c r="AI209" s="134">
        <f t="shared" si="185"/>
        <v>0</v>
      </c>
      <c r="AJ209" s="134">
        <f t="shared" si="186"/>
        <v>0</v>
      </c>
      <c r="AK209" s="134">
        <f t="shared" si="187"/>
        <v>0</v>
      </c>
      <c r="AL209" s="134">
        <f t="shared" si="188"/>
        <v>0</v>
      </c>
      <c r="AM209" s="134">
        <f t="shared" si="189"/>
        <v>0</v>
      </c>
      <c r="AN209" s="134">
        <f t="shared" si="190"/>
        <v>0</v>
      </c>
      <c r="AO209" s="134">
        <f t="shared" si="191"/>
        <v>0</v>
      </c>
      <c r="AP209" s="134">
        <f t="shared" si="192"/>
        <v>0</v>
      </c>
      <c r="AQ209" s="134">
        <f t="shared" si="193"/>
        <v>0</v>
      </c>
      <c r="AR209" s="134">
        <f t="shared" si="194"/>
        <v>0</v>
      </c>
      <c r="AS209" s="135">
        <f t="shared" si="169"/>
        <v>0</v>
      </c>
      <c r="AT209" s="137" t="str">
        <f t="shared" si="195"/>
        <v>0</v>
      </c>
      <c r="AU209" s="137" t="str">
        <f t="shared" si="196"/>
        <v>0</v>
      </c>
      <c r="AV209" s="137" t="str">
        <f t="shared" si="197"/>
        <v>0</v>
      </c>
      <c r="AW209" s="137" t="str">
        <f t="shared" si="198"/>
        <v>0</v>
      </c>
      <c r="AX209" s="137" t="str">
        <f t="shared" si="199"/>
        <v>0</v>
      </c>
      <c r="AY209" s="137" t="str">
        <f t="shared" si="200"/>
        <v>0</v>
      </c>
      <c r="AZ209" s="137" t="str">
        <f t="shared" si="201"/>
        <v>0</v>
      </c>
      <c r="BA209" s="137" t="str">
        <f t="shared" si="202"/>
        <v>0</v>
      </c>
      <c r="BB209" s="137" t="str">
        <f t="shared" si="203"/>
        <v>0</v>
      </c>
      <c r="BC209" s="137" t="str">
        <f t="shared" si="204"/>
        <v>0</v>
      </c>
      <c r="BD209" s="131">
        <f t="shared" si="170"/>
        <v>0</v>
      </c>
    </row>
    <row r="210" spans="2:56" x14ac:dyDescent="0.25">
      <c r="B210" s="136">
        <v>8204170</v>
      </c>
      <c r="C210" s="149" t="s">
        <v>30</v>
      </c>
      <c r="D210" s="149"/>
      <c r="E210" s="136" t="s">
        <v>289</v>
      </c>
      <c r="F210" s="274"/>
      <c r="G210" s="130">
        <f>+SUMIFS(TablaIngresos[Cantidad],TablaIngresos[Código],'Inventario '!B210)</f>
        <v>0</v>
      </c>
      <c r="H210" s="130">
        <f t="shared" si="178"/>
        <v>0</v>
      </c>
      <c r="I210" s="131">
        <f>SUMIFS(TablaConsumos[[CANTIDAD ]:[CANTIDAD ]],TablaConsumos[[CÓDIGO]:[CÓDIGO]],'Inventario '!$B210,TablaConsumos[[Planta]:[Planta]],'Inventario '!I$1)</f>
        <v>0</v>
      </c>
      <c r="J210" s="131">
        <f>SUMIFS(TablaConsumos[[CANTIDAD ]:[CANTIDAD ]],TablaConsumos[[CÓDIGO]:[CÓDIGO]],'Inventario '!$B210,TablaConsumos[[Planta]:[Planta]],'Inventario '!J$1)</f>
        <v>0</v>
      </c>
      <c r="K210" s="131">
        <f>SUMIFS(TablaConsumos[[CANTIDAD ]:[CANTIDAD ]],TablaConsumos[[CÓDIGO]:[CÓDIGO]],'Inventario '!$B210,TablaConsumos[[Planta]:[Planta]],'Inventario '!K$1)</f>
        <v>0</v>
      </c>
      <c r="L210" s="131">
        <f>SUMIFS(TablaConsumos[[CANTIDAD ]:[CANTIDAD ]],TablaConsumos[[CÓDIGO]:[CÓDIGO]],'Inventario '!$B210,TablaConsumos[[Planta]:[Planta]],'Inventario '!L$1)</f>
        <v>0</v>
      </c>
      <c r="M210" s="131">
        <f>SUMIFS(TablaConsumos[[CANTIDAD ]:[CANTIDAD ]],TablaConsumos[[CÓDIGO]:[CÓDIGO]],'Inventario '!$B210,TablaConsumos[[Planta]:[Planta]],'Inventario '!M$1)</f>
        <v>0</v>
      </c>
      <c r="N210" s="131">
        <f>SUMIFS(TablaConsumos[[CANTIDAD ]:[CANTIDAD ]],TablaConsumos[[CÓDIGO]:[CÓDIGO]],'Inventario '!$B210,TablaConsumos[[Planta]:[Planta]],'Inventario '!N$1)</f>
        <v>0</v>
      </c>
      <c r="O210" s="131">
        <f>SUMIFS(TablaConsumos[[CANTIDAD ]:[CANTIDAD ]],TablaConsumos[[CÓDIGO]:[CÓDIGO]],'Inventario '!$B210,TablaConsumos[[Planta]:[Planta]],'Inventario '!O$1)</f>
        <v>0</v>
      </c>
      <c r="P210" s="131">
        <f>SUMIFS(TablaConsumos[[CANTIDAD ]:[CANTIDAD ]],TablaConsumos[[CÓDIGO]:[CÓDIGO]],'Inventario '!$B210,TablaConsumos[[Planta]:[Planta]],'Inventario '!P$1)</f>
        <v>0</v>
      </c>
      <c r="Q210" s="131">
        <f>SUMIFS(TablaConsumos[[CANTIDAD ]:[CANTIDAD ]],TablaConsumos[[CÓDIGO]:[CÓDIGO]],'Inventario '!$B210,TablaConsumos[[Planta]:[Planta]],'Inventario '!Q$1)</f>
        <v>0</v>
      </c>
      <c r="R210" s="131">
        <f>SUMIFS(TablaConsumos[[CANTIDAD ]:[CANTIDAD ]],TablaConsumos[[CÓDIGO]:[CÓDIGO]],'Inventario '!$B210,TablaConsumos[[Planta]:[Planta]],'Inventario '!R$1)</f>
        <v>0</v>
      </c>
      <c r="S210" s="130">
        <f t="shared" si="168"/>
        <v>0</v>
      </c>
      <c r="T210" s="130">
        <f t="shared" si="171"/>
        <v>0</v>
      </c>
      <c r="U210" s="177"/>
      <c r="V210" s="130"/>
      <c r="W210" s="179">
        <v>30.48</v>
      </c>
      <c r="X210" s="133">
        <f t="shared" si="143"/>
        <v>0</v>
      </c>
      <c r="Y210" s="130">
        <f t="shared" si="181"/>
        <v>0</v>
      </c>
      <c r="Z210" s="132"/>
      <c r="AA210" s="132">
        <f t="shared" si="182"/>
        <v>0</v>
      </c>
      <c r="AB210" s="132"/>
      <c r="AC210" s="131">
        <f t="shared" si="183"/>
        <v>0</v>
      </c>
      <c r="AD210" s="131"/>
      <c r="AE210" s="132" t="s">
        <v>612</v>
      </c>
      <c r="AF210" s="132">
        <v>3048</v>
      </c>
      <c r="AG210" s="168"/>
      <c r="AH210" s="134">
        <f t="shared" si="184"/>
        <v>0</v>
      </c>
      <c r="AI210" s="134">
        <f t="shared" si="185"/>
        <v>0</v>
      </c>
      <c r="AJ210" s="134">
        <f t="shared" si="186"/>
        <v>0</v>
      </c>
      <c r="AK210" s="134">
        <f t="shared" si="187"/>
        <v>0</v>
      </c>
      <c r="AL210" s="134">
        <f t="shared" si="188"/>
        <v>0</v>
      </c>
      <c r="AM210" s="134">
        <f t="shared" si="189"/>
        <v>0</v>
      </c>
      <c r="AN210" s="134">
        <f t="shared" si="190"/>
        <v>0</v>
      </c>
      <c r="AO210" s="134">
        <f t="shared" si="191"/>
        <v>0</v>
      </c>
      <c r="AP210" s="134">
        <f t="shared" si="192"/>
        <v>0</v>
      </c>
      <c r="AQ210" s="134">
        <f t="shared" si="193"/>
        <v>0</v>
      </c>
      <c r="AR210" s="134">
        <f t="shared" si="194"/>
        <v>0</v>
      </c>
      <c r="AS210" s="135">
        <f t="shared" si="169"/>
        <v>0</v>
      </c>
      <c r="AT210" s="137" t="str">
        <f t="shared" si="195"/>
        <v>0</v>
      </c>
      <c r="AU210" s="137" t="str">
        <f t="shared" si="196"/>
        <v>0</v>
      </c>
      <c r="AV210" s="137" t="str">
        <f t="shared" si="197"/>
        <v>0</v>
      </c>
      <c r="AW210" s="137" t="str">
        <f t="shared" si="198"/>
        <v>0</v>
      </c>
      <c r="AX210" s="137" t="str">
        <f t="shared" si="199"/>
        <v>0</v>
      </c>
      <c r="AY210" s="137" t="str">
        <f t="shared" si="200"/>
        <v>0</v>
      </c>
      <c r="AZ210" s="137" t="str">
        <f t="shared" si="201"/>
        <v>0</v>
      </c>
      <c r="BA210" s="137" t="str">
        <f t="shared" si="202"/>
        <v>0</v>
      </c>
      <c r="BB210" s="137" t="str">
        <f t="shared" si="203"/>
        <v>0</v>
      </c>
      <c r="BC210" s="137" t="str">
        <f t="shared" si="204"/>
        <v>0</v>
      </c>
      <c r="BD210" s="131">
        <f t="shared" si="170"/>
        <v>0</v>
      </c>
    </row>
    <row r="211" spans="2:56" x14ac:dyDescent="0.25">
      <c r="B211" s="136">
        <v>8204771</v>
      </c>
      <c r="C211" s="205" t="s">
        <v>30</v>
      </c>
      <c r="D211" s="205"/>
      <c r="E211" s="201" t="s">
        <v>290</v>
      </c>
      <c r="F211" s="274"/>
      <c r="G211" s="130">
        <f>+SUMIFS(TablaIngresos[Cantidad],TablaIngresos[Código],'Inventario '!B211)</f>
        <v>0</v>
      </c>
      <c r="H211" s="130">
        <f t="shared" si="178"/>
        <v>0</v>
      </c>
      <c r="I211" s="131">
        <f>SUMIFS(TablaConsumos[[CANTIDAD ]:[CANTIDAD ]],TablaConsumos[[CÓDIGO]:[CÓDIGO]],'Inventario '!$B211,TablaConsumos[[Planta]:[Planta]],'Inventario '!I$1)</f>
        <v>0</v>
      </c>
      <c r="J211" s="131">
        <f>SUMIFS(TablaConsumos[[CANTIDAD ]:[CANTIDAD ]],TablaConsumos[[CÓDIGO]:[CÓDIGO]],'Inventario '!$B211,TablaConsumos[[Planta]:[Planta]],'Inventario '!J$1)</f>
        <v>0</v>
      </c>
      <c r="K211" s="131">
        <f>SUMIFS(TablaConsumos[[CANTIDAD ]:[CANTIDAD ]],TablaConsumos[[CÓDIGO]:[CÓDIGO]],'Inventario '!$B211,TablaConsumos[[Planta]:[Planta]],'Inventario '!K$1)</f>
        <v>0</v>
      </c>
      <c r="L211" s="131">
        <f>SUMIFS(TablaConsumos[[CANTIDAD ]:[CANTIDAD ]],TablaConsumos[[CÓDIGO]:[CÓDIGO]],'Inventario '!$B211,TablaConsumos[[Planta]:[Planta]],'Inventario '!L$1)</f>
        <v>0</v>
      </c>
      <c r="M211" s="131">
        <f>SUMIFS(TablaConsumos[[CANTIDAD ]:[CANTIDAD ]],TablaConsumos[[CÓDIGO]:[CÓDIGO]],'Inventario '!$B211,TablaConsumos[[Planta]:[Planta]],'Inventario '!M$1)</f>
        <v>0</v>
      </c>
      <c r="N211" s="131">
        <f>SUMIFS(TablaConsumos[[CANTIDAD ]:[CANTIDAD ]],TablaConsumos[[CÓDIGO]:[CÓDIGO]],'Inventario '!$B211,TablaConsumos[[Planta]:[Planta]],'Inventario '!N$1)</f>
        <v>0</v>
      </c>
      <c r="O211" s="131">
        <f>SUMIFS(TablaConsumos[[CANTIDAD ]:[CANTIDAD ]],TablaConsumos[[CÓDIGO]:[CÓDIGO]],'Inventario '!$B211,TablaConsumos[[Planta]:[Planta]],'Inventario '!O$1)</f>
        <v>0</v>
      </c>
      <c r="P211" s="131">
        <f>SUMIFS(TablaConsumos[[CANTIDAD ]:[CANTIDAD ]],TablaConsumos[[CÓDIGO]:[CÓDIGO]],'Inventario '!$B211,TablaConsumos[[Planta]:[Planta]],'Inventario '!P$1)</f>
        <v>0</v>
      </c>
      <c r="Q211" s="131">
        <f>SUMIFS(TablaConsumos[[CANTIDAD ]:[CANTIDAD ]],TablaConsumos[[CÓDIGO]:[CÓDIGO]],'Inventario '!$B211,TablaConsumos[[Planta]:[Planta]],'Inventario '!Q$1)</f>
        <v>0</v>
      </c>
      <c r="R211" s="131">
        <f>SUMIFS(TablaConsumos[[CANTIDAD ]:[CANTIDAD ]],TablaConsumos[[CÓDIGO]:[CÓDIGO]],'Inventario '!$B211,TablaConsumos[[Planta]:[Planta]],'Inventario '!R$1)</f>
        <v>0</v>
      </c>
      <c r="S211" s="130">
        <f t="shared" si="168"/>
        <v>0</v>
      </c>
      <c r="T211" s="130">
        <f t="shared" si="171"/>
        <v>0</v>
      </c>
      <c r="U211" s="177"/>
      <c r="V211" s="130"/>
      <c r="W211" s="179">
        <v>30.48</v>
      </c>
      <c r="X211" s="133">
        <f t="shared" si="143"/>
        <v>0</v>
      </c>
      <c r="Y211" s="130">
        <f t="shared" si="181"/>
        <v>0</v>
      </c>
      <c r="Z211" s="132"/>
      <c r="AA211" s="132">
        <f t="shared" si="182"/>
        <v>0</v>
      </c>
      <c r="AB211" s="132"/>
      <c r="AC211" s="131">
        <f t="shared" si="183"/>
        <v>0</v>
      </c>
      <c r="AD211" s="131"/>
      <c r="AE211" s="132" t="s">
        <v>612</v>
      </c>
      <c r="AF211" s="132">
        <v>3048</v>
      </c>
      <c r="AG211" s="168"/>
      <c r="AH211" s="134">
        <f t="shared" si="184"/>
        <v>0</v>
      </c>
      <c r="AI211" s="134">
        <f t="shared" si="185"/>
        <v>0</v>
      </c>
      <c r="AJ211" s="134">
        <f t="shared" si="186"/>
        <v>0</v>
      </c>
      <c r="AK211" s="134">
        <f t="shared" si="187"/>
        <v>0</v>
      </c>
      <c r="AL211" s="134">
        <f t="shared" si="188"/>
        <v>0</v>
      </c>
      <c r="AM211" s="134">
        <f t="shared" si="189"/>
        <v>0</v>
      </c>
      <c r="AN211" s="134">
        <f t="shared" si="190"/>
        <v>0</v>
      </c>
      <c r="AO211" s="134">
        <f t="shared" si="191"/>
        <v>0</v>
      </c>
      <c r="AP211" s="134">
        <f t="shared" si="192"/>
        <v>0</v>
      </c>
      <c r="AQ211" s="134">
        <f t="shared" si="193"/>
        <v>0</v>
      </c>
      <c r="AR211" s="134">
        <f t="shared" si="194"/>
        <v>0</v>
      </c>
      <c r="AS211" s="135">
        <f t="shared" si="169"/>
        <v>0</v>
      </c>
      <c r="AT211" s="137" t="str">
        <f t="shared" si="195"/>
        <v>0</v>
      </c>
      <c r="AU211" s="137" t="str">
        <f t="shared" si="196"/>
        <v>0</v>
      </c>
      <c r="AV211" s="137" t="str">
        <f t="shared" si="197"/>
        <v>0</v>
      </c>
      <c r="AW211" s="137" t="str">
        <f t="shared" si="198"/>
        <v>0</v>
      </c>
      <c r="AX211" s="137" t="str">
        <f t="shared" si="199"/>
        <v>0</v>
      </c>
      <c r="AY211" s="137" t="str">
        <f t="shared" si="200"/>
        <v>0</v>
      </c>
      <c r="AZ211" s="137" t="str">
        <f t="shared" si="201"/>
        <v>0</v>
      </c>
      <c r="BA211" s="137" t="str">
        <f t="shared" si="202"/>
        <v>0</v>
      </c>
      <c r="BB211" s="137" t="str">
        <f t="shared" si="203"/>
        <v>0</v>
      </c>
      <c r="BC211" s="137" t="str">
        <f t="shared" si="204"/>
        <v>0</v>
      </c>
      <c r="BD211" s="131">
        <f t="shared" si="170"/>
        <v>0</v>
      </c>
    </row>
    <row r="212" spans="2:56" x14ac:dyDescent="0.25">
      <c r="B212" s="204" t="s">
        <v>291</v>
      </c>
      <c r="C212" s="206"/>
      <c r="D212" s="207"/>
      <c r="E212" s="208"/>
      <c r="F212" s="121"/>
      <c r="G212" s="121"/>
      <c r="H212" s="121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1"/>
      <c r="T212" s="121"/>
      <c r="U212" s="121"/>
      <c r="V212" s="121"/>
      <c r="W212" s="121"/>
      <c r="X212" s="121"/>
      <c r="Y212" s="121"/>
      <c r="Z212" s="121"/>
      <c r="AA212" s="121"/>
      <c r="AB212" s="121"/>
      <c r="AC212" s="121"/>
      <c r="AD212" s="121"/>
      <c r="AE212" s="121"/>
      <c r="AF212" s="121"/>
      <c r="AG212" s="181"/>
      <c r="AH212" s="123"/>
      <c r="AI212" s="123"/>
      <c r="AJ212" s="123"/>
      <c r="AK212" s="123"/>
      <c r="AL212" s="123"/>
      <c r="AM212" s="123"/>
      <c r="AN212" s="123"/>
      <c r="AO212" s="123"/>
      <c r="AP212" s="123"/>
      <c r="AQ212" s="123"/>
      <c r="AR212" s="123"/>
      <c r="AS212" s="124"/>
      <c r="AT212" s="125"/>
      <c r="AU212" s="125"/>
      <c r="AV212" s="125"/>
      <c r="AW212" s="125"/>
      <c r="AX212" s="125"/>
      <c r="AY212" s="125"/>
      <c r="AZ212" s="125"/>
      <c r="BA212" s="125"/>
      <c r="BB212" s="125"/>
      <c r="BC212" s="125"/>
      <c r="BD212" s="122"/>
    </row>
    <row r="213" spans="2:56" x14ac:dyDescent="0.25">
      <c r="B213" s="136">
        <v>8201972</v>
      </c>
      <c r="C213" s="128" t="s">
        <v>694</v>
      </c>
      <c r="D213" s="128"/>
      <c r="E213" s="136" t="s">
        <v>325</v>
      </c>
      <c r="F213" s="274"/>
      <c r="G213" s="130">
        <f>+SUMIFS(TablaIngresos[Cantidad],TablaIngresos[Código],'Inventario '!B213)</f>
        <v>0</v>
      </c>
      <c r="H213" s="130">
        <f t="shared" ref="H213:H221" si="205">+F213+G213</f>
        <v>0</v>
      </c>
      <c r="I213" s="131">
        <f>SUMIFS(TablaConsumos[[CANTIDAD ]:[CANTIDAD ]],TablaConsumos[[CÓDIGO]:[CÓDIGO]],'Inventario '!$B213,TablaConsumos[[Planta]:[Planta]],'Inventario '!I$1)</f>
        <v>0</v>
      </c>
      <c r="J213" s="131">
        <f>SUMIFS(TablaConsumos[[CANTIDAD ]:[CANTIDAD ]],TablaConsumos[[CÓDIGO]:[CÓDIGO]],'Inventario '!$B213,TablaConsumos[[Planta]:[Planta]],'Inventario '!J$1)</f>
        <v>0</v>
      </c>
      <c r="K213" s="131">
        <f>SUMIFS(TablaConsumos[[CANTIDAD ]:[CANTIDAD ]],TablaConsumos[[CÓDIGO]:[CÓDIGO]],'Inventario '!$B213,TablaConsumos[[Planta]:[Planta]],'Inventario '!K$1)</f>
        <v>0</v>
      </c>
      <c r="L213" s="131">
        <f>SUMIFS(TablaConsumos[[CANTIDAD ]:[CANTIDAD ]],TablaConsumos[[CÓDIGO]:[CÓDIGO]],'Inventario '!$B213,TablaConsumos[[Planta]:[Planta]],'Inventario '!L$1)</f>
        <v>0</v>
      </c>
      <c r="M213" s="131">
        <f>SUMIFS(TablaConsumos[[CANTIDAD ]:[CANTIDAD ]],TablaConsumos[[CÓDIGO]:[CÓDIGO]],'Inventario '!$B213,TablaConsumos[[Planta]:[Planta]],'Inventario '!M$1)</f>
        <v>0</v>
      </c>
      <c r="N213" s="131">
        <f>SUMIFS(TablaConsumos[[CANTIDAD ]:[CANTIDAD ]],TablaConsumos[[CÓDIGO]:[CÓDIGO]],'Inventario '!$B213,TablaConsumos[[Planta]:[Planta]],'Inventario '!N$1)</f>
        <v>0</v>
      </c>
      <c r="O213" s="131">
        <f>SUMIFS(TablaConsumos[[CANTIDAD ]:[CANTIDAD ]],TablaConsumos[[CÓDIGO]:[CÓDIGO]],'Inventario '!$B213,TablaConsumos[[Planta]:[Planta]],'Inventario '!O$1)</f>
        <v>0</v>
      </c>
      <c r="P213" s="131">
        <f>SUMIFS(TablaConsumos[[CANTIDAD ]:[CANTIDAD ]],TablaConsumos[[CÓDIGO]:[CÓDIGO]],'Inventario '!$B213,TablaConsumos[[Planta]:[Planta]],'Inventario '!P$1)</f>
        <v>0</v>
      </c>
      <c r="Q213" s="131">
        <f>SUMIFS(TablaConsumos[[CANTIDAD ]:[CANTIDAD ]],TablaConsumos[[CÓDIGO]:[CÓDIGO]],'Inventario '!$B213,TablaConsumos[[Planta]:[Planta]],'Inventario '!Q$1)</f>
        <v>0</v>
      </c>
      <c r="R213" s="131">
        <f>SUMIFS(TablaConsumos[[CANTIDAD ]:[CANTIDAD ]],TablaConsumos[[CÓDIGO]:[CÓDIGO]],'Inventario '!$B213,TablaConsumos[[Planta]:[Planta]],'Inventario '!R$1)</f>
        <v>0</v>
      </c>
      <c r="S213" s="130">
        <f t="shared" ref="S213:S221" si="206">+SUM(I213:R213)</f>
        <v>0</v>
      </c>
      <c r="T213" s="130">
        <f t="shared" ref="T213:T221" si="207">+H213-S213</f>
        <v>0</v>
      </c>
      <c r="U213" s="177"/>
      <c r="V213" s="130"/>
      <c r="W213" s="132">
        <v>1524</v>
      </c>
      <c r="X213" s="133">
        <f t="shared" ref="X213:X220" si="208">+U213*W213</f>
        <v>0</v>
      </c>
      <c r="Y213" s="130">
        <f t="shared" ref="Y213:Y221" si="209">+T213-X213</f>
        <v>0</v>
      </c>
      <c r="Z213" s="132"/>
      <c r="AA213" s="132">
        <f t="shared" ref="AA213:AA221" si="210">(Z213-X213)</f>
        <v>0</v>
      </c>
      <c r="AB213" s="132"/>
      <c r="AC213" s="131">
        <f t="shared" ref="AC213:AC221" si="211">+Z213-AA213</f>
        <v>0</v>
      </c>
      <c r="AD213" s="131"/>
      <c r="AE213" s="132" t="s">
        <v>613</v>
      </c>
      <c r="AF213" s="132"/>
      <c r="AG213" s="168"/>
      <c r="AH213" s="134">
        <f t="shared" ref="AH213:AH221" si="212">+IF(S213=0,0,AF213/S213)</f>
        <v>0</v>
      </c>
      <c r="AI213" s="134">
        <f t="shared" ref="AI213:AI221" si="213">+IF(I213=0,0,I213/$S213)</f>
        <v>0</v>
      </c>
      <c r="AJ213" s="134">
        <f t="shared" ref="AJ213:AJ221" si="214">+IF(J213=0,0,J213/$S213)</f>
        <v>0</v>
      </c>
      <c r="AK213" s="134">
        <f t="shared" ref="AK213:AK221" si="215">+IF(K213=0,0,K213/$S213)</f>
        <v>0</v>
      </c>
      <c r="AL213" s="134">
        <f t="shared" ref="AL213:AL221" si="216">+IF(L213=0,0,L213/$S213)</f>
        <v>0</v>
      </c>
      <c r="AM213" s="134">
        <f t="shared" ref="AM213:AM221" si="217">+IF(M213=0,0,M213/$S213)</f>
        <v>0</v>
      </c>
      <c r="AN213" s="134">
        <f t="shared" ref="AN213:AN221" si="218">+IF(N213=0,0,N213/$S213)</f>
        <v>0</v>
      </c>
      <c r="AO213" s="134">
        <f t="shared" ref="AO213:AO221" si="219">+IF(O213=0,0,O213/$S213)</f>
        <v>0</v>
      </c>
      <c r="AP213" s="134">
        <f t="shared" ref="AP213:AP221" si="220">+IF(P213=0,0,P213/$S213)</f>
        <v>0</v>
      </c>
      <c r="AQ213" s="134">
        <f t="shared" ref="AQ213:AQ221" si="221">+IF(Q213=0,0,Q213/$S213)</f>
        <v>0</v>
      </c>
      <c r="AR213" s="134">
        <f t="shared" ref="AR213:AR221" si="222">+IF(R213=0,0,R213/$S213)</f>
        <v>0</v>
      </c>
      <c r="AS213" s="135">
        <f t="shared" ref="AS213:AS221" si="223">+SUM(AI213:AR213)</f>
        <v>0</v>
      </c>
      <c r="AT213" s="137" t="str">
        <f t="shared" ref="AT213:AT221" si="224">+IF(I213=-I213,"0",I213+$Y213*AI213)</f>
        <v>0</v>
      </c>
      <c r="AU213" s="137" t="str">
        <f t="shared" ref="AU213:AU221" si="225">+IF(J213=-J213,"0",J213+$Y213*AJ213)</f>
        <v>0</v>
      </c>
      <c r="AV213" s="137" t="str">
        <f t="shared" ref="AV213:AV221" si="226">+IF(K213=-K213,"0",K213+$Y213*AK213)</f>
        <v>0</v>
      </c>
      <c r="AW213" s="137" t="str">
        <f t="shared" ref="AW213:AW221" si="227">+IF(L213=-L213,"0",L213+$Y213*AL213)</f>
        <v>0</v>
      </c>
      <c r="AX213" s="137" t="str">
        <f t="shared" ref="AX213:AX221" si="228">+IF(M213=-M213,"0",M213+$Y213*AM213)</f>
        <v>0</v>
      </c>
      <c r="AY213" s="137" t="str">
        <f t="shared" ref="AY213:AY221" si="229">+IF(N213=-N213,"0",N213+$Y213*AN213)</f>
        <v>0</v>
      </c>
      <c r="AZ213" s="137" t="str">
        <f t="shared" ref="AZ213:AZ221" si="230">+IF(O213=-O213,"0",O213+$Y213*AO213)</f>
        <v>0</v>
      </c>
      <c r="BA213" s="137" t="str">
        <f t="shared" ref="BA213:BA221" si="231">+IF(P213=-P213,"0",P213+$Y213*AP213)</f>
        <v>0</v>
      </c>
      <c r="BB213" s="137" t="str">
        <f t="shared" ref="BB213:BB221" si="232">+IF(Q213=-Q213,"0",Q213+$Y213*AQ213)</f>
        <v>0</v>
      </c>
      <c r="BC213" s="137" t="str">
        <f t="shared" ref="BC213:BC221" si="233">+IF(R213=-R213,"0",R213+$Y213*AR213)</f>
        <v>0</v>
      </c>
      <c r="BD213" s="131">
        <f t="shared" ref="BD213:BD221" si="234">+SUM(AT213:BC213)</f>
        <v>0</v>
      </c>
    </row>
    <row r="214" spans="2:56" x14ac:dyDescent="0.25">
      <c r="B214" s="136">
        <v>8202921</v>
      </c>
      <c r="C214" s="128" t="s">
        <v>695</v>
      </c>
      <c r="D214" s="128"/>
      <c r="E214" s="136" t="s">
        <v>328</v>
      </c>
      <c r="F214" s="274"/>
      <c r="G214" s="130">
        <f>+SUMIFS(TablaIngresos[Cantidad],TablaIngresos[Código],'Inventario '!B214)</f>
        <v>0</v>
      </c>
      <c r="H214" s="130">
        <f t="shared" si="205"/>
        <v>0</v>
      </c>
      <c r="I214" s="131">
        <f>SUMIFS(TablaConsumos[[CANTIDAD ]:[CANTIDAD ]],TablaConsumos[[CÓDIGO]:[CÓDIGO]],'Inventario '!$B214,TablaConsumos[[Planta]:[Planta]],'Inventario '!I$1)</f>
        <v>0</v>
      </c>
      <c r="J214" s="131">
        <f>SUMIFS(TablaConsumos[[CANTIDAD ]:[CANTIDAD ]],TablaConsumos[[CÓDIGO]:[CÓDIGO]],'Inventario '!$B214,TablaConsumos[[Planta]:[Planta]],'Inventario '!J$1)</f>
        <v>0</v>
      </c>
      <c r="K214" s="131">
        <f>SUMIFS(TablaConsumos[[CANTIDAD ]:[CANTIDAD ]],TablaConsumos[[CÓDIGO]:[CÓDIGO]],'Inventario '!$B214,TablaConsumos[[Planta]:[Planta]],'Inventario '!K$1)</f>
        <v>0</v>
      </c>
      <c r="L214" s="131">
        <f>SUMIFS(TablaConsumos[[CANTIDAD ]:[CANTIDAD ]],TablaConsumos[[CÓDIGO]:[CÓDIGO]],'Inventario '!$B214,TablaConsumos[[Planta]:[Planta]],'Inventario '!L$1)</f>
        <v>0</v>
      </c>
      <c r="M214" s="131">
        <f>SUMIFS(TablaConsumos[[CANTIDAD ]:[CANTIDAD ]],TablaConsumos[[CÓDIGO]:[CÓDIGO]],'Inventario '!$B214,TablaConsumos[[Planta]:[Planta]],'Inventario '!M$1)</f>
        <v>0</v>
      </c>
      <c r="N214" s="131">
        <f>SUMIFS(TablaConsumos[[CANTIDAD ]:[CANTIDAD ]],TablaConsumos[[CÓDIGO]:[CÓDIGO]],'Inventario '!$B214,TablaConsumos[[Planta]:[Planta]],'Inventario '!N$1)</f>
        <v>0</v>
      </c>
      <c r="O214" s="131">
        <f>SUMIFS(TablaConsumos[[CANTIDAD ]:[CANTIDAD ]],TablaConsumos[[CÓDIGO]:[CÓDIGO]],'Inventario '!$B214,TablaConsumos[[Planta]:[Planta]],'Inventario '!O$1)</f>
        <v>0</v>
      </c>
      <c r="P214" s="131">
        <f>SUMIFS(TablaConsumos[[CANTIDAD ]:[CANTIDAD ]],TablaConsumos[[CÓDIGO]:[CÓDIGO]],'Inventario '!$B214,TablaConsumos[[Planta]:[Planta]],'Inventario '!P$1)</f>
        <v>0</v>
      </c>
      <c r="Q214" s="131">
        <f>SUMIFS(TablaConsumos[[CANTIDAD ]:[CANTIDAD ]],TablaConsumos[[CÓDIGO]:[CÓDIGO]],'Inventario '!$B214,TablaConsumos[[Planta]:[Planta]],'Inventario '!Q$1)</f>
        <v>0</v>
      </c>
      <c r="R214" s="131">
        <f>SUMIFS(TablaConsumos[[CANTIDAD ]:[CANTIDAD ]],TablaConsumos[[CÓDIGO]:[CÓDIGO]],'Inventario '!$B214,TablaConsumos[[Planta]:[Planta]],'Inventario '!R$1)</f>
        <v>0</v>
      </c>
      <c r="S214" s="130">
        <f t="shared" si="206"/>
        <v>0</v>
      </c>
      <c r="T214" s="130">
        <f t="shared" si="207"/>
        <v>0</v>
      </c>
      <c r="U214" s="177"/>
      <c r="V214" s="130"/>
      <c r="W214" s="132">
        <v>1</v>
      </c>
      <c r="X214" s="133">
        <f t="shared" si="208"/>
        <v>0</v>
      </c>
      <c r="Y214" s="130">
        <f t="shared" si="209"/>
        <v>0</v>
      </c>
      <c r="Z214" s="132"/>
      <c r="AA214" s="132">
        <f t="shared" si="210"/>
        <v>0</v>
      </c>
      <c r="AB214" s="132"/>
      <c r="AC214" s="131">
        <f t="shared" si="211"/>
        <v>0</v>
      </c>
      <c r="AD214" s="131"/>
      <c r="AE214" s="132" t="s">
        <v>612</v>
      </c>
      <c r="AF214" s="132"/>
      <c r="AG214" s="168"/>
      <c r="AH214" s="134">
        <f t="shared" si="212"/>
        <v>0</v>
      </c>
      <c r="AI214" s="134">
        <f t="shared" si="213"/>
        <v>0</v>
      </c>
      <c r="AJ214" s="134">
        <f t="shared" si="214"/>
        <v>0</v>
      </c>
      <c r="AK214" s="134">
        <f t="shared" si="215"/>
        <v>0</v>
      </c>
      <c r="AL214" s="134">
        <f t="shared" si="216"/>
        <v>0</v>
      </c>
      <c r="AM214" s="134">
        <f t="shared" si="217"/>
        <v>0</v>
      </c>
      <c r="AN214" s="134">
        <f t="shared" si="218"/>
        <v>0</v>
      </c>
      <c r="AO214" s="134">
        <f t="shared" si="219"/>
        <v>0</v>
      </c>
      <c r="AP214" s="134">
        <f t="shared" si="220"/>
        <v>0</v>
      </c>
      <c r="AQ214" s="134">
        <f t="shared" si="221"/>
        <v>0</v>
      </c>
      <c r="AR214" s="134">
        <f t="shared" si="222"/>
        <v>0</v>
      </c>
      <c r="AS214" s="135">
        <f t="shared" si="223"/>
        <v>0</v>
      </c>
      <c r="AT214" s="137" t="str">
        <f t="shared" si="224"/>
        <v>0</v>
      </c>
      <c r="AU214" s="137" t="str">
        <f t="shared" si="225"/>
        <v>0</v>
      </c>
      <c r="AV214" s="137" t="str">
        <f t="shared" si="226"/>
        <v>0</v>
      </c>
      <c r="AW214" s="137" t="str">
        <f t="shared" si="227"/>
        <v>0</v>
      </c>
      <c r="AX214" s="137" t="str">
        <f t="shared" si="228"/>
        <v>0</v>
      </c>
      <c r="AY214" s="137" t="str">
        <f t="shared" si="229"/>
        <v>0</v>
      </c>
      <c r="AZ214" s="137" t="str">
        <f t="shared" si="230"/>
        <v>0</v>
      </c>
      <c r="BA214" s="137" t="str">
        <f t="shared" si="231"/>
        <v>0</v>
      </c>
      <c r="BB214" s="137" t="str">
        <f t="shared" si="232"/>
        <v>0</v>
      </c>
      <c r="BC214" s="137" t="str">
        <f t="shared" si="233"/>
        <v>0</v>
      </c>
      <c r="BD214" s="131">
        <f t="shared" si="234"/>
        <v>0</v>
      </c>
    </row>
    <row r="215" spans="2:56" x14ac:dyDescent="0.25">
      <c r="B215" s="136">
        <v>8203015</v>
      </c>
      <c r="C215" s="128" t="s">
        <v>696</v>
      </c>
      <c r="D215" s="128"/>
      <c r="E215" s="136" t="s">
        <v>361</v>
      </c>
      <c r="F215" s="274"/>
      <c r="G215" s="130">
        <f>+SUMIFS(TablaIngresos[Cantidad],TablaIngresos[Código],'Inventario '!B215)</f>
        <v>0</v>
      </c>
      <c r="H215" s="130">
        <f t="shared" si="205"/>
        <v>0</v>
      </c>
      <c r="I215" s="131">
        <f>SUMIFS(TablaConsumos[[CANTIDAD ]:[CANTIDAD ]],TablaConsumos[[CÓDIGO]:[CÓDIGO]],'Inventario '!$B215,TablaConsumos[[Planta]:[Planta]],'Inventario '!I$1)</f>
        <v>0</v>
      </c>
      <c r="J215" s="131">
        <f>SUMIFS(TablaConsumos[[CANTIDAD ]:[CANTIDAD ]],TablaConsumos[[CÓDIGO]:[CÓDIGO]],'Inventario '!$B215,TablaConsumos[[Planta]:[Planta]],'Inventario '!J$1)</f>
        <v>0</v>
      </c>
      <c r="K215" s="131">
        <f>SUMIFS(TablaConsumos[[CANTIDAD ]:[CANTIDAD ]],TablaConsumos[[CÓDIGO]:[CÓDIGO]],'Inventario '!$B215,TablaConsumos[[Planta]:[Planta]],'Inventario '!K$1)</f>
        <v>0</v>
      </c>
      <c r="L215" s="131">
        <f>SUMIFS(TablaConsumos[[CANTIDAD ]:[CANTIDAD ]],TablaConsumos[[CÓDIGO]:[CÓDIGO]],'Inventario '!$B215,TablaConsumos[[Planta]:[Planta]],'Inventario '!L$1)</f>
        <v>0</v>
      </c>
      <c r="M215" s="131">
        <f>SUMIFS(TablaConsumos[[CANTIDAD ]:[CANTIDAD ]],TablaConsumos[[CÓDIGO]:[CÓDIGO]],'Inventario '!$B215,TablaConsumos[[Planta]:[Planta]],'Inventario '!M$1)</f>
        <v>0</v>
      </c>
      <c r="N215" s="131">
        <f>SUMIFS(TablaConsumos[[CANTIDAD ]:[CANTIDAD ]],TablaConsumos[[CÓDIGO]:[CÓDIGO]],'Inventario '!$B215,TablaConsumos[[Planta]:[Planta]],'Inventario '!N$1)</f>
        <v>0</v>
      </c>
      <c r="O215" s="131">
        <f>SUMIFS(TablaConsumos[[CANTIDAD ]:[CANTIDAD ]],TablaConsumos[[CÓDIGO]:[CÓDIGO]],'Inventario '!$B215,TablaConsumos[[Planta]:[Planta]],'Inventario '!O$1)</f>
        <v>0</v>
      </c>
      <c r="P215" s="131">
        <f>SUMIFS(TablaConsumos[[CANTIDAD ]:[CANTIDAD ]],TablaConsumos[[CÓDIGO]:[CÓDIGO]],'Inventario '!$B215,TablaConsumos[[Planta]:[Planta]],'Inventario '!P$1)</f>
        <v>0</v>
      </c>
      <c r="Q215" s="131">
        <f>SUMIFS(TablaConsumos[[CANTIDAD ]:[CANTIDAD ]],TablaConsumos[[CÓDIGO]:[CÓDIGO]],'Inventario '!$B215,TablaConsumos[[Planta]:[Planta]],'Inventario '!Q$1)</f>
        <v>0</v>
      </c>
      <c r="R215" s="131">
        <f>SUMIFS(TablaConsumos[[CANTIDAD ]:[CANTIDAD ]],TablaConsumos[[CÓDIGO]:[CÓDIGO]],'Inventario '!$B215,TablaConsumos[[Planta]:[Planta]],'Inventario '!R$1)</f>
        <v>0</v>
      </c>
      <c r="S215" s="130">
        <f t="shared" si="206"/>
        <v>0</v>
      </c>
      <c r="T215" s="130">
        <f t="shared" si="207"/>
        <v>0</v>
      </c>
      <c r="U215" s="177"/>
      <c r="V215" s="130"/>
      <c r="W215" s="132">
        <v>1524</v>
      </c>
      <c r="X215" s="133">
        <f t="shared" si="208"/>
        <v>0</v>
      </c>
      <c r="Y215" s="130">
        <f t="shared" si="209"/>
        <v>0</v>
      </c>
      <c r="Z215" s="132"/>
      <c r="AA215" s="132">
        <f t="shared" si="210"/>
        <v>0</v>
      </c>
      <c r="AB215" s="132"/>
      <c r="AC215" s="131">
        <f t="shared" si="211"/>
        <v>0</v>
      </c>
      <c r="AD215" s="131"/>
      <c r="AE215" s="132" t="s">
        <v>618</v>
      </c>
      <c r="AF215" s="132"/>
      <c r="AG215" s="168"/>
      <c r="AH215" s="134">
        <f t="shared" si="212"/>
        <v>0</v>
      </c>
      <c r="AI215" s="134">
        <f t="shared" si="213"/>
        <v>0</v>
      </c>
      <c r="AJ215" s="134">
        <f t="shared" si="214"/>
        <v>0</v>
      </c>
      <c r="AK215" s="134">
        <f t="shared" si="215"/>
        <v>0</v>
      </c>
      <c r="AL215" s="134">
        <f t="shared" si="216"/>
        <v>0</v>
      </c>
      <c r="AM215" s="134">
        <f t="shared" si="217"/>
        <v>0</v>
      </c>
      <c r="AN215" s="134">
        <f t="shared" si="218"/>
        <v>0</v>
      </c>
      <c r="AO215" s="134">
        <f t="shared" si="219"/>
        <v>0</v>
      </c>
      <c r="AP215" s="134">
        <f t="shared" si="220"/>
        <v>0</v>
      </c>
      <c r="AQ215" s="134">
        <f t="shared" si="221"/>
        <v>0</v>
      </c>
      <c r="AR215" s="134">
        <f t="shared" si="222"/>
        <v>0</v>
      </c>
      <c r="AS215" s="135">
        <f t="shared" si="223"/>
        <v>0</v>
      </c>
      <c r="AT215" s="137" t="str">
        <f t="shared" si="224"/>
        <v>0</v>
      </c>
      <c r="AU215" s="137" t="str">
        <f t="shared" si="225"/>
        <v>0</v>
      </c>
      <c r="AV215" s="137" t="str">
        <f t="shared" si="226"/>
        <v>0</v>
      </c>
      <c r="AW215" s="137" t="str">
        <f t="shared" si="227"/>
        <v>0</v>
      </c>
      <c r="AX215" s="137" t="str">
        <f t="shared" si="228"/>
        <v>0</v>
      </c>
      <c r="AY215" s="137" t="str">
        <f t="shared" si="229"/>
        <v>0</v>
      </c>
      <c r="AZ215" s="137" t="str">
        <f t="shared" si="230"/>
        <v>0</v>
      </c>
      <c r="BA215" s="137" t="str">
        <f t="shared" si="231"/>
        <v>0</v>
      </c>
      <c r="BB215" s="137" t="str">
        <f t="shared" si="232"/>
        <v>0</v>
      </c>
      <c r="BC215" s="137" t="str">
        <f t="shared" si="233"/>
        <v>0</v>
      </c>
      <c r="BD215" s="131">
        <f t="shared" si="234"/>
        <v>0</v>
      </c>
    </row>
    <row r="216" spans="2:56" x14ac:dyDescent="0.25">
      <c r="B216" s="136">
        <v>8204500</v>
      </c>
      <c r="C216" s="128" t="s">
        <v>697</v>
      </c>
      <c r="D216" s="128"/>
      <c r="E216" s="136" t="s">
        <v>698</v>
      </c>
      <c r="F216" s="274"/>
      <c r="G216" s="130">
        <f>+SUMIFS(TablaIngresos[Cantidad],TablaIngresos[Código],'Inventario '!B216)</f>
        <v>0</v>
      </c>
      <c r="H216" s="130">
        <f t="shared" si="205"/>
        <v>0</v>
      </c>
      <c r="I216" s="131">
        <f>SUMIFS(TablaConsumos[[CANTIDAD ]:[CANTIDAD ]],TablaConsumos[[CÓDIGO]:[CÓDIGO]],'Inventario '!$B216,TablaConsumos[[Planta]:[Planta]],'Inventario '!I$1)</f>
        <v>0</v>
      </c>
      <c r="J216" s="131">
        <f>SUMIFS(TablaConsumos[[CANTIDAD ]:[CANTIDAD ]],TablaConsumos[[CÓDIGO]:[CÓDIGO]],'Inventario '!$B216,TablaConsumos[[Planta]:[Planta]],'Inventario '!J$1)</f>
        <v>0</v>
      </c>
      <c r="K216" s="131">
        <f>SUMIFS(TablaConsumos[[CANTIDAD ]:[CANTIDAD ]],TablaConsumos[[CÓDIGO]:[CÓDIGO]],'Inventario '!$B216,TablaConsumos[[Planta]:[Planta]],'Inventario '!K$1)</f>
        <v>0</v>
      </c>
      <c r="L216" s="131">
        <f>SUMIFS(TablaConsumos[[CANTIDAD ]:[CANTIDAD ]],TablaConsumos[[CÓDIGO]:[CÓDIGO]],'Inventario '!$B216,TablaConsumos[[Planta]:[Planta]],'Inventario '!L$1)</f>
        <v>0</v>
      </c>
      <c r="M216" s="131">
        <f>SUMIFS(TablaConsumos[[CANTIDAD ]:[CANTIDAD ]],TablaConsumos[[CÓDIGO]:[CÓDIGO]],'Inventario '!$B216,TablaConsumos[[Planta]:[Planta]],'Inventario '!M$1)</f>
        <v>0</v>
      </c>
      <c r="N216" s="131">
        <f>SUMIFS(TablaConsumos[[CANTIDAD ]:[CANTIDAD ]],TablaConsumos[[CÓDIGO]:[CÓDIGO]],'Inventario '!$B216,TablaConsumos[[Planta]:[Planta]],'Inventario '!N$1)</f>
        <v>0</v>
      </c>
      <c r="O216" s="131">
        <f>SUMIFS(TablaConsumos[[CANTIDAD ]:[CANTIDAD ]],TablaConsumos[[CÓDIGO]:[CÓDIGO]],'Inventario '!$B216,TablaConsumos[[Planta]:[Planta]],'Inventario '!O$1)</f>
        <v>0</v>
      </c>
      <c r="P216" s="131">
        <f>SUMIFS(TablaConsumos[[CANTIDAD ]:[CANTIDAD ]],TablaConsumos[[CÓDIGO]:[CÓDIGO]],'Inventario '!$B216,TablaConsumos[[Planta]:[Planta]],'Inventario '!P$1)</f>
        <v>0</v>
      </c>
      <c r="Q216" s="131">
        <f>SUMIFS(TablaConsumos[[CANTIDAD ]:[CANTIDAD ]],TablaConsumos[[CÓDIGO]:[CÓDIGO]],'Inventario '!$B216,TablaConsumos[[Planta]:[Planta]],'Inventario '!Q$1)</f>
        <v>0</v>
      </c>
      <c r="R216" s="131">
        <f>SUMIFS(TablaConsumos[[CANTIDAD ]:[CANTIDAD ]],TablaConsumos[[CÓDIGO]:[CÓDIGO]],'Inventario '!$B216,TablaConsumos[[Planta]:[Planta]],'Inventario '!R$1)</f>
        <v>0</v>
      </c>
      <c r="S216" s="130">
        <f t="shared" si="206"/>
        <v>0</v>
      </c>
      <c r="T216" s="130">
        <f t="shared" si="207"/>
        <v>0</v>
      </c>
      <c r="U216" s="177"/>
      <c r="V216" s="130"/>
      <c r="W216" s="132">
        <v>1</v>
      </c>
      <c r="X216" s="133">
        <f t="shared" si="208"/>
        <v>0</v>
      </c>
      <c r="Y216" s="130">
        <f t="shared" si="209"/>
        <v>0</v>
      </c>
      <c r="Z216" s="132"/>
      <c r="AA216" s="132">
        <f t="shared" si="210"/>
        <v>0</v>
      </c>
      <c r="AB216" s="132"/>
      <c r="AC216" s="131">
        <f t="shared" si="211"/>
        <v>0</v>
      </c>
      <c r="AD216" s="131"/>
      <c r="AE216" s="132" t="s">
        <v>612</v>
      </c>
      <c r="AF216" s="132"/>
      <c r="AG216" s="168"/>
      <c r="AH216" s="134">
        <f t="shared" si="212"/>
        <v>0</v>
      </c>
      <c r="AI216" s="134">
        <f t="shared" si="213"/>
        <v>0</v>
      </c>
      <c r="AJ216" s="134">
        <f t="shared" si="214"/>
        <v>0</v>
      </c>
      <c r="AK216" s="134">
        <f t="shared" si="215"/>
        <v>0</v>
      </c>
      <c r="AL216" s="134">
        <f t="shared" si="216"/>
        <v>0</v>
      </c>
      <c r="AM216" s="134">
        <f t="shared" si="217"/>
        <v>0</v>
      </c>
      <c r="AN216" s="134">
        <f t="shared" si="218"/>
        <v>0</v>
      </c>
      <c r="AO216" s="134">
        <f t="shared" si="219"/>
        <v>0</v>
      </c>
      <c r="AP216" s="134">
        <f t="shared" si="220"/>
        <v>0</v>
      </c>
      <c r="AQ216" s="134">
        <f t="shared" si="221"/>
        <v>0</v>
      </c>
      <c r="AR216" s="134">
        <f t="shared" si="222"/>
        <v>0</v>
      </c>
      <c r="AS216" s="135">
        <f t="shared" si="223"/>
        <v>0</v>
      </c>
      <c r="AT216" s="137" t="str">
        <f t="shared" si="224"/>
        <v>0</v>
      </c>
      <c r="AU216" s="137" t="str">
        <f t="shared" si="225"/>
        <v>0</v>
      </c>
      <c r="AV216" s="137" t="str">
        <f t="shared" si="226"/>
        <v>0</v>
      </c>
      <c r="AW216" s="137" t="str">
        <f t="shared" si="227"/>
        <v>0</v>
      </c>
      <c r="AX216" s="137" t="str">
        <f t="shared" si="228"/>
        <v>0</v>
      </c>
      <c r="AY216" s="137" t="str">
        <f t="shared" si="229"/>
        <v>0</v>
      </c>
      <c r="AZ216" s="137" t="str">
        <f t="shared" si="230"/>
        <v>0</v>
      </c>
      <c r="BA216" s="137" t="str">
        <f t="shared" si="231"/>
        <v>0</v>
      </c>
      <c r="BB216" s="137" t="str">
        <f t="shared" si="232"/>
        <v>0</v>
      </c>
      <c r="BC216" s="137" t="str">
        <f t="shared" si="233"/>
        <v>0</v>
      </c>
      <c r="BD216" s="131">
        <f t="shared" si="234"/>
        <v>0</v>
      </c>
    </row>
    <row r="217" spans="2:56" x14ac:dyDescent="0.25">
      <c r="B217" s="136">
        <v>8204587</v>
      </c>
      <c r="C217" s="128" t="s">
        <v>365</v>
      </c>
      <c r="D217" s="128"/>
      <c r="E217" s="136" t="s">
        <v>699</v>
      </c>
      <c r="F217" s="274"/>
      <c r="G217" s="130">
        <f>+SUMIFS(TablaIngresos[Cantidad],TablaIngresos[Código],'Inventario '!B217)</f>
        <v>0</v>
      </c>
      <c r="H217" s="130">
        <f t="shared" si="205"/>
        <v>0</v>
      </c>
      <c r="I217" s="131">
        <f>SUMIFS(TablaConsumos[[CANTIDAD ]:[CANTIDAD ]],TablaConsumos[[CÓDIGO]:[CÓDIGO]],'Inventario '!$B217,TablaConsumos[[Planta]:[Planta]],'Inventario '!I$1)</f>
        <v>0</v>
      </c>
      <c r="J217" s="131">
        <f>SUMIFS(TablaConsumos[[CANTIDAD ]:[CANTIDAD ]],TablaConsumos[[CÓDIGO]:[CÓDIGO]],'Inventario '!$B217,TablaConsumos[[Planta]:[Planta]],'Inventario '!J$1)</f>
        <v>0</v>
      </c>
      <c r="K217" s="131">
        <f>SUMIFS(TablaConsumos[[CANTIDAD ]:[CANTIDAD ]],TablaConsumos[[CÓDIGO]:[CÓDIGO]],'Inventario '!$B217,TablaConsumos[[Planta]:[Planta]],'Inventario '!K$1)</f>
        <v>0</v>
      </c>
      <c r="L217" s="131">
        <f>SUMIFS(TablaConsumos[[CANTIDAD ]:[CANTIDAD ]],TablaConsumos[[CÓDIGO]:[CÓDIGO]],'Inventario '!$B217,TablaConsumos[[Planta]:[Planta]],'Inventario '!L$1)</f>
        <v>0</v>
      </c>
      <c r="M217" s="131">
        <f>SUMIFS(TablaConsumos[[CANTIDAD ]:[CANTIDAD ]],TablaConsumos[[CÓDIGO]:[CÓDIGO]],'Inventario '!$B217,TablaConsumos[[Planta]:[Planta]],'Inventario '!M$1)</f>
        <v>0</v>
      </c>
      <c r="N217" s="131">
        <f>SUMIFS(TablaConsumos[[CANTIDAD ]:[CANTIDAD ]],TablaConsumos[[CÓDIGO]:[CÓDIGO]],'Inventario '!$B217,TablaConsumos[[Planta]:[Planta]],'Inventario '!N$1)</f>
        <v>0</v>
      </c>
      <c r="O217" s="131">
        <f>SUMIFS(TablaConsumos[[CANTIDAD ]:[CANTIDAD ]],TablaConsumos[[CÓDIGO]:[CÓDIGO]],'Inventario '!$B217,TablaConsumos[[Planta]:[Planta]],'Inventario '!O$1)</f>
        <v>0</v>
      </c>
      <c r="P217" s="131">
        <f>SUMIFS(TablaConsumos[[CANTIDAD ]:[CANTIDAD ]],TablaConsumos[[CÓDIGO]:[CÓDIGO]],'Inventario '!$B217,TablaConsumos[[Planta]:[Planta]],'Inventario '!P$1)</f>
        <v>0</v>
      </c>
      <c r="Q217" s="131">
        <f>SUMIFS(TablaConsumos[[CANTIDAD ]:[CANTIDAD ]],TablaConsumos[[CÓDIGO]:[CÓDIGO]],'Inventario '!$B217,TablaConsumos[[Planta]:[Planta]],'Inventario '!Q$1)</f>
        <v>0</v>
      </c>
      <c r="R217" s="131">
        <f>SUMIFS(TablaConsumos[[CANTIDAD ]:[CANTIDAD ]],TablaConsumos[[CÓDIGO]:[CÓDIGO]],'Inventario '!$B217,TablaConsumos[[Planta]:[Planta]],'Inventario '!R$1)</f>
        <v>0</v>
      </c>
      <c r="S217" s="130">
        <f t="shared" si="206"/>
        <v>0</v>
      </c>
      <c r="T217" s="130">
        <f t="shared" si="207"/>
        <v>0</v>
      </c>
      <c r="U217" s="177"/>
      <c r="V217" s="130"/>
      <c r="W217" s="132">
        <v>1</v>
      </c>
      <c r="X217" s="133">
        <f t="shared" si="208"/>
        <v>0</v>
      </c>
      <c r="Y217" s="130">
        <f t="shared" si="209"/>
        <v>0</v>
      </c>
      <c r="Z217" s="132"/>
      <c r="AA217" s="132">
        <f t="shared" si="210"/>
        <v>0</v>
      </c>
      <c r="AB217" s="132"/>
      <c r="AC217" s="131">
        <f t="shared" si="211"/>
        <v>0</v>
      </c>
      <c r="AD217" s="131"/>
      <c r="AE217" s="132" t="s">
        <v>612</v>
      </c>
      <c r="AF217" s="132"/>
      <c r="AG217" s="168"/>
      <c r="AH217" s="134">
        <f t="shared" si="212"/>
        <v>0</v>
      </c>
      <c r="AI217" s="134">
        <f t="shared" si="213"/>
        <v>0</v>
      </c>
      <c r="AJ217" s="134">
        <f t="shared" si="214"/>
        <v>0</v>
      </c>
      <c r="AK217" s="134">
        <f t="shared" si="215"/>
        <v>0</v>
      </c>
      <c r="AL217" s="134">
        <f t="shared" si="216"/>
        <v>0</v>
      </c>
      <c r="AM217" s="134">
        <f t="shared" si="217"/>
        <v>0</v>
      </c>
      <c r="AN217" s="134">
        <f t="shared" si="218"/>
        <v>0</v>
      </c>
      <c r="AO217" s="134">
        <f t="shared" si="219"/>
        <v>0</v>
      </c>
      <c r="AP217" s="134">
        <f t="shared" si="220"/>
        <v>0</v>
      </c>
      <c r="AQ217" s="134">
        <f t="shared" si="221"/>
        <v>0</v>
      </c>
      <c r="AR217" s="134">
        <f t="shared" si="222"/>
        <v>0</v>
      </c>
      <c r="AS217" s="135">
        <f t="shared" si="223"/>
        <v>0</v>
      </c>
      <c r="AT217" s="137" t="str">
        <f t="shared" si="224"/>
        <v>0</v>
      </c>
      <c r="AU217" s="137" t="str">
        <f t="shared" si="225"/>
        <v>0</v>
      </c>
      <c r="AV217" s="137" t="str">
        <f t="shared" si="226"/>
        <v>0</v>
      </c>
      <c r="AW217" s="137" t="str">
        <f t="shared" si="227"/>
        <v>0</v>
      </c>
      <c r="AX217" s="137" t="str">
        <f t="shared" si="228"/>
        <v>0</v>
      </c>
      <c r="AY217" s="137" t="str">
        <f t="shared" si="229"/>
        <v>0</v>
      </c>
      <c r="AZ217" s="137" t="str">
        <f t="shared" si="230"/>
        <v>0</v>
      </c>
      <c r="BA217" s="137" t="str">
        <f t="shared" si="231"/>
        <v>0</v>
      </c>
      <c r="BB217" s="137" t="str">
        <f t="shared" si="232"/>
        <v>0</v>
      </c>
      <c r="BC217" s="137" t="str">
        <f t="shared" si="233"/>
        <v>0</v>
      </c>
      <c r="BD217" s="131">
        <f t="shared" si="234"/>
        <v>0</v>
      </c>
    </row>
    <row r="218" spans="2:56" x14ac:dyDescent="0.25">
      <c r="B218" s="136">
        <v>8204588</v>
      </c>
      <c r="C218" s="128" t="s">
        <v>700</v>
      </c>
      <c r="D218" s="128"/>
      <c r="E218" s="136" t="s">
        <v>367</v>
      </c>
      <c r="F218" s="274"/>
      <c r="G218" s="130">
        <f>+SUMIFS(TablaIngresos[Cantidad],TablaIngresos[Código],'Inventario '!B218)</f>
        <v>0</v>
      </c>
      <c r="H218" s="130">
        <f t="shared" si="205"/>
        <v>0</v>
      </c>
      <c r="I218" s="131">
        <f>SUMIFS(TablaConsumos[[CANTIDAD ]:[CANTIDAD ]],TablaConsumos[[CÓDIGO]:[CÓDIGO]],'Inventario '!$B218,TablaConsumos[[Planta]:[Planta]],'Inventario '!I$1)</f>
        <v>0</v>
      </c>
      <c r="J218" s="131">
        <f>SUMIFS(TablaConsumos[[CANTIDAD ]:[CANTIDAD ]],TablaConsumos[[CÓDIGO]:[CÓDIGO]],'Inventario '!$B218,TablaConsumos[[Planta]:[Planta]],'Inventario '!J$1)</f>
        <v>0</v>
      </c>
      <c r="K218" s="131">
        <f>SUMIFS(TablaConsumos[[CANTIDAD ]:[CANTIDAD ]],TablaConsumos[[CÓDIGO]:[CÓDIGO]],'Inventario '!$B218,TablaConsumos[[Planta]:[Planta]],'Inventario '!K$1)</f>
        <v>0</v>
      </c>
      <c r="L218" s="131">
        <f>SUMIFS(TablaConsumos[[CANTIDAD ]:[CANTIDAD ]],TablaConsumos[[CÓDIGO]:[CÓDIGO]],'Inventario '!$B218,TablaConsumos[[Planta]:[Planta]],'Inventario '!L$1)</f>
        <v>0</v>
      </c>
      <c r="M218" s="131">
        <f>SUMIFS(TablaConsumos[[CANTIDAD ]:[CANTIDAD ]],TablaConsumos[[CÓDIGO]:[CÓDIGO]],'Inventario '!$B218,TablaConsumos[[Planta]:[Planta]],'Inventario '!M$1)</f>
        <v>0</v>
      </c>
      <c r="N218" s="131">
        <f>SUMIFS(TablaConsumos[[CANTIDAD ]:[CANTIDAD ]],TablaConsumos[[CÓDIGO]:[CÓDIGO]],'Inventario '!$B218,TablaConsumos[[Planta]:[Planta]],'Inventario '!N$1)</f>
        <v>0</v>
      </c>
      <c r="O218" s="131">
        <f>SUMIFS(TablaConsumos[[CANTIDAD ]:[CANTIDAD ]],TablaConsumos[[CÓDIGO]:[CÓDIGO]],'Inventario '!$B218,TablaConsumos[[Planta]:[Planta]],'Inventario '!O$1)</f>
        <v>0</v>
      </c>
      <c r="P218" s="131">
        <f>SUMIFS(TablaConsumos[[CANTIDAD ]:[CANTIDAD ]],TablaConsumos[[CÓDIGO]:[CÓDIGO]],'Inventario '!$B218,TablaConsumos[[Planta]:[Planta]],'Inventario '!P$1)</f>
        <v>0</v>
      </c>
      <c r="Q218" s="131">
        <f>SUMIFS(TablaConsumos[[CANTIDAD ]:[CANTIDAD ]],TablaConsumos[[CÓDIGO]:[CÓDIGO]],'Inventario '!$B218,TablaConsumos[[Planta]:[Planta]],'Inventario '!Q$1)</f>
        <v>0</v>
      </c>
      <c r="R218" s="131">
        <f>SUMIFS(TablaConsumos[[CANTIDAD ]:[CANTIDAD ]],TablaConsumos[[CÓDIGO]:[CÓDIGO]],'Inventario '!$B218,TablaConsumos[[Planta]:[Planta]],'Inventario '!R$1)</f>
        <v>0</v>
      </c>
      <c r="S218" s="130">
        <f t="shared" si="206"/>
        <v>0</v>
      </c>
      <c r="T218" s="130">
        <f t="shared" si="207"/>
        <v>0</v>
      </c>
      <c r="U218" s="177"/>
      <c r="V218" s="130"/>
      <c r="W218" s="132">
        <v>1</v>
      </c>
      <c r="X218" s="133">
        <f t="shared" si="208"/>
        <v>0</v>
      </c>
      <c r="Y218" s="130">
        <f t="shared" si="209"/>
        <v>0</v>
      </c>
      <c r="Z218" s="132"/>
      <c r="AA218" s="132">
        <f t="shared" si="210"/>
        <v>0</v>
      </c>
      <c r="AB218" s="132"/>
      <c r="AC218" s="131">
        <f t="shared" si="211"/>
        <v>0</v>
      </c>
      <c r="AD218" s="131"/>
      <c r="AE218" s="132" t="s">
        <v>612</v>
      </c>
      <c r="AF218" s="132"/>
      <c r="AG218" s="168"/>
      <c r="AH218" s="134">
        <f t="shared" si="212"/>
        <v>0</v>
      </c>
      <c r="AI218" s="134">
        <f t="shared" si="213"/>
        <v>0</v>
      </c>
      <c r="AJ218" s="134">
        <f t="shared" si="214"/>
        <v>0</v>
      </c>
      <c r="AK218" s="134">
        <f t="shared" si="215"/>
        <v>0</v>
      </c>
      <c r="AL218" s="134">
        <f t="shared" si="216"/>
        <v>0</v>
      </c>
      <c r="AM218" s="134">
        <f t="shared" si="217"/>
        <v>0</v>
      </c>
      <c r="AN218" s="134">
        <f t="shared" si="218"/>
        <v>0</v>
      </c>
      <c r="AO218" s="134">
        <f t="shared" si="219"/>
        <v>0</v>
      </c>
      <c r="AP218" s="134">
        <f t="shared" si="220"/>
        <v>0</v>
      </c>
      <c r="AQ218" s="134">
        <f t="shared" si="221"/>
        <v>0</v>
      </c>
      <c r="AR218" s="134">
        <f t="shared" si="222"/>
        <v>0</v>
      </c>
      <c r="AS218" s="135">
        <f t="shared" si="223"/>
        <v>0</v>
      </c>
      <c r="AT218" s="137" t="str">
        <f t="shared" si="224"/>
        <v>0</v>
      </c>
      <c r="AU218" s="137" t="str">
        <f t="shared" si="225"/>
        <v>0</v>
      </c>
      <c r="AV218" s="137" t="str">
        <f t="shared" si="226"/>
        <v>0</v>
      </c>
      <c r="AW218" s="137" t="str">
        <f t="shared" si="227"/>
        <v>0</v>
      </c>
      <c r="AX218" s="137" t="str">
        <f t="shared" si="228"/>
        <v>0</v>
      </c>
      <c r="AY218" s="137" t="str">
        <f t="shared" si="229"/>
        <v>0</v>
      </c>
      <c r="AZ218" s="137" t="str">
        <f t="shared" si="230"/>
        <v>0</v>
      </c>
      <c r="BA218" s="137" t="str">
        <f t="shared" si="231"/>
        <v>0</v>
      </c>
      <c r="BB218" s="137" t="str">
        <f t="shared" si="232"/>
        <v>0</v>
      </c>
      <c r="BC218" s="137" t="str">
        <f t="shared" si="233"/>
        <v>0</v>
      </c>
      <c r="BD218" s="131">
        <f t="shared" si="234"/>
        <v>0</v>
      </c>
    </row>
    <row r="219" spans="2:56" x14ac:dyDescent="0.25">
      <c r="B219" s="136">
        <v>8204790</v>
      </c>
      <c r="C219" s="128" t="s">
        <v>17</v>
      </c>
      <c r="D219" s="128"/>
      <c r="E219" s="136" t="s">
        <v>368</v>
      </c>
      <c r="F219" s="274"/>
      <c r="G219" s="130">
        <f>+SUMIFS(TablaIngresos[Cantidad],TablaIngresos[Código],'Inventario '!B219)</f>
        <v>0</v>
      </c>
      <c r="H219" s="130">
        <f t="shared" si="205"/>
        <v>0</v>
      </c>
      <c r="I219" s="131">
        <f>SUMIFS(TablaConsumos[[CANTIDAD ]:[CANTIDAD ]],TablaConsumos[[CÓDIGO]:[CÓDIGO]],'Inventario '!$B219,TablaConsumos[[Planta]:[Planta]],'Inventario '!I$1)</f>
        <v>0</v>
      </c>
      <c r="J219" s="131">
        <f>SUMIFS(TablaConsumos[[CANTIDAD ]:[CANTIDAD ]],TablaConsumos[[CÓDIGO]:[CÓDIGO]],'Inventario '!$B219,TablaConsumos[[Planta]:[Planta]],'Inventario '!J$1)</f>
        <v>0</v>
      </c>
      <c r="K219" s="131">
        <f>SUMIFS(TablaConsumos[[CANTIDAD ]:[CANTIDAD ]],TablaConsumos[[CÓDIGO]:[CÓDIGO]],'Inventario '!$B219,TablaConsumos[[Planta]:[Planta]],'Inventario '!K$1)</f>
        <v>0</v>
      </c>
      <c r="L219" s="131">
        <f>SUMIFS(TablaConsumos[[CANTIDAD ]:[CANTIDAD ]],TablaConsumos[[CÓDIGO]:[CÓDIGO]],'Inventario '!$B219,TablaConsumos[[Planta]:[Planta]],'Inventario '!L$1)</f>
        <v>0</v>
      </c>
      <c r="M219" s="131">
        <f>SUMIFS(TablaConsumos[[CANTIDAD ]:[CANTIDAD ]],TablaConsumos[[CÓDIGO]:[CÓDIGO]],'Inventario '!$B219,TablaConsumos[[Planta]:[Planta]],'Inventario '!M$1)</f>
        <v>0</v>
      </c>
      <c r="N219" s="131">
        <f>SUMIFS(TablaConsumos[[CANTIDAD ]:[CANTIDAD ]],TablaConsumos[[CÓDIGO]:[CÓDIGO]],'Inventario '!$B219,TablaConsumos[[Planta]:[Planta]],'Inventario '!N$1)</f>
        <v>0</v>
      </c>
      <c r="O219" s="131">
        <f>SUMIFS(TablaConsumos[[CANTIDAD ]:[CANTIDAD ]],TablaConsumos[[CÓDIGO]:[CÓDIGO]],'Inventario '!$B219,TablaConsumos[[Planta]:[Planta]],'Inventario '!O$1)</f>
        <v>0</v>
      </c>
      <c r="P219" s="131">
        <f>SUMIFS(TablaConsumos[[CANTIDAD ]:[CANTIDAD ]],TablaConsumos[[CÓDIGO]:[CÓDIGO]],'Inventario '!$B219,TablaConsumos[[Planta]:[Planta]],'Inventario '!P$1)</f>
        <v>0</v>
      </c>
      <c r="Q219" s="131">
        <f>SUMIFS(TablaConsumos[[CANTIDAD ]:[CANTIDAD ]],TablaConsumos[[CÓDIGO]:[CÓDIGO]],'Inventario '!$B219,TablaConsumos[[Planta]:[Planta]],'Inventario '!Q$1)</f>
        <v>0</v>
      </c>
      <c r="R219" s="131">
        <f>SUMIFS(TablaConsumos[[CANTIDAD ]:[CANTIDAD ]],TablaConsumos[[CÓDIGO]:[CÓDIGO]],'Inventario '!$B219,TablaConsumos[[Planta]:[Planta]],'Inventario '!R$1)</f>
        <v>0</v>
      </c>
      <c r="S219" s="130">
        <f t="shared" si="206"/>
        <v>0</v>
      </c>
      <c r="T219" s="130">
        <f t="shared" si="207"/>
        <v>0</v>
      </c>
      <c r="U219" s="177"/>
      <c r="V219" s="130"/>
      <c r="W219" s="132">
        <v>1</v>
      </c>
      <c r="X219" s="133">
        <f t="shared" si="208"/>
        <v>0</v>
      </c>
      <c r="Y219" s="130">
        <f t="shared" si="209"/>
        <v>0</v>
      </c>
      <c r="Z219" s="132"/>
      <c r="AA219" s="132">
        <f t="shared" si="210"/>
        <v>0</v>
      </c>
      <c r="AB219" s="132"/>
      <c r="AC219" s="131">
        <f t="shared" si="211"/>
        <v>0</v>
      </c>
      <c r="AD219" s="131"/>
      <c r="AE219" s="132" t="s">
        <v>616</v>
      </c>
      <c r="AF219" s="132"/>
      <c r="AG219" s="168"/>
      <c r="AH219" s="134">
        <f t="shared" si="212"/>
        <v>0</v>
      </c>
      <c r="AI219" s="134">
        <f t="shared" si="213"/>
        <v>0</v>
      </c>
      <c r="AJ219" s="134">
        <f t="shared" si="214"/>
        <v>0</v>
      </c>
      <c r="AK219" s="134">
        <f t="shared" si="215"/>
        <v>0</v>
      </c>
      <c r="AL219" s="134">
        <f t="shared" si="216"/>
        <v>0</v>
      </c>
      <c r="AM219" s="134">
        <f t="shared" si="217"/>
        <v>0</v>
      </c>
      <c r="AN219" s="134">
        <f t="shared" si="218"/>
        <v>0</v>
      </c>
      <c r="AO219" s="134">
        <f t="shared" si="219"/>
        <v>0</v>
      </c>
      <c r="AP219" s="134">
        <f t="shared" si="220"/>
        <v>0</v>
      </c>
      <c r="AQ219" s="134">
        <f t="shared" si="221"/>
        <v>0</v>
      </c>
      <c r="AR219" s="134">
        <f t="shared" si="222"/>
        <v>0</v>
      </c>
      <c r="AS219" s="135">
        <f t="shared" si="223"/>
        <v>0</v>
      </c>
      <c r="AT219" s="137" t="str">
        <f t="shared" si="224"/>
        <v>0</v>
      </c>
      <c r="AU219" s="137" t="str">
        <f t="shared" si="225"/>
        <v>0</v>
      </c>
      <c r="AV219" s="137" t="str">
        <f t="shared" si="226"/>
        <v>0</v>
      </c>
      <c r="AW219" s="137" t="str">
        <f t="shared" si="227"/>
        <v>0</v>
      </c>
      <c r="AX219" s="137" t="str">
        <f t="shared" si="228"/>
        <v>0</v>
      </c>
      <c r="AY219" s="137" t="str">
        <f t="shared" si="229"/>
        <v>0</v>
      </c>
      <c r="AZ219" s="137" t="str">
        <f t="shared" si="230"/>
        <v>0</v>
      </c>
      <c r="BA219" s="137" t="str">
        <f t="shared" si="231"/>
        <v>0</v>
      </c>
      <c r="BB219" s="137" t="str">
        <f t="shared" si="232"/>
        <v>0</v>
      </c>
      <c r="BC219" s="137" t="str">
        <f t="shared" si="233"/>
        <v>0</v>
      </c>
      <c r="BD219" s="131">
        <f t="shared" si="234"/>
        <v>0</v>
      </c>
    </row>
    <row r="220" spans="2:56" x14ac:dyDescent="0.25">
      <c r="B220" s="136">
        <v>8204791</v>
      </c>
      <c r="C220" s="128" t="s">
        <v>17</v>
      </c>
      <c r="D220" s="128"/>
      <c r="E220" s="136" t="s">
        <v>369</v>
      </c>
      <c r="F220" s="274"/>
      <c r="G220" s="130">
        <f>+SUMIFS(TablaIngresos[Cantidad],TablaIngresos[Código],'Inventario '!B220)</f>
        <v>0</v>
      </c>
      <c r="H220" s="130">
        <f t="shared" si="205"/>
        <v>0</v>
      </c>
      <c r="I220" s="131">
        <f>SUMIFS(TablaConsumos[[CANTIDAD ]:[CANTIDAD ]],TablaConsumos[[CÓDIGO]:[CÓDIGO]],'Inventario '!$B220,TablaConsumos[[Planta]:[Planta]],'Inventario '!I$1)</f>
        <v>0</v>
      </c>
      <c r="J220" s="131">
        <f>SUMIFS(TablaConsumos[[CANTIDAD ]:[CANTIDAD ]],TablaConsumos[[CÓDIGO]:[CÓDIGO]],'Inventario '!$B220,TablaConsumos[[Planta]:[Planta]],'Inventario '!J$1)</f>
        <v>0</v>
      </c>
      <c r="K220" s="131">
        <f>SUMIFS(TablaConsumos[[CANTIDAD ]:[CANTIDAD ]],TablaConsumos[[CÓDIGO]:[CÓDIGO]],'Inventario '!$B220,TablaConsumos[[Planta]:[Planta]],'Inventario '!K$1)</f>
        <v>0</v>
      </c>
      <c r="L220" s="131">
        <f>SUMIFS(TablaConsumos[[CANTIDAD ]:[CANTIDAD ]],TablaConsumos[[CÓDIGO]:[CÓDIGO]],'Inventario '!$B220,TablaConsumos[[Planta]:[Planta]],'Inventario '!L$1)</f>
        <v>0</v>
      </c>
      <c r="M220" s="131">
        <f>SUMIFS(TablaConsumos[[CANTIDAD ]:[CANTIDAD ]],TablaConsumos[[CÓDIGO]:[CÓDIGO]],'Inventario '!$B220,TablaConsumos[[Planta]:[Planta]],'Inventario '!M$1)</f>
        <v>0</v>
      </c>
      <c r="N220" s="131">
        <f>SUMIFS(TablaConsumos[[CANTIDAD ]:[CANTIDAD ]],TablaConsumos[[CÓDIGO]:[CÓDIGO]],'Inventario '!$B220,TablaConsumos[[Planta]:[Planta]],'Inventario '!N$1)</f>
        <v>0</v>
      </c>
      <c r="O220" s="131">
        <f>SUMIFS(TablaConsumos[[CANTIDAD ]:[CANTIDAD ]],TablaConsumos[[CÓDIGO]:[CÓDIGO]],'Inventario '!$B220,TablaConsumos[[Planta]:[Planta]],'Inventario '!O$1)</f>
        <v>0</v>
      </c>
      <c r="P220" s="131">
        <f>SUMIFS(TablaConsumos[[CANTIDAD ]:[CANTIDAD ]],TablaConsumos[[CÓDIGO]:[CÓDIGO]],'Inventario '!$B220,TablaConsumos[[Planta]:[Planta]],'Inventario '!P$1)</f>
        <v>0</v>
      </c>
      <c r="Q220" s="131">
        <f>SUMIFS(TablaConsumos[[CANTIDAD ]:[CANTIDAD ]],TablaConsumos[[CÓDIGO]:[CÓDIGO]],'Inventario '!$B220,TablaConsumos[[Planta]:[Planta]],'Inventario '!Q$1)</f>
        <v>0</v>
      </c>
      <c r="R220" s="131">
        <f>SUMIFS(TablaConsumos[[CANTIDAD ]:[CANTIDAD ]],TablaConsumos[[CÓDIGO]:[CÓDIGO]],'Inventario '!$B220,TablaConsumos[[Planta]:[Planta]],'Inventario '!R$1)</f>
        <v>0</v>
      </c>
      <c r="S220" s="130">
        <f t="shared" si="206"/>
        <v>0</v>
      </c>
      <c r="T220" s="130">
        <f t="shared" si="207"/>
        <v>0</v>
      </c>
      <c r="U220" s="177"/>
      <c r="V220" s="130"/>
      <c r="W220" s="132">
        <v>1</v>
      </c>
      <c r="X220" s="133">
        <f t="shared" si="208"/>
        <v>0</v>
      </c>
      <c r="Y220" s="130">
        <f t="shared" si="209"/>
        <v>0</v>
      </c>
      <c r="Z220" s="132"/>
      <c r="AA220" s="132">
        <f t="shared" si="210"/>
        <v>0</v>
      </c>
      <c r="AB220" s="132"/>
      <c r="AC220" s="131">
        <f t="shared" si="211"/>
        <v>0</v>
      </c>
      <c r="AD220" s="131"/>
      <c r="AE220" s="132" t="s">
        <v>616</v>
      </c>
      <c r="AF220" s="132"/>
      <c r="AG220" s="168"/>
      <c r="AH220" s="134">
        <f t="shared" si="212"/>
        <v>0</v>
      </c>
      <c r="AI220" s="134">
        <f t="shared" si="213"/>
        <v>0</v>
      </c>
      <c r="AJ220" s="134">
        <f t="shared" si="214"/>
        <v>0</v>
      </c>
      <c r="AK220" s="134">
        <f t="shared" si="215"/>
        <v>0</v>
      </c>
      <c r="AL220" s="134">
        <f t="shared" si="216"/>
        <v>0</v>
      </c>
      <c r="AM220" s="134">
        <f t="shared" si="217"/>
        <v>0</v>
      </c>
      <c r="AN220" s="134">
        <f t="shared" si="218"/>
        <v>0</v>
      </c>
      <c r="AO220" s="134">
        <f t="shared" si="219"/>
        <v>0</v>
      </c>
      <c r="AP220" s="134">
        <f t="shared" si="220"/>
        <v>0</v>
      </c>
      <c r="AQ220" s="134">
        <f t="shared" si="221"/>
        <v>0</v>
      </c>
      <c r="AR220" s="134">
        <f t="shared" si="222"/>
        <v>0</v>
      </c>
      <c r="AS220" s="135">
        <f t="shared" si="223"/>
        <v>0</v>
      </c>
      <c r="AT220" s="137" t="str">
        <f t="shared" si="224"/>
        <v>0</v>
      </c>
      <c r="AU220" s="137" t="str">
        <f t="shared" si="225"/>
        <v>0</v>
      </c>
      <c r="AV220" s="137" t="str">
        <f t="shared" si="226"/>
        <v>0</v>
      </c>
      <c r="AW220" s="137" t="str">
        <f t="shared" si="227"/>
        <v>0</v>
      </c>
      <c r="AX220" s="137" t="str">
        <f t="shared" si="228"/>
        <v>0</v>
      </c>
      <c r="AY220" s="137" t="str">
        <f t="shared" si="229"/>
        <v>0</v>
      </c>
      <c r="AZ220" s="137" t="str">
        <f t="shared" si="230"/>
        <v>0</v>
      </c>
      <c r="BA220" s="137" t="str">
        <f t="shared" si="231"/>
        <v>0</v>
      </c>
      <c r="BB220" s="137" t="str">
        <f t="shared" si="232"/>
        <v>0</v>
      </c>
      <c r="BC220" s="137" t="str">
        <f t="shared" si="233"/>
        <v>0</v>
      </c>
      <c r="BD220" s="131">
        <f t="shared" si="234"/>
        <v>0</v>
      </c>
    </row>
    <row r="221" spans="2:56" x14ac:dyDescent="0.25">
      <c r="B221" s="243">
        <v>8205750</v>
      </c>
      <c r="C221" s="44" t="s">
        <v>17</v>
      </c>
      <c r="D221" s="44"/>
      <c r="E221" s="243" t="s">
        <v>879</v>
      </c>
      <c r="F221" s="274"/>
      <c r="G221" s="130">
        <f>+SUMIFS(TablaIngresos[Cantidad],TablaIngresos[Código],'Inventario '!B221)</f>
        <v>0</v>
      </c>
      <c r="H221" s="130">
        <f t="shared" si="205"/>
        <v>0</v>
      </c>
      <c r="I221" s="131">
        <f>SUMIFS(TablaConsumos[[CANTIDAD ]:[CANTIDAD ]],TablaConsumos[[CÓDIGO]:[CÓDIGO]],'Inventario '!$B221,TablaConsumos[[Planta]:[Planta]],'Inventario '!I$1)</f>
        <v>0</v>
      </c>
      <c r="J221" s="131">
        <f>SUMIFS(TablaConsumos[[CANTIDAD ]:[CANTIDAD ]],TablaConsumos[[CÓDIGO]:[CÓDIGO]],'Inventario '!$B221,TablaConsumos[[Planta]:[Planta]],'Inventario '!J$1)</f>
        <v>0</v>
      </c>
      <c r="K221" s="131">
        <f>SUMIFS(TablaConsumos[[CANTIDAD ]:[CANTIDAD ]],TablaConsumos[[CÓDIGO]:[CÓDIGO]],'Inventario '!$B221,TablaConsumos[[Planta]:[Planta]],'Inventario '!K$1)</f>
        <v>0</v>
      </c>
      <c r="L221" s="131">
        <f>SUMIFS(TablaConsumos[[CANTIDAD ]:[CANTIDAD ]],TablaConsumos[[CÓDIGO]:[CÓDIGO]],'Inventario '!$B221,TablaConsumos[[Planta]:[Planta]],'Inventario '!L$1)</f>
        <v>0</v>
      </c>
      <c r="M221" s="131">
        <f>SUMIFS(TablaConsumos[[CANTIDAD ]:[CANTIDAD ]],TablaConsumos[[CÓDIGO]:[CÓDIGO]],'Inventario '!$B221,TablaConsumos[[Planta]:[Planta]],'Inventario '!M$1)</f>
        <v>0</v>
      </c>
      <c r="N221" s="131">
        <f>SUMIFS(TablaConsumos[[CANTIDAD ]:[CANTIDAD ]],TablaConsumos[[CÓDIGO]:[CÓDIGO]],'Inventario '!$B221,TablaConsumos[[Planta]:[Planta]],'Inventario '!N$1)</f>
        <v>0</v>
      </c>
      <c r="O221" s="131">
        <f>SUMIFS(TablaConsumos[[CANTIDAD ]:[CANTIDAD ]],TablaConsumos[[CÓDIGO]:[CÓDIGO]],'Inventario '!$B221,TablaConsumos[[Planta]:[Planta]],'Inventario '!O$1)</f>
        <v>0</v>
      </c>
      <c r="P221" s="131">
        <f>SUMIFS(TablaConsumos[[CANTIDAD ]:[CANTIDAD ]],TablaConsumos[[CÓDIGO]:[CÓDIGO]],'Inventario '!$B221,TablaConsumos[[Planta]:[Planta]],'Inventario '!P$1)</f>
        <v>0</v>
      </c>
      <c r="Q221" s="131">
        <f>SUMIFS(TablaConsumos[[CANTIDAD ]:[CANTIDAD ]],TablaConsumos[[CÓDIGO]:[CÓDIGO]],'Inventario '!$B221,TablaConsumos[[Planta]:[Planta]],'Inventario '!Q$1)</f>
        <v>0</v>
      </c>
      <c r="R221" s="131">
        <f>SUMIFS(TablaConsumos[[CANTIDAD ]:[CANTIDAD ]],TablaConsumos[[CÓDIGO]:[CÓDIGO]],'Inventario '!$B221,TablaConsumos[[Planta]:[Planta]],'Inventario '!R$1)</f>
        <v>0</v>
      </c>
      <c r="S221" s="130">
        <f t="shared" si="206"/>
        <v>0</v>
      </c>
      <c r="T221" s="130">
        <f t="shared" si="207"/>
        <v>0</v>
      </c>
      <c r="U221" s="177"/>
      <c r="V221" s="130"/>
      <c r="W221" s="132">
        <v>1</v>
      </c>
      <c r="X221" s="133">
        <f>+U221*W221</f>
        <v>0</v>
      </c>
      <c r="Y221" s="130">
        <f t="shared" si="209"/>
        <v>0</v>
      </c>
      <c r="Z221" s="132"/>
      <c r="AA221" s="132">
        <f t="shared" si="210"/>
        <v>0</v>
      </c>
      <c r="AB221" s="132"/>
      <c r="AC221" s="131">
        <f t="shared" si="211"/>
        <v>0</v>
      </c>
      <c r="AD221" s="131"/>
      <c r="AE221" s="132" t="s">
        <v>615</v>
      </c>
      <c r="AF221" s="132">
        <v>100</v>
      </c>
      <c r="AG221" s="168"/>
      <c r="AH221" s="134">
        <f t="shared" si="212"/>
        <v>0</v>
      </c>
      <c r="AI221" s="134">
        <f t="shared" si="213"/>
        <v>0</v>
      </c>
      <c r="AJ221" s="134">
        <f t="shared" si="214"/>
        <v>0</v>
      </c>
      <c r="AK221" s="134">
        <f t="shared" si="215"/>
        <v>0</v>
      </c>
      <c r="AL221" s="134">
        <f t="shared" si="216"/>
        <v>0</v>
      </c>
      <c r="AM221" s="134">
        <f t="shared" si="217"/>
        <v>0</v>
      </c>
      <c r="AN221" s="134">
        <f t="shared" si="218"/>
        <v>0</v>
      </c>
      <c r="AO221" s="134">
        <f t="shared" si="219"/>
        <v>0</v>
      </c>
      <c r="AP221" s="134">
        <f t="shared" si="220"/>
        <v>0</v>
      </c>
      <c r="AQ221" s="134">
        <f t="shared" si="221"/>
        <v>0</v>
      </c>
      <c r="AR221" s="134">
        <f t="shared" si="222"/>
        <v>0</v>
      </c>
      <c r="AS221" s="135">
        <f t="shared" si="223"/>
        <v>0</v>
      </c>
      <c r="AT221" s="137" t="str">
        <f t="shared" si="224"/>
        <v>0</v>
      </c>
      <c r="AU221" s="137" t="str">
        <f t="shared" si="225"/>
        <v>0</v>
      </c>
      <c r="AV221" s="137" t="str">
        <f t="shared" si="226"/>
        <v>0</v>
      </c>
      <c r="AW221" s="137" t="str">
        <f t="shared" si="227"/>
        <v>0</v>
      </c>
      <c r="AX221" s="137" t="str">
        <f t="shared" si="228"/>
        <v>0</v>
      </c>
      <c r="AY221" s="137" t="str">
        <f t="shared" si="229"/>
        <v>0</v>
      </c>
      <c r="AZ221" s="137" t="str">
        <f t="shared" si="230"/>
        <v>0</v>
      </c>
      <c r="BA221" s="137" t="str">
        <f t="shared" si="231"/>
        <v>0</v>
      </c>
      <c r="BB221" s="137" t="str">
        <f t="shared" si="232"/>
        <v>0</v>
      </c>
      <c r="BC221" s="137" t="str">
        <f t="shared" si="233"/>
        <v>0</v>
      </c>
      <c r="BD221" s="131">
        <f t="shared" si="234"/>
        <v>0</v>
      </c>
    </row>
    <row r="222" spans="2:56" ht="21.75" customHeight="1" x14ac:dyDescent="0.25">
      <c r="B222" s="210" t="s">
        <v>373</v>
      </c>
      <c r="C222" s="211"/>
      <c r="D222" s="211"/>
      <c r="E222" s="212"/>
      <c r="F222" s="121"/>
      <c r="G222" s="121"/>
      <c r="H222" s="121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1"/>
      <c r="T222" s="121"/>
      <c r="U222" s="174"/>
      <c r="V222" s="121"/>
      <c r="W222" s="121"/>
      <c r="X222" s="121"/>
      <c r="Y222" s="121"/>
      <c r="Z222" s="121"/>
      <c r="AA222" s="121"/>
      <c r="AB222" s="121"/>
      <c r="AC222" s="121"/>
      <c r="AD222" s="121"/>
      <c r="AE222" s="121"/>
      <c r="AF222" s="121"/>
      <c r="AG222" s="181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4"/>
      <c r="AT222" s="125"/>
      <c r="AU222" s="125"/>
      <c r="AV222" s="125"/>
      <c r="AW222" s="125"/>
      <c r="AX222" s="125"/>
      <c r="AY222" s="125"/>
      <c r="AZ222" s="125"/>
      <c r="BA222" s="125"/>
      <c r="BB222" s="125"/>
      <c r="BC222" s="125"/>
      <c r="BD222" s="122"/>
    </row>
    <row r="223" spans="2:56" ht="15" customHeight="1" x14ac:dyDescent="0.25">
      <c r="B223" s="209">
        <v>3405606</v>
      </c>
      <c r="C223" s="202" t="s">
        <v>17</v>
      </c>
      <c r="D223" s="202" t="s">
        <v>407</v>
      </c>
      <c r="E223" s="203" t="s">
        <v>383</v>
      </c>
      <c r="F223" s="274"/>
      <c r="G223" s="130">
        <f>+SUMIFS(TablaIngresos[Cantidad],TablaIngresos[Código],'Inventario '!B223)</f>
        <v>0</v>
      </c>
      <c r="H223" s="130">
        <f t="shared" ref="H223:H254" si="235">+F223+G223</f>
        <v>0</v>
      </c>
      <c r="I223" s="131">
        <f>SUMIFS(TablaConsumos[[CANTIDAD ]:[CANTIDAD ]],TablaConsumos[[CÓDIGO]:[CÓDIGO]],'Inventario '!$B223,TablaConsumos[[Planta]:[Planta]],'Inventario '!I$1)</f>
        <v>0</v>
      </c>
      <c r="J223" s="131">
        <f>SUMIFS(TablaConsumos[[CANTIDAD ]:[CANTIDAD ]],TablaConsumos[[CÓDIGO]:[CÓDIGO]],'Inventario '!$B223,TablaConsumos[[Planta]:[Planta]],'Inventario '!J$1)</f>
        <v>0</v>
      </c>
      <c r="K223" s="131">
        <f>SUMIFS(TablaConsumos[[CANTIDAD ]:[CANTIDAD ]],TablaConsumos[[CÓDIGO]:[CÓDIGO]],'Inventario '!$B223,TablaConsumos[[Planta]:[Planta]],'Inventario '!K$1)</f>
        <v>0</v>
      </c>
      <c r="L223" s="131">
        <f>SUMIFS(TablaConsumos[[CANTIDAD ]:[CANTIDAD ]],TablaConsumos[[CÓDIGO]:[CÓDIGO]],'Inventario '!$B223,TablaConsumos[[Planta]:[Planta]],'Inventario '!L$1)</f>
        <v>0</v>
      </c>
      <c r="M223" s="131">
        <f>SUMIFS(TablaConsumos[[CANTIDAD ]:[CANTIDAD ]],TablaConsumos[[CÓDIGO]:[CÓDIGO]],'Inventario '!$B223,TablaConsumos[[Planta]:[Planta]],'Inventario '!M$1)</f>
        <v>0</v>
      </c>
      <c r="N223" s="131">
        <f>SUMIFS(TablaConsumos[[CANTIDAD ]:[CANTIDAD ]],TablaConsumos[[CÓDIGO]:[CÓDIGO]],'Inventario '!$B223,TablaConsumos[[Planta]:[Planta]],'Inventario '!N$1)</f>
        <v>0</v>
      </c>
      <c r="O223" s="131">
        <f>SUMIFS(TablaConsumos[[CANTIDAD ]:[CANTIDAD ]],TablaConsumos[[CÓDIGO]:[CÓDIGO]],'Inventario '!$B223,TablaConsumos[[Planta]:[Planta]],'Inventario '!O$1)</f>
        <v>0</v>
      </c>
      <c r="P223" s="131">
        <f>SUMIFS(TablaConsumos[[CANTIDAD ]:[CANTIDAD ]],TablaConsumos[[CÓDIGO]:[CÓDIGO]],'Inventario '!$B223,TablaConsumos[[Planta]:[Planta]],'Inventario '!P$1)</f>
        <v>0</v>
      </c>
      <c r="Q223" s="131">
        <f>SUMIFS(TablaConsumos[[CANTIDAD ]:[CANTIDAD ]],TablaConsumos[[CÓDIGO]:[CÓDIGO]],'Inventario '!$B223,TablaConsumos[[Planta]:[Planta]],'Inventario '!Q$1)</f>
        <v>0</v>
      </c>
      <c r="R223" s="131">
        <f>SUMIFS(TablaConsumos[[CANTIDAD ]:[CANTIDAD ]],TablaConsumos[[CÓDIGO]:[CÓDIGO]],'Inventario '!$B223,TablaConsumos[[Planta]:[Planta]],'Inventario '!R$1)</f>
        <v>0</v>
      </c>
      <c r="S223" s="130">
        <f t="shared" ref="S223:S254" si="236">+SUM(I223:R223)</f>
        <v>0</v>
      </c>
      <c r="T223" s="130">
        <f t="shared" ref="T223:T254" si="237">+H223-S223</f>
        <v>0</v>
      </c>
      <c r="U223" s="132"/>
      <c r="V223" s="130"/>
      <c r="W223" s="177">
        <v>1</v>
      </c>
      <c r="X223" s="132">
        <f t="shared" ref="X223:X254" si="238">+U223*W223</f>
        <v>0</v>
      </c>
      <c r="Y223" s="130">
        <f t="shared" ref="Y223:Y254" si="239">+T223-X223</f>
        <v>0</v>
      </c>
      <c r="Z223" s="132"/>
      <c r="AA223" s="132">
        <f t="shared" ref="AA223:AA254" si="240">(Z223-X223)</f>
        <v>0</v>
      </c>
      <c r="AB223" s="132"/>
      <c r="AC223" s="131">
        <f t="shared" ref="AC223:AC254" si="241">+Z223-AA223</f>
        <v>0</v>
      </c>
      <c r="AD223" s="131"/>
      <c r="AE223" s="130"/>
      <c r="AF223" s="130"/>
      <c r="AG223" s="168"/>
      <c r="AH223" s="134">
        <f t="shared" ref="AH223:AH254" si="242">+IF(S223=0,0,AF223/S223)</f>
        <v>0</v>
      </c>
      <c r="AI223" s="134">
        <f t="shared" ref="AI223:AI254" si="243">+IF(I223=0,0,I223/$S223)</f>
        <v>0</v>
      </c>
      <c r="AJ223" s="134">
        <f t="shared" ref="AJ223:AJ254" si="244">+IF(J223=0,0,J223/$S223)</f>
        <v>0</v>
      </c>
      <c r="AK223" s="134">
        <f t="shared" ref="AK223:AK254" si="245">+IF(K223=0,0,K223/$S223)</f>
        <v>0</v>
      </c>
      <c r="AL223" s="134">
        <f t="shared" ref="AL223:AL254" si="246">+IF(L223=0,0,L223/$S223)</f>
        <v>0</v>
      </c>
      <c r="AM223" s="134">
        <f t="shared" ref="AM223:AM254" si="247">+IF(M223=0,0,M223/$S223)</f>
        <v>0</v>
      </c>
      <c r="AN223" s="134">
        <f t="shared" ref="AN223:AN254" si="248">+IF(N223=0,0,N223/$S223)</f>
        <v>0</v>
      </c>
      <c r="AO223" s="134">
        <f t="shared" ref="AO223:AO254" si="249">+IF(O223=0,0,O223/$S223)</f>
        <v>0</v>
      </c>
      <c r="AP223" s="134">
        <f t="shared" ref="AP223:AP254" si="250">+IF(P223=0,0,P223/$S223)</f>
        <v>0</v>
      </c>
      <c r="AQ223" s="134">
        <f t="shared" ref="AQ223:AQ254" si="251">+IF(Q223=0,0,Q223/$S223)</f>
        <v>0</v>
      </c>
      <c r="AR223" s="134">
        <f t="shared" ref="AR223:AR254" si="252">+IF(R223=0,0,R223/$S223)</f>
        <v>0</v>
      </c>
      <c r="AS223" s="135">
        <f t="shared" ref="AS223:AS254" si="253">+SUM(AI223:AR223)</f>
        <v>0</v>
      </c>
      <c r="AT223" s="137" t="str">
        <f t="shared" ref="AT223:AT254" si="254">+IF(I223=-I223,"0",I223+$Y223*AI223)</f>
        <v>0</v>
      </c>
      <c r="AU223" s="137" t="str">
        <f t="shared" ref="AU223:AU254" si="255">+IF(J223=-J223,"0",J223+$Y223*AJ223)</f>
        <v>0</v>
      </c>
      <c r="AV223" s="137" t="str">
        <f t="shared" ref="AV223:AV254" si="256">+IF(K223=-K223,"0",K223+$Y223*AK223)</f>
        <v>0</v>
      </c>
      <c r="AW223" s="137" t="str">
        <f t="shared" ref="AW223:AW254" si="257">+IF(L223=-L223,"0",L223+$Y223*AL223)</f>
        <v>0</v>
      </c>
      <c r="AX223" s="137" t="str">
        <f t="shared" ref="AX223:AX254" si="258">+IF(M223=-M223,"0",M223+$Y223*AM223)</f>
        <v>0</v>
      </c>
      <c r="AY223" s="137" t="str">
        <f t="shared" ref="AY223:AY254" si="259">+IF(N223=-N223,"0",N223+$Y223*AN223)</f>
        <v>0</v>
      </c>
      <c r="AZ223" s="137" t="str">
        <f t="shared" ref="AZ223:AZ254" si="260">+IF(O223=-O223,"0",O223+$Y223*AO223)</f>
        <v>0</v>
      </c>
      <c r="BA223" s="137" t="str">
        <f t="shared" ref="BA223:BA254" si="261">+IF(P223=-P223,"0",P223+$Y223*AP223)</f>
        <v>0</v>
      </c>
      <c r="BB223" s="137" t="str">
        <f t="shared" ref="BB223:BB254" si="262">+IF(Q223=-Q223,"0",Q223+$Y223*AQ223)</f>
        <v>0</v>
      </c>
      <c r="BC223" s="137" t="str">
        <f t="shared" ref="BC223:BC254" si="263">+IF(R223=-R223,"0",R223+$Y223*AR223)</f>
        <v>0</v>
      </c>
      <c r="BD223" s="131">
        <f t="shared" ref="BD223:BD254" si="264">+SUM(AT223:BC223)</f>
        <v>0</v>
      </c>
    </row>
    <row r="224" spans="2:56" ht="15" customHeight="1" x14ac:dyDescent="0.25">
      <c r="B224" s="127">
        <v>3411510</v>
      </c>
      <c r="C224" s="128" t="s">
        <v>374</v>
      </c>
      <c r="D224" s="128" t="s">
        <v>407</v>
      </c>
      <c r="E224" s="129" t="s">
        <v>390</v>
      </c>
      <c r="F224" s="274"/>
      <c r="G224" s="130">
        <f>+SUMIFS(TablaIngresos[Cantidad],TablaIngresos[Código],'Inventario '!B224)</f>
        <v>0</v>
      </c>
      <c r="H224" s="130">
        <f t="shared" si="235"/>
        <v>0</v>
      </c>
      <c r="I224" s="131">
        <f>SUMIFS(TablaConsumos[[CANTIDAD ]:[CANTIDAD ]],TablaConsumos[[CÓDIGO]:[CÓDIGO]],'Inventario '!$B224,TablaConsumos[[Planta]:[Planta]],'Inventario '!I$1)</f>
        <v>0</v>
      </c>
      <c r="J224" s="131">
        <f>SUMIFS(TablaConsumos[[CANTIDAD ]:[CANTIDAD ]],TablaConsumos[[CÓDIGO]:[CÓDIGO]],'Inventario '!$B224,TablaConsumos[[Planta]:[Planta]],'Inventario '!J$1)</f>
        <v>0</v>
      </c>
      <c r="K224" s="131">
        <f>SUMIFS(TablaConsumos[[CANTIDAD ]:[CANTIDAD ]],TablaConsumos[[CÓDIGO]:[CÓDIGO]],'Inventario '!$B224,TablaConsumos[[Planta]:[Planta]],'Inventario '!K$1)</f>
        <v>0</v>
      </c>
      <c r="L224" s="131">
        <f>SUMIFS(TablaConsumos[[CANTIDAD ]:[CANTIDAD ]],TablaConsumos[[CÓDIGO]:[CÓDIGO]],'Inventario '!$B224,TablaConsumos[[Planta]:[Planta]],'Inventario '!L$1)</f>
        <v>0</v>
      </c>
      <c r="M224" s="131">
        <f>SUMIFS(TablaConsumos[[CANTIDAD ]:[CANTIDAD ]],TablaConsumos[[CÓDIGO]:[CÓDIGO]],'Inventario '!$B224,TablaConsumos[[Planta]:[Planta]],'Inventario '!M$1)</f>
        <v>0</v>
      </c>
      <c r="N224" s="131">
        <f>SUMIFS(TablaConsumos[[CANTIDAD ]:[CANTIDAD ]],TablaConsumos[[CÓDIGO]:[CÓDIGO]],'Inventario '!$B224,TablaConsumos[[Planta]:[Planta]],'Inventario '!N$1)</f>
        <v>0</v>
      </c>
      <c r="O224" s="131">
        <f>SUMIFS(TablaConsumos[[CANTIDAD ]:[CANTIDAD ]],TablaConsumos[[CÓDIGO]:[CÓDIGO]],'Inventario '!$B224,TablaConsumos[[Planta]:[Planta]],'Inventario '!O$1)</f>
        <v>0</v>
      </c>
      <c r="P224" s="131">
        <f>SUMIFS(TablaConsumos[[CANTIDAD ]:[CANTIDAD ]],TablaConsumos[[CÓDIGO]:[CÓDIGO]],'Inventario '!$B224,TablaConsumos[[Planta]:[Planta]],'Inventario '!P$1)</f>
        <v>0</v>
      </c>
      <c r="Q224" s="131">
        <f>SUMIFS(TablaConsumos[[CANTIDAD ]:[CANTIDAD ]],TablaConsumos[[CÓDIGO]:[CÓDIGO]],'Inventario '!$B224,TablaConsumos[[Planta]:[Planta]],'Inventario '!Q$1)</f>
        <v>0</v>
      </c>
      <c r="R224" s="131">
        <f>SUMIFS(TablaConsumos[[CANTIDAD ]:[CANTIDAD ]],TablaConsumos[[CÓDIGO]:[CÓDIGO]],'Inventario '!$B224,TablaConsumos[[Planta]:[Planta]],'Inventario '!R$1)</f>
        <v>0</v>
      </c>
      <c r="S224" s="130">
        <f t="shared" si="236"/>
        <v>0</v>
      </c>
      <c r="T224" s="130">
        <f t="shared" si="237"/>
        <v>0</v>
      </c>
      <c r="U224" s="132"/>
      <c r="V224" s="130"/>
      <c r="W224" s="177">
        <v>1</v>
      </c>
      <c r="X224" s="132">
        <f t="shared" si="238"/>
        <v>0</v>
      </c>
      <c r="Y224" s="130">
        <f t="shared" si="239"/>
        <v>0</v>
      </c>
      <c r="Z224" s="132"/>
      <c r="AA224" s="132">
        <f t="shared" si="240"/>
        <v>0</v>
      </c>
      <c r="AB224" s="132"/>
      <c r="AC224" s="131">
        <f t="shared" si="241"/>
        <v>0</v>
      </c>
      <c r="AD224" s="131"/>
      <c r="AE224" s="130"/>
      <c r="AF224" s="130"/>
      <c r="AG224" s="168"/>
      <c r="AH224" s="134">
        <f t="shared" si="242"/>
        <v>0</v>
      </c>
      <c r="AI224" s="134">
        <f t="shared" si="243"/>
        <v>0</v>
      </c>
      <c r="AJ224" s="134">
        <f t="shared" si="244"/>
        <v>0</v>
      </c>
      <c r="AK224" s="134">
        <f t="shared" si="245"/>
        <v>0</v>
      </c>
      <c r="AL224" s="134">
        <f t="shared" si="246"/>
        <v>0</v>
      </c>
      <c r="AM224" s="134">
        <f t="shared" si="247"/>
        <v>0</v>
      </c>
      <c r="AN224" s="134">
        <f t="shared" si="248"/>
        <v>0</v>
      </c>
      <c r="AO224" s="134">
        <f t="shared" si="249"/>
        <v>0</v>
      </c>
      <c r="AP224" s="134">
        <f t="shared" si="250"/>
        <v>0</v>
      </c>
      <c r="AQ224" s="134">
        <f t="shared" si="251"/>
        <v>0</v>
      </c>
      <c r="AR224" s="134">
        <f t="shared" si="252"/>
        <v>0</v>
      </c>
      <c r="AS224" s="135">
        <f t="shared" si="253"/>
        <v>0</v>
      </c>
      <c r="AT224" s="137" t="str">
        <f t="shared" si="254"/>
        <v>0</v>
      </c>
      <c r="AU224" s="137" t="str">
        <f t="shared" si="255"/>
        <v>0</v>
      </c>
      <c r="AV224" s="137" t="str">
        <f t="shared" si="256"/>
        <v>0</v>
      </c>
      <c r="AW224" s="137" t="str">
        <f t="shared" si="257"/>
        <v>0</v>
      </c>
      <c r="AX224" s="137" t="str">
        <f t="shared" si="258"/>
        <v>0</v>
      </c>
      <c r="AY224" s="137" t="str">
        <f t="shared" si="259"/>
        <v>0</v>
      </c>
      <c r="AZ224" s="137" t="str">
        <f t="shared" si="260"/>
        <v>0</v>
      </c>
      <c r="BA224" s="137" t="str">
        <f t="shared" si="261"/>
        <v>0</v>
      </c>
      <c r="BB224" s="137" t="str">
        <f t="shared" si="262"/>
        <v>0</v>
      </c>
      <c r="BC224" s="137" t="str">
        <f t="shared" si="263"/>
        <v>0</v>
      </c>
      <c r="BD224" s="131">
        <f t="shared" si="264"/>
        <v>0</v>
      </c>
    </row>
    <row r="225" spans="2:56" ht="15" customHeight="1" x14ac:dyDescent="0.25">
      <c r="B225" s="127">
        <v>3416761</v>
      </c>
      <c r="C225" s="128" t="s">
        <v>316</v>
      </c>
      <c r="D225" s="128" t="s">
        <v>407</v>
      </c>
      <c r="E225" s="129" t="s">
        <v>396</v>
      </c>
      <c r="F225" s="274"/>
      <c r="G225" s="130">
        <f>+SUMIFS(TablaIngresos[Cantidad],TablaIngresos[Código],'Inventario '!B225)</f>
        <v>0</v>
      </c>
      <c r="H225" s="130">
        <f t="shared" si="235"/>
        <v>0</v>
      </c>
      <c r="I225" s="131">
        <f>SUMIFS(TablaConsumos[[CANTIDAD ]:[CANTIDAD ]],TablaConsumos[[CÓDIGO]:[CÓDIGO]],'Inventario '!$B225,TablaConsumos[[Planta]:[Planta]],'Inventario '!I$1)</f>
        <v>0</v>
      </c>
      <c r="J225" s="131">
        <f>SUMIFS(TablaConsumos[[CANTIDAD ]:[CANTIDAD ]],TablaConsumos[[CÓDIGO]:[CÓDIGO]],'Inventario '!$B225,TablaConsumos[[Planta]:[Planta]],'Inventario '!J$1)</f>
        <v>0</v>
      </c>
      <c r="K225" s="131">
        <f>SUMIFS(TablaConsumos[[CANTIDAD ]:[CANTIDAD ]],TablaConsumos[[CÓDIGO]:[CÓDIGO]],'Inventario '!$B225,TablaConsumos[[Planta]:[Planta]],'Inventario '!K$1)</f>
        <v>0</v>
      </c>
      <c r="L225" s="131">
        <f>SUMIFS(TablaConsumos[[CANTIDAD ]:[CANTIDAD ]],TablaConsumos[[CÓDIGO]:[CÓDIGO]],'Inventario '!$B225,TablaConsumos[[Planta]:[Planta]],'Inventario '!L$1)</f>
        <v>0</v>
      </c>
      <c r="M225" s="131">
        <f>SUMIFS(TablaConsumos[[CANTIDAD ]:[CANTIDAD ]],TablaConsumos[[CÓDIGO]:[CÓDIGO]],'Inventario '!$B225,TablaConsumos[[Planta]:[Planta]],'Inventario '!M$1)</f>
        <v>0</v>
      </c>
      <c r="N225" s="131">
        <f>SUMIFS(TablaConsumos[[CANTIDAD ]:[CANTIDAD ]],TablaConsumos[[CÓDIGO]:[CÓDIGO]],'Inventario '!$B225,TablaConsumos[[Planta]:[Planta]],'Inventario '!N$1)</f>
        <v>0</v>
      </c>
      <c r="O225" s="131">
        <f>SUMIFS(TablaConsumos[[CANTIDAD ]:[CANTIDAD ]],TablaConsumos[[CÓDIGO]:[CÓDIGO]],'Inventario '!$B225,TablaConsumos[[Planta]:[Planta]],'Inventario '!O$1)</f>
        <v>0</v>
      </c>
      <c r="P225" s="131">
        <f>SUMIFS(TablaConsumos[[CANTIDAD ]:[CANTIDAD ]],TablaConsumos[[CÓDIGO]:[CÓDIGO]],'Inventario '!$B225,TablaConsumos[[Planta]:[Planta]],'Inventario '!P$1)</f>
        <v>0</v>
      </c>
      <c r="Q225" s="131">
        <f>SUMIFS(TablaConsumos[[CANTIDAD ]:[CANTIDAD ]],TablaConsumos[[CÓDIGO]:[CÓDIGO]],'Inventario '!$B225,TablaConsumos[[Planta]:[Planta]],'Inventario '!Q$1)</f>
        <v>0</v>
      </c>
      <c r="R225" s="131">
        <f>SUMIFS(TablaConsumos[[CANTIDAD ]:[CANTIDAD ]],TablaConsumos[[CÓDIGO]:[CÓDIGO]],'Inventario '!$B225,TablaConsumos[[Planta]:[Planta]],'Inventario '!R$1)</f>
        <v>0</v>
      </c>
      <c r="S225" s="130">
        <f t="shared" si="236"/>
        <v>0</v>
      </c>
      <c r="T225" s="130">
        <f t="shared" si="237"/>
        <v>0</v>
      </c>
      <c r="U225" s="132"/>
      <c r="V225" s="130"/>
      <c r="W225" s="177">
        <v>1</v>
      </c>
      <c r="X225" s="132">
        <f t="shared" si="238"/>
        <v>0</v>
      </c>
      <c r="Y225" s="130">
        <f t="shared" si="239"/>
        <v>0</v>
      </c>
      <c r="Z225" s="132"/>
      <c r="AA225" s="132">
        <f t="shared" si="240"/>
        <v>0</v>
      </c>
      <c r="AB225" s="132"/>
      <c r="AC225" s="131">
        <f t="shared" si="241"/>
        <v>0</v>
      </c>
      <c r="AD225" s="131"/>
      <c r="AE225" s="130"/>
      <c r="AF225" s="130"/>
      <c r="AG225" s="168"/>
      <c r="AH225" s="134">
        <f t="shared" si="242"/>
        <v>0</v>
      </c>
      <c r="AI225" s="134">
        <f t="shared" si="243"/>
        <v>0</v>
      </c>
      <c r="AJ225" s="134">
        <f t="shared" si="244"/>
        <v>0</v>
      </c>
      <c r="AK225" s="134">
        <f t="shared" si="245"/>
        <v>0</v>
      </c>
      <c r="AL225" s="134">
        <f t="shared" si="246"/>
        <v>0</v>
      </c>
      <c r="AM225" s="134">
        <f t="shared" si="247"/>
        <v>0</v>
      </c>
      <c r="AN225" s="134">
        <f t="shared" si="248"/>
        <v>0</v>
      </c>
      <c r="AO225" s="134">
        <f t="shared" si="249"/>
        <v>0</v>
      </c>
      <c r="AP225" s="134">
        <f t="shared" si="250"/>
        <v>0</v>
      </c>
      <c r="AQ225" s="134">
        <f t="shared" si="251"/>
        <v>0</v>
      </c>
      <c r="AR225" s="134">
        <f t="shared" si="252"/>
        <v>0</v>
      </c>
      <c r="AS225" s="135">
        <f t="shared" si="253"/>
        <v>0</v>
      </c>
      <c r="AT225" s="137" t="str">
        <f t="shared" si="254"/>
        <v>0</v>
      </c>
      <c r="AU225" s="137" t="str">
        <f t="shared" si="255"/>
        <v>0</v>
      </c>
      <c r="AV225" s="137" t="str">
        <f t="shared" si="256"/>
        <v>0</v>
      </c>
      <c r="AW225" s="137" t="str">
        <f t="shared" si="257"/>
        <v>0</v>
      </c>
      <c r="AX225" s="137" t="str">
        <f t="shared" si="258"/>
        <v>0</v>
      </c>
      <c r="AY225" s="137" t="str">
        <f t="shared" si="259"/>
        <v>0</v>
      </c>
      <c r="AZ225" s="137" t="str">
        <f t="shared" si="260"/>
        <v>0</v>
      </c>
      <c r="BA225" s="137" t="str">
        <f t="shared" si="261"/>
        <v>0</v>
      </c>
      <c r="BB225" s="137" t="str">
        <f t="shared" si="262"/>
        <v>0</v>
      </c>
      <c r="BC225" s="137" t="str">
        <f t="shared" si="263"/>
        <v>0</v>
      </c>
      <c r="BD225" s="131">
        <f t="shared" si="264"/>
        <v>0</v>
      </c>
    </row>
    <row r="226" spans="2:56" ht="15" customHeight="1" x14ac:dyDescent="0.25">
      <c r="B226" s="127">
        <v>8202481</v>
      </c>
      <c r="C226" s="128" t="s">
        <v>316</v>
      </c>
      <c r="D226" s="128" t="s">
        <v>800</v>
      </c>
      <c r="E226" s="129" t="s">
        <v>703</v>
      </c>
      <c r="F226" s="274"/>
      <c r="G226" s="130">
        <f>+SUMIFS(TablaIngresos[Cantidad],TablaIngresos[Código],'Inventario '!B226)</f>
        <v>0</v>
      </c>
      <c r="H226" s="130">
        <f t="shared" si="235"/>
        <v>0</v>
      </c>
      <c r="I226" s="131">
        <f>SUMIFS(TablaConsumos[[CANTIDAD ]:[CANTIDAD ]],TablaConsumos[[CÓDIGO]:[CÓDIGO]],'Inventario '!$B226,TablaConsumos[[Planta]:[Planta]],'Inventario '!I$1)</f>
        <v>0</v>
      </c>
      <c r="J226" s="131">
        <f>SUMIFS(TablaConsumos[[CANTIDAD ]:[CANTIDAD ]],TablaConsumos[[CÓDIGO]:[CÓDIGO]],'Inventario '!$B226,TablaConsumos[[Planta]:[Planta]],'Inventario '!J$1)</f>
        <v>0</v>
      </c>
      <c r="K226" s="131">
        <f>SUMIFS(TablaConsumos[[CANTIDAD ]:[CANTIDAD ]],TablaConsumos[[CÓDIGO]:[CÓDIGO]],'Inventario '!$B226,TablaConsumos[[Planta]:[Planta]],'Inventario '!K$1)</f>
        <v>0</v>
      </c>
      <c r="L226" s="131">
        <f>SUMIFS(TablaConsumos[[CANTIDAD ]:[CANTIDAD ]],TablaConsumos[[CÓDIGO]:[CÓDIGO]],'Inventario '!$B226,TablaConsumos[[Planta]:[Planta]],'Inventario '!L$1)</f>
        <v>0</v>
      </c>
      <c r="M226" s="131">
        <f>SUMIFS(TablaConsumos[[CANTIDAD ]:[CANTIDAD ]],TablaConsumos[[CÓDIGO]:[CÓDIGO]],'Inventario '!$B226,TablaConsumos[[Planta]:[Planta]],'Inventario '!M$1)</f>
        <v>0</v>
      </c>
      <c r="N226" s="131">
        <f>SUMIFS(TablaConsumos[[CANTIDAD ]:[CANTIDAD ]],TablaConsumos[[CÓDIGO]:[CÓDIGO]],'Inventario '!$B226,TablaConsumos[[Planta]:[Planta]],'Inventario '!N$1)</f>
        <v>0</v>
      </c>
      <c r="O226" s="131">
        <f>SUMIFS(TablaConsumos[[CANTIDAD ]:[CANTIDAD ]],TablaConsumos[[CÓDIGO]:[CÓDIGO]],'Inventario '!$B226,TablaConsumos[[Planta]:[Planta]],'Inventario '!O$1)</f>
        <v>0</v>
      </c>
      <c r="P226" s="131">
        <f>SUMIFS(TablaConsumos[[CANTIDAD ]:[CANTIDAD ]],TablaConsumos[[CÓDIGO]:[CÓDIGO]],'Inventario '!$B226,TablaConsumos[[Planta]:[Planta]],'Inventario '!P$1)</f>
        <v>0</v>
      </c>
      <c r="Q226" s="131">
        <f>SUMIFS(TablaConsumos[[CANTIDAD ]:[CANTIDAD ]],TablaConsumos[[CÓDIGO]:[CÓDIGO]],'Inventario '!$B226,TablaConsumos[[Planta]:[Planta]],'Inventario '!Q$1)</f>
        <v>0</v>
      </c>
      <c r="R226" s="131">
        <f>SUMIFS(TablaConsumos[[CANTIDAD ]:[CANTIDAD ]],TablaConsumos[[CÓDIGO]:[CÓDIGO]],'Inventario '!$B226,TablaConsumos[[Planta]:[Planta]],'Inventario '!R$1)</f>
        <v>0</v>
      </c>
      <c r="S226" s="130">
        <f t="shared" si="236"/>
        <v>0</v>
      </c>
      <c r="T226" s="130">
        <f t="shared" si="237"/>
        <v>0</v>
      </c>
      <c r="U226" s="132"/>
      <c r="V226" s="130"/>
      <c r="W226" s="177">
        <v>1</v>
      </c>
      <c r="X226" s="132">
        <f t="shared" si="238"/>
        <v>0</v>
      </c>
      <c r="Y226" s="130">
        <f t="shared" si="239"/>
        <v>0</v>
      </c>
      <c r="Z226" s="132"/>
      <c r="AA226" s="132">
        <f t="shared" si="240"/>
        <v>0</v>
      </c>
      <c r="AB226" s="132"/>
      <c r="AC226" s="131">
        <f t="shared" si="241"/>
        <v>0</v>
      </c>
      <c r="AD226" s="131"/>
      <c r="AE226" s="130"/>
      <c r="AF226" s="130"/>
      <c r="AG226" s="168"/>
      <c r="AH226" s="134">
        <f t="shared" si="242"/>
        <v>0</v>
      </c>
      <c r="AI226" s="134">
        <f t="shared" si="243"/>
        <v>0</v>
      </c>
      <c r="AJ226" s="134">
        <f t="shared" si="244"/>
        <v>0</v>
      </c>
      <c r="AK226" s="134">
        <f t="shared" si="245"/>
        <v>0</v>
      </c>
      <c r="AL226" s="134">
        <f t="shared" si="246"/>
        <v>0</v>
      </c>
      <c r="AM226" s="134">
        <f t="shared" si="247"/>
        <v>0</v>
      </c>
      <c r="AN226" s="134">
        <f t="shared" si="248"/>
        <v>0</v>
      </c>
      <c r="AO226" s="134">
        <f t="shared" si="249"/>
        <v>0</v>
      </c>
      <c r="AP226" s="134">
        <f t="shared" si="250"/>
        <v>0</v>
      </c>
      <c r="AQ226" s="134">
        <f t="shared" si="251"/>
        <v>0</v>
      </c>
      <c r="AR226" s="134">
        <f t="shared" si="252"/>
        <v>0</v>
      </c>
      <c r="AS226" s="135">
        <f t="shared" si="253"/>
        <v>0</v>
      </c>
      <c r="AT226" s="137" t="str">
        <f t="shared" si="254"/>
        <v>0</v>
      </c>
      <c r="AU226" s="137" t="str">
        <f t="shared" si="255"/>
        <v>0</v>
      </c>
      <c r="AV226" s="137" t="str">
        <f t="shared" si="256"/>
        <v>0</v>
      </c>
      <c r="AW226" s="137" t="str">
        <f t="shared" si="257"/>
        <v>0</v>
      </c>
      <c r="AX226" s="137" t="str">
        <f t="shared" si="258"/>
        <v>0</v>
      </c>
      <c r="AY226" s="137" t="str">
        <f t="shared" si="259"/>
        <v>0</v>
      </c>
      <c r="AZ226" s="137" t="str">
        <f t="shared" si="260"/>
        <v>0</v>
      </c>
      <c r="BA226" s="137" t="str">
        <f t="shared" si="261"/>
        <v>0</v>
      </c>
      <c r="BB226" s="137" t="str">
        <f t="shared" si="262"/>
        <v>0</v>
      </c>
      <c r="BC226" s="137" t="str">
        <f t="shared" si="263"/>
        <v>0</v>
      </c>
      <c r="BD226" s="131">
        <f t="shared" si="264"/>
        <v>0</v>
      </c>
    </row>
    <row r="227" spans="2:56" ht="15" customHeight="1" x14ac:dyDescent="0.25">
      <c r="B227" s="156">
        <v>8202480</v>
      </c>
      <c r="C227" s="128" t="s">
        <v>316</v>
      </c>
      <c r="D227" s="128" t="s">
        <v>801</v>
      </c>
      <c r="E227" s="129" t="s">
        <v>721</v>
      </c>
      <c r="F227" s="274"/>
      <c r="G227" s="130">
        <f>+SUMIFS(TablaIngresos[Cantidad],TablaIngresos[Código],'Inventario '!B227)</f>
        <v>0</v>
      </c>
      <c r="H227" s="130">
        <f t="shared" si="235"/>
        <v>0</v>
      </c>
      <c r="I227" s="131">
        <f>SUMIFS(TablaConsumos[[CANTIDAD ]:[CANTIDAD ]],TablaConsumos[[CÓDIGO]:[CÓDIGO]],'Inventario '!$B227,TablaConsumos[[Planta]:[Planta]],'Inventario '!I$1)</f>
        <v>0</v>
      </c>
      <c r="J227" s="131">
        <f>SUMIFS(TablaConsumos[[CANTIDAD ]:[CANTIDAD ]],TablaConsumos[[CÓDIGO]:[CÓDIGO]],'Inventario '!$B227,TablaConsumos[[Planta]:[Planta]],'Inventario '!J$1)</f>
        <v>0</v>
      </c>
      <c r="K227" s="131">
        <f>SUMIFS(TablaConsumos[[CANTIDAD ]:[CANTIDAD ]],TablaConsumos[[CÓDIGO]:[CÓDIGO]],'Inventario '!$B227,TablaConsumos[[Planta]:[Planta]],'Inventario '!K$1)</f>
        <v>0</v>
      </c>
      <c r="L227" s="131">
        <f>SUMIFS(TablaConsumos[[CANTIDAD ]:[CANTIDAD ]],TablaConsumos[[CÓDIGO]:[CÓDIGO]],'Inventario '!$B227,TablaConsumos[[Planta]:[Planta]],'Inventario '!L$1)</f>
        <v>0</v>
      </c>
      <c r="M227" s="131">
        <f>SUMIFS(TablaConsumos[[CANTIDAD ]:[CANTIDAD ]],TablaConsumos[[CÓDIGO]:[CÓDIGO]],'Inventario '!$B227,TablaConsumos[[Planta]:[Planta]],'Inventario '!M$1)</f>
        <v>0</v>
      </c>
      <c r="N227" s="131">
        <f>SUMIFS(TablaConsumos[[CANTIDAD ]:[CANTIDAD ]],TablaConsumos[[CÓDIGO]:[CÓDIGO]],'Inventario '!$B227,TablaConsumos[[Planta]:[Planta]],'Inventario '!N$1)</f>
        <v>0</v>
      </c>
      <c r="O227" s="131">
        <f>SUMIFS(TablaConsumos[[CANTIDAD ]:[CANTIDAD ]],TablaConsumos[[CÓDIGO]:[CÓDIGO]],'Inventario '!$B227,TablaConsumos[[Planta]:[Planta]],'Inventario '!O$1)</f>
        <v>0</v>
      </c>
      <c r="P227" s="131">
        <f>SUMIFS(TablaConsumos[[CANTIDAD ]:[CANTIDAD ]],TablaConsumos[[CÓDIGO]:[CÓDIGO]],'Inventario '!$B227,TablaConsumos[[Planta]:[Planta]],'Inventario '!P$1)</f>
        <v>0</v>
      </c>
      <c r="Q227" s="131">
        <f>SUMIFS(TablaConsumos[[CANTIDAD ]:[CANTIDAD ]],TablaConsumos[[CÓDIGO]:[CÓDIGO]],'Inventario '!$B227,TablaConsumos[[Planta]:[Planta]],'Inventario '!Q$1)</f>
        <v>0</v>
      </c>
      <c r="R227" s="131">
        <f>SUMIFS(TablaConsumos[[CANTIDAD ]:[CANTIDAD ]],TablaConsumos[[CÓDIGO]:[CÓDIGO]],'Inventario '!$B227,TablaConsumos[[Planta]:[Planta]],'Inventario '!R$1)</f>
        <v>0</v>
      </c>
      <c r="S227" s="130">
        <f t="shared" si="236"/>
        <v>0</v>
      </c>
      <c r="T227" s="130">
        <f t="shared" si="237"/>
        <v>0</v>
      </c>
      <c r="U227" s="132"/>
      <c r="V227" s="130"/>
      <c r="W227" s="177">
        <v>1</v>
      </c>
      <c r="X227" s="132">
        <f t="shared" si="238"/>
        <v>0</v>
      </c>
      <c r="Y227" s="130">
        <f t="shared" si="239"/>
        <v>0</v>
      </c>
      <c r="Z227" s="132"/>
      <c r="AA227" s="132">
        <f t="shared" si="240"/>
        <v>0</v>
      </c>
      <c r="AB227" s="132"/>
      <c r="AC227" s="131">
        <f t="shared" si="241"/>
        <v>0</v>
      </c>
      <c r="AD227" s="131"/>
      <c r="AE227" s="130"/>
      <c r="AF227" s="130"/>
      <c r="AG227" s="168"/>
      <c r="AH227" s="134">
        <f t="shared" si="242"/>
        <v>0</v>
      </c>
      <c r="AI227" s="134">
        <f t="shared" si="243"/>
        <v>0</v>
      </c>
      <c r="AJ227" s="134">
        <f t="shared" si="244"/>
        <v>0</v>
      </c>
      <c r="AK227" s="134">
        <f t="shared" si="245"/>
        <v>0</v>
      </c>
      <c r="AL227" s="134">
        <f t="shared" si="246"/>
        <v>0</v>
      </c>
      <c r="AM227" s="134">
        <f t="shared" si="247"/>
        <v>0</v>
      </c>
      <c r="AN227" s="134">
        <f t="shared" si="248"/>
        <v>0</v>
      </c>
      <c r="AO227" s="134">
        <f t="shared" si="249"/>
        <v>0</v>
      </c>
      <c r="AP227" s="134">
        <f t="shared" si="250"/>
        <v>0</v>
      </c>
      <c r="AQ227" s="134">
        <f t="shared" si="251"/>
        <v>0</v>
      </c>
      <c r="AR227" s="134">
        <f t="shared" si="252"/>
        <v>0</v>
      </c>
      <c r="AS227" s="135">
        <f t="shared" si="253"/>
        <v>0</v>
      </c>
      <c r="AT227" s="137" t="str">
        <f t="shared" si="254"/>
        <v>0</v>
      </c>
      <c r="AU227" s="137" t="str">
        <f t="shared" si="255"/>
        <v>0</v>
      </c>
      <c r="AV227" s="137" t="str">
        <f t="shared" si="256"/>
        <v>0</v>
      </c>
      <c r="AW227" s="137" t="str">
        <f t="shared" si="257"/>
        <v>0</v>
      </c>
      <c r="AX227" s="137" t="str">
        <f t="shared" si="258"/>
        <v>0</v>
      </c>
      <c r="AY227" s="137" t="str">
        <f t="shared" si="259"/>
        <v>0</v>
      </c>
      <c r="AZ227" s="137" t="str">
        <f t="shared" si="260"/>
        <v>0</v>
      </c>
      <c r="BA227" s="137" t="str">
        <f t="shared" si="261"/>
        <v>0</v>
      </c>
      <c r="BB227" s="137" t="str">
        <f t="shared" si="262"/>
        <v>0</v>
      </c>
      <c r="BC227" s="137" t="str">
        <f t="shared" si="263"/>
        <v>0</v>
      </c>
      <c r="BD227" s="131">
        <f t="shared" si="264"/>
        <v>0</v>
      </c>
    </row>
    <row r="228" spans="2:56" ht="15" customHeight="1" x14ac:dyDescent="0.25">
      <c r="B228" s="156">
        <v>8025620</v>
      </c>
      <c r="C228" s="128" t="s">
        <v>316</v>
      </c>
      <c r="D228" s="128" t="s">
        <v>800</v>
      </c>
      <c r="E228" s="129" t="s">
        <v>403</v>
      </c>
      <c r="F228" s="274"/>
      <c r="G228" s="130">
        <f>+SUMIFS(TablaIngresos[Cantidad],TablaIngresos[Código],'Inventario '!B228)</f>
        <v>0</v>
      </c>
      <c r="H228" s="130">
        <f t="shared" si="235"/>
        <v>0</v>
      </c>
      <c r="I228" s="131">
        <f>SUMIFS(TablaConsumos[[CANTIDAD ]:[CANTIDAD ]],TablaConsumos[[CÓDIGO]:[CÓDIGO]],'Inventario '!$B228,TablaConsumos[[Planta]:[Planta]],'Inventario '!I$1)</f>
        <v>0</v>
      </c>
      <c r="J228" s="131">
        <f>SUMIFS(TablaConsumos[[CANTIDAD ]:[CANTIDAD ]],TablaConsumos[[CÓDIGO]:[CÓDIGO]],'Inventario '!$B228,TablaConsumos[[Planta]:[Planta]],'Inventario '!J$1)</f>
        <v>0</v>
      </c>
      <c r="K228" s="131">
        <f>SUMIFS(TablaConsumos[[CANTIDAD ]:[CANTIDAD ]],TablaConsumos[[CÓDIGO]:[CÓDIGO]],'Inventario '!$B228,TablaConsumos[[Planta]:[Planta]],'Inventario '!K$1)</f>
        <v>0</v>
      </c>
      <c r="L228" s="131">
        <f>SUMIFS(TablaConsumos[[CANTIDAD ]:[CANTIDAD ]],TablaConsumos[[CÓDIGO]:[CÓDIGO]],'Inventario '!$B228,TablaConsumos[[Planta]:[Planta]],'Inventario '!L$1)</f>
        <v>0</v>
      </c>
      <c r="M228" s="131">
        <f>SUMIFS(TablaConsumos[[CANTIDAD ]:[CANTIDAD ]],TablaConsumos[[CÓDIGO]:[CÓDIGO]],'Inventario '!$B228,TablaConsumos[[Planta]:[Planta]],'Inventario '!M$1)</f>
        <v>0</v>
      </c>
      <c r="N228" s="131">
        <f>SUMIFS(TablaConsumos[[CANTIDAD ]:[CANTIDAD ]],TablaConsumos[[CÓDIGO]:[CÓDIGO]],'Inventario '!$B228,TablaConsumos[[Planta]:[Planta]],'Inventario '!N$1)</f>
        <v>0</v>
      </c>
      <c r="O228" s="131">
        <f>SUMIFS(TablaConsumos[[CANTIDAD ]:[CANTIDAD ]],TablaConsumos[[CÓDIGO]:[CÓDIGO]],'Inventario '!$B228,TablaConsumos[[Planta]:[Planta]],'Inventario '!O$1)</f>
        <v>0</v>
      </c>
      <c r="P228" s="131">
        <f>SUMIFS(TablaConsumos[[CANTIDAD ]:[CANTIDAD ]],TablaConsumos[[CÓDIGO]:[CÓDIGO]],'Inventario '!$B228,TablaConsumos[[Planta]:[Planta]],'Inventario '!P$1)</f>
        <v>0</v>
      </c>
      <c r="Q228" s="131">
        <f>SUMIFS(TablaConsumos[[CANTIDAD ]:[CANTIDAD ]],TablaConsumos[[CÓDIGO]:[CÓDIGO]],'Inventario '!$B228,TablaConsumos[[Planta]:[Planta]],'Inventario '!Q$1)</f>
        <v>0</v>
      </c>
      <c r="R228" s="131">
        <f>SUMIFS(TablaConsumos[[CANTIDAD ]:[CANTIDAD ]],TablaConsumos[[CÓDIGO]:[CÓDIGO]],'Inventario '!$B228,TablaConsumos[[Planta]:[Planta]],'Inventario '!R$1)</f>
        <v>0</v>
      </c>
      <c r="S228" s="130">
        <f t="shared" si="236"/>
        <v>0</v>
      </c>
      <c r="T228" s="130">
        <f t="shared" si="237"/>
        <v>0</v>
      </c>
      <c r="U228" s="132"/>
      <c r="V228" s="130"/>
      <c r="W228" s="177">
        <v>1</v>
      </c>
      <c r="X228" s="132">
        <f t="shared" si="238"/>
        <v>0</v>
      </c>
      <c r="Y228" s="130">
        <f t="shared" si="239"/>
        <v>0</v>
      </c>
      <c r="Z228" s="132"/>
      <c r="AA228" s="132">
        <f t="shared" si="240"/>
        <v>0</v>
      </c>
      <c r="AB228" s="132"/>
      <c r="AC228" s="131">
        <f t="shared" si="241"/>
        <v>0</v>
      </c>
      <c r="AD228" s="131"/>
      <c r="AE228" s="130"/>
      <c r="AF228" s="130"/>
      <c r="AG228" s="168"/>
      <c r="AH228" s="134">
        <f t="shared" si="242"/>
        <v>0</v>
      </c>
      <c r="AI228" s="134">
        <f t="shared" si="243"/>
        <v>0</v>
      </c>
      <c r="AJ228" s="134">
        <f t="shared" si="244"/>
        <v>0</v>
      </c>
      <c r="AK228" s="134">
        <f t="shared" si="245"/>
        <v>0</v>
      </c>
      <c r="AL228" s="134">
        <f t="shared" si="246"/>
        <v>0</v>
      </c>
      <c r="AM228" s="134">
        <f t="shared" si="247"/>
        <v>0</v>
      </c>
      <c r="AN228" s="134">
        <f t="shared" si="248"/>
        <v>0</v>
      </c>
      <c r="AO228" s="134">
        <f t="shared" si="249"/>
        <v>0</v>
      </c>
      <c r="AP228" s="134">
        <f t="shared" si="250"/>
        <v>0</v>
      </c>
      <c r="AQ228" s="134">
        <f t="shared" si="251"/>
        <v>0</v>
      </c>
      <c r="AR228" s="134">
        <f t="shared" si="252"/>
        <v>0</v>
      </c>
      <c r="AS228" s="135">
        <f t="shared" si="253"/>
        <v>0</v>
      </c>
      <c r="AT228" s="137" t="str">
        <f t="shared" si="254"/>
        <v>0</v>
      </c>
      <c r="AU228" s="137" t="str">
        <f t="shared" si="255"/>
        <v>0</v>
      </c>
      <c r="AV228" s="137" t="str">
        <f t="shared" si="256"/>
        <v>0</v>
      </c>
      <c r="AW228" s="137" t="str">
        <f t="shared" si="257"/>
        <v>0</v>
      </c>
      <c r="AX228" s="137" t="str">
        <f t="shared" si="258"/>
        <v>0</v>
      </c>
      <c r="AY228" s="137" t="str">
        <f t="shared" si="259"/>
        <v>0</v>
      </c>
      <c r="AZ228" s="137" t="str">
        <f t="shared" si="260"/>
        <v>0</v>
      </c>
      <c r="BA228" s="137" t="str">
        <f t="shared" si="261"/>
        <v>0</v>
      </c>
      <c r="BB228" s="137" t="str">
        <f t="shared" si="262"/>
        <v>0</v>
      </c>
      <c r="BC228" s="137" t="str">
        <f t="shared" si="263"/>
        <v>0</v>
      </c>
      <c r="BD228" s="131">
        <f t="shared" si="264"/>
        <v>0</v>
      </c>
    </row>
    <row r="229" spans="2:56" ht="15" customHeight="1" x14ac:dyDescent="0.25">
      <c r="B229" s="136">
        <v>8200026</v>
      </c>
      <c r="C229" s="131" t="s">
        <v>316</v>
      </c>
      <c r="D229" s="128" t="s">
        <v>407</v>
      </c>
      <c r="E229" s="136" t="s">
        <v>405</v>
      </c>
      <c r="F229" s="274"/>
      <c r="G229" s="130">
        <f>+SUMIFS(TablaIngresos[Cantidad],TablaIngresos[Código],'Inventario '!B229)</f>
        <v>0</v>
      </c>
      <c r="H229" s="130">
        <f t="shared" si="235"/>
        <v>0</v>
      </c>
      <c r="I229" s="131">
        <f>SUMIFS(TablaConsumos[[CANTIDAD ]:[CANTIDAD ]],TablaConsumos[[CÓDIGO]:[CÓDIGO]],'Inventario '!$B229,TablaConsumos[[Planta]:[Planta]],'Inventario '!I$1)</f>
        <v>0</v>
      </c>
      <c r="J229" s="131">
        <f>SUMIFS(TablaConsumos[[CANTIDAD ]:[CANTIDAD ]],TablaConsumos[[CÓDIGO]:[CÓDIGO]],'Inventario '!$B229,TablaConsumos[[Planta]:[Planta]],'Inventario '!J$1)</f>
        <v>0</v>
      </c>
      <c r="K229" s="131">
        <f>SUMIFS(TablaConsumos[[CANTIDAD ]:[CANTIDAD ]],TablaConsumos[[CÓDIGO]:[CÓDIGO]],'Inventario '!$B229,TablaConsumos[[Planta]:[Planta]],'Inventario '!K$1)</f>
        <v>0</v>
      </c>
      <c r="L229" s="131">
        <f>SUMIFS(TablaConsumos[[CANTIDAD ]:[CANTIDAD ]],TablaConsumos[[CÓDIGO]:[CÓDIGO]],'Inventario '!$B229,TablaConsumos[[Planta]:[Planta]],'Inventario '!L$1)</f>
        <v>0</v>
      </c>
      <c r="M229" s="131">
        <f>SUMIFS(TablaConsumos[[CANTIDAD ]:[CANTIDAD ]],TablaConsumos[[CÓDIGO]:[CÓDIGO]],'Inventario '!$B229,TablaConsumos[[Planta]:[Planta]],'Inventario '!M$1)</f>
        <v>0</v>
      </c>
      <c r="N229" s="131">
        <f>SUMIFS(TablaConsumos[[CANTIDAD ]:[CANTIDAD ]],TablaConsumos[[CÓDIGO]:[CÓDIGO]],'Inventario '!$B229,TablaConsumos[[Planta]:[Planta]],'Inventario '!N$1)</f>
        <v>0</v>
      </c>
      <c r="O229" s="131">
        <f>SUMIFS(TablaConsumos[[CANTIDAD ]:[CANTIDAD ]],TablaConsumos[[CÓDIGO]:[CÓDIGO]],'Inventario '!$B229,TablaConsumos[[Planta]:[Planta]],'Inventario '!O$1)</f>
        <v>0</v>
      </c>
      <c r="P229" s="131">
        <f>SUMIFS(TablaConsumos[[CANTIDAD ]:[CANTIDAD ]],TablaConsumos[[CÓDIGO]:[CÓDIGO]],'Inventario '!$B229,TablaConsumos[[Planta]:[Planta]],'Inventario '!P$1)</f>
        <v>0</v>
      </c>
      <c r="Q229" s="131">
        <f>SUMIFS(TablaConsumos[[CANTIDAD ]:[CANTIDAD ]],TablaConsumos[[CÓDIGO]:[CÓDIGO]],'Inventario '!$B229,TablaConsumos[[Planta]:[Planta]],'Inventario '!Q$1)</f>
        <v>0</v>
      </c>
      <c r="R229" s="131">
        <f>SUMIFS(TablaConsumos[[CANTIDAD ]:[CANTIDAD ]],TablaConsumos[[CÓDIGO]:[CÓDIGO]],'Inventario '!$B229,TablaConsumos[[Planta]:[Planta]],'Inventario '!R$1)</f>
        <v>0</v>
      </c>
      <c r="S229" s="130">
        <f t="shared" si="236"/>
        <v>0</v>
      </c>
      <c r="T229" s="130">
        <f t="shared" si="237"/>
        <v>0</v>
      </c>
      <c r="U229" s="132"/>
      <c r="V229" s="130"/>
      <c r="W229" s="177">
        <v>1</v>
      </c>
      <c r="X229" s="132">
        <f>+U229*W229</f>
        <v>0</v>
      </c>
      <c r="Y229" s="130">
        <f t="shared" si="239"/>
        <v>0</v>
      </c>
      <c r="Z229" s="132"/>
      <c r="AA229" s="132">
        <f t="shared" si="240"/>
        <v>0</v>
      </c>
      <c r="AB229" s="132"/>
      <c r="AC229" s="131">
        <f t="shared" si="241"/>
        <v>0</v>
      </c>
      <c r="AD229" s="131"/>
      <c r="AE229" s="130"/>
      <c r="AF229" s="130"/>
      <c r="AG229" s="168"/>
      <c r="AH229" s="134">
        <f t="shared" si="242"/>
        <v>0</v>
      </c>
      <c r="AI229" s="134">
        <f t="shared" si="243"/>
        <v>0</v>
      </c>
      <c r="AJ229" s="134">
        <f t="shared" si="244"/>
        <v>0</v>
      </c>
      <c r="AK229" s="134">
        <f t="shared" si="245"/>
        <v>0</v>
      </c>
      <c r="AL229" s="134">
        <f t="shared" si="246"/>
        <v>0</v>
      </c>
      <c r="AM229" s="134">
        <f t="shared" si="247"/>
        <v>0</v>
      </c>
      <c r="AN229" s="134">
        <f t="shared" si="248"/>
        <v>0</v>
      </c>
      <c r="AO229" s="134">
        <f t="shared" si="249"/>
        <v>0</v>
      </c>
      <c r="AP229" s="134">
        <f t="shared" si="250"/>
        <v>0</v>
      </c>
      <c r="AQ229" s="134">
        <f t="shared" si="251"/>
        <v>0</v>
      </c>
      <c r="AR229" s="134">
        <f t="shared" si="252"/>
        <v>0</v>
      </c>
      <c r="AS229" s="135">
        <f t="shared" si="253"/>
        <v>0</v>
      </c>
      <c r="AT229" s="137" t="str">
        <f t="shared" si="254"/>
        <v>0</v>
      </c>
      <c r="AU229" s="137" t="str">
        <f t="shared" si="255"/>
        <v>0</v>
      </c>
      <c r="AV229" s="137" t="str">
        <f t="shared" si="256"/>
        <v>0</v>
      </c>
      <c r="AW229" s="137" t="str">
        <f t="shared" si="257"/>
        <v>0</v>
      </c>
      <c r="AX229" s="137" t="str">
        <f t="shared" si="258"/>
        <v>0</v>
      </c>
      <c r="AY229" s="137" t="str">
        <f t="shared" si="259"/>
        <v>0</v>
      </c>
      <c r="AZ229" s="137" t="str">
        <f t="shared" si="260"/>
        <v>0</v>
      </c>
      <c r="BA229" s="137" t="str">
        <f t="shared" si="261"/>
        <v>0</v>
      </c>
      <c r="BB229" s="137" t="str">
        <f t="shared" si="262"/>
        <v>0</v>
      </c>
      <c r="BC229" s="137" t="str">
        <f t="shared" si="263"/>
        <v>0</v>
      </c>
      <c r="BD229" s="131">
        <f t="shared" si="264"/>
        <v>0</v>
      </c>
    </row>
    <row r="230" spans="2:56" ht="15" customHeight="1" x14ac:dyDescent="0.25">
      <c r="B230" s="127">
        <v>8200198</v>
      </c>
      <c r="C230" s="128" t="s">
        <v>316</v>
      </c>
      <c r="D230" s="128" t="s">
        <v>407</v>
      </c>
      <c r="E230" s="136" t="s">
        <v>413</v>
      </c>
      <c r="F230" s="274"/>
      <c r="G230" s="130">
        <f>+SUMIFS(TablaIngresos[Cantidad],TablaIngresos[Código],'Inventario '!B230)</f>
        <v>0</v>
      </c>
      <c r="H230" s="130">
        <f t="shared" si="235"/>
        <v>0</v>
      </c>
      <c r="I230" s="131">
        <f>SUMIFS(TablaConsumos[[CANTIDAD ]:[CANTIDAD ]],TablaConsumos[[CÓDIGO]:[CÓDIGO]],'Inventario '!$B230,TablaConsumos[[Planta]:[Planta]],'Inventario '!I$1)</f>
        <v>0</v>
      </c>
      <c r="J230" s="131">
        <f>SUMIFS(TablaConsumos[[CANTIDAD ]:[CANTIDAD ]],TablaConsumos[[CÓDIGO]:[CÓDIGO]],'Inventario '!$B230,TablaConsumos[[Planta]:[Planta]],'Inventario '!J$1)</f>
        <v>0</v>
      </c>
      <c r="K230" s="131">
        <f>SUMIFS(TablaConsumos[[CANTIDAD ]:[CANTIDAD ]],TablaConsumos[[CÓDIGO]:[CÓDIGO]],'Inventario '!$B230,TablaConsumos[[Planta]:[Planta]],'Inventario '!K$1)</f>
        <v>0</v>
      </c>
      <c r="L230" s="131">
        <f>SUMIFS(TablaConsumos[[CANTIDAD ]:[CANTIDAD ]],TablaConsumos[[CÓDIGO]:[CÓDIGO]],'Inventario '!$B230,TablaConsumos[[Planta]:[Planta]],'Inventario '!L$1)</f>
        <v>0</v>
      </c>
      <c r="M230" s="131">
        <f>SUMIFS(TablaConsumos[[CANTIDAD ]:[CANTIDAD ]],TablaConsumos[[CÓDIGO]:[CÓDIGO]],'Inventario '!$B230,TablaConsumos[[Planta]:[Planta]],'Inventario '!M$1)</f>
        <v>0</v>
      </c>
      <c r="N230" s="131">
        <f>SUMIFS(TablaConsumos[[CANTIDAD ]:[CANTIDAD ]],TablaConsumos[[CÓDIGO]:[CÓDIGO]],'Inventario '!$B230,TablaConsumos[[Planta]:[Planta]],'Inventario '!N$1)</f>
        <v>0</v>
      </c>
      <c r="O230" s="131">
        <f>SUMIFS(TablaConsumos[[CANTIDAD ]:[CANTIDAD ]],TablaConsumos[[CÓDIGO]:[CÓDIGO]],'Inventario '!$B230,TablaConsumos[[Planta]:[Planta]],'Inventario '!O$1)</f>
        <v>0</v>
      </c>
      <c r="P230" s="131">
        <f>SUMIFS(TablaConsumos[[CANTIDAD ]:[CANTIDAD ]],TablaConsumos[[CÓDIGO]:[CÓDIGO]],'Inventario '!$B230,TablaConsumos[[Planta]:[Planta]],'Inventario '!P$1)</f>
        <v>0</v>
      </c>
      <c r="Q230" s="131">
        <f>SUMIFS(TablaConsumos[[CANTIDAD ]:[CANTIDAD ]],TablaConsumos[[CÓDIGO]:[CÓDIGO]],'Inventario '!$B230,TablaConsumos[[Planta]:[Planta]],'Inventario '!Q$1)</f>
        <v>0</v>
      </c>
      <c r="R230" s="131">
        <f>SUMIFS(TablaConsumos[[CANTIDAD ]:[CANTIDAD ]],TablaConsumos[[CÓDIGO]:[CÓDIGO]],'Inventario '!$B230,TablaConsumos[[Planta]:[Planta]],'Inventario '!R$1)</f>
        <v>0</v>
      </c>
      <c r="S230" s="130">
        <f t="shared" si="236"/>
        <v>0</v>
      </c>
      <c r="T230" s="130">
        <f t="shared" si="237"/>
        <v>0</v>
      </c>
      <c r="U230" s="132"/>
      <c r="V230" s="130"/>
      <c r="W230" s="177">
        <v>1</v>
      </c>
      <c r="X230" s="132">
        <f t="shared" si="238"/>
        <v>0</v>
      </c>
      <c r="Y230" s="130">
        <f t="shared" si="239"/>
        <v>0</v>
      </c>
      <c r="Z230" s="132"/>
      <c r="AA230" s="132">
        <f t="shared" si="240"/>
        <v>0</v>
      </c>
      <c r="AB230" s="132"/>
      <c r="AC230" s="131">
        <f t="shared" si="241"/>
        <v>0</v>
      </c>
      <c r="AD230" s="131"/>
      <c r="AE230" s="130"/>
      <c r="AF230" s="130"/>
      <c r="AG230" s="168"/>
      <c r="AH230" s="134">
        <f t="shared" si="242"/>
        <v>0</v>
      </c>
      <c r="AI230" s="134">
        <f t="shared" si="243"/>
        <v>0</v>
      </c>
      <c r="AJ230" s="134">
        <f t="shared" si="244"/>
        <v>0</v>
      </c>
      <c r="AK230" s="134">
        <f t="shared" si="245"/>
        <v>0</v>
      </c>
      <c r="AL230" s="134">
        <f t="shared" si="246"/>
        <v>0</v>
      </c>
      <c r="AM230" s="134">
        <f t="shared" si="247"/>
        <v>0</v>
      </c>
      <c r="AN230" s="134">
        <f t="shared" si="248"/>
        <v>0</v>
      </c>
      <c r="AO230" s="134">
        <f t="shared" si="249"/>
        <v>0</v>
      </c>
      <c r="AP230" s="134">
        <f t="shared" si="250"/>
        <v>0</v>
      </c>
      <c r="AQ230" s="134">
        <f t="shared" si="251"/>
        <v>0</v>
      </c>
      <c r="AR230" s="134">
        <f t="shared" si="252"/>
        <v>0</v>
      </c>
      <c r="AS230" s="135">
        <f t="shared" si="253"/>
        <v>0</v>
      </c>
      <c r="AT230" s="137" t="str">
        <f t="shared" si="254"/>
        <v>0</v>
      </c>
      <c r="AU230" s="137" t="str">
        <f t="shared" si="255"/>
        <v>0</v>
      </c>
      <c r="AV230" s="137" t="str">
        <f t="shared" si="256"/>
        <v>0</v>
      </c>
      <c r="AW230" s="137" t="str">
        <f t="shared" si="257"/>
        <v>0</v>
      </c>
      <c r="AX230" s="137" t="str">
        <f t="shared" si="258"/>
        <v>0</v>
      </c>
      <c r="AY230" s="137" t="str">
        <f t="shared" si="259"/>
        <v>0</v>
      </c>
      <c r="AZ230" s="137" t="str">
        <f t="shared" si="260"/>
        <v>0</v>
      </c>
      <c r="BA230" s="137" t="str">
        <f t="shared" si="261"/>
        <v>0</v>
      </c>
      <c r="BB230" s="137" t="str">
        <f t="shared" si="262"/>
        <v>0</v>
      </c>
      <c r="BC230" s="137" t="str">
        <f t="shared" si="263"/>
        <v>0</v>
      </c>
      <c r="BD230" s="131">
        <f t="shared" si="264"/>
        <v>0</v>
      </c>
    </row>
    <row r="231" spans="2:56" ht="15" customHeight="1" x14ac:dyDescent="0.25">
      <c r="B231" s="127">
        <v>8200199</v>
      </c>
      <c r="C231" s="128" t="s">
        <v>705</v>
      </c>
      <c r="D231" s="128" t="s">
        <v>407</v>
      </c>
      <c r="E231" s="136" t="s">
        <v>415</v>
      </c>
      <c r="F231" s="274"/>
      <c r="G231" s="130">
        <f>+SUMIFS(TablaIngresos[Cantidad],TablaIngresos[Código],'Inventario '!B231)</f>
        <v>0</v>
      </c>
      <c r="H231" s="130">
        <f t="shared" si="235"/>
        <v>0</v>
      </c>
      <c r="I231" s="131">
        <f>SUMIFS(TablaConsumos[[CANTIDAD ]:[CANTIDAD ]],TablaConsumos[[CÓDIGO]:[CÓDIGO]],'Inventario '!$B231,TablaConsumos[[Planta]:[Planta]],'Inventario '!I$1)</f>
        <v>0</v>
      </c>
      <c r="J231" s="131">
        <f>SUMIFS(TablaConsumos[[CANTIDAD ]:[CANTIDAD ]],TablaConsumos[[CÓDIGO]:[CÓDIGO]],'Inventario '!$B231,TablaConsumos[[Planta]:[Planta]],'Inventario '!J$1)</f>
        <v>0</v>
      </c>
      <c r="K231" s="131">
        <f>SUMIFS(TablaConsumos[[CANTIDAD ]:[CANTIDAD ]],TablaConsumos[[CÓDIGO]:[CÓDIGO]],'Inventario '!$B231,TablaConsumos[[Planta]:[Planta]],'Inventario '!K$1)</f>
        <v>0</v>
      </c>
      <c r="L231" s="131">
        <f>SUMIFS(TablaConsumos[[CANTIDAD ]:[CANTIDAD ]],TablaConsumos[[CÓDIGO]:[CÓDIGO]],'Inventario '!$B231,TablaConsumos[[Planta]:[Planta]],'Inventario '!L$1)</f>
        <v>0</v>
      </c>
      <c r="M231" s="131">
        <f>SUMIFS(TablaConsumos[[CANTIDAD ]:[CANTIDAD ]],TablaConsumos[[CÓDIGO]:[CÓDIGO]],'Inventario '!$B231,TablaConsumos[[Planta]:[Planta]],'Inventario '!M$1)</f>
        <v>0</v>
      </c>
      <c r="N231" s="131">
        <f>SUMIFS(TablaConsumos[[CANTIDAD ]:[CANTIDAD ]],TablaConsumos[[CÓDIGO]:[CÓDIGO]],'Inventario '!$B231,TablaConsumos[[Planta]:[Planta]],'Inventario '!N$1)</f>
        <v>0</v>
      </c>
      <c r="O231" s="131">
        <f>SUMIFS(TablaConsumos[[CANTIDAD ]:[CANTIDAD ]],TablaConsumos[[CÓDIGO]:[CÓDIGO]],'Inventario '!$B231,TablaConsumos[[Planta]:[Planta]],'Inventario '!O$1)</f>
        <v>0</v>
      </c>
      <c r="P231" s="131">
        <f>SUMIFS(TablaConsumos[[CANTIDAD ]:[CANTIDAD ]],TablaConsumos[[CÓDIGO]:[CÓDIGO]],'Inventario '!$B231,TablaConsumos[[Planta]:[Planta]],'Inventario '!P$1)</f>
        <v>0</v>
      </c>
      <c r="Q231" s="131">
        <f>SUMIFS(TablaConsumos[[CANTIDAD ]:[CANTIDAD ]],TablaConsumos[[CÓDIGO]:[CÓDIGO]],'Inventario '!$B231,TablaConsumos[[Planta]:[Planta]],'Inventario '!Q$1)</f>
        <v>0</v>
      </c>
      <c r="R231" s="131">
        <f>SUMIFS(TablaConsumos[[CANTIDAD ]:[CANTIDAD ]],TablaConsumos[[CÓDIGO]:[CÓDIGO]],'Inventario '!$B231,TablaConsumos[[Planta]:[Planta]],'Inventario '!R$1)</f>
        <v>0</v>
      </c>
      <c r="S231" s="130">
        <f t="shared" si="236"/>
        <v>0</v>
      </c>
      <c r="T231" s="130">
        <f t="shared" si="237"/>
        <v>0</v>
      </c>
      <c r="U231" s="132"/>
      <c r="V231" s="130"/>
      <c r="W231" s="177">
        <v>1</v>
      </c>
      <c r="X231" s="132">
        <f t="shared" si="238"/>
        <v>0</v>
      </c>
      <c r="Y231" s="130">
        <f t="shared" si="239"/>
        <v>0</v>
      </c>
      <c r="Z231" s="132"/>
      <c r="AA231" s="132">
        <f t="shared" si="240"/>
        <v>0</v>
      </c>
      <c r="AB231" s="132"/>
      <c r="AC231" s="131">
        <f t="shared" si="241"/>
        <v>0</v>
      </c>
      <c r="AD231" s="131"/>
      <c r="AE231" s="130"/>
      <c r="AF231" s="130"/>
      <c r="AG231" s="168"/>
      <c r="AH231" s="134">
        <f t="shared" si="242"/>
        <v>0</v>
      </c>
      <c r="AI231" s="134">
        <f t="shared" si="243"/>
        <v>0</v>
      </c>
      <c r="AJ231" s="134">
        <f t="shared" si="244"/>
        <v>0</v>
      </c>
      <c r="AK231" s="134">
        <f t="shared" si="245"/>
        <v>0</v>
      </c>
      <c r="AL231" s="134">
        <f t="shared" si="246"/>
        <v>0</v>
      </c>
      <c r="AM231" s="134">
        <f t="shared" si="247"/>
        <v>0</v>
      </c>
      <c r="AN231" s="134">
        <f t="shared" si="248"/>
        <v>0</v>
      </c>
      <c r="AO231" s="134">
        <f t="shared" si="249"/>
        <v>0</v>
      </c>
      <c r="AP231" s="134">
        <f t="shared" si="250"/>
        <v>0</v>
      </c>
      <c r="AQ231" s="134">
        <f t="shared" si="251"/>
        <v>0</v>
      </c>
      <c r="AR231" s="134">
        <f t="shared" si="252"/>
        <v>0</v>
      </c>
      <c r="AS231" s="135">
        <f t="shared" si="253"/>
        <v>0</v>
      </c>
      <c r="AT231" s="137" t="str">
        <f t="shared" si="254"/>
        <v>0</v>
      </c>
      <c r="AU231" s="137" t="str">
        <f t="shared" si="255"/>
        <v>0</v>
      </c>
      <c r="AV231" s="137" t="str">
        <f t="shared" si="256"/>
        <v>0</v>
      </c>
      <c r="AW231" s="137" t="str">
        <f t="shared" si="257"/>
        <v>0</v>
      </c>
      <c r="AX231" s="137" t="str">
        <f t="shared" si="258"/>
        <v>0</v>
      </c>
      <c r="AY231" s="137" t="str">
        <f t="shared" si="259"/>
        <v>0</v>
      </c>
      <c r="AZ231" s="137" t="str">
        <f t="shared" si="260"/>
        <v>0</v>
      </c>
      <c r="BA231" s="137" t="str">
        <f t="shared" si="261"/>
        <v>0</v>
      </c>
      <c r="BB231" s="137" t="str">
        <f t="shared" si="262"/>
        <v>0</v>
      </c>
      <c r="BC231" s="137" t="str">
        <f t="shared" si="263"/>
        <v>0</v>
      </c>
      <c r="BD231" s="131">
        <f t="shared" si="264"/>
        <v>0</v>
      </c>
    </row>
    <row r="232" spans="2:56" ht="15" customHeight="1" x14ac:dyDescent="0.25">
      <c r="B232" s="127">
        <v>8200390</v>
      </c>
      <c r="C232" s="128" t="s">
        <v>316</v>
      </c>
      <c r="D232" s="128" t="s">
        <v>407</v>
      </c>
      <c r="E232" s="136" t="s">
        <v>416</v>
      </c>
      <c r="F232" s="274"/>
      <c r="G232" s="130">
        <f>+SUMIFS(TablaIngresos[Cantidad],TablaIngresos[Código],'Inventario '!B232)</f>
        <v>0</v>
      </c>
      <c r="H232" s="130">
        <f t="shared" si="235"/>
        <v>0</v>
      </c>
      <c r="I232" s="131">
        <f>SUMIFS(TablaConsumos[[CANTIDAD ]:[CANTIDAD ]],TablaConsumos[[CÓDIGO]:[CÓDIGO]],'Inventario '!$B232,TablaConsumos[[Planta]:[Planta]],'Inventario '!I$1)</f>
        <v>0</v>
      </c>
      <c r="J232" s="131">
        <f>SUMIFS(TablaConsumos[[CANTIDAD ]:[CANTIDAD ]],TablaConsumos[[CÓDIGO]:[CÓDIGO]],'Inventario '!$B232,TablaConsumos[[Planta]:[Planta]],'Inventario '!J$1)</f>
        <v>0</v>
      </c>
      <c r="K232" s="131">
        <f>SUMIFS(TablaConsumos[[CANTIDAD ]:[CANTIDAD ]],TablaConsumos[[CÓDIGO]:[CÓDIGO]],'Inventario '!$B232,TablaConsumos[[Planta]:[Planta]],'Inventario '!K$1)</f>
        <v>0</v>
      </c>
      <c r="L232" s="131">
        <f>SUMIFS(TablaConsumos[[CANTIDAD ]:[CANTIDAD ]],TablaConsumos[[CÓDIGO]:[CÓDIGO]],'Inventario '!$B232,TablaConsumos[[Planta]:[Planta]],'Inventario '!L$1)</f>
        <v>0</v>
      </c>
      <c r="M232" s="131">
        <f>SUMIFS(TablaConsumos[[CANTIDAD ]:[CANTIDAD ]],TablaConsumos[[CÓDIGO]:[CÓDIGO]],'Inventario '!$B232,TablaConsumos[[Planta]:[Planta]],'Inventario '!M$1)</f>
        <v>0</v>
      </c>
      <c r="N232" s="131">
        <f>SUMIFS(TablaConsumos[[CANTIDAD ]:[CANTIDAD ]],TablaConsumos[[CÓDIGO]:[CÓDIGO]],'Inventario '!$B232,TablaConsumos[[Planta]:[Planta]],'Inventario '!N$1)</f>
        <v>0</v>
      </c>
      <c r="O232" s="131">
        <f>SUMIFS(TablaConsumos[[CANTIDAD ]:[CANTIDAD ]],TablaConsumos[[CÓDIGO]:[CÓDIGO]],'Inventario '!$B232,TablaConsumos[[Planta]:[Planta]],'Inventario '!O$1)</f>
        <v>0</v>
      </c>
      <c r="P232" s="131">
        <f>SUMIFS(TablaConsumos[[CANTIDAD ]:[CANTIDAD ]],TablaConsumos[[CÓDIGO]:[CÓDIGO]],'Inventario '!$B232,TablaConsumos[[Planta]:[Planta]],'Inventario '!P$1)</f>
        <v>0</v>
      </c>
      <c r="Q232" s="131">
        <f>SUMIFS(TablaConsumos[[CANTIDAD ]:[CANTIDAD ]],TablaConsumos[[CÓDIGO]:[CÓDIGO]],'Inventario '!$B232,TablaConsumos[[Planta]:[Planta]],'Inventario '!Q$1)</f>
        <v>0</v>
      </c>
      <c r="R232" s="131">
        <f>SUMIFS(TablaConsumos[[CANTIDAD ]:[CANTIDAD ]],TablaConsumos[[CÓDIGO]:[CÓDIGO]],'Inventario '!$B232,TablaConsumos[[Planta]:[Planta]],'Inventario '!R$1)</f>
        <v>0</v>
      </c>
      <c r="S232" s="130">
        <f t="shared" si="236"/>
        <v>0</v>
      </c>
      <c r="T232" s="130">
        <f t="shared" si="237"/>
        <v>0</v>
      </c>
      <c r="U232" s="132"/>
      <c r="V232" s="130"/>
      <c r="W232" s="177">
        <v>1</v>
      </c>
      <c r="X232" s="132">
        <f t="shared" si="238"/>
        <v>0</v>
      </c>
      <c r="Y232" s="130">
        <f t="shared" si="239"/>
        <v>0</v>
      </c>
      <c r="Z232" s="132"/>
      <c r="AA232" s="132">
        <f t="shared" si="240"/>
        <v>0</v>
      </c>
      <c r="AB232" s="132"/>
      <c r="AC232" s="131">
        <f t="shared" si="241"/>
        <v>0</v>
      </c>
      <c r="AD232" s="131"/>
      <c r="AE232" s="130"/>
      <c r="AF232" s="130"/>
      <c r="AG232" s="168"/>
      <c r="AH232" s="134">
        <f t="shared" si="242"/>
        <v>0</v>
      </c>
      <c r="AI232" s="134">
        <f t="shared" si="243"/>
        <v>0</v>
      </c>
      <c r="AJ232" s="134">
        <f t="shared" si="244"/>
        <v>0</v>
      </c>
      <c r="AK232" s="134">
        <f t="shared" si="245"/>
        <v>0</v>
      </c>
      <c r="AL232" s="134">
        <f t="shared" si="246"/>
        <v>0</v>
      </c>
      <c r="AM232" s="134">
        <f t="shared" si="247"/>
        <v>0</v>
      </c>
      <c r="AN232" s="134">
        <f t="shared" si="248"/>
        <v>0</v>
      </c>
      <c r="AO232" s="134">
        <f t="shared" si="249"/>
        <v>0</v>
      </c>
      <c r="AP232" s="134">
        <f t="shared" si="250"/>
        <v>0</v>
      </c>
      <c r="AQ232" s="134">
        <f t="shared" si="251"/>
        <v>0</v>
      </c>
      <c r="AR232" s="134">
        <f t="shared" si="252"/>
        <v>0</v>
      </c>
      <c r="AS232" s="135">
        <f t="shared" si="253"/>
        <v>0</v>
      </c>
      <c r="AT232" s="137" t="str">
        <f t="shared" si="254"/>
        <v>0</v>
      </c>
      <c r="AU232" s="137" t="str">
        <f t="shared" si="255"/>
        <v>0</v>
      </c>
      <c r="AV232" s="137" t="str">
        <f t="shared" si="256"/>
        <v>0</v>
      </c>
      <c r="AW232" s="137" t="str">
        <f t="shared" si="257"/>
        <v>0</v>
      </c>
      <c r="AX232" s="137" t="str">
        <f t="shared" si="258"/>
        <v>0</v>
      </c>
      <c r="AY232" s="137" t="str">
        <f t="shared" si="259"/>
        <v>0</v>
      </c>
      <c r="AZ232" s="137" t="str">
        <f t="shared" si="260"/>
        <v>0</v>
      </c>
      <c r="BA232" s="137" t="str">
        <f t="shared" si="261"/>
        <v>0</v>
      </c>
      <c r="BB232" s="137" t="str">
        <f t="shared" si="262"/>
        <v>0</v>
      </c>
      <c r="BC232" s="137" t="str">
        <f t="shared" si="263"/>
        <v>0</v>
      </c>
      <c r="BD232" s="131">
        <f t="shared" si="264"/>
        <v>0</v>
      </c>
    </row>
    <row r="233" spans="2:56" ht="15" customHeight="1" x14ac:dyDescent="0.25">
      <c r="B233" s="127">
        <v>8200590</v>
      </c>
      <c r="C233" s="128" t="s">
        <v>316</v>
      </c>
      <c r="D233" s="128" t="s">
        <v>407</v>
      </c>
      <c r="E233" s="136" t="s">
        <v>420</v>
      </c>
      <c r="F233" s="274"/>
      <c r="G233" s="130">
        <f>+SUMIFS(TablaIngresos[Cantidad],TablaIngresos[Código],'Inventario '!B233)</f>
        <v>0</v>
      </c>
      <c r="H233" s="130">
        <f t="shared" si="235"/>
        <v>0</v>
      </c>
      <c r="I233" s="131">
        <f>SUMIFS(TablaConsumos[[CANTIDAD ]:[CANTIDAD ]],TablaConsumos[[CÓDIGO]:[CÓDIGO]],'Inventario '!$B233,TablaConsumos[[Planta]:[Planta]],'Inventario '!I$1)</f>
        <v>0</v>
      </c>
      <c r="J233" s="131">
        <f>SUMIFS(TablaConsumos[[CANTIDAD ]:[CANTIDAD ]],TablaConsumos[[CÓDIGO]:[CÓDIGO]],'Inventario '!$B233,TablaConsumos[[Planta]:[Planta]],'Inventario '!J$1)</f>
        <v>0</v>
      </c>
      <c r="K233" s="131">
        <f>SUMIFS(TablaConsumos[[CANTIDAD ]:[CANTIDAD ]],TablaConsumos[[CÓDIGO]:[CÓDIGO]],'Inventario '!$B233,TablaConsumos[[Planta]:[Planta]],'Inventario '!K$1)</f>
        <v>0</v>
      </c>
      <c r="L233" s="131">
        <f>SUMIFS(TablaConsumos[[CANTIDAD ]:[CANTIDAD ]],TablaConsumos[[CÓDIGO]:[CÓDIGO]],'Inventario '!$B233,TablaConsumos[[Planta]:[Planta]],'Inventario '!L$1)</f>
        <v>0</v>
      </c>
      <c r="M233" s="131">
        <f>SUMIFS(TablaConsumos[[CANTIDAD ]:[CANTIDAD ]],TablaConsumos[[CÓDIGO]:[CÓDIGO]],'Inventario '!$B233,TablaConsumos[[Planta]:[Planta]],'Inventario '!M$1)</f>
        <v>0</v>
      </c>
      <c r="N233" s="131">
        <f>SUMIFS(TablaConsumos[[CANTIDAD ]:[CANTIDAD ]],TablaConsumos[[CÓDIGO]:[CÓDIGO]],'Inventario '!$B233,TablaConsumos[[Planta]:[Planta]],'Inventario '!N$1)</f>
        <v>0</v>
      </c>
      <c r="O233" s="131">
        <f>SUMIFS(TablaConsumos[[CANTIDAD ]:[CANTIDAD ]],TablaConsumos[[CÓDIGO]:[CÓDIGO]],'Inventario '!$B233,TablaConsumos[[Planta]:[Planta]],'Inventario '!O$1)</f>
        <v>0</v>
      </c>
      <c r="P233" s="131">
        <f>SUMIFS(TablaConsumos[[CANTIDAD ]:[CANTIDAD ]],TablaConsumos[[CÓDIGO]:[CÓDIGO]],'Inventario '!$B233,TablaConsumos[[Planta]:[Planta]],'Inventario '!P$1)</f>
        <v>0</v>
      </c>
      <c r="Q233" s="131">
        <f>SUMIFS(TablaConsumos[[CANTIDAD ]:[CANTIDAD ]],TablaConsumos[[CÓDIGO]:[CÓDIGO]],'Inventario '!$B233,TablaConsumos[[Planta]:[Planta]],'Inventario '!Q$1)</f>
        <v>0</v>
      </c>
      <c r="R233" s="131">
        <f>SUMIFS(TablaConsumos[[CANTIDAD ]:[CANTIDAD ]],TablaConsumos[[CÓDIGO]:[CÓDIGO]],'Inventario '!$B233,TablaConsumos[[Planta]:[Planta]],'Inventario '!R$1)</f>
        <v>0</v>
      </c>
      <c r="S233" s="130">
        <f t="shared" si="236"/>
        <v>0</v>
      </c>
      <c r="T233" s="130">
        <f t="shared" si="237"/>
        <v>0</v>
      </c>
      <c r="U233" s="132"/>
      <c r="V233" s="130"/>
      <c r="W233" s="177">
        <v>1</v>
      </c>
      <c r="X233" s="132">
        <f t="shared" si="238"/>
        <v>0</v>
      </c>
      <c r="Y233" s="130">
        <f t="shared" si="239"/>
        <v>0</v>
      </c>
      <c r="Z233" s="132"/>
      <c r="AA233" s="132">
        <f t="shared" si="240"/>
        <v>0</v>
      </c>
      <c r="AB233" s="132"/>
      <c r="AC233" s="131">
        <f t="shared" si="241"/>
        <v>0</v>
      </c>
      <c r="AD233" s="131"/>
      <c r="AE233" s="130"/>
      <c r="AF233" s="130"/>
      <c r="AG233" s="168"/>
      <c r="AH233" s="134">
        <f t="shared" si="242"/>
        <v>0</v>
      </c>
      <c r="AI233" s="134">
        <f t="shared" si="243"/>
        <v>0</v>
      </c>
      <c r="AJ233" s="134">
        <f t="shared" si="244"/>
        <v>0</v>
      </c>
      <c r="AK233" s="134">
        <f t="shared" si="245"/>
        <v>0</v>
      </c>
      <c r="AL233" s="134">
        <f t="shared" si="246"/>
        <v>0</v>
      </c>
      <c r="AM233" s="134">
        <f t="shared" si="247"/>
        <v>0</v>
      </c>
      <c r="AN233" s="134">
        <f t="shared" si="248"/>
        <v>0</v>
      </c>
      <c r="AO233" s="134">
        <f t="shared" si="249"/>
        <v>0</v>
      </c>
      <c r="AP233" s="134">
        <f t="shared" si="250"/>
        <v>0</v>
      </c>
      <c r="AQ233" s="134">
        <f t="shared" si="251"/>
        <v>0</v>
      </c>
      <c r="AR233" s="134">
        <f t="shared" si="252"/>
        <v>0</v>
      </c>
      <c r="AS233" s="135">
        <f t="shared" si="253"/>
        <v>0</v>
      </c>
      <c r="AT233" s="137" t="str">
        <f t="shared" si="254"/>
        <v>0</v>
      </c>
      <c r="AU233" s="137" t="str">
        <f t="shared" si="255"/>
        <v>0</v>
      </c>
      <c r="AV233" s="137" t="str">
        <f t="shared" si="256"/>
        <v>0</v>
      </c>
      <c r="AW233" s="137" t="str">
        <f t="shared" si="257"/>
        <v>0</v>
      </c>
      <c r="AX233" s="137" t="str">
        <f t="shared" si="258"/>
        <v>0</v>
      </c>
      <c r="AY233" s="137" t="str">
        <f t="shared" si="259"/>
        <v>0</v>
      </c>
      <c r="AZ233" s="137" t="str">
        <f t="shared" si="260"/>
        <v>0</v>
      </c>
      <c r="BA233" s="137" t="str">
        <f t="shared" si="261"/>
        <v>0</v>
      </c>
      <c r="BB233" s="137" t="str">
        <f t="shared" si="262"/>
        <v>0</v>
      </c>
      <c r="BC233" s="137" t="str">
        <f t="shared" si="263"/>
        <v>0</v>
      </c>
      <c r="BD233" s="131">
        <f t="shared" si="264"/>
        <v>0</v>
      </c>
    </row>
    <row r="234" spans="2:56" ht="15" customHeight="1" x14ac:dyDescent="0.25">
      <c r="B234" s="127">
        <v>8200845</v>
      </c>
      <c r="C234" s="128" t="s">
        <v>316</v>
      </c>
      <c r="D234" s="128" t="s">
        <v>801</v>
      </c>
      <c r="E234" s="129" t="s">
        <v>431</v>
      </c>
      <c r="F234" s="274"/>
      <c r="G234" s="130">
        <f>+SUMIFS(TablaIngresos[Cantidad],TablaIngresos[Código],'Inventario '!B234)</f>
        <v>0</v>
      </c>
      <c r="H234" s="130">
        <f t="shared" si="235"/>
        <v>0</v>
      </c>
      <c r="I234" s="131">
        <f>SUMIFS(TablaConsumos[[CANTIDAD ]:[CANTIDAD ]],TablaConsumos[[CÓDIGO]:[CÓDIGO]],'Inventario '!$B234,TablaConsumos[[Planta]:[Planta]],'Inventario '!I$1)</f>
        <v>0</v>
      </c>
      <c r="J234" s="131">
        <f>SUMIFS(TablaConsumos[[CANTIDAD ]:[CANTIDAD ]],TablaConsumos[[CÓDIGO]:[CÓDIGO]],'Inventario '!$B234,TablaConsumos[[Planta]:[Planta]],'Inventario '!J$1)</f>
        <v>0</v>
      </c>
      <c r="K234" s="131">
        <f>SUMIFS(TablaConsumos[[CANTIDAD ]:[CANTIDAD ]],TablaConsumos[[CÓDIGO]:[CÓDIGO]],'Inventario '!$B234,TablaConsumos[[Planta]:[Planta]],'Inventario '!K$1)</f>
        <v>0</v>
      </c>
      <c r="L234" s="131">
        <f>SUMIFS(TablaConsumos[[CANTIDAD ]:[CANTIDAD ]],TablaConsumos[[CÓDIGO]:[CÓDIGO]],'Inventario '!$B234,TablaConsumos[[Planta]:[Planta]],'Inventario '!L$1)</f>
        <v>0</v>
      </c>
      <c r="M234" s="131">
        <f>SUMIFS(TablaConsumos[[CANTIDAD ]:[CANTIDAD ]],TablaConsumos[[CÓDIGO]:[CÓDIGO]],'Inventario '!$B234,TablaConsumos[[Planta]:[Planta]],'Inventario '!M$1)</f>
        <v>0</v>
      </c>
      <c r="N234" s="131">
        <f>SUMIFS(TablaConsumos[[CANTIDAD ]:[CANTIDAD ]],TablaConsumos[[CÓDIGO]:[CÓDIGO]],'Inventario '!$B234,TablaConsumos[[Planta]:[Planta]],'Inventario '!N$1)</f>
        <v>0</v>
      </c>
      <c r="O234" s="131">
        <f>SUMIFS(TablaConsumos[[CANTIDAD ]:[CANTIDAD ]],TablaConsumos[[CÓDIGO]:[CÓDIGO]],'Inventario '!$B234,TablaConsumos[[Planta]:[Planta]],'Inventario '!O$1)</f>
        <v>0</v>
      </c>
      <c r="P234" s="131">
        <f>SUMIFS(TablaConsumos[[CANTIDAD ]:[CANTIDAD ]],TablaConsumos[[CÓDIGO]:[CÓDIGO]],'Inventario '!$B234,TablaConsumos[[Planta]:[Planta]],'Inventario '!P$1)</f>
        <v>0</v>
      </c>
      <c r="Q234" s="131">
        <f>SUMIFS(TablaConsumos[[CANTIDAD ]:[CANTIDAD ]],TablaConsumos[[CÓDIGO]:[CÓDIGO]],'Inventario '!$B234,TablaConsumos[[Planta]:[Planta]],'Inventario '!Q$1)</f>
        <v>0</v>
      </c>
      <c r="R234" s="131">
        <f>SUMIFS(TablaConsumos[[CANTIDAD ]:[CANTIDAD ]],TablaConsumos[[CÓDIGO]:[CÓDIGO]],'Inventario '!$B234,TablaConsumos[[Planta]:[Planta]],'Inventario '!R$1)</f>
        <v>0</v>
      </c>
      <c r="S234" s="130">
        <f t="shared" si="236"/>
        <v>0</v>
      </c>
      <c r="T234" s="130">
        <f t="shared" si="237"/>
        <v>0</v>
      </c>
      <c r="U234" s="132"/>
      <c r="V234" s="130"/>
      <c r="W234" s="177">
        <v>1</v>
      </c>
      <c r="X234" s="132">
        <f t="shared" si="238"/>
        <v>0</v>
      </c>
      <c r="Y234" s="130">
        <f t="shared" si="239"/>
        <v>0</v>
      </c>
      <c r="Z234" s="132"/>
      <c r="AA234" s="132">
        <f t="shared" si="240"/>
        <v>0</v>
      </c>
      <c r="AB234" s="132"/>
      <c r="AC234" s="131">
        <f t="shared" si="241"/>
        <v>0</v>
      </c>
      <c r="AD234" s="131"/>
      <c r="AE234" s="130"/>
      <c r="AF234" s="130"/>
      <c r="AG234" s="168"/>
      <c r="AH234" s="134">
        <f t="shared" si="242"/>
        <v>0</v>
      </c>
      <c r="AI234" s="134">
        <f t="shared" si="243"/>
        <v>0</v>
      </c>
      <c r="AJ234" s="134">
        <f t="shared" si="244"/>
        <v>0</v>
      </c>
      <c r="AK234" s="134">
        <f t="shared" si="245"/>
        <v>0</v>
      </c>
      <c r="AL234" s="134">
        <f t="shared" si="246"/>
        <v>0</v>
      </c>
      <c r="AM234" s="134">
        <f t="shared" si="247"/>
        <v>0</v>
      </c>
      <c r="AN234" s="134">
        <f t="shared" si="248"/>
        <v>0</v>
      </c>
      <c r="AO234" s="134">
        <f t="shared" si="249"/>
        <v>0</v>
      </c>
      <c r="AP234" s="134">
        <f t="shared" si="250"/>
        <v>0</v>
      </c>
      <c r="AQ234" s="134">
        <f t="shared" si="251"/>
        <v>0</v>
      </c>
      <c r="AR234" s="134">
        <f t="shared" si="252"/>
        <v>0</v>
      </c>
      <c r="AS234" s="135">
        <f t="shared" si="253"/>
        <v>0</v>
      </c>
      <c r="AT234" s="137" t="str">
        <f t="shared" si="254"/>
        <v>0</v>
      </c>
      <c r="AU234" s="137" t="str">
        <f t="shared" si="255"/>
        <v>0</v>
      </c>
      <c r="AV234" s="137" t="str">
        <f t="shared" si="256"/>
        <v>0</v>
      </c>
      <c r="AW234" s="137" t="str">
        <f t="shared" si="257"/>
        <v>0</v>
      </c>
      <c r="AX234" s="137" t="str">
        <f t="shared" si="258"/>
        <v>0</v>
      </c>
      <c r="AY234" s="137" t="str">
        <f t="shared" si="259"/>
        <v>0</v>
      </c>
      <c r="AZ234" s="137" t="str">
        <f t="shared" si="260"/>
        <v>0</v>
      </c>
      <c r="BA234" s="137" t="str">
        <f t="shared" si="261"/>
        <v>0</v>
      </c>
      <c r="BB234" s="137" t="str">
        <f t="shared" si="262"/>
        <v>0</v>
      </c>
      <c r="BC234" s="137" t="str">
        <f t="shared" si="263"/>
        <v>0</v>
      </c>
      <c r="BD234" s="131">
        <f t="shared" si="264"/>
        <v>0</v>
      </c>
    </row>
    <row r="235" spans="2:56" ht="15" customHeight="1" x14ac:dyDescent="0.25">
      <c r="B235" s="127">
        <v>8200852</v>
      </c>
      <c r="C235" s="128" t="s">
        <v>316</v>
      </c>
      <c r="D235" s="128" t="s">
        <v>407</v>
      </c>
      <c r="E235" s="129" t="s">
        <v>436</v>
      </c>
      <c r="F235" s="274"/>
      <c r="G235" s="130">
        <f>+SUMIFS(TablaIngresos[Cantidad],TablaIngresos[Código],'Inventario '!B235)</f>
        <v>0</v>
      </c>
      <c r="H235" s="130">
        <f t="shared" si="235"/>
        <v>0</v>
      </c>
      <c r="I235" s="131">
        <f>SUMIFS(TablaConsumos[[CANTIDAD ]:[CANTIDAD ]],TablaConsumos[[CÓDIGO]:[CÓDIGO]],'Inventario '!$B235,TablaConsumos[[Planta]:[Planta]],'Inventario '!I$1)</f>
        <v>0</v>
      </c>
      <c r="J235" s="131">
        <f>SUMIFS(TablaConsumos[[CANTIDAD ]:[CANTIDAD ]],TablaConsumos[[CÓDIGO]:[CÓDIGO]],'Inventario '!$B235,TablaConsumos[[Planta]:[Planta]],'Inventario '!J$1)</f>
        <v>0</v>
      </c>
      <c r="K235" s="131">
        <f>SUMIFS(TablaConsumos[[CANTIDAD ]:[CANTIDAD ]],TablaConsumos[[CÓDIGO]:[CÓDIGO]],'Inventario '!$B235,TablaConsumos[[Planta]:[Planta]],'Inventario '!K$1)</f>
        <v>0</v>
      </c>
      <c r="L235" s="131">
        <f>SUMIFS(TablaConsumos[[CANTIDAD ]:[CANTIDAD ]],TablaConsumos[[CÓDIGO]:[CÓDIGO]],'Inventario '!$B235,TablaConsumos[[Planta]:[Planta]],'Inventario '!L$1)</f>
        <v>0</v>
      </c>
      <c r="M235" s="131">
        <f>SUMIFS(TablaConsumos[[CANTIDAD ]:[CANTIDAD ]],TablaConsumos[[CÓDIGO]:[CÓDIGO]],'Inventario '!$B235,TablaConsumos[[Planta]:[Planta]],'Inventario '!M$1)</f>
        <v>0</v>
      </c>
      <c r="N235" s="131">
        <f>SUMIFS(TablaConsumos[[CANTIDAD ]:[CANTIDAD ]],TablaConsumos[[CÓDIGO]:[CÓDIGO]],'Inventario '!$B235,TablaConsumos[[Planta]:[Planta]],'Inventario '!N$1)</f>
        <v>0</v>
      </c>
      <c r="O235" s="131">
        <f>SUMIFS(TablaConsumos[[CANTIDAD ]:[CANTIDAD ]],TablaConsumos[[CÓDIGO]:[CÓDIGO]],'Inventario '!$B235,TablaConsumos[[Planta]:[Planta]],'Inventario '!O$1)</f>
        <v>0</v>
      </c>
      <c r="P235" s="131">
        <f>SUMIFS(TablaConsumos[[CANTIDAD ]:[CANTIDAD ]],TablaConsumos[[CÓDIGO]:[CÓDIGO]],'Inventario '!$B235,TablaConsumos[[Planta]:[Planta]],'Inventario '!P$1)</f>
        <v>0</v>
      </c>
      <c r="Q235" s="131">
        <f>SUMIFS(TablaConsumos[[CANTIDAD ]:[CANTIDAD ]],TablaConsumos[[CÓDIGO]:[CÓDIGO]],'Inventario '!$B235,TablaConsumos[[Planta]:[Planta]],'Inventario '!Q$1)</f>
        <v>0</v>
      </c>
      <c r="R235" s="131">
        <f>SUMIFS(TablaConsumos[[CANTIDAD ]:[CANTIDAD ]],TablaConsumos[[CÓDIGO]:[CÓDIGO]],'Inventario '!$B235,TablaConsumos[[Planta]:[Planta]],'Inventario '!R$1)</f>
        <v>0</v>
      </c>
      <c r="S235" s="130">
        <f t="shared" si="236"/>
        <v>0</v>
      </c>
      <c r="T235" s="130">
        <f t="shared" si="237"/>
        <v>0</v>
      </c>
      <c r="U235" s="132"/>
      <c r="V235" s="130"/>
      <c r="W235" s="177">
        <v>1</v>
      </c>
      <c r="X235" s="132">
        <f t="shared" si="238"/>
        <v>0</v>
      </c>
      <c r="Y235" s="130">
        <f t="shared" si="239"/>
        <v>0</v>
      </c>
      <c r="Z235" s="132"/>
      <c r="AA235" s="132">
        <f t="shared" si="240"/>
        <v>0</v>
      </c>
      <c r="AB235" s="132"/>
      <c r="AC235" s="131">
        <f t="shared" si="241"/>
        <v>0</v>
      </c>
      <c r="AD235" s="131"/>
      <c r="AE235" s="130"/>
      <c r="AF235" s="130"/>
      <c r="AG235" s="168"/>
      <c r="AH235" s="134">
        <f t="shared" si="242"/>
        <v>0</v>
      </c>
      <c r="AI235" s="134">
        <f t="shared" si="243"/>
        <v>0</v>
      </c>
      <c r="AJ235" s="134">
        <f t="shared" si="244"/>
        <v>0</v>
      </c>
      <c r="AK235" s="134">
        <f t="shared" si="245"/>
        <v>0</v>
      </c>
      <c r="AL235" s="134">
        <f t="shared" si="246"/>
        <v>0</v>
      </c>
      <c r="AM235" s="134">
        <f t="shared" si="247"/>
        <v>0</v>
      </c>
      <c r="AN235" s="134">
        <f t="shared" si="248"/>
        <v>0</v>
      </c>
      <c r="AO235" s="134">
        <f t="shared" si="249"/>
        <v>0</v>
      </c>
      <c r="AP235" s="134">
        <f t="shared" si="250"/>
        <v>0</v>
      </c>
      <c r="AQ235" s="134">
        <f t="shared" si="251"/>
        <v>0</v>
      </c>
      <c r="AR235" s="134">
        <f t="shared" si="252"/>
        <v>0</v>
      </c>
      <c r="AS235" s="135">
        <f t="shared" si="253"/>
        <v>0</v>
      </c>
      <c r="AT235" s="137" t="str">
        <f t="shared" si="254"/>
        <v>0</v>
      </c>
      <c r="AU235" s="137" t="str">
        <f t="shared" si="255"/>
        <v>0</v>
      </c>
      <c r="AV235" s="137" t="str">
        <f t="shared" si="256"/>
        <v>0</v>
      </c>
      <c r="AW235" s="137" t="str">
        <f t="shared" si="257"/>
        <v>0</v>
      </c>
      <c r="AX235" s="137" t="str">
        <f t="shared" si="258"/>
        <v>0</v>
      </c>
      <c r="AY235" s="137" t="str">
        <f t="shared" si="259"/>
        <v>0</v>
      </c>
      <c r="AZ235" s="137" t="str">
        <f t="shared" si="260"/>
        <v>0</v>
      </c>
      <c r="BA235" s="137" t="str">
        <f t="shared" si="261"/>
        <v>0</v>
      </c>
      <c r="BB235" s="137" t="str">
        <f t="shared" si="262"/>
        <v>0</v>
      </c>
      <c r="BC235" s="137" t="str">
        <f t="shared" si="263"/>
        <v>0</v>
      </c>
      <c r="BD235" s="131">
        <f t="shared" si="264"/>
        <v>0</v>
      </c>
    </row>
    <row r="236" spans="2:56" ht="15" customHeight="1" x14ac:dyDescent="0.25">
      <c r="B236" s="127">
        <v>8200853</v>
      </c>
      <c r="C236" s="128" t="s">
        <v>316</v>
      </c>
      <c r="D236" s="128" t="s">
        <v>407</v>
      </c>
      <c r="E236" s="129" t="s">
        <v>437</v>
      </c>
      <c r="F236" s="274"/>
      <c r="G236" s="130">
        <f>+SUMIFS(TablaIngresos[Cantidad],TablaIngresos[Código],'Inventario '!B236)</f>
        <v>0</v>
      </c>
      <c r="H236" s="130">
        <f t="shared" si="235"/>
        <v>0</v>
      </c>
      <c r="I236" s="131">
        <f>SUMIFS(TablaConsumos[[CANTIDAD ]:[CANTIDAD ]],TablaConsumos[[CÓDIGO]:[CÓDIGO]],'Inventario '!$B236,TablaConsumos[[Planta]:[Planta]],'Inventario '!I$1)</f>
        <v>0</v>
      </c>
      <c r="J236" s="131">
        <f>SUMIFS(TablaConsumos[[CANTIDAD ]:[CANTIDAD ]],TablaConsumos[[CÓDIGO]:[CÓDIGO]],'Inventario '!$B236,TablaConsumos[[Planta]:[Planta]],'Inventario '!J$1)</f>
        <v>0</v>
      </c>
      <c r="K236" s="131">
        <f>SUMIFS(TablaConsumos[[CANTIDAD ]:[CANTIDAD ]],TablaConsumos[[CÓDIGO]:[CÓDIGO]],'Inventario '!$B236,TablaConsumos[[Planta]:[Planta]],'Inventario '!K$1)</f>
        <v>0</v>
      </c>
      <c r="L236" s="131">
        <f>SUMIFS(TablaConsumos[[CANTIDAD ]:[CANTIDAD ]],TablaConsumos[[CÓDIGO]:[CÓDIGO]],'Inventario '!$B236,TablaConsumos[[Planta]:[Planta]],'Inventario '!L$1)</f>
        <v>0</v>
      </c>
      <c r="M236" s="131">
        <f>SUMIFS(TablaConsumos[[CANTIDAD ]:[CANTIDAD ]],TablaConsumos[[CÓDIGO]:[CÓDIGO]],'Inventario '!$B236,TablaConsumos[[Planta]:[Planta]],'Inventario '!M$1)</f>
        <v>0</v>
      </c>
      <c r="N236" s="131">
        <f>SUMIFS(TablaConsumos[[CANTIDAD ]:[CANTIDAD ]],TablaConsumos[[CÓDIGO]:[CÓDIGO]],'Inventario '!$B236,TablaConsumos[[Planta]:[Planta]],'Inventario '!N$1)</f>
        <v>0</v>
      </c>
      <c r="O236" s="131">
        <f>SUMIFS(TablaConsumos[[CANTIDAD ]:[CANTIDAD ]],TablaConsumos[[CÓDIGO]:[CÓDIGO]],'Inventario '!$B236,TablaConsumos[[Planta]:[Planta]],'Inventario '!O$1)</f>
        <v>0</v>
      </c>
      <c r="P236" s="131">
        <f>SUMIFS(TablaConsumos[[CANTIDAD ]:[CANTIDAD ]],TablaConsumos[[CÓDIGO]:[CÓDIGO]],'Inventario '!$B236,TablaConsumos[[Planta]:[Planta]],'Inventario '!P$1)</f>
        <v>0</v>
      </c>
      <c r="Q236" s="131">
        <f>SUMIFS(TablaConsumos[[CANTIDAD ]:[CANTIDAD ]],TablaConsumos[[CÓDIGO]:[CÓDIGO]],'Inventario '!$B236,TablaConsumos[[Planta]:[Planta]],'Inventario '!Q$1)</f>
        <v>0</v>
      </c>
      <c r="R236" s="131">
        <f>SUMIFS(TablaConsumos[[CANTIDAD ]:[CANTIDAD ]],TablaConsumos[[CÓDIGO]:[CÓDIGO]],'Inventario '!$B236,TablaConsumos[[Planta]:[Planta]],'Inventario '!R$1)</f>
        <v>0</v>
      </c>
      <c r="S236" s="130">
        <f t="shared" si="236"/>
        <v>0</v>
      </c>
      <c r="T236" s="130">
        <f t="shared" si="237"/>
        <v>0</v>
      </c>
      <c r="U236" s="132"/>
      <c r="V236" s="130"/>
      <c r="W236" s="177">
        <v>1</v>
      </c>
      <c r="X236" s="132">
        <f t="shared" si="238"/>
        <v>0</v>
      </c>
      <c r="Y236" s="130">
        <f t="shared" si="239"/>
        <v>0</v>
      </c>
      <c r="Z236" s="132"/>
      <c r="AA236" s="132">
        <f t="shared" si="240"/>
        <v>0</v>
      </c>
      <c r="AB236" s="132"/>
      <c r="AC236" s="131">
        <f t="shared" si="241"/>
        <v>0</v>
      </c>
      <c r="AD236" s="131"/>
      <c r="AE236" s="130"/>
      <c r="AF236" s="130"/>
      <c r="AG236" s="168"/>
      <c r="AH236" s="134">
        <f t="shared" si="242"/>
        <v>0</v>
      </c>
      <c r="AI236" s="134">
        <f t="shared" si="243"/>
        <v>0</v>
      </c>
      <c r="AJ236" s="134">
        <f t="shared" si="244"/>
        <v>0</v>
      </c>
      <c r="AK236" s="134">
        <f t="shared" si="245"/>
        <v>0</v>
      </c>
      <c r="AL236" s="134">
        <f t="shared" si="246"/>
        <v>0</v>
      </c>
      <c r="AM236" s="134">
        <f t="shared" si="247"/>
        <v>0</v>
      </c>
      <c r="AN236" s="134">
        <f t="shared" si="248"/>
        <v>0</v>
      </c>
      <c r="AO236" s="134">
        <f t="shared" si="249"/>
        <v>0</v>
      </c>
      <c r="AP236" s="134">
        <f t="shared" si="250"/>
        <v>0</v>
      </c>
      <c r="AQ236" s="134">
        <f t="shared" si="251"/>
        <v>0</v>
      </c>
      <c r="AR236" s="134">
        <f t="shared" si="252"/>
        <v>0</v>
      </c>
      <c r="AS236" s="135">
        <f t="shared" si="253"/>
        <v>0</v>
      </c>
      <c r="AT236" s="137" t="str">
        <f t="shared" si="254"/>
        <v>0</v>
      </c>
      <c r="AU236" s="137" t="str">
        <f t="shared" si="255"/>
        <v>0</v>
      </c>
      <c r="AV236" s="137" t="str">
        <f t="shared" si="256"/>
        <v>0</v>
      </c>
      <c r="AW236" s="137" t="str">
        <f t="shared" si="257"/>
        <v>0</v>
      </c>
      <c r="AX236" s="137" t="str">
        <f t="shared" si="258"/>
        <v>0</v>
      </c>
      <c r="AY236" s="137" t="str">
        <f t="shared" si="259"/>
        <v>0</v>
      </c>
      <c r="AZ236" s="137" t="str">
        <f t="shared" si="260"/>
        <v>0</v>
      </c>
      <c r="BA236" s="137" t="str">
        <f t="shared" si="261"/>
        <v>0</v>
      </c>
      <c r="BB236" s="137" t="str">
        <f t="shared" si="262"/>
        <v>0</v>
      </c>
      <c r="BC236" s="137" t="str">
        <f t="shared" si="263"/>
        <v>0</v>
      </c>
      <c r="BD236" s="131">
        <f t="shared" si="264"/>
        <v>0</v>
      </c>
    </row>
    <row r="237" spans="2:56" ht="15" customHeight="1" x14ac:dyDescent="0.25">
      <c r="B237" s="127">
        <v>8200854</v>
      </c>
      <c r="C237" s="128" t="s">
        <v>316</v>
      </c>
      <c r="D237" s="128" t="s">
        <v>407</v>
      </c>
      <c r="E237" s="129" t="s">
        <v>438</v>
      </c>
      <c r="F237" s="274"/>
      <c r="G237" s="130">
        <f>+SUMIFS(TablaIngresos[Cantidad],TablaIngresos[Código],'Inventario '!B237)</f>
        <v>0</v>
      </c>
      <c r="H237" s="130">
        <f t="shared" si="235"/>
        <v>0</v>
      </c>
      <c r="I237" s="131">
        <f>SUMIFS(TablaConsumos[[CANTIDAD ]:[CANTIDAD ]],TablaConsumos[[CÓDIGO]:[CÓDIGO]],'Inventario '!$B237,TablaConsumos[[Planta]:[Planta]],'Inventario '!I$1)</f>
        <v>0</v>
      </c>
      <c r="J237" s="131">
        <f>SUMIFS(TablaConsumos[[CANTIDAD ]:[CANTIDAD ]],TablaConsumos[[CÓDIGO]:[CÓDIGO]],'Inventario '!$B237,TablaConsumos[[Planta]:[Planta]],'Inventario '!J$1)</f>
        <v>0</v>
      </c>
      <c r="K237" s="131">
        <f>SUMIFS(TablaConsumos[[CANTIDAD ]:[CANTIDAD ]],TablaConsumos[[CÓDIGO]:[CÓDIGO]],'Inventario '!$B237,TablaConsumos[[Planta]:[Planta]],'Inventario '!K$1)</f>
        <v>0</v>
      </c>
      <c r="L237" s="131">
        <f>SUMIFS(TablaConsumos[[CANTIDAD ]:[CANTIDAD ]],TablaConsumos[[CÓDIGO]:[CÓDIGO]],'Inventario '!$B237,TablaConsumos[[Planta]:[Planta]],'Inventario '!L$1)</f>
        <v>0</v>
      </c>
      <c r="M237" s="131">
        <f>SUMIFS(TablaConsumos[[CANTIDAD ]:[CANTIDAD ]],TablaConsumos[[CÓDIGO]:[CÓDIGO]],'Inventario '!$B237,TablaConsumos[[Planta]:[Planta]],'Inventario '!M$1)</f>
        <v>0</v>
      </c>
      <c r="N237" s="131">
        <f>SUMIFS(TablaConsumos[[CANTIDAD ]:[CANTIDAD ]],TablaConsumos[[CÓDIGO]:[CÓDIGO]],'Inventario '!$B237,TablaConsumos[[Planta]:[Planta]],'Inventario '!N$1)</f>
        <v>0</v>
      </c>
      <c r="O237" s="131">
        <f>SUMIFS(TablaConsumos[[CANTIDAD ]:[CANTIDAD ]],TablaConsumos[[CÓDIGO]:[CÓDIGO]],'Inventario '!$B237,TablaConsumos[[Planta]:[Planta]],'Inventario '!O$1)</f>
        <v>0</v>
      </c>
      <c r="P237" s="131">
        <f>SUMIFS(TablaConsumos[[CANTIDAD ]:[CANTIDAD ]],TablaConsumos[[CÓDIGO]:[CÓDIGO]],'Inventario '!$B237,TablaConsumos[[Planta]:[Planta]],'Inventario '!P$1)</f>
        <v>0</v>
      </c>
      <c r="Q237" s="131">
        <f>SUMIFS(TablaConsumos[[CANTIDAD ]:[CANTIDAD ]],TablaConsumos[[CÓDIGO]:[CÓDIGO]],'Inventario '!$B237,TablaConsumos[[Planta]:[Planta]],'Inventario '!Q$1)</f>
        <v>0</v>
      </c>
      <c r="R237" s="131">
        <f>SUMIFS(TablaConsumos[[CANTIDAD ]:[CANTIDAD ]],TablaConsumos[[CÓDIGO]:[CÓDIGO]],'Inventario '!$B237,TablaConsumos[[Planta]:[Planta]],'Inventario '!R$1)</f>
        <v>0</v>
      </c>
      <c r="S237" s="130">
        <f t="shared" si="236"/>
        <v>0</v>
      </c>
      <c r="T237" s="130">
        <f t="shared" si="237"/>
        <v>0</v>
      </c>
      <c r="U237" s="132"/>
      <c r="V237" s="130"/>
      <c r="W237" s="177">
        <v>1</v>
      </c>
      <c r="X237" s="132">
        <f t="shared" si="238"/>
        <v>0</v>
      </c>
      <c r="Y237" s="130">
        <f t="shared" si="239"/>
        <v>0</v>
      </c>
      <c r="Z237" s="132"/>
      <c r="AA237" s="132">
        <f t="shared" si="240"/>
        <v>0</v>
      </c>
      <c r="AB237" s="132"/>
      <c r="AC237" s="131">
        <f t="shared" si="241"/>
        <v>0</v>
      </c>
      <c r="AD237" s="131"/>
      <c r="AE237" s="130"/>
      <c r="AF237" s="130"/>
      <c r="AG237" s="168"/>
      <c r="AH237" s="134">
        <f t="shared" si="242"/>
        <v>0</v>
      </c>
      <c r="AI237" s="134">
        <f t="shared" si="243"/>
        <v>0</v>
      </c>
      <c r="AJ237" s="134">
        <f t="shared" si="244"/>
        <v>0</v>
      </c>
      <c r="AK237" s="134">
        <f t="shared" si="245"/>
        <v>0</v>
      </c>
      <c r="AL237" s="134">
        <f t="shared" si="246"/>
        <v>0</v>
      </c>
      <c r="AM237" s="134">
        <f t="shared" si="247"/>
        <v>0</v>
      </c>
      <c r="AN237" s="134">
        <f t="shared" si="248"/>
        <v>0</v>
      </c>
      <c r="AO237" s="134">
        <f t="shared" si="249"/>
        <v>0</v>
      </c>
      <c r="AP237" s="134">
        <f t="shared" si="250"/>
        <v>0</v>
      </c>
      <c r="AQ237" s="134">
        <f t="shared" si="251"/>
        <v>0</v>
      </c>
      <c r="AR237" s="134">
        <f t="shared" si="252"/>
        <v>0</v>
      </c>
      <c r="AS237" s="135">
        <f t="shared" si="253"/>
        <v>0</v>
      </c>
      <c r="AT237" s="137" t="str">
        <f t="shared" si="254"/>
        <v>0</v>
      </c>
      <c r="AU237" s="137" t="str">
        <f t="shared" si="255"/>
        <v>0</v>
      </c>
      <c r="AV237" s="137" t="str">
        <f t="shared" si="256"/>
        <v>0</v>
      </c>
      <c r="AW237" s="137" t="str">
        <f t="shared" si="257"/>
        <v>0</v>
      </c>
      <c r="AX237" s="137" t="str">
        <f t="shared" si="258"/>
        <v>0</v>
      </c>
      <c r="AY237" s="137" t="str">
        <f t="shared" si="259"/>
        <v>0</v>
      </c>
      <c r="AZ237" s="137" t="str">
        <f t="shared" si="260"/>
        <v>0</v>
      </c>
      <c r="BA237" s="137" t="str">
        <f t="shared" si="261"/>
        <v>0</v>
      </c>
      <c r="BB237" s="137" t="str">
        <f t="shared" si="262"/>
        <v>0</v>
      </c>
      <c r="BC237" s="137" t="str">
        <f t="shared" si="263"/>
        <v>0</v>
      </c>
      <c r="BD237" s="131">
        <f t="shared" si="264"/>
        <v>0</v>
      </c>
    </row>
    <row r="238" spans="2:56" ht="15" customHeight="1" x14ac:dyDescent="0.25">
      <c r="B238" s="127">
        <v>8200855</v>
      </c>
      <c r="C238" s="128" t="s">
        <v>316</v>
      </c>
      <c r="D238" s="128" t="s">
        <v>407</v>
      </c>
      <c r="E238" s="129" t="s">
        <v>439</v>
      </c>
      <c r="F238" s="274"/>
      <c r="G238" s="130">
        <f>+SUMIFS(TablaIngresos[Cantidad],TablaIngresos[Código],'Inventario '!B238)</f>
        <v>0</v>
      </c>
      <c r="H238" s="130">
        <f t="shared" si="235"/>
        <v>0</v>
      </c>
      <c r="I238" s="131">
        <f>SUMIFS(TablaConsumos[[CANTIDAD ]:[CANTIDAD ]],TablaConsumos[[CÓDIGO]:[CÓDIGO]],'Inventario '!$B238,TablaConsumos[[Planta]:[Planta]],'Inventario '!I$1)</f>
        <v>0</v>
      </c>
      <c r="J238" s="131">
        <f>SUMIFS(TablaConsumos[[CANTIDAD ]:[CANTIDAD ]],TablaConsumos[[CÓDIGO]:[CÓDIGO]],'Inventario '!$B238,TablaConsumos[[Planta]:[Planta]],'Inventario '!J$1)</f>
        <v>0</v>
      </c>
      <c r="K238" s="131">
        <f>SUMIFS(TablaConsumos[[CANTIDAD ]:[CANTIDAD ]],TablaConsumos[[CÓDIGO]:[CÓDIGO]],'Inventario '!$B238,TablaConsumos[[Planta]:[Planta]],'Inventario '!K$1)</f>
        <v>0</v>
      </c>
      <c r="L238" s="131">
        <f>SUMIFS(TablaConsumos[[CANTIDAD ]:[CANTIDAD ]],TablaConsumos[[CÓDIGO]:[CÓDIGO]],'Inventario '!$B238,TablaConsumos[[Planta]:[Planta]],'Inventario '!L$1)</f>
        <v>0</v>
      </c>
      <c r="M238" s="131">
        <f>SUMIFS(TablaConsumos[[CANTIDAD ]:[CANTIDAD ]],TablaConsumos[[CÓDIGO]:[CÓDIGO]],'Inventario '!$B238,TablaConsumos[[Planta]:[Planta]],'Inventario '!M$1)</f>
        <v>0</v>
      </c>
      <c r="N238" s="131">
        <f>SUMIFS(TablaConsumos[[CANTIDAD ]:[CANTIDAD ]],TablaConsumos[[CÓDIGO]:[CÓDIGO]],'Inventario '!$B238,TablaConsumos[[Planta]:[Planta]],'Inventario '!N$1)</f>
        <v>0</v>
      </c>
      <c r="O238" s="131">
        <f>SUMIFS(TablaConsumos[[CANTIDAD ]:[CANTIDAD ]],TablaConsumos[[CÓDIGO]:[CÓDIGO]],'Inventario '!$B238,TablaConsumos[[Planta]:[Planta]],'Inventario '!O$1)</f>
        <v>0</v>
      </c>
      <c r="P238" s="131">
        <f>SUMIFS(TablaConsumos[[CANTIDAD ]:[CANTIDAD ]],TablaConsumos[[CÓDIGO]:[CÓDIGO]],'Inventario '!$B238,TablaConsumos[[Planta]:[Planta]],'Inventario '!P$1)</f>
        <v>0</v>
      </c>
      <c r="Q238" s="131">
        <f>SUMIFS(TablaConsumos[[CANTIDAD ]:[CANTIDAD ]],TablaConsumos[[CÓDIGO]:[CÓDIGO]],'Inventario '!$B238,TablaConsumos[[Planta]:[Planta]],'Inventario '!Q$1)</f>
        <v>0</v>
      </c>
      <c r="R238" s="131">
        <f>SUMIFS(TablaConsumos[[CANTIDAD ]:[CANTIDAD ]],TablaConsumos[[CÓDIGO]:[CÓDIGO]],'Inventario '!$B238,TablaConsumos[[Planta]:[Planta]],'Inventario '!R$1)</f>
        <v>0</v>
      </c>
      <c r="S238" s="130">
        <f t="shared" si="236"/>
        <v>0</v>
      </c>
      <c r="T238" s="130">
        <f t="shared" si="237"/>
        <v>0</v>
      </c>
      <c r="U238" s="132"/>
      <c r="V238" s="130"/>
      <c r="W238" s="177">
        <v>1</v>
      </c>
      <c r="X238" s="132">
        <f t="shared" si="238"/>
        <v>0</v>
      </c>
      <c r="Y238" s="130">
        <f t="shared" si="239"/>
        <v>0</v>
      </c>
      <c r="Z238" s="132"/>
      <c r="AA238" s="132">
        <f t="shared" si="240"/>
        <v>0</v>
      </c>
      <c r="AB238" s="132"/>
      <c r="AC238" s="131">
        <f t="shared" si="241"/>
        <v>0</v>
      </c>
      <c r="AD238" s="131"/>
      <c r="AE238" s="130"/>
      <c r="AF238" s="130"/>
      <c r="AG238" s="168"/>
      <c r="AH238" s="134">
        <f t="shared" si="242"/>
        <v>0</v>
      </c>
      <c r="AI238" s="134">
        <f t="shared" si="243"/>
        <v>0</v>
      </c>
      <c r="AJ238" s="134">
        <f t="shared" si="244"/>
        <v>0</v>
      </c>
      <c r="AK238" s="134">
        <f t="shared" si="245"/>
        <v>0</v>
      </c>
      <c r="AL238" s="134">
        <f t="shared" si="246"/>
        <v>0</v>
      </c>
      <c r="AM238" s="134">
        <f t="shared" si="247"/>
        <v>0</v>
      </c>
      <c r="AN238" s="134">
        <f t="shared" si="248"/>
        <v>0</v>
      </c>
      <c r="AO238" s="134">
        <f t="shared" si="249"/>
        <v>0</v>
      </c>
      <c r="AP238" s="134">
        <f t="shared" si="250"/>
        <v>0</v>
      </c>
      <c r="AQ238" s="134">
        <f t="shared" si="251"/>
        <v>0</v>
      </c>
      <c r="AR238" s="134">
        <f t="shared" si="252"/>
        <v>0</v>
      </c>
      <c r="AS238" s="135">
        <f t="shared" si="253"/>
        <v>0</v>
      </c>
      <c r="AT238" s="137" t="str">
        <f t="shared" si="254"/>
        <v>0</v>
      </c>
      <c r="AU238" s="137" t="str">
        <f t="shared" si="255"/>
        <v>0</v>
      </c>
      <c r="AV238" s="137" t="str">
        <f t="shared" si="256"/>
        <v>0</v>
      </c>
      <c r="AW238" s="137" t="str">
        <f t="shared" si="257"/>
        <v>0</v>
      </c>
      <c r="AX238" s="137" t="str">
        <f t="shared" si="258"/>
        <v>0</v>
      </c>
      <c r="AY238" s="137" t="str">
        <f t="shared" si="259"/>
        <v>0</v>
      </c>
      <c r="AZ238" s="137" t="str">
        <f t="shared" si="260"/>
        <v>0</v>
      </c>
      <c r="BA238" s="137" t="str">
        <f t="shared" si="261"/>
        <v>0</v>
      </c>
      <c r="BB238" s="137" t="str">
        <f t="shared" si="262"/>
        <v>0</v>
      </c>
      <c r="BC238" s="137" t="str">
        <f t="shared" si="263"/>
        <v>0</v>
      </c>
      <c r="BD238" s="131">
        <f t="shared" si="264"/>
        <v>0</v>
      </c>
    </row>
    <row r="239" spans="2:56" ht="15" customHeight="1" x14ac:dyDescent="0.25">
      <c r="B239" s="127">
        <v>8200856</v>
      </c>
      <c r="C239" s="128" t="s">
        <v>316</v>
      </c>
      <c r="D239" s="128" t="s">
        <v>407</v>
      </c>
      <c r="E239" s="129" t="s">
        <v>440</v>
      </c>
      <c r="F239" s="274"/>
      <c r="G239" s="130">
        <f>+SUMIFS(TablaIngresos[Cantidad],TablaIngresos[Código],'Inventario '!B239)</f>
        <v>0</v>
      </c>
      <c r="H239" s="130">
        <f t="shared" si="235"/>
        <v>0</v>
      </c>
      <c r="I239" s="131">
        <f>SUMIFS(TablaConsumos[[CANTIDAD ]:[CANTIDAD ]],TablaConsumos[[CÓDIGO]:[CÓDIGO]],'Inventario '!$B239,TablaConsumos[[Planta]:[Planta]],'Inventario '!I$1)</f>
        <v>0</v>
      </c>
      <c r="J239" s="131">
        <f>SUMIFS(TablaConsumos[[CANTIDAD ]:[CANTIDAD ]],TablaConsumos[[CÓDIGO]:[CÓDIGO]],'Inventario '!$B239,TablaConsumos[[Planta]:[Planta]],'Inventario '!J$1)</f>
        <v>0</v>
      </c>
      <c r="K239" s="131">
        <f>SUMIFS(TablaConsumos[[CANTIDAD ]:[CANTIDAD ]],TablaConsumos[[CÓDIGO]:[CÓDIGO]],'Inventario '!$B239,TablaConsumos[[Planta]:[Planta]],'Inventario '!K$1)</f>
        <v>0</v>
      </c>
      <c r="L239" s="131">
        <f>SUMIFS(TablaConsumos[[CANTIDAD ]:[CANTIDAD ]],TablaConsumos[[CÓDIGO]:[CÓDIGO]],'Inventario '!$B239,TablaConsumos[[Planta]:[Planta]],'Inventario '!L$1)</f>
        <v>0</v>
      </c>
      <c r="M239" s="131">
        <f>SUMIFS(TablaConsumos[[CANTIDAD ]:[CANTIDAD ]],TablaConsumos[[CÓDIGO]:[CÓDIGO]],'Inventario '!$B239,TablaConsumos[[Planta]:[Planta]],'Inventario '!M$1)</f>
        <v>0</v>
      </c>
      <c r="N239" s="131">
        <f>SUMIFS(TablaConsumos[[CANTIDAD ]:[CANTIDAD ]],TablaConsumos[[CÓDIGO]:[CÓDIGO]],'Inventario '!$B239,TablaConsumos[[Planta]:[Planta]],'Inventario '!N$1)</f>
        <v>0</v>
      </c>
      <c r="O239" s="131">
        <f>SUMIFS(TablaConsumos[[CANTIDAD ]:[CANTIDAD ]],TablaConsumos[[CÓDIGO]:[CÓDIGO]],'Inventario '!$B239,TablaConsumos[[Planta]:[Planta]],'Inventario '!O$1)</f>
        <v>0</v>
      </c>
      <c r="P239" s="131">
        <f>SUMIFS(TablaConsumos[[CANTIDAD ]:[CANTIDAD ]],TablaConsumos[[CÓDIGO]:[CÓDIGO]],'Inventario '!$B239,TablaConsumos[[Planta]:[Planta]],'Inventario '!P$1)</f>
        <v>0</v>
      </c>
      <c r="Q239" s="131">
        <f>SUMIFS(TablaConsumos[[CANTIDAD ]:[CANTIDAD ]],TablaConsumos[[CÓDIGO]:[CÓDIGO]],'Inventario '!$B239,TablaConsumos[[Planta]:[Planta]],'Inventario '!Q$1)</f>
        <v>0</v>
      </c>
      <c r="R239" s="131">
        <f>SUMIFS(TablaConsumos[[CANTIDAD ]:[CANTIDAD ]],TablaConsumos[[CÓDIGO]:[CÓDIGO]],'Inventario '!$B239,TablaConsumos[[Planta]:[Planta]],'Inventario '!R$1)</f>
        <v>0</v>
      </c>
      <c r="S239" s="130">
        <f t="shared" si="236"/>
        <v>0</v>
      </c>
      <c r="T239" s="130">
        <f t="shared" si="237"/>
        <v>0</v>
      </c>
      <c r="U239" s="132"/>
      <c r="V239" s="130"/>
      <c r="W239" s="177">
        <v>1</v>
      </c>
      <c r="X239" s="132">
        <f t="shared" si="238"/>
        <v>0</v>
      </c>
      <c r="Y239" s="130">
        <f t="shared" si="239"/>
        <v>0</v>
      </c>
      <c r="Z239" s="132"/>
      <c r="AA239" s="132">
        <f t="shared" si="240"/>
        <v>0</v>
      </c>
      <c r="AB239" s="132"/>
      <c r="AC239" s="131">
        <f t="shared" si="241"/>
        <v>0</v>
      </c>
      <c r="AD239" s="131"/>
      <c r="AE239" s="130"/>
      <c r="AF239" s="130"/>
      <c r="AG239" s="168"/>
      <c r="AH239" s="134">
        <f t="shared" si="242"/>
        <v>0</v>
      </c>
      <c r="AI239" s="134">
        <f t="shared" si="243"/>
        <v>0</v>
      </c>
      <c r="AJ239" s="134">
        <f t="shared" si="244"/>
        <v>0</v>
      </c>
      <c r="AK239" s="134">
        <f t="shared" si="245"/>
        <v>0</v>
      </c>
      <c r="AL239" s="134">
        <f t="shared" si="246"/>
        <v>0</v>
      </c>
      <c r="AM239" s="134">
        <f t="shared" si="247"/>
        <v>0</v>
      </c>
      <c r="AN239" s="134">
        <f t="shared" si="248"/>
        <v>0</v>
      </c>
      <c r="AO239" s="134">
        <f t="shared" si="249"/>
        <v>0</v>
      </c>
      <c r="AP239" s="134">
        <f t="shared" si="250"/>
        <v>0</v>
      </c>
      <c r="AQ239" s="134">
        <f t="shared" si="251"/>
        <v>0</v>
      </c>
      <c r="AR239" s="134">
        <f t="shared" si="252"/>
        <v>0</v>
      </c>
      <c r="AS239" s="135">
        <f t="shared" si="253"/>
        <v>0</v>
      </c>
      <c r="AT239" s="137" t="str">
        <f t="shared" si="254"/>
        <v>0</v>
      </c>
      <c r="AU239" s="137" t="str">
        <f t="shared" si="255"/>
        <v>0</v>
      </c>
      <c r="AV239" s="137" t="str">
        <f t="shared" si="256"/>
        <v>0</v>
      </c>
      <c r="AW239" s="137" t="str">
        <f t="shared" si="257"/>
        <v>0</v>
      </c>
      <c r="AX239" s="137" t="str">
        <f t="shared" si="258"/>
        <v>0</v>
      </c>
      <c r="AY239" s="137" t="str">
        <f t="shared" si="259"/>
        <v>0</v>
      </c>
      <c r="AZ239" s="137" t="str">
        <f t="shared" si="260"/>
        <v>0</v>
      </c>
      <c r="BA239" s="137" t="str">
        <f t="shared" si="261"/>
        <v>0</v>
      </c>
      <c r="BB239" s="137" t="str">
        <f t="shared" si="262"/>
        <v>0</v>
      </c>
      <c r="BC239" s="137" t="str">
        <f t="shared" si="263"/>
        <v>0</v>
      </c>
      <c r="BD239" s="131">
        <f t="shared" si="264"/>
        <v>0</v>
      </c>
    </row>
    <row r="240" spans="2:56" ht="15" customHeight="1" x14ac:dyDescent="0.25">
      <c r="B240" s="127">
        <v>8200857</v>
      </c>
      <c r="C240" s="128" t="s">
        <v>316</v>
      </c>
      <c r="D240" s="128" t="s">
        <v>407</v>
      </c>
      <c r="E240" s="129" t="s">
        <v>441</v>
      </c>
      <c r="F240" s="274"/>
      <c r="G240" s="130">
        <f>+SUMIFS(TablaIngresos[Cantidad],TablaIngresos[Código],'Inventario '!B240)</f>
        <v>0</v>
      </c>
      <c r="H240" s="130">
        <f t="shared" si="235"/>
        <v>0</v>
      </c>
      <c r="I240" s="131">
        <f>SUMIFS(TablaConsumos[[CANTIDAD ]:[CANTIDAD ]],TablaConsumos[[CÓDIGO]:[CÓDIGO]],'Inventario '!$B240,TablaConsumos[[Planta]:[Planta]],'Inventario '!I$1)</f>
        <v>0</v>
      </c>
      <c r="J240" s="131">
        <f>SUMIFS(TablaConsumos[[CANTIDAD ]:[CANTIDAD ]],TablaConsumos[[CÓDIGO]:[CÓDIGO]],'Inventario '!$B240,TablaConsumos[[Planta]:[Planta]],'Inventario '!J$1)</f>
        <v>0</v>
      </c>
      <c r="K240" s="131">
        <f>SUMIFS(TablaConsumos[[CANTIDAD ]:[CANTIDAD ]],TablaConsumos[[CÓDIGO]:[CÓDIGO]],'Inventario '!$B240,TablaConsumos[[Planta]:[Planta]],'Inventario '!K$1)</f>
        <v>0</v>
      </c>
      <c r="L240" s="131">
        <f>SUMIFS(TablaConsumos[[CANTIDAD ]:[CANTIDAD ]],TablaConsumos[[CÓDIGO]:[CÓDIGO]],'Inventario '!$B240,TablaConsumos[[Planta]:[Planta]],'Inventario '!L$1)</f>
        <v>0</v>
      </c>
      <c r="M240" s="131">
        <f>SUMIFS(TablaConsumos[[CANTIDAD ]:[CANTIDAD ]],TablaConsumos[[CÓDIGO]:[CÓDIGO]],'Inventario '!$B240,TablaConsumos[[Planta]:[Planta]],'Inventario '!M$1)</f>
        <v>0</v>
      </c>
      <c r="N240" s="131">
        <f>SUMIFS(TablaConsumos[[CANTIDAD ]:[CANTIDAD ]],TablaConsumos[[CÓDIGO]:[CÓDIGO]],'Inventario '!$B240,TablaConsumos[[Planta]:[Planta]],'Inventario '!N$1)</f>
        <v>0</v>
      </c>
      <c r="O240" s="131">
        <f>SUMIFS(TablaConsumos[[CANTIDAD ]:[CANTIDAD ]],TablaConsumos[[CÓDIGO]:[CÓDIGO]],'Inventario '!$B240,TablaConsumos[[Planta]:[Planta]],'Inventario '!O$1)</f>
        <v>0</v>
      </c>
      <c r="P240" s="131">
        <f>SUMIFS(TablaConsumos[[CANTIDAD ]:[CANTIDAD ]],TablaConsumos[[CÓDIGO]:[CÓDIGO]],'Inventario '!$B240,TablaConsumos[[Planta]:[Planta]],'Inventario '!P$1)</f>
        <v>0</v>
      </c>
      <c r="Q240" s="131">
        <f>SUMIFS(TablaConsumos[[CANTIDAD ]:[CANTIDAD ]],TablaConsumos[[CÓDIGO]:[CÓDIGO]],'Inventario '!$B240,TablaConsumos[[Planta]:[Planta]],'Inventario '!Q$1)</f>
        <v>0</v>
      </c>
      <c r="R240" s="131">
        <f>SUMIFS(TablaConsumos[[CANTIDAD ]:[CANTIDAD ]],TablaConsumos[[CÓDIGO]:[CÓDIGO]],'Inventario '!$B240,TablaConsumos[[Planta]:[Planta]],'Inventario '!R$1)</f>
        <v>0</v>
      </c>
      <c r="S240" s="130">
        <f t="shared" si="236"/>
        <v>0</v>
      </c>
      <c r="T240" s="130">
        <f t="shared" si="237"/>
        <v>0</v>
      </c>
      <c r="U240" s="132"/>
      <c r="V240" s="130"/>
      <c r="W240" s="177">
        <v>1</v>
      </c>
      <c r="X240" s="132">
        <f t="shared" si="238"/>
        <v>0</v>
      </c>
      <c r="Y240" s="130">
        <f t="shared" si="239"/>
        <v>0</v>
      </c>
      <c r="Z240" s="132"/>
      <c r="AA240" s="132">
        <f t="shared" si="240"/>
        <v>0</v>
      </c>
      <c r="AB240" s="132"/>
      <c r="AC240" s="131">
        <f t="shared" si="241"/>
        <v>0</v>
      </c>
      <c r="AD240" s="131"/>
      <c r="AE240" s="130"/>
      <c r="AF240" s="130"/>
      <c r="AG240" s="168"/>
      <c r="AH240" s="134">
        <f t="shared" si="242"/>
        <v>0</v>
      </c>
      <c r="AI240" s="134">
        <f t="shared" si="243"/>
        <v>0</v>
      </c>
      <c r="AJ240" s="134">
        <f t="shared" si="244"/>
        <v>0</v>
      </c>
      <c r="AK240" s="134">
        <f t="shared" si="245"/>
        <v>0</v>
      </c>
      <c r="AL240" s="134">
        <f t="shared" si="246"/>
        <v>0</v>
      </c>
      <c r="AM240" s="134">
        <f t="shared" si="247"/>
        <v>0</v>
      </c>
      <c r="AN240" s="134">
        <f t="shared" si="248"/>
        <v>0</v>
      </c>
      <c r="AO240" s="134">
        <f t="shared" si="249"/>
        <v>0</v>
      </c>
      <c r="AP240" s="134">
        <f t="shared" si="250"/>
        <v>0</v>
      </c>
      <c r="AQ240" s="134">
        <f t="shared" si="251"/>
        <v>0</v>
      </c>
      <c r="AR240" s="134">
        <f t="shared" si="252"/>
        <v>0</v>
      </c>
      <c r="AS240" s="135">
        <f t="shared" si="253"/>
        <v>0</v>
      </c>
      <c r="AT240" s="137" t="str">
        <f t="shared" si="254"/>
        <v>0</v>
      </c>
      <c r="AU240" s="137" t="str">
        <f t="shared" si="255"/>
        <v>0</v>
      </c>
      <c r="AV240" s="137" t="str">
        <f t="shared" si="256"/>
        <v>0</v>
      </c>
      <c r="AW240" s="137" t="str">
        <f t="shared" si="257"/>
        <v>0</v>
      </c>
      <c r="AX240" s="137" t="str">
        <f t="shared" si="258"/>
        <v>0</v>
      </c>
      <c r="AY240" s="137" t="str">
        <f t="shared" si="259"/>
        <v>0</v>
      </c>
      <c r="AZ240" s="137" t="str">
        <f t="shared" si="260"/>
        <v>0</v>
      </c>
      <c r="BA240" s="137" t="str">
        <f t="shared" si="261"/>
        <v>0</v>
      </c>
      <c r="BB240" s="137" t="str">
        <f t="shared" si="262"/>
        <v>0</v>
      </c>
      <c r="BC240" s="137" t="str">
        <f t="shared" si="263"/>
        <v>0</v>
      </c>
      <c r="BD240" s="131">
        <f t="shared" si="264"/>
        <v>0</v>
      </c>
    </row>
    <row r="241" spans="2:56" ht="15" customHeight="1" x14ac:dyDescent="0.25">
      <c r="B241" s="127">
        <v>8200863</v>
      </c>
      <c r="C241" s="128" t="s">
        <v>316</v>
      </c>
      <c r="D241" s="128" t="s">
        <v>407</v>
      </c>
      <c r="E241" s="129" t="s">
        <v>443</v>
      </c>
      <c r="F241" s="274"/>
      <c r="G241" s="130">
        <f>+SUMIFS(TablaIngresos[Cantidad],TablaIngresos[Código],'Inventario '!B241)</f>
        <v>0</v>
      </c>
      <c r="H241" s="130">
        <f t="shared" si="235"/>
        <v>0</v>
      </c>
      <c r="I241" s="131">
        <f>SUMIFS(TablaConsumos[[CANTIDAD ]:[CANTIDAD ]],TablaConsumos[[CÓDIGO]:[CÓDIGO]],'Inventario '!$B241,TablaConsumos[[Planta]:[Planta]],'Inventario '!I$1)</f>
        <v>0</v>
      </c>
      <c r="J241" s="131">
        <f>SUMIFS(TablaConsumos[[CANTIDAD ]:[CANTIDAD ]],TablaConsumos[[CÓDIGO]:[CÓDIGO]],'Inventario '!$B241,TablaConsumos[[Planta]:[Planta]],'Inventario '!J$1)</f>
        <v>0</v>
      </c>
      <c r="K241" s="131">
        <f>SUMIFS(TablaConsumos[[CANTIDAD ]:[CANTIDAD ]],TablaConsumos[[CÓDIGO]:[CÓDIGO]],'Inventario '!$B241,TablaConsumos[[Planta]:[Planta]],'Inventario '!K$1)</f>
        <v>0</v>
      </c>
      <c r="L241" s="131">
        <f>SUMIFS(TablaConsumos[[CANTIDAD ]:[CANTIDAD ]],TablaConsumos[[CÓDIGO]:[CÓDIGO]],'Inventario '!$B241,TablaConsumos[[Planta]:[Planta]],'Inventario '!L$1)</f>
        <v>0</v>
      </c>
      <c r="M241" s="131">
        <f>SUMIFS(TablaConsumos[[CANTIDAD ]:[CANTIDAD ]],TablaConsumos[[CÓDIGO]:[CÓDIGO]],'Inventario '!$B241,TablaConsumos[[Planta]:[Planta]],'Inventario '!M$1)</f>
        <v>0</v>
      </c>
      <c r="N241" s="131">
        <f>SUMIFS(TablaConsumos[[CANTIDAD ]:[CANTIDAD ]],TablaConsumos[[CÓDIGO]:[CÓDIGO]],'Inventario '!$B241,TablaConsumos[[Planta]:[Planta]],'Inventario '!N$1)</f>
        <v>0</v>
      </c>
      <c r="O241" s="131">
        <f>SUMIFS(TablaConsumos[[CANTIDAD ]:[CANTIDAD ]],TablaConsumos[[CÓDIGO]:[CÓDIGO]],'Inventario '!$B241,TablaConsumos[[Planta]:[Planta]],'Inventario '!O$1)</f>
        <v>0</v>
      </c>
      <c r="P241" s="131">
        <f>SUMIFS(TablaConsumos[[CANTIDAD ]:[CANTIDAD ]],TablaConsumos[[CÓDIGO]:[CÓDIGO]],'Inventario '!$B241,TablaConsumos[[Planta]:[Planta]],'Inventario '!P$1)</f>
        <v>0</v>
      </c>
      <c r="Q241" s="131">
        <f>SUMIFS(TablaConsumos[[CANTIDAD ]:[CANTIDAD ]],TablaConsumos[[CÓDIGO]:[CÓDIGO]],'Inventario '!$B241,TablaConsumos[[Planta]:[Planta]],'Inventario '!Q$1)</f>
        <v>0</v>
      </c>
      <c r="R241" s="131">
        <f>SUMIFS(TablaConsumos[[CANTIDAD ]:[CANTIDAD ]],TablaConsumos[[CÓDIGO]:[CÓDIGO]],'Inventario '!$B241,TablaConsumos[[Planta]:[Planta]],'Inventario '!R$1)</f>
        <v>0</v>
      </c>
      <c r="S241" s="130">
        <f t="shared" si="236"/>
        <v>0</v>
      </c>
      <c r="T241" s="130">
        <f t="shared" si="237"/>
        <v>0</v>
      </c>
      <c r="U241" s="132"/>
      <c r="V241" s="130"/>
      <c r="W241" s="177">
        <v>1</v>
      </c>
      <c r="X241" s="132">
        <f t="shared" si="238"/>
        <v>0</v>
      </c>
      <c r="Y241" s="130">
        <f t="shared" si="239"/>
        <v>0</v>
      </c>
      <c r="Z241" s="132"/>
      <c r="AA241" s="132">
        <f t="shared" si="240"/>
        <v>0</v>
      </c>
      <c r="AB241" s="132"/>
      <c r="AC241" s="131">
        <f t="shared" si="241"/>
        <v>0</v>
      </c>
      <c r="AD241" s="131"/>
      <c r="AE241" s="130"/>
      <c r="AF241" s="130"/>
      <c r="AG241" s="168"/>
      <c r="AH241" s="134">
        <f t="shared" si="242"/>
        <v>0</v>
      </c>
      <c r="AI241" s="134">
        <f t="shared" si="243"/>
        <v>0</v>
      </c>
      <c r="AJ241" s="134">
        <f t="shared" si="244"/>
        <v>0</v>
      </c>
      <c r="AK241" s="134">
        <f t="shared" si="245"/>
        <v>0</v>
      </c>
      <c r="AL241" s="134">
        <f t="shared" si="246"/>
        <v>0</v>
      </c>
      <c r="AM241" s="134">
        <f t="shared" si="247"/>
        <v>0</v>
      </c>
      <c r="AN241" s="134">
        <f t="shared" si="248"/>
        <v>0</v>
      </c>
      <c r="AO241" s="134">
        <f t="shared" si="249"/>
        <v>0</v>
      </c>
      <c r="AP241" s="134">
        <f t="shared" si="250"/>
        <v>0</v>
      </c>
      <c r="AQ241" s="134">
        <f t="shared" si="251"/>
        <v>0</v>
      </c>
      <c r="AR241" s="134">
        <f t="shared" si="252"/>
        <v>0</v>
      </c>
      <c r="AS241" s="135">
        <f t="shared" si="253"/>
        <v>0</v>
      </c>
      <c r="AT241" s="137" t="str">
        <f t="shared" si="254"/>
        <v>0</v>
      </c>
      <c r="AU241" s="137" t="str">
        <f t="shared" si="255"/>
        <v>0</v>
      </c>
      <c r="AV241" s="137" t="str">
        <f t="shared" si="256"/>
        <v>0</v>
      </c>
      <c r="AW241" s="137" t="str">
        <f t="shared" si="257"/>
        <v>0</v>
      </c>
      <c r="AX241" s="137" t="str">
        <f t="shared" si="258"/>
        <v>0</v>
      </c>
      <c r="AY241" s="137" t="str">
        <f t="shared" si="259"/>
        <v>0</v>
      </c>
      <c r="AZ241" s="137" t="str">
        <f t="shared" si="260"/>
        <v>0</v>
      </c>
      <c r="BA241" s="137" t="str">
        <f t="shared" si="261"/>
        <v>0</v>
      </c>
      <c r="BB241" s="137" t="str">
        <f t="shared" si="262"/>
        <v>0</v>
      </c>
      <c r="BC241" s="137" t="str">
        <f t="shared" si="263"/>
        <v>0</v>
      </c>
      <c r="BD241" s="131">
        <f t="shared" si="264"/>
        <v>0</v>
      </c>
    </row>
    <row r="242" spans="2:56" ht="15" customHeight="1" x14ac:dyDescent="0.25">
      <c r="B242" s="127">
        <v>8200864</v>
      </c>
      <c r="C242" s="128" t="s">
        <v>706</v>
      </c>
      <c r="D242" s="128" t="s">
        <v>407</v>
      </c>
      <c r="E242" s="129" t="s">
        <v>444</v>
      </c>
      <c r="F242" s="274"/>
      <c r="G242" s="130">
        <f>+SUMIFS(TablaIngresos[Cantidad],TablaIngresos[Código],'Inventario '!B242)</f>
        <v>0</v>
      </c>
      <c r="H242" s="130">
        <f t="shared" si="235"/>
        <v>0</v>
      </c>
      <c r="I242" s="131">
        <f>SUMIFS(TablaConsumos[[CANTIDAD ]:[CANTIDAD ]],TablaConsumos[[CÓDIGO]:[CÓDIGO]],'Inventario '!$B242,TablaConsumos[[Planta]:[Planta]],'Inventario '!I$1)</f>
        <v>0</v>
      </c>
      <c r="J242" s="131">
        <f>SUMIFS(TablaConsumos[[CANTIDAD ]:[CANTIDAD ]],TablaConsumos[[CÓDIGO]:[CÓDIGO]],'Inventario '!$B242,TablaConsumos[[Planta]:[Planta]],'Inventario '!J$1)</f>
        <v>0</v>
      </c>
      <c r="K242" s="131">
        <f>SUMIFS(TablaConsumos[[CANTIDAD ]:[CANTIDAD ]],TablaConsumos[[CÓDIGO]:[CÓDIGO]],'Inventario '!$B242,TablaConsumos[[Planta]:[Planta]],'Inventario '!K$1)</f>
        <v>0</v>
      </c>
      <c r="L242" s="131">
        <f>SUMIFS(TablaConsumos[[CANTIDAD ]:[CANTIDAD ]],TablaConsumos[[CÓDIGO]:[CÓDIGO]],'Inventario '!$B242,TablaConsumos[[Planta]:[Planta]],'Inventario '!L$1)</f>
        <v>0</v>
      </c>
      <c r="M242" s="131">
        <f>SUMIFS(TablaConsumos[[CANTIDAD ]:[CANTIDAD ]],TablaConsumos[[CÓDIGO]:[CÓDIGO]],'Inventario '!$B242,TablaConsumos[[Planta]:[Planta]],'Inventario '!M$1)</f>
        <v>0</v>
      </c>
      <c r="N242" s="131">
        <f>SUMIFS(TablaConsumos[[CANTIDAD ]:[CANTIDAD ]],TablaConsumos[[CÓDIGO]:[CÓDIGO]],'Inventario '!$B242,TablaConsumos[[Planta]:[Planta]],'Inventario '!N$1)</f>
        <v>0</v>
      </c>
      <c r="O242" s="131">
        <f>SUMIFS(TablaConsumos[[CANTIDAD ]:[CANTIDAD ]],TablaConsumos[[CÓDIGO]:[CÓDIGO]],'Inventario '!$B242,TablaConsumos[[Planta]:[Planta]],'Inventario '!O$1)</f>
        <v>0</v>
      </c>
      <c r="P242" s="131">
        <f>SUMIFS(TablaConsumos[[CANTIDAD ]:[CANTIDAD ]],TablaConsumos[[CÓDIGO]:[CÓDIGO]],'Inventario '!$B242,TablaConsumos[[Planta]:[Planta]],'Inventario '!P$1)</f>
        <v>0</v>
      </c>
      <c r="Q242" s="131">
        <f>SUMIFS(TablaConsumos[[CANTIDAD ]:[CANTIDAD ]],TablaConsumos[[CÓDIGO]:[CÓDIGO]],'Inventario '!$B242,TablaConsumos[[Planta]:[Planta]],'Inventario '!Q$1)</f>
        <v>0</v>
      </c>
      <c r="R242" s="131">
        <f>SUMIFS(TablaConsumos[[CANTIDAD ]:[CANTIDAD ]],TablaConsumos[[CÓDIGO]:[CÓDIGO]],'Inventario '!$B242,TablaConsumos[[Planta]:[Planta]],'Inventario '!R$1)</f>
        <v>0</v>
      </c>
      <c r="S242" s="130">
        <f t="shared" si="236"/>
        <v>0</v>
      </c>
      <c r="T242" s="130">
        <f t="shared" si="237"/>
        <v>0</v>
      </c>
      <c r="U242" s="132"/>
      <c r="V242" s="130"/>
      <c r="W242" s="177">
        <v>1</v>
      </c>
      <c r="X242" s="132">
        <f t="shared" si="238"/>
        <v>0</v>
      </c>
      <c r="Y242" s="130">
        <f t="shared" si="239"/>
        <v>0</v>
      </c>
      <c r="Z242" s="132"/>
      <c r="AA242" s="132">
        <f t="shared" si="240"/>
        <v>0</v>
      </c>
      <c r="AB242" s="132"/>
      <c r="AC242" s="131">
        <f t="shared" si="241"/>
        <v>0</v>
      </c>
      <c r="AD242" s="131"/>
      <c r="AE242" s="130"/>
      <c r="AF242" s="130"/>
      <c r="AG242" s="168"/>
      <c r="AH242" s="134">
        <f t="shared" si="242"/>
        <v>0</v>
      </c>
      <c r="AI242" s="134">
        <f t="shared" si="243"/>
        <v>0</v>
      </c>
      <c r="AJ242" s="134">
        <f t="shared" si="244"/>
        <v>0</v>
      </c>
      <c r="AK242" s="134">
        <f t="shared" si="245"/>
        <v>0</v>
      </c>
      <c r="AL242" s="134">
        <f t="shared" si="246"/>
        <v>0</v>
      </c>
      <c r="AM242" s="134">
        <f t="shared" si="247"/>
        <v>0</v>
      </c>
      <c r="AN242" s="134">
        <f t="shared" si="248"/>
        <v>0</v>
      </c>
      <c r="AO242" s="134">
        <f t="shared" si="249"/>
        <v>0</v>
      </c>
      <c r="AP242" s="134">
        <f t="shared" si="250"/>
        <v>0</v>
      </c>
      <c r="AQ242" s="134">
        <f t="shared" si="251"/>
        <v>0</v>
      </c>
      <c r="AR242" s="134">
        <f t="shared" si="252"/>
        <v>0</v>
      </c>
      <c r="AS242" s="135">
        <f t="shared" si="253"/>
        <v>0</v>
      </c>
      <c r="AT242" s="137" t="str">
        <f t="shared" si="254"/>
        <v>0</v>
      </c>
      <c r="AU242" s="137" t="str">
        <f t="shared" si="255"/>
        <v>0</v>
      </c>
      <c r="AV242" s="137" t="str">
        <f t="shared" si="256"/>
        <v>0</v>
      </c>
      <c r="AW242" s="137" t="str">
        <f t="shared" si="257"/>
        <v>0</v>
      </c>
      <c r="AX242" s="137" t="str">
        <f t="shared" si="258"/>
        <v>0</v>
      </c>
      <c r="AY242" s="137" t="str">
        <f t="shared" si="259"/>
        <v>0</v>
      </c>
      <c r="AZ242" s="137" t="str">
        <f t="shared" si="260"/>
        <v>0</v>
      </c>
      <c r="BA242" s="137" t="str">
        <f t="shared" si="261"/>
        <v>0</v>
      </c>
      <c r="BB242" s="137" t="str">
        <f t="shared" si="262"/>
        <v>0</v>
      </c>
      <c r="BC242" s="137" t="str">
        <f t="shared" si="263"/>
        <v>0</v>
      </c>
      <c r="BD242" s="131">
        <f t="shared" si="264"/>
        <v>0</v>
      </c>
    </row>
    <row r="243" spans="2:56" ht="15" customHeight="1" x14ac:dyDescent="0.25">
      <c r="B243" s="127">
        <v>8200865</v>
      </c>
      <c r="C243" s="128" t="s">
        <v>706</v>
      </c>
      <c r="D243" s="128" t="s">
        <v>407</v>
      </c>
      <c r="E243" s="129" t="s">
        <v>445</v>
      </c>
      <c r="F243" s="274"/>
      <c r="G243" s="130">
        <f>+SUMIFS(TablaIngresos[Cantidad],TablaIngresos[Código],'Inventario '!B243)</f>
        <v>0</v>
      </c>
      <c r="H243" s="130">
        <f t="shared" si="235"/>
        <v>0</v>
      </c>
      <c r="I243" s="131">
        <f>SUMIFS(TablaConsumos[[CANTIDAD ]:[CANTIDAD ]],TablaConsumos[[CÓDIGO]:[CÓDIGO]],'Inventario '!$B243,TablaConsumos[[Planta]:[Planta]],'Inventario '!I$1)</f>
        <v>0</v>
      </c>
      <c r="J243" s="131">
        <f>SUMIFS(TablaConsumos[[CANTIDAD ]:[CANTIDAD ]],TablaConsumos[[CÓDIGO]:[CÓDIGO]],'Inventario '!$B243,TablaConsumos[[Planta]:[Planta]],'Inventario '!J$1)</f>
        <v>0</v>
      </c>
      <c r="K243" s="131">
        <f>SUMIFS(TablaConsumos[[CANTIDAD ]:[CANTIDAD ]],TablaConsumos[[CÓDIGO]:[CÓDIGO]],'Inventario '!$B243,TablaConsumos[[Planta]:[Planta]],'Inventario '!K$1)</f>
        <v>0</v>
      </c>
      <c r="L243" s="131">
        <f>SUMIFS(TablaConsumos[[CANTIDAD ]:[CANTIDAD ]],TablaConsumos[[CÓDIGO]:[CÓDIGO]],'Inventario '!$B243,TablaConsumos[[Planta]:[Planta]],'Inventario '!L$1)</f>
        <v>0</v>
      </c>
      <c r="M243" s="131">
        <f>SUMIFS(TablaConsumos[[CANTIDAD ]:[CANTIDAD ]],TablaConsumos[[CÓDIGO]:[CÓDIGO]],'Inventario '!$B243,TablaConsumos[[Planta]:[Planta]],'Inventario '!M$1)</f>
        <v>0</v>
      </c>
      <c r="N243" s="131">
        <f>SUMIFS(TablaConsumos[[CANTIDAD ]:[CANTIDAD ]],TablaConsumos[[CÓDIGO]:[CÓDIGO]],'Inventario '!$B243,TablaConsumos[[Planta]:[Planta]],'Inventario '!N$1)</f>
        <v>0</v>
      </c>
      <c r="O243" s="131">
        <f>SUMIFS(TablaConsumos[[CANTIDAD ]:[CANTIDAD ]],TablaConsumos[[CÓDIGO]:[CÓDIGO]],'Inventario '!$B243,TablaConsumos[[Planta]:[Planta]],'Inventario '!O$1)</f>
        <v>0</v>
      </c>
      <c r="P243" s="131">
        <f>SUMIFS(TablaConsumos[[CANTIDAD ]:[CANTIDAD ]],TablaConsumos[[CÓDIGO]:[CÓDIGO]],'Inventario '!$B243,TablaConsumos[[Planta]:[Planta]],'Inventario '!P$1)</f>
        <v>0</v>
      </c>
      <c r="Q243" s="131">
        <f>SUMIFS(TablaConsumos[[CANTIDAD ]:[CANTIDAD ]],TablaConsumos[[CÓDIGO]:[CÓDIGO]],'Inventario '!$B243,TablaConsumos[[Planta]:[Planta]],'Inventario '!Q$1)</f>
        <v>0</v>
      </c>
      <c r="R243" s="131">
        <f>SUMIFS(TablaConsumos[[CANTIDAD ]:[CANTIDAD ]],TablaConsumos[[CÓDIGO]:[CÓDIGO]],'Inventario '!$B243,TablaConsumos[[Planta]:[Planta]],'Inventario '!R$1)</f>
        <v>0</v>
      </c>
      <c r="S243" s="130">
        <f t="shared" si="236"/>
        <v>0</v>
      </c>
      <c r="T243" s="130">
        <f t="shared" si="237"/>
        <v>0</v>
      </c>
      <c r="U243" s="132"/>
      <c r="V243" s="130"/>
      <c r="W243" s="177">
        <v>1</v>
      </c>
      <c r="X243" s="132">
        <f t="shared" si="238"/>
        <v>0</v>
      </c>
      <c r="Y243" s="130">
        <f t="shared" si="239"/>
        <v>0</v>
      </c>
      <c r="Z243" s="132"/>
      <c r="AA243" s="132">
        <f t="shared" si="240"/>
        <v>0</v>
      </c>
      <c r="AB243" s="132"/>
      <c r="AC243" s="131">
        <f t="shared" si="241"/>
        <v>0</v>
      </c>
      <c r="AD243" s="131"/>
      <c r="AE243" s="130"/>
      <c r="AF243" s="130"/>
      <c r="AG243" s="168"/>
      <c r="AH243" s="134">
        <f t="shared" si="242"/>
        <v>0</v>
      </c>
      <c r="AI243" s="134">
        <f t="shared" si="243"/>
        <v>0</v>
      </c>
      <c r="AJ243" s="134">
        <f t="shared" si="244"/>
        <v>0</v>
      </c>
      <c r="AK243" s="134">
        <f t="shared" si="245"/>
        <v>0</v>
      </c>
      <c r="AL243" s="134">
        <f t="shared" si="246"/>
        <v>0</v>
      </c>
      <c r="AM243" s="134">
        <f t="shared" si="247"/>
        <v>0</v>
      </c>
      <c r="AN243" s="134">
        <f t="shared" si="248"/>
        <v>0</v>
      </c>
      <c r="AO243" s="134">
        <f t="shared" si="249"/>
        <v>0</v>
      </c>
      <c r="AP243" s="134">
        <f t="shared" si="250"/>
        <v>0</v>
      </c>
      <c r="AQ243" s="134">
        <f t="shared" si="251"/>
        <v>0</v>
      </c>
      <c r="AR243" s="134">
        <f t="shared" si="252"/>
        <v>0</v>
      </c>
      <c r="AS243" s="135">
        <f t="shared" si="253"/>
        <v>0</v>
      </c>
      <c r="AT243" s="137" t="str">
        <f t="shared" si="254"/>
        <v>0</v>
      </c>
      <c r="AU243" s="137" t="str">
        <f t="shared" si="255"/>
        <v>0</v>
      </c>
      <c r="AV243" s="137" t="str">
        <f t="shared" si="256"/>
        <v>0</v>
      </c>
      <c r="AW243" s="137" t="str">
        <f t="shared" si="257"/>
        <v>0</v>
      </c>
      <c r="AX243" s="137" t="str">
        <f t="shared" si="258"/>
        <v>0</v>
      </c>
      <c r="AY243" s="137" t="str">
        <f t="shared" si="259"/>
        <v>0</v>
      </c>
      <c r="AZ243" s="137" t="str">
        <f t="shared" si="260"/>
        <v>0</v>
      </c>
      <c r="BA243" s="137" t="str">
        <f t="shared" si="261"/>
        <v>0</v>
      </c>
      <c r="BB243" s="137" t="str">
        <f t="shared" si="262"/>
        <v>0</v>
      </c>
      <c r="BC243" s="137" t="str">
        <f t="shared" si="263"/>
        <v>0</v>
      </c>
      <c r="BD243" s="131">
        <f t="shared" si="264"/>
        <v>0</v>
      </c>
    </row>
    <row r="244" spans="2:56" ht="15" customHeight="1" x14ac:dyDescent="0.25">
      <c r="B244" s="129">
        <v>8200883</v>
      </c>
      <c r="C244" s="159" t="s">
        <v>374</v>
      </c>
      <c r="D244" s="128" t="s">
        <v>407</v>
      </c>
      <c r="E244" s="129" t="s">
        <v>450</v>
      </c>
      <c r="F244" s="274"/>
      <c r="G244" s="130">
        <f>+SUMIFS(TablaIngresos[Cantidad],TablaIngresos[Código],'Inventario '!B244)</f>
        <v>0</v>
      </c>
      <c r="H244" s="130">
        <f t="shared" si="235"/>
        <v>0</v>
      </c>
      <c r="I244" s="131">
        <f>SUMIFS(TablaConsumos[[CANTIDAD ]:[CANTIDAD ]],TablaConsumos[[CÓDIGO]:[CÓDIGO]],'Inventario '!$B244,TablaConsumos[[Planta]:[Planta]],'Inventario '!I$1)</f>
        <v>0</v>
      </c>
      <c r="J244" s="131">
        <f>SUMIFS(TablaConsumos[[CANTIDAD ]:[CANTIDAD ]],TablaConsumos[[CÓDIGO]:[CÓDIGO]],'Inventario '!$B244,TablaConsumos[[Planta]:[Planta]],'Inventario '!J$1)</f>
        <v>0</v>
      </c>
      <c r="K244" s="131">
        <f>SUMIFS(TablaConsumos[[CANTIDAD ]:[CANTIDAD ]],TablaConsumos[[CÓDIGO]:[CÓDIGO]],'Inventario '!$B244,TablaConsumos[[Planta]:[Planta]],'Inventario '!K$1)</f>
        <v>0</v>
      </c>
      <c r="L244" s="131">
        <f>SUMIFS(TablaConsumos[[CANTIDAD ]:[CANTIDAD ]],TablaConsumos[[CÓDIGO]:[CÓDIGO]],'Inventario '!$B244,TablaConsumos[[Planta]:[Planta]],'Inventario '!L$1)</f>
        <v>0</v>
      </c>
      <c r="M244" s="131">
        <f>SUMIFS(TablaConsumos[[CANTIDAD ]:[CANTIDAD ]],TablaConsumos[[CÓDIGO]:[CÓDIGO]],'Inventario '!$B244,TablaConsumos[[Planta]:[Planta]],'Inventario '!M$1)</f>
        <v>0</v>
      </c>
      <c r="N244" s="131">
        <f>SUMIFS(TablaConsumos[[CANTIDAD ]:[CANTIDAD ]],TablaConsumos[[CÓDIGO]:[CÓDIGO]],'Inventario '!$B244,TablaConsumos[[Planta]:[Planta]],'Inventario '!N$1)</f>
        <v>0</v>
      </c>
      <c r="O244" s="131">
        <f>SUMIFS(TablaConsumos[[CANTIDAD ]:[CANTIDAD ]],TablaConsumos[[CÓDIGO]:[CÓDIGO]],'Inventario '!$B244,TablaConsumos[[Planta]:[Planta]],'Inventario '!O$1)</f>
        <v>0</v>
      </c>
      <c r="P244" s="131">
        <f>SUMIFS(TablaConsumos[[CANTIDAD ]:[CANTIDAD ]],TablaConsumos[[CÓDIGO]:[CÓDIGO]],'Inventario '!$B244,TablaConsumos[[Planta]:[Planta]],'Inventario '!P$1)</f>
        <v>0</v>
      </c>
      <c r="Q244" s="131">
        <f>SUMIFS(TablaConsumos[[CANTIDAD ]:[CANTIDAD ]],TablaConsumos[[CÓDIGO]:[CÓDIGO]],'Inventario '!$B244,TablaConsumos[[Planta]:[Planta]],'Inventario '!Q$1)</f>
        <v>0</v>
      </c>
      <c r="R244" s="131">
        <f>SUMIFS(TablaConsumos[[CANTIDAD ]:[CANTIDAD ]],TablaConsumos[[CÓDIGO]:[CÓDIGO]],'Inventario '!$B244,TablaConsumos[[Planta]:[Planta]],'Inventario '!R$1)</f>
        <v>0</v>
      </c>
      <c r="S244" s="130">
        <f t="shared" si="236"/>
        <v>0</v>
      </c>
      <c r="T244" s="130">
        <f t="shared" si="237"/>
        <v>0</v>
      </c>
      <c r="U244" s="132"/>
      <c r="V244" s="130"/>
      <c r="W244" s="177">
        <v>1</v>
      </c>
      <c r="X244" s="132">
        <f t="shared" si="238"/>
        <v>0</v>
      </c>
      <c r="Y244" s="130">
        <f t="shared" si="239"/>
        <v>0</v>
      </c>
      <c r="Z244" s="132"/>
      <c r="AA244" s="132">
        <f t="shared" si="240"/>
        <v>0</v>
      </c>
      <c r="AB244" s="132"/>
      <c r="AC244" s="131">
        <f t="shared" si="241"/>
        <v>0</v>
      </c>
      <c r="AD244" s="131"/>
      <c r="AE244" s="130"/>
      <c r="AF244" s="130"/>
      <c r="AG244" s="168"/>
      <c r="AH244" s="134">
        <f t="shared" si="242"/>
        <v>0</v>
      </c>
      <c r="AI244" s="134">
        <f t="shared" si="243"/>
        <v>0</v>
      </c>
      <c r="AJ244" s="134">
        <f t="shared" si="244"/>
        <v>0</v>
      </c>
      <c r="AK244" s="134">
        <f t="shared" si="245"/>
        <v>0</v>
      </c>
      <c r="AL244" s="134">
        <f t="shared" si="246"/>
        <v>0</v>
      </c>
      <c r="AM244" s="134">
        <f t="shared" si="247"/>
        <v>0</v>
      </c>
      <c r="AN244" s="134">
        <f t="shared" si="248"/>
        <v>0</v>
      </c>
      <c r="AO244" s="134">
        <f t="shared" si="249"/>
        <v>0</v>
      </c>
      <c r="AP244" s="134">
        <f t="shared" si="250"/>
        <v>0</v>
      </c>
      <c r="AQ244" s="134">
        <f t="shared" si="251"/>
        <v>0</v>
      </c>
      <c r="AR244" s="134">
        <f t="shared" si="252"/>
        <v>0</v>
      </c>
      <c r="AS244" s="135">
        <f t="shared" si="253"/>
        <v>0</v>
      </c>
      <c r="AT244" s="137" t="str">
        <f t="shared" si="254"/>
        <v>0</v>
      </c>
      <c r="AU244" s="137" t="str">
        <f t="shared" si="255"/>
        <v>0</v>
      </c>
      <c r="AV244" s="137" t="str">
        <f t="shared" si="256"/>
        <v>0</v>
      </c>
      <c r="AW244" s="137" t="str">
        <f t="shared" si="257"/>
        <v>0</v>
      </c>
      <c r="AX244" s="137" t="str">
        <f t="shared" si="258"/>
        <v>0</v>
      </c>
      <c r="AY244" s="137" t="str">
        <f t="shared" si="259"/>
        <v>0</v>
      </c>
      <c r="AZ244" s="137" t="str">
        <f t="shared" si="260"/>
        <v>0</v>
      </c>
      <c r="BA244" s="137" t="str">
        <f t="shared" si="261"/>
        <v>0</v>
      </c>
      <c r="BB244" s="137" t="str">
        <f t="shared" si="262"/>
        <v>0</v>
      </c>
      <c r="BC244" s="137" t="str">
        <f t="shared" si="263"/>
        <v>0</v>
      </c>
      <c r="BD244" s="131">
        <f t="shared" si="264"/>
        <v>0</v>
      </c>
    </row>
    <row r="245" spans="2:56" ht="15" customHeight="1" x14ac:dyDescent="0.25">
      <c r="B245" s="127">
        <v>8200890</v>
      </c>
      <c r="C245" s="128" t="s">
        <v>374</v>
      </c>
      <c r="D245" s="128" t="s">
        <v>800</v>
      </c>
      <c r="E245" s="129" t="s">
        <v>452</v>
      </c>
      <c r="F245" s="274"/>
      <c r="G245" s="130">
        <f>+SUMIFS(TablaIngresos[Cantidad],TablaIngresos[Código],'Inventario '!B245)</f>
        <v>0</v>
      </c>
      <c r="H245" s="130">
        <f t="shared" si="235"/>
        <v>0</v>
      </c>
      <c r="I245" s="131">
        <f>SUMIFS(TablaConsumos[[CANTIDAD ]:[CANTIDAD ]],TablaConsumos[[CÓDIGO]:[CÓDIGO]],'Inventario '!$B245,TablaConsumos[[Planta]:[Planta]],'Inventario '!I$1)</f>
        <v>0</v>
      </c>
      <c r="J245" s="131">
        <f>SUMIFS(TablaConsumos[[CANTIDAD ]:[CANTIDAD ]],TablaConsumos[[CÓDIGO]:[CÓDIGO]],'Inventario '!$B245,TablaConsumos[[Planta]:[Planta]],'Inventario '!J$1)</f>
        <v>0</v>
      </c>
      <c r="K245" s="131">
        <f>SUMIFS(TablaConsumos[[CANTIDAD ]:[CANTIDAD ]],TablaConsumos[[CÓDIGO]:[CÓDIGO]],'Inventario '!$B245,TablaConsumos[[Planta]:[Planta]],'Inventario '!K$1)</f>
        <v>0</v>
      </c>
      <c r="L245" s="131">
        <f>SUMIFS(TablaConsumos[[CANTIDAD ]:[CANTIDAD ]],TablaConsumos[[CÓDIGO]:[CÓDIGO]],'Inventario '!$B245,TablaConsumos[[Planta]:[Planta]],'Inventario '!L$1)</f>
        <v>0</v>
      </c>
      <c r="M245" s="131">
        <f>SUMIFS(TablaConsumos[[CANTIDAD ]:[CANTIDAD ]],TablaConsumos[[CÓDIGO]:[CÓDIGO]],'Inventario '!$B245,TablaConsumos[[Planta]:[Planta]],'Inventario '!M$1)</f>
        <v>0</v>
      </c>
      <c r="N245" s="131">
        <f>SUMIFS(TablaConsumos[[CANTIDAD ]:[CANTIDAD ]],TablaConsumos[[CÓDIGO]:[CÓDIGO]],'Inventario '!$B245,TablaConsumos[[Planta]:[Planta]],'Inventario '!N$1)</f>
        <v>0</v>
      </c>
      <c r="O245" s="131">
        <f>SUMIFS(TablaConsumos[[CANTIDAD ]:[CANTIDAD ]],TablaConsumos[[CÓDIGO]:[CÓDIGO]],'Inventario '!$B245,TablaConsumos[[Planta]:[Planta]],'Inventario '!O$1)</f>
        <v>0</v>
      </c>
      <c r="P245" s="131">
        <f>SUMIFS(TablaConsumos[[CANTIDAD ]:[CANTIDAD ]],TablaConsumos[[CÓDIGO]:[CÓDIGO]],'Inventario '!$B245,TablaConsumos[[Planta]:[Planta]],'Inventario '!P$1)</f>
        <v>0</v>
      </c>
      <c r="Q245" s="131">
        <f>SUMIFS(TablaConsumos[[CANTIDAD ]:[CANTIDAD ]],TablaConsumos[[CÓDIGO]:[CÓDIGO]],'Inventario '!$B245,TablaConsumos[[Planta]:[Planta]],'Inventario '!Q$1)</f>
        <v>0</v>
      </c>
      <c r="R245" s="131">
        <f>SUMIFS(TablaConsumos[[CANTIDAD ]:[CANTIDAD ]],TablaConsumos[[CÓDIGO]:[CÓDIGO]],'Inventario '!$B245,TablaConsumos[[Planta]:[Planta]],'Inventario '!R$1)</f>
        <v>0</v>
      </c>
      <c r="S245" s="130">
        <f t="shared" si="236"/>
        <v>0</v>
      </c>
      <c r="T245" s="130">
        <f t="shared" si="237"/>
        <v>0</v>
      </c>
      <c r="U245" s="132"/>
      <c r="V245" s="130"/>
      <c r="W245" s="177">
        <v>1</v>
      </c>
      <c r="X245" s="132">
        <f t="shared" si="238"/>
        <v>0</v>
      </c>
      <c r="Y245" s="130">
        <f t="shared" si="239"/>
        <v>0</v>
      </c>
      <c r="Z245" s="132"/>
      <c r="AA245" s="132">
        <f t="shared" si="240"/>
        <v>0</v>
      </c>
      <c r="AB245" s="132"/>
      <c r="AC245" s="131">
        <f t="shared" si="241"/>
        <v>0</v>
      </c>
      <c r="AD245" s="131"/>
      <c r="AE245" s="130"/>
      <c r="AF245" s="130"/>
      <c r="AG245" s="168"/>
      <c r="AH245" s="134">
        <f t="shared" si="242"/>
        <v>0</v>
      </c>
      <c r="AI245" s="134">
        <f t="shared" si="243"/>
        <v>0</v>
      </c>
      <c r="AJ245" s="134">
        <f t="shared" si="244"/>
        <v>0</v>
      </c>
      <c r="AK245" s="134">
        <f t="shared" si="245"/>
        <v>0</v>
      </c>
      <c r="AL245" s="134">
        <f t="shared" si="246"/>
        <v>0</v>
      </c>
      <c r="AM245" s="134">
        <f t="shared" si="247"/>
        <v>0</v>
      </c>
      <c r="AN245" s="134">
        <f t="shared" si="248"/>
        <v>0</v>
      </c>
      <c r="AO245" s="134">
        <f t="shared" si="249"/>
        <v>0</v>
      </c>
      <c r="AP245" s="134">
        <f t="shared" si="250"/>
        <v>0</v>
      </c>
      <c r="AQ245" s="134">
        <f t="shared" si="251"/>
        <v>0</v>
      </c>
      <c r="AR245" s="134">
        <f t="shared" si="252"/>
        <v>0</v>
      </c>
      <c r="AS245" s="135">
        <f t="shared" si="253"/>
        <v>0</v>
      </c>
      <c r="AT245" s="137" t="str">
        <f t="shared" si="254"/>
        <v>0</v>
      </c>
      <c r="AU245" s="137" t="str">
        <f t="shared" si="255"/>
        <v>0</v>
      </c>
      <c r="AV245" s="137" t="str">
        <f t="shared" si="256"/>
        <v>0</v>
      </c>
      <c r="AW245" s="137" t="str">
        <f t="shared" si="257"/>
        <v>0</v>
      </c>
      <c r="AX245" s="137" t="str">
        <f t="shared" si="258"/>
        <v>0</v>
      </c>
      <c r="AY245" s="137" t="str">
        <f t="shared" si="259"/>
        <v>0</v>
      </c>
      <c r="AZ245" s="137" t="str">
        <f t="shared" si="260"/>
        <v>0</v>
      </c>
      <c r="BA245" s="137" t="str">
        <f t="shared" si="261"/>
        <v>0</v>
      </c>
      <c r="BB245" s="137" t="str">
        <f t="shared" si="262"/>
        <v>0</v>
      </c>
      <c r="BC245" s="137" t="str">
        <f t="shared" si="263"/>
        <v>0</v>
      </c>
      <c r="BD245" s="131">
        <f t="shared" si="264"/>
        <v>0</v>
      </c>
    </row>
    <row r="246" spans="2:56" ht="15" customHeight="1" x14ac:dyDescent="0.25">
      <c r="B246" s="127">
        <v>8200893</v>
      </c>
      <c r="C246" s="128" t="s">
        <v>374</v>
      </c>
      <c r="D246" s="128" t="s">
        <v>800</v>
      </c>
      <c r="E246" s="129" t="s">
        <v>454</v>
      </c>
      <c r="F246" s="274"/>
      <c r="G246" s="130">
        <f>+SUMIFS(TablaIngresos[Cantidad],TablaIngresos[Código],'Inventario '!B246)</f>
        <v>0</v>
      </c>
      <c r="H246" s="130">
        <f t="shared" si="235"/>
        <v>0</v>
      </c>
      <c r="I246" s="131">
        <f>SUMIFS(TablaConsumos[[CANTIDAD ]:[CANTIDAD ]],TablaConsumos[[CÓDIGO]:[CÓDIGO]],'Inventario '!$B246,TablaConsumos[[Planta]:[Planta]],'Inventario '!I$1)</f>
        <v>0</v>
      </c>
      <c r="J246" s="131">
        <f>SUMIFS(TablaConsumos[[CANTIDAD ]:[CANTIDAD ]],TablaConsumos[[CÓDIGO]:[CÓDIGO]],'Inventario '!$B246,TablaConsumos[[Planta]:[Planta]],'Inventario '!J$1)</f>
        <v>0</v>
      </c>
      <c r="K246" s="131">
        <f>SUMIFS(TablaConsumos[[CANTIDAD ]:[CANTIDAD ]],TablaConsumos[[CÓDIGO]:[CÓDIGO]],'Inventario '!$B246,TablaConsumos[[Planta]:[Planta]],'Inventario '!K$1)</f>
        <v>0</v>
      </c>
      <c r="L246" s="131">
        <f>SUMIFS(TablaConsumos[[CANTIDAD ]:[CANTIDAD ]],TablaConsumos[[CÓDIGO]:[CÓDIGO]],'Inventario '!$B246,TablaConsumos[[Planta]:[Planta]],'Inventario '!L$1)</f>
        <v>0</v>
      </c>
      <c r="M246" s="131">
        <f>SUMIFS(TablaConsumos[[CANTIDAD ]:[CANTIDAD ]],TablaConsumos[[CÓDIGO]:[CÓDIGO]],'Inventario '!$B246,TablaConsumos[[Planta]:[Planta]],'Inventario '!M$1)</f>
        <v>0</v>
      </c>
      <c r="N246" s="131">
        <f>SUMIFS(TablaConsumos[[CANTIDAD ]:[CANTIDAD ]],TablaConsumos[[CÓDIGO]:[CÓDIGO]],'Inventario '!$B246,TablaConsumos[[Planta]:[Planta]],'Inventario '!N$1)</f>
        <v>0</v>
      </c>
      <c r="O246" s="131">
        <f>SUMIFS(TablaConsumos[[CANTIDAD ]:[CANTIDAD ]],TablaConsumos[[CÓDIGO]:[CÓDIGO]],'Inventario '!$B246,TablaConsumos[[Planta]:[Planta]],'Inventario '!O$1)</f>
        <v>0</v>
      </c>
      <c r="P246" s="131">
        <f>SUMIFS(TablaConsumos[[CANTIDAD ]:[CANTIDAD ]],TablaConsumos[[CÓDIGO]:[CÓDIGO]],'Inventario '!$B246,TablaConsumos[[Planta]:[Planta]],'Inventario '!P$1)</f>
        <v>0</v>
      </c>
      <c r="Q246" s="131">
        <f>SUMIFS(TablaConsumos[[CANTIDAD ]:[CANTIDAD ]],TablaConsumos[[CÓDIGO]:[CÓDIGO]],'Inventario '!$B246,TablaConsumos[[Planta]:[Planta]],'Inventario '!Q$1)</f>
        <v>0</v>
      </c>
      <c r="R246" s="131">
        <f>SUMIFS(TablaConsumos[[CANTIDAD ]:[CANTIDAD ]],TablaConsumos[[CÓDIGO]:[CÓDIGO]],'Inventario '!$B246,TablaConsumos[[Planta]:[Planta]],'Inventario '!R$1)</f>
        <v>0</v>
      </c>
      <c r="S246" s="130">
        <f t="shared" si="236"/>
        <v>0</v>
      </c>
      <c r="T246" s="130">
        <f t="shared" si="237"/>
        <v>0</v>
      </c>
      <c r="U246" s="132"/>
      <c r="V246" s="130"/>
      <c r="W246" s="177">
        <v>1</v>
      </c>
      <c r="X246" s="132">
        <f t="shared" si="238"/>
        <v>0</v>
      </c>
      <c r="Y246" s="130">
        <f t="shared" si="239"/>
        <v>0</v>
      </c>
      <c r="Z246" s="132"/>
      <c r="AA246" s="132">
        <f t="shared" si="240"/>
        <v>0</v>
      </c>
      <c r="AB246" s="132"/>
      <c r="AC246" s="131">
        <f t="shared" si="241"/>
        <v>0</v>
      </c>
      <c r="AD246" s="131"/>
      <c r="AE246" s="130"/>
      <c r="AF246" s="130"/>
      <c r="AG246" s="168"/>
      <c r="AH246" s="134">
        <f t="shared" si="242"/>
        <v>0</v>
      </c>
      <c r="AI246" s="134">
        <f t="shared" si="243"/>
        <v>0</v>
      </c>
      <c r="AJ246" s="134">
        <f t="shared" si="244"/>
        <v>0</v>
      </c>
      <c r="AK246" s="134">
        <f t="shared" si="245"/>
        <v>0</v>
      </c>
      <c r="AL246" s="134">
        <f t="shared" si="246"/>
        <v>0</v>
      </c>
      <c r="AM246" s="134">
        <f t="shared" si="247"/>
        <v>0</v>
      </c>
      <c r="AN246" s="134">
        <f t="shared" si="248"/>
        <v>0</v>
      </c>
      <c r="AO246" s="134">
        <f t="shared" si="249"/>
        <v>0</v>
      </c>
      <c r="AP246" s="134">
        <f t="shared" si="250"/>
        <v>0</v>
      </c>
      <c r="AQ246" s="134">
        <f t="shared" si="251"/>
        <v>0</v>
      </c>
      <c r="AR246" s="134">
        <f t="shared" si="252"/>
        <v>0</v>
      </c>
      <c r="AS246" s="135">
        <f t="shared" si="253"/>
        <v>0</v>
      </c>
      <c r="AT246" s="137" t="str">
        <f t="shared" si="254"/>
        <v>0</v>
      </c>
      <c r="AU246" s="137" t="str">
        <f t="shared" si="255"/>
        <v>0</v>
      </c>
      <c r="AV246" s="137" t="str">
        <f t="shared" si="256"/>
        <v>0</v>
      </c>
      <c r="AW246" s="137" t="str">
        <f t="shared" si="257"/>
        <v>0</v>
      </c>
      <c r="AX246" s="137" t="str">
        <f t="shared" si="258"/>
        <v>0</v>
      </c>
      <c r="AY246" s="137" t="str">
        <f t="shared" si="259"/>
        <v>0</v>
      </c>
      <c r="AZ246" s="137" t="str">
        <f t="shared" si="260"/>
        <v>0</v>
      </c>
      <c r="BA246" s="137" t="str">
        <f t="shared" si="261"/>
        <v>0</v>
      </c>
      <c r="BB246" s="137" t="str">
        <f t="shared" si="262"/>
        <v>0</v>
      </c>
      <c r="BC246" s="137" t="str">
        <f t="shared" si="263"/>
        <v>0</v>
      </c>
      <c r="BD246" s="131">
        <f t="shared" si="264"/>
        <v>0</v>
      </c>
    </row>
    <row r="247" spans="2:56" ht="15" customHeight="1" x14ac:dyDescent="0.25">
      <c r="B247" s="127">
        <v>8200894</v>
      </c>
      <c r="C247" s="128" t="s">
        <v>374</v>
      </c>
      <c r="D247" s="128" t="s">
        <v>800</v>
      </c>
      <c r="E247" s="129" t="s">
        <v>455</v>
      </c>
      <c r="F247" s="274"/>
      <c r="G247" s="130">
        <f>+SUMIFS(TablaIngresos[Cantidad],TablaIngresos[Código],'Inventario '!B247)</f>
        <v>0</v>
      </c>
      <c r="H247" s="130">
        <f t="shared" si="235"/>
        <v>0</v>
      </c>
      <c r="I247" s="131">
        <f>SUMIFS(TablaConsumos[[CANTIDAD ]:[CANTIDAD ]],TablaConsumos[[CÓDIGO]:[CÓDIGO]],'Inventario '!$B247,TablaConsumos[[Planta]:[Planta]],'Inventario '!I$1)</f>
        <v>0</v>
      </c>
      <c r="J247" s="131">
        <f>SUMIFS(TablaConsumos[[CANTIDAD ]:[CANTIDAD ]],TablaConsumos[[CÓDIGO]:[CÓDIGO]],'Inventario '!$B247,TablaConsumos[[Planta]:[Planta]],'Inventario '!J$1)</f>
        <v>0</v>
      </c>
      <c r="K247" s="131">
        <f>SUMIFS(TablaConsumos[[CANTIDAD ]:[CANTIDAD ]],TablaConsumos[[CÓDIGO]:[CÓDIGO]],'Inventario '!$B247,TablaConsumos[[Planta]:[Planta]],'Inventario '!K$1)</f>
        <v>0</v>
      </c>
      <c r="L247" s="131">
        <f>SUMIFS(TablaConsumos[[CANTIDAD ]:[CANTIDAD ]],TablaConsumos[[CÓDIGO]:[CÓDIGO]],'Inventario '!$B247,TablaConsumos[[Planta]:[Planta]],'Inventario '!L$1)</f>
        <v>0</v>
      </c>
      <c r="M247" s="131">
        <f>SUMIFS(TablaConsumos[[CANTIDAD ]:[CANTIDAD ]],TablaConsumos[[CÓDIGO]:[CÓDIGO]],'Inventario '!$B247,TablaConsumos[[Planta]:[Planta]],'Inventario '!M$1)</f>
        <v>0</v>
      </c>
      <c r="N247" s="131">
        <f>SUMIFS(TablaConsumos[[CANTIDAD ]:[CANTIDAD ]],TablaConsumos[[CÓDIGO]:[CÓDIGO]],'Inventario '!$B247,TablaConsumos[[Planta]:[Planta]],'Inventario '!N$1)</f>
        <v>0</v>
      </c>
      <c r="O247" s="131">
        <f>SUMIFS(TablaConsumos[[CANTIDAD ]:[CANTIDAD ]],TablaConsumos[[CÓDIGO]:[CÓDIGO]],'Inventario '!$B247,TablaConsumos[[Planta]:[Planta]],'Inventario '!O$1)</f>
        <v>0</v>
      </c>
      <c r="P247" s="131">
        <f>SUMIFS(TablaConsumos[[CANTIDAD ]:[CANTIDAD ]],TablaConsumos[[CÓDIGO]:[CÓDIGO]],'Inventario '!$B247,TablaConsumos[[Planta]:[Planta]],'Inventario '!P$1)</f>
        <v>0</v>
      </c>
      <c r="Q247" s="131">
        <f>SUMIFS(TablaConsumos[[CANTIDAD ]:[CANTIDAD ]],TablaConsumos[[CÓDIGO]:[CÓDIGO]],'Inventario '!$B247,TablaConsumos[[Planta]:[Planta]],'Inventario '!Q$1)</f>
        <v>0</v>
      </c>
      <c r="R247" s="131">
        <f>SUMIFS(TablaConsumos[[CANTIDAD ]:[CANTIDAD ]],TablaConsumos[[CÓDIGO]:[CÓDIGO]],'Inventario '!$B247,TablaConsumos[[Planta]:[Planta]],'Inventario '!R$1)</f>
        <v>0</v>
      </c>
      <c r="S247" s="130">
        <f t="shared" si="236"/>
        <v>0</v>
      </c>
      <c r="T247" s="130">
        <f t="shared" si="237"/>
        <v>0</v>
      </c>
      <c r="U247" s="132"/>
      <c r="V247" s="130"/>
      <c r="W247" s="177">
        <v>1</v>
      </c>
      <c r="X247" s="132">
        <f t="shared" si="238"/>
        <v>0</v>
      </c>
      <c r="Y247" s="130">
        <f t="shared" si="239"/>
        <v>0</v>
      </c>
      <c r="Z247" s="132"/>
      <c r="AA247" s="132">
        <f t="shared" si="240"/>
        <v>0</v>
      </c>
      <c r="AB247" s="132"/>
      <c r="AC247" s="131">
        <f t="shared" si="241"/>
        <v>0</v>
      </c>
      <c r="AD247" s="131"/>
      <c r="AE247" s="130"/>
      <c r="AF247" s="130"/>
      <c r="AG247" s="168"/>
      <c r="AH247" s="134">
        <f t="shared" si="242"/>
        <v>0</v>
      </c>
      <c r="AI247" s="134">
        <f t="shared" si="243"/>
        <v>0</v>
      </c>
      <c r="AJ247" s="134">
        <f t="shared" si="244"/>
        <v>0</v>
      </c>
      <c r="AK247" s="134">
        <f t="shared" si="245"/>
        <v>0</v>
      </c>
      <c r="AL247" s="134">
        <f t="shared" si="246"/>
        <v>0</v>
      </c>
      <c r="AM247" s="134">
        <f t="shared" si="247"/>
        <v>0</v>
      </c>
      <c r="AN247" s="134">
        <f t="shared" si="248"/>
        <v>0</v>
      </c>
      <c r="AO247" s="134">
        <f t="shared" si="249"/>
        <v>0</v>
      </c>
      <c r="AP247" s="134">
        <f t="shared" si="250"/>
        <v>0</v>
      </c>
      <c r="AQ247" s="134">
        <f t="shared" si="251"/>
        <v>0</v>
      </c>
      <c r="AR247" s="134">
        <f t="shared" si="252"/>
        <v>0</v>
      </c>
      <c r="AS247" s="135">
        <f t="shared" si="253"/>
        <v>0</v>
      </c>
      <c r="AT247" s="137" t="str">
        <f t="shared" si="254"/>
        <v>0</v>
      </c>
      <c r="AU247" s="137" t="str">
        <f t="shared" si="255"/>
        <v>0</v>
      </c>
      <c r="AV247" s="137" t="str">
        <f t="shared" si="256"/>
        <v>0</v>
      </c>
      <c r="AW247" s="137" t="str">
        <f t="shared" si="257"/>
        <v>0</v>
      </c>
      <c r="AX247" s="137" t="str">
        <f t="shared" si="258"/>
        <v>0</v>
      </c>
      <c r="AY247" s="137" t="str">
        <f t="shared" si="259"/>
        <v>0</v>
      </c>
      <c r="AZ247" s="137" t="str">
        <f t="shared" si="260"/>
        <v>0</v>
      </c>
      <c r="BA247" s="137" t="str">
        <f t="shared" si="261"/>
        <v>0</v>
      </c>
      <c r="BB247" s="137" t="str">
        <f t="shared" si="262"/>
        <v>0</v>
      </c>
      <c r="BC247" s="137" t="str">
        <f t="shared" si="263"/>
        <v>0</v>
      </c>
      <c r="BD247" s="131">
        <f t="shared" si="264"/>
        <v>0</v>
      </c>
    </row>
    <row r="248" spans="2:56" ht="15" customHeight="1" x14ac:dyDescent="0.25">
      <c r="B248" s="127">
        <v>8200920</v>
      </c>
      <c r="C248" s="128" t="s">
        <v>374</v>
      </c>
      <c r="D248" s="128" t="s">
        <v>800</v>
      </c>
      <c r="E248" s="129" t="s">
        <v>456</v>
      </c>
      <c r="F248" s="274"/>
      <c r="G248" s="130">
        <f>+SUMIFS(TablaIngresos[Cantidad],TablaIngresos[Código],'Inventario '!B248)</f>
        <v>0</v>
      </c>
      <c r="H248" s="130">
        <f t="shared" si="235"/>
        <v>0</v>
      </c>
      <c r="I248" s="131">
        <f>SUMIFS(TablaConsumos[[CANTIDAD ]:[CANTIDAD ]],TablaConsumos[[CÓDIGO]:[CÓDIGO]],'Inventario '!$B248,TablaConsumos[[Planta]:[Planta]],'Inventario '!I$1)</f>
        <v>0</v>
      </c>
      <c r="J248" s="131">
        <f>SUMIFS(TablaConsumos[[CANTIDAD ]:[CANTIDAD ]],TablaConsumos[[CÓDIGO]:[CÓDIGO]],'Inventario '!$B248,TablaConsumos[[Planta]:[Planta]],'Inventario '!J$1)</f>
        <v>0</v>
      </c>
      <c r="K248" s="131">
        <f>SUMIFS(TablaConsumos[[CANTIDAD ]:[CANTIDAD ]],TablaConsumos[[CÓDIGO]:[CÓDIGO]],'Inventario '!$B248,TablaConsumos[[Planta]:[Planta]],'Inventario '!K$1)</f>
        <v>0</v>
      </c>
      <c r="L248" s="131">
        <f>SUMIFS(TablaConsumos[[CANTIDAD ]:[CANTIDAD ]],TablaConsumos[[CÓDIGO]:[CÓDIGO]],'Inventario '!$B248,TablaConsumos[[Planta]:[Planta]],'Inventario '!L$1)</f>
        <v>0</v>
      </c>
      <c r="M248" s="131">
        <f>SUMIFS(TablaConsumos[[CANTIDAD ]:[CANTIDAD ]],TablaConsumos[[CÓDIGO]:[CÓDIGO]],'Inventario '!$B248,TablaConsumos[[Planta]:[Planta]],'Inventario '!M$1)</f>
        <v>0</v>
      </c>
      <c r="N248" s="131">
        <f>SUMIFS(TablaConsumos[[CANTIDAD ]:[CANTIDAD ]],TablaConsumos[[CÓDIGO]:[CÓDIGO]],'Inventario '!$B248,TablaConsumos[[Planta]:[Planta]],'Inventario '!N$1)</f>
        <v>0</v>
      </c>
      <c r="O248" s="131">
        <f>SUMIFS(TablaConsumos[[CANTIDAD ]:[CANTIDAD ]],TablaConsumos[[CÓDIGO]:[CÓDIGO]],'Inventario '!$B248,TablaConsumos[[Planta]:[Planta]],'Inventario '!O$1)</f>
        <v>0</v>
      </c>
      <c r="P248" s="131">
        <f>SUMIFS(TablaConsumos[[CANTIDAD ]:[CANTIDAD ]],TablaConsumos[[CÓDIGO]:[CÓDIGO]],'Inventario '!$B248,TablaConsumos[[Planta]:[Planta]],'Inventario '!P$1)</f>
        <v>0</v>
      </c>
      <c r="Q248" s="131">
        <f>SUMIFS(TablaConsumos[[CANTIDAD ]:[CANTIDAD ]],TablaConsumos[[CÓDIGO]:[CÓDIGO]],'Inventario '!$B248,TablaConsumos[[Planta]:[Planta]],'Inventario '!Q$1)</f>
        <v>0</v>
      </c>
      <c r="R248" s="131">
        <f>SUMIFS(TablaConsumos[[CANTIDAD ]:[CANTIDAD ]],TablaConsumos[[CÓDIGO]:[CÓDIGO]],'Inventario '!$B248,TablaConsumos[[Planta]:[Planta]],'Inventario '!R$1)</f>
        <v>0</v>
      </c>
      <c r="S248" s="130">
        <f t="shared" si="236"/>
        <v>0</v>
      </c>
      <c r="T248" s="130">
        <f t="shared" si="237"/>
        <v>0</v>
      </c>
      <c r="U248" s="132"/>
      <c r="V248" s="130"/>
      <c r="W248" s="177">
        <v>1</v>
      </c>
      <c r="X248" s="132">
        <f t="shared" si="238"/>
        <v>0</v>
      </c>
      <c r="Y248" s="130">
        <f t="shared" si="239"/>
        <v>0</v>
      </c>
      <c r="Z248" s="132"/>
      <c r="AA248" s="132">
        <f t="shared" si="240"/>
        <v>0</v>
      </c>
      <c r="AB248" s="132"/>
      <c r="AC248" s="131">
        <f t="shared" si="241"/>
        <v>0</v>
      </c>
      <c r="AD248" s="131"/>
      <c r="AE248" s="130"/>
      <c r="AF248" s="130"/>
      <c r="AG248" s="168"/>
      <c r="AH248" s="134">
        <f t="shared" si="242"/>
        <v>0</v>
      </c>
      <c r="AI248" s="134">
        <f t="shared" si="243"/>
        <v>0</v>
      </c>
      <c r="AJ248" s="134">
        <f t="shared" si="244"/>
        <v>0</v>
      </c>
      <c r="AK248" s="134">
        <f t="shared" si="245"/>
        <v>0</v>
      </c>
      <c r="AL248" s="134">
        <f t="shared" si="246"/>
        <v>0</v>
      </c>
      <c r="AM248" s="134">
        <f t="shared" si="247"/>
        <v>0</v>
      </c>
      <c r="AN248" s="134">
        <f t="shared" si="248"/>
        <v>0</v>
      </c>
      <c r="AO248" s="134">
        <f t="shared" si="249"/>
        <v>0</v>
      </c>
      <c r="AP248" s="134">
        <f t="shared" si="250"/>
        <v>0</v>
      </c>
      <c r="AQ248" s="134">
        <f t="shared" si="251"/>
        <v>0</v>
      </c>
      <c r="AR248" s="134">
        <f t="shared" si="252"/>
        <v>0</v>
      </c>
      <c r="AS248" s="135">
        <f t="shared" si="253"/>
        <v>0</v>
      </c>
      <c r="AT248" s="137" t="str">
        <f t="shared" si="254"/>
        <v>0</v>
      </c>
      <c r="AU248" s="137" t="str">
        <f t="shared" si="255"/>
        <v>0</v>
      </c>
      <c r="AV248" s="137" t="str">
        <f t="shared" si="256"/>
        <v>0</v>
      </c>
      <c r="AW248" s="137" t="str">
        <f t="shared" si="257"/>
        <v>0</v>
      </c>
      <c r="AX248" s="137" t="str">
        <f t="shared" si="258"/>
        <v>0</v>
      </c>
      <c r="AY248" s="137" t="str">
        <f t="shared" si="259"/>
        <v>0</v>
      </c>
      <c r="AZ248" s="137" t="str">
        <f t="shared" si="260"/>
        <v>0</v>
      </c>
      <c r="BA248" s="137" t="str">
        <f t="shared" si="261"/>
        <v>0</v>
      </c>
      <c r="BB248" s="137" t="str">
        <f t="shared" si="262"/>
        <v>0</v>
      </c>
      <c r="BC248" s="137" t="str">
        <f t="shared" si="263"/>
        <v>0</v>
      </c>
      <c r="BD248" s="131">
        <f t="shared" si="264"/>
        <v>0</v>
      </c>
    </row>
    <row r="249" spans="2:56" ht="15" customHeight="1" x14ac:dyDescent="0.25">
      <c r="B249" s="127">
        <v>8201090</v>
      </c>
      <c r="C249" s="128" t="s">
        <v>475</v>
      </c>
      <c r="D249" s="128" t="s">
        <v>407</v>
      </c>
      <c r="E249" s="129" t="s">
        <v>476</v>
      </c>
      <c r="F249" s="274"/>
      <c r="G249" s="130">
        <f>+SUMIFS(TablaIngresos[Cantidad],TablaIngresos[Código],'Inventario '!B249)</f>
        <v>0</v>
      </c>
      <c r="H249" s="130">
        <f t="shared" si="235"/>
        <v>0</v>
      </c>
      <c r="I249" s="131">
        <f>SUMIFS(TablaConsumos[[CANTIDAD ]:[CANTIDAD ]],TablaConsumos[[CÓDIGO]:[CÓDIGO]],'Inventario '!$B249,TablaConsumos[[Planta]:[Planta]],'Inventario '!I$1)</f>
        <v>0</v>
      </c>
      <c r="J249" s="131">
        <f>SUMIFS(TablaConsumos[[CANTIDAD ]:[CANTIDAD ]],TablaConsumos[[CÓDIGO]:[CÓDIGO]],'Inventario '!$B249,TablaConsumos[[Planta]:[Planta]],'Inventario '!J$1)</f>
        <v>0</v>
      </c>
      <c r="K249" s="131">
        <f>SUMIFS(TablaConsumos[[CANTIDAD ]:[CANTIDAD ]],TablaConsumos[[CÓDIGO]:[CÓDIGO]],'Inventario '!$B249,TablaConsumos[[Planta]:[Planta]],'Inventario '!K$1)</f>
        <v>0</v>
      </c>
      <c r="L249" s="131">
        <f>SUMIFS(TablaConsumos[[CANTIDAD ]:[CANTIDAD ]],TablaConsumos[[CÓDIGO]:[CÓDIGO]],'Inventario '!$B249,TablaConsumos[[Planta]:[Planta]],'Inventario '!L$1)</f>
        <v>0</v>
      </c>
      <c r="M249" s="131">
        <f>SUMIFS(TablaConsumos[[CANTIDAD ]:[CANTIDAD ]],TablaConsumos[[CÓDIGO]:[CÓDIGO]],'Inventario '!$B249,TablaConsumos[[Planta]:[Planta]],'Inventario '!M$1)</f>
        <v>0</v>
      </c>
      <c r="N249" s="131">
        <f>SUMIFS(TablaConsumos[[CANTIDAD ]:[CANTIDAD ]],TablaConsumos[[CÓDIGO]:[CÓDIGO]],'Inventario '!$B249,TablaConsumos[[Planta]:[Planta]],'Inventario '!N$1)</f>
        <v>0</v>
      </c>
      <c r="O249" s="131">
        <f>SUMIFS(TablaConsumos[[CANTIDAD ]:[CANTIDAD ]],TablaConsumos[[CÓDIGO]:[CÓDIGO]],'Inventario '!$B249,TablaConsumos[[Planta]:[Planta]],'Inventario '!O$1)</f>
        <v>0</v>
      </c>
      <c r="P249" s="131">
        <f>SUMIFS(TablaConsumos[[CANTIDAD ]:[CANTIDAD ]],TablaConsumos[[CÓDIGO]:[CÓDIGO]],'Inventario '!$B249,TablaConsumos[[Planta]:[Planta]],'Inventario '!P$1)</f>
        <v>0</v>
      </c>
      <c r="Q249" s="131">
        <f>SUMIFS(TablaConsumos[[CANTIDAD ]:[CANTIDAD ]],TablaConsumos[[CÓDIGO]:[CÓDIGO]],'Inventario '!$B249,TablaConsumos[[Planta]:[Planta]],'Inventario '!Q$1)</f>
        <v>0</v>
      </c>
      <c r="R249" s="131">
        <f>SUMIFS(TablaConsumos[[CANTIDAD ]:[CANTIDAD ]],TablaConsumos[[CÓDIGO]:[CÓDIGO]],'Inventario '!$B249,TablaConsumos[[Planta]:[Planta]],'Inventario '!R$1)</f>
        <v>0</v>
      </c>
      <c r="S249" s="130">
        <f t="shared" si="236"/>
        <v>0</v>
      </c>
      <c r="T249" s="130">
        <f t="shared" si="237"/>
        <v>0</v>
      </c>
      <c r="U249" s="132"/>
      <c r="V249" s="130"/>
      <c r="W249" s="177">
        <v>1</v>
      </c>
      <c r="X249" s="132">
        <f t="shared" si="238"/>
        <v>0</v>
      </c>
      <c r="Y249" s="130">
        <f t="shared" si="239"/>
        <v>0</v>
      </c>
      <c r="Z249" s="132"/>
      <c r="AA249" s="132">
        <f t="shared" si="240"/>
        <v>0</v>
      </c>
      <c r="AB249" s="132"/>
      <c r="AC249" s="131">
        <f t="shared" si="241"/>
        <v>0</v>
      </c>
      <c r="AD249" s="131"/>
      <c r="AE249" s="130"/>
      <c r="AF249" s="130"/>
      <c r="AG249" s="168"/>
      <c r="AH249" s="134">
        <f t="shared" si="242"/>
        <v>0</v>
      </c>
      <c r="AI249" s="134">
        <f t="shared" si="243"/>
        <v>0</v>
      </c>
      <c r="AJ249" s="134">
        <f t="shared" si="244"/>
        <v>0</v>
      </c>
      <c r="AK249" s="134">
        <f t="shared" si="245"/>
        <v>0</v>
      </c>
      <c r="AL249" s="134">
        <f t="shared" si="246"/>
        <v>0</v>
      </c>
      <c r="AM249" s="134">
        <f t="shared" si="247"/>
        <v>0</v>
      </c>
      <c r="AN249" s="134">
        <f t="shared" si="248"/>
        <v>0</v>
      </c>
      <c r="AO249" s="134">
        <f t="shared" si="249"/>
        <v>0</v>
      </c>
      <c r="AP249" s="134">
        <f t="shared" si="250"/>
        <v>0</v>
      </c>
      <c r="AQ249" s="134">
        <f t="shared" si="251"/>
        <v>0</v>
      </c>
      <c r="AR249" s="134">
        <f t="shared" si="252"/>
        <v>0</v>
      </c>
      <c r="AS249" s="135">
        <f t="shared" si="253"/>
        <v>0</v>
      </c>
      <c r="AT249" s="137" t="str">
        <f t="shared" si="254"/>
        <v>0</v>
      </c>
      <c r="AU249" s="137" t="str">
        <f t="shared" si="255"/>
        <v>0</v>
      </c>
      <c r="AV249" s="137" t="str">
        <f t="shared" si="256"/>
        <v>0</v>
      </c>
      <c r="AW249" s="137" t="str">
        <f t="shared" si="257"/>
        <v>0</v>
      </c>
      <c r="AX249" s="137" t="str">
        <f t="shared" si="258"/>
        <v>0</v>
      </c>
      <c r="AY249" s="137" t="str">
        <f t="shared" si="259"/>
        <v>0</v>
      </c>
      <c r="AZ249" s="137" t="str">
        <f t="shared" si="260"/>
        <v>0</v>
      </c>
      <c r="BA249" s="137" t="str">
        <f t="shared" si="261"/>
        <v>0</v>
      </c>
      <c r="BB249" s="137" t="str">
        <f t="shared" si="262"/>
        <v>0</v>
      </c>
      <c r="BC249" s="137" t="str">
        <f t="shared" si="263"/>
        <v>0</v>
      </c>
      <c r="BD249" s="131">
        <f t="shared" si="264"/>
        <v>0</v>
      </c>
    </row>
    <row r="250" spans="2:56" ht="15" customHeight="1" x14ac:dyDescent="0.25">
      <c r="B250" s="127">
        <v>8201878</v>
      </c>
      <c r="C250" s="128" t="s">
        <v>475</v>
      </c>
      <c r="D250" s="128" t="s">
        <v>407</v>
      </c>
      <c r="E250" s="129" t="s">
        <v>491</v>
      </c>
      <c r="F250" s="274"/>
      <c r="G250" s="130">
        <f>+SUMIFS(TablaIngresos[Cantidad],TablaIngresos[Código],'Inventario '!B250)</f>
        <v>0</v>
      </c>
      <c r="H250" s="130">
        <f t="shared" si="235"/>
        <v>0</v>
      </c>
      <c r="I250" s="131">
        <f>SUMIFS(TablaConsumos[[CANTIDAD ]:[CANTIDAD ]],TablaConsumos[[CÓDIGO]:[CÓDIGO]],'Inventario '!$B250,TablaConsumos[[Planta]:[Planta]],'Inventario '!I$1)</f>
        <v>0</v>
      </c>
      <c r="J250" s="131">
        <f>SUMIFS(TablaConsumos[[CANTIDAD ]:[CANTIDAD ]],TablaConsumos[[CÓDIGO]:[CÓDIGO]],'Inventario '!$B250,TablaConsumos[[Planta]:[Planta]],'Inventario '!J$1)</f>
        <v>0</v>
      </c>
      <c r="K250" s="131">
        <f>SUMIFS(TablaConsumos[[CANTIDAD ]:[CANTIDAD ]],TablaConsumos[[CÓDIGO]:[CÓDIGO]],'Inventario '!$B250,TablaConsumos[[Planta]:[Planta]],'Inventario '!K$1)</f>
        <v>0</v>
      </c>
      <c r="L250" s="131">
        <f>SUMIFS(TablaConsumos[[CANTIDAD ]:[CANTIDAD ]],TablaConsumos[[CÓDIGO]:[CÓDIGO]],'Inventario '!$B250,TablaConsumos[[Planta]:[Planta]],'Inventario '!L$1)</f>
        <v>0</v>
      </c>
      <c r="M250" s="131">
        <f>SUMIFS(TablaConsumos[[CANTIDAD ]:[CANTIDAD ]],TablaConsumos[[CÓDIGO]:[CÓDIGO]],'Inventario '!$B250,TablaConsumos[[Planta]:[Planta]],'Inventario '!M$1)</f>
        <v>0</v>
      </c>
      <c r="N250" s="131">
        <f>SUMIFS(TablaConsumos[[CANTIDAD ]:[CANTIDAD ]],TablaConsumos[[CÓDIGO]:[CÓDIGO]],'Inventario '!$B250,TablaConsumos[[Planta]:[Planta]],'Inventario '!N$1)</f>
        <v>0</v>
      </c>
      <c r="O250" s="131">
        <f>SUMIFS(TablaConsumos[[CANTIDAD ]:[CANTIDAD ]],TablaConsumos[[CÓDIGO]:[CÓDIGO]],'Inventario '!$B250,TablaConsumos[[Planta]:[Planta]],'Inventario '!O$1)</f>
        <v>0</v>
      </c>
      <c r="P250" s="131">
        <f>SUMIFS(TablaConsumos[[CANTIDAD ]:[CANTIDAD ]],TablaConsumos[[CÓDIGO]:[CÓDIGO]],'Inventario '!$B250,TablaConsumos[[Planta]:[Planta]],'Inventario '!P$1)</f>
        <v>0</v>
      </c>
      <c r="Q250" s="131">
        <f>SUMIFS(TablaConsumos[[CANTIDAD ]:[CANTIDAD ]],TablaConsumos[[CÓDIGO]:[CÓDIGO]],'Inventario '!$B250,TablaConsumos[[Planta]:[Planta]],'Inventario '!Q$1)</f>
        <v>0</v>
      </c>
      <c r="R250" s="131">
        <f>SUMIFS(TablaConsumos[[CANTIDAD ]:[CANTIDAD ]],TablaConsumos[[CÓDIGO]:[CÓDIGO]],'Inventario '!$B250,TablaConsumos[[Planta]:[Planta]],'Inventario '!R$1)</f>
        <v>0</v>
      </c>
      <c r="S250" s="130">
        <f t="shared" si="236"/>
        <v>0</v>
      </c>
      <c r="T250" s="130">
        <f t="shared" si="237"/>
        <v>0</v>
      </c>
      <c r="U250" s="132"/>
      <c r="V250" s="130"/>
      <c r="W250" s="177">
        <v>1</v>
      </c>
      <c r="X250" s="132">
        <f t="shared" si="238"/>
        <v>0</v>
      </c>
      <c r="Y250" s="130">
        <f t="shared" si="239"/>
        <v>0</v>
      </c>
      <c r="Z250" s="132"/>
      <c r="AA250" s="132">
        <f t="shared" si="240"/>
        <v>0</v>
      </c>
      <c r="AB250" s="132"/>
      <c r="AC250" s="131">
        <f t="shared" si="241"/>
        <v>0</v>
      </c>
      <c r="AD250" s="131"/>
      <c r="AE250" s="130"/>
      <c r="AF250" s="130"/>
      <c r="AG250" s="168"/>
      <c r="AH250" s="134">
        <f t="shared" si="242"/>
        <v>0</v>
      </c>
      <c r="AI250" s="134">
        <f t="shared" si="243"/>
        <v>0</v>
      </c>
      <c r="AJ250" s="134">
        <f t="shared" si="244"/>
        <v>0</v>
      </c>
      <c r="AK250" s="134">
        <f t="shared" si="245"/>
        <v>0</v>
      </c>
      <c r="AL250" s="134">
        <f t="shared" si="246"/>
        <v>0</v>
      </c>
      <c r="AM250" s="134">
        <f t="shared" si="247"/>
        <v>0</v>
      </c>
      <c r="AN250" s="134">
        <f t="shared" si="248"/>
        <v>0</v>
      </c>
      <c r="AO250" s="134">
        <f t="shared" si="249"/>
        <v>0</v>
      </c>
      <c r="AP250" s="134">
        <f t="shared" si="250"/>
        <v>0</v>
      </c>
      <c r="AQ250" s="134">
        <f t="shared" si="251"/>
        <v>0</v>
      </c>
      <c r="AR250" s="134">
        <f t="shared" si="252"/>
        <v>0</v>
      </c>
      <c r="AS250" s="135">
        <f t="shared" si="253"/>
        <v>0</v>
      </c>
      <c r="AT250" s="137" t="str">
        <f t="shared" si="254"/>
        <v>0</v>
      </c>
      <c r="AU250" s="137" t="str">
        <f t="shared" si="255"/>
        <v>0</v>
      </c>
      <c r="AV250" s="137" t="str">
        <f t="shared" si="256"/>
        <v>0</v>
      </c>
      <c r="AW250" s="137" t="str">
        <f t="shared" si="257"/>
        <v>0</v>
      </c>
      <c r="AX250" s="137" t="str">
        <f t="shared" si="258"/>
        <v>0</v>
      </c>
      <c r="AY250" s="137" t="str">
        <f t="shared" si="259"/>
        <v>0</v>
      </c>
      <c r="AZ250" s="137" t="str">
        <f t="shared" si="260"/>
        <v>0</v>
      </c>
      <c r="BA250" s="137" t="str">
        <f t="shared" si="261"/>
        <v>0</v>
      </c>
      <c r="BB250" s="137" t="str">
        <f t="shared" si="262"/>
        <v>0</v>
      </c>
      <c r="BC250" s="137" t="str">
        <f t="shared" si="263"/>
        <v>0</v>
      </c>
      <c r="BD250" s="131">
        <f t="shared" si="264"/>
        <v>0</v>
      </c>
    </row>
    <row r="251" spans="2:56" ht="15" customHeight="1" x14ac:dyDescent="0.25">
      <c r="B251" s="127">
        <v>8201890</v>
      </c>
      <c r="C251" s="128" t="s">
        <v>316</v>
      </c>
      <c r="D251" s="128" t="s">
        <v>407</v>
      </c>
      <c r="E251" s="129" t="s">
        <v>707</v>
      </c>
      <c r="F251" s="274"/>
      <c r="G251" s="130">
        <f>+SUMIFS(TablaIngresos[Cantidad],TablaIngresos[Código],'Inventario '!B251)</f>
        <v>0</v>
      </c>
      <c r="H251" s="130">
        <f t="shared" si="235"/>
        <v>0</v>
      </c>
      <c r="I251" s="131">
        <f>SUMIFS(TablaConsumos[[CANTIDAD ]:[CANTIDAD ]],TablaConsumos[[CÓDIGO]:[CÓDIGO]],'Inventario '!$B251,TablaConsumos[[Planta]:[Planta]],'Inventario '!I$1)</f>
        <v>0</v>
      </c>
      <c r="J251" s="131">
        <f>SUMIFS(TablaConsumos[[CANTIDAD ]:[CANTIDAD ]],TablaConsumos[[CÓDIGO]:[CÓDIGO]],'Inventario '!$B251,TablaConsumos[[Planta]:[Planta]],'Inventario '!J$1)</f>
        <v>0</v>
      </c>
      <c r="K251" s="131">
        <f>SUMIFS(TablaConsumos[[CANTIDAD ]:[CANTIDAD ]],TablaConsumos[[CÓDIGO]:[CÓDIGO]],'Inventario '!$B251,TablaConsumos[[Planta]:[Planta]],'Inventario '!K$1)</f>
        <v>0</v>
      </c>
      <c r="L251" s="131">
        <f>SUMIFS(TablaConsumos[[CANTIDAD ]:[CANTIDAD ]],TablaConsumos[[CÓDIGO]:[CÓDIGO]],'Inventario '!$B251,TablaConsumos[[Planta]:[Planta]],'Inventario '!L$1)</f>
        <v>0</v>
      </c>
      <c r="M251" s="131">
        <f>SUMIFS(TablaConsumos[[CANTIDAD ]:[CANTIDAD ]],TablaConsumos[[CÓDIGO]:[CÓDIGO]],'Inventario '!$B251,TablaConsumos[[Planta]:[Planta]],'Inventario '!M$1)</f>
        <v>0</v>
      </c>
      <c r="N251" s="131">
        <f>SUMIFS(TablaConsumos[[CANTIDAD ]:[CANTIDAD ]],TablaConsumos[[CÓDIGO]:[CÓDIGO]],'Inventario '!$B251,TablaConsumos[[Planta]:[Planta]],'Inventario '!N$1)</f>
        <v>0</v>
      </c>
      <c r="O251" s="131">
        <f>SUMIFS(TablaConsumos[[CANTIDAD ]:[CANTIDAD ]],TablaConsumos[[CÓDIGO]:[CÓDIGO]],'Inventario '!$B251,TablaConsumos[[Planta]:[Planta]],'Inventario '!O$1)</f>
        <v>0</v>
      </c>
      <c r="P251" s="131">
        <f>SUMIFS(TablaConsumos[[CANTIDAD ]:[CANTIDAD ]],TablaConsumos[[CÓDIGO]:[CÓDIGO]],'Inventario '!$B251,TablaConsumos[[Planta]:[Planta]],'Inventario '!P$1)</f>
        <v>0</v>
      </c>
      <c r="Q251" s="131">
        <f>SUMIFS(TablaConsumos[[CANTIDAD ]:[CANTIDAD ]],TablaConsumos[[CÓDIGO]:[CÓDIGO]],'Inventario '!$B251,TablaConsumos[[Planta]:[Planta]],'Inventario '!Q$1)</f>
        <v>0</v>
      </c>
      <c r="R251" s="131">
        <f>SUMIFS(TablaConsumos[[CANTIDAD ]:[CANTIDAD ]],TablaConsumos[[CÓDIGO]:[CÓDIGO]],'Inventario '!$B251,TablaConsumos[[Planta]:[Planta]],'Inventario '!R$1)</f>
        <v>0</v>
      </c>
      <c r="S251" s="130">
        <f t="shared" si="236"/>
        <v>0</v>
      </c>
      <c r="T251" s="130">
        <f t="shared" si="237"/>
        <v>0</v>
      </c>
      <c r="U251" s="132"/>
      <c r="V251" s="130"/>
      <c r="W251" s="177">
        <v>1</v>
      </c>
      <c r="X251" s="132">
        <f t="shared" si="238"/>
        <v>0</v>
      </c>
      <c r="Y251" s="130">
        <f t="shared" si="239"/>
        <v>0</v>
      </c>
      <c r="Z251" s="132"/>
      <c r="AA251" s="132">
        <f t="shared" si="240"/>
        <v>0</v>
      </c>
      <c r="AB251" s="132"/>
      <c r="AC251" s="131">
        <f t="shared" si="241"/>
        <v>0</v>
      </c>
      <c r="AD251" s="131"/>
      <c r="AE251" s="130"/>
      <c r="AF251" s="130"/>
      <c r="AG251" s="168"/>
      <c r="AH251" s="134">
        <f t="shared" si="242"/>
        <v>0</v>
      </c>
      <c r="AI251" s="134">
        <f t="shared" si="243"/>
        <v>0</v>
      </c>
      <c r="AJ251" s="134">
        <f t="shared" si="244"/>
        <v>0</v>
      </c>
      <c r="AK251" s="134">
        <f t="shared" si="245"/>
        <v>0</v>
      </c>
      <c r="AL251" s="134">
        <f t="shared" si="246"/>
        <v>0</v>
      </c>
      <c r="AM251" s="134">
        <f t="shared" si="247"/>
        <v>0</v>
      </c>
      <c r="AN251" s="134">
        <f t="shared" si="248"/>
        <v>0</v>
      </c>
      <c r="AO251" s="134">
        <f t="shared" si="249"/>
        <v>0</v>
      </c>
      <c r="AP251" s="134">
        <f t="shared" si="250"/>
        <v>0</v>
      </c>
      <c r="AQ251" s="134">
        <f t="shared" si="251"/>
        <v>0</v>
      </c>
      <c r="AR251" s="134">
        <f t="shared" si="252"/>
        <v>0</v>
      </c>
      <c r="AS251" s="135">
        <f t="shared" si="253"/>
        <v>0</v>
      </c>
      <c r="AT251" s="137" t="str">
        <f t="shared" si="254"/>
        <v>0</v>
      </c>
      <c r="AU251" s="137" t="str">
        <f t="shared" si="255"/>
        <v>0</v>
      </c>
      <c r="AV251" s="137" t="str">
        <f t="shared" si="256"/>
        <v>0</v>
      </c>
      <c r="AW251" s="137" t="str">
        <f t="shared" si="257"/>
        <v>0</v>
      </c>
      <c r="AX251" s="137" t="str">
        <f t="shared" si="258"/>
        <v>0</v>
      </c>
      <c r="AY251" s="137" t="str">
        <f t="shared" si="259"/>
        <v>0</v>
      </c>
      <c r="AZ251" s="137" t="str">
        <f t="shared" si="260"/>
        <v>0</v>
      </c>
      <c r="BA251" s="137" t="str">
        <f t="shared" si="261"/>
        <v>0</v>
      </c>
      <c r="BB251" s="137" t="str">
        <f t="shared" si="262"/>
        <v>0</v>
      </c>
      <c r="BC251" s="137" t="str">
        <f t="shared" si="263"/>
        <v>0</v>
      </c>
      <c r="BD251" s="131">
        <f t="shared" si="264"/>
        <v>0</v>
      </c>
    </row>
    <row r="252" spans="2:56" ht="15" customHeight="1" x14ac:dyDescent="0.25">
      <c r="B252" s="127">
        <v>8202471</v>
      </c>
      <c r="C252" s="128" t="s">
        <v>374</v>
      </c>
      <c r="D252" s="128" t="s">
        <v>800</v>
      </c>
      <c r="E252" s="129" t="s">
        <v>495</v>
      </c>
      <c r="F252" s="274"/>
      <c r="G252" s="130">
        <f>+SUMIFS(TablaIngresos[Cantidad],TablaIngresos[Código],'Inventario '!B252)</f>
        <v>0</v>
      </c>
      <c r="H252" s="130">
        <f t="shared" si="235"/>
        <v>0</v>
      </c>
      <c r="I252" s="131">
        <f>SUMIFS(TablaConsumos[[CANTIDAD ]:[CANTIDAD ]],TablaConsumos[[CÓDIGO]:[CÓDIGO]],'Inventario '!$B252,TablaConsumos[[Planta]:[Planta]],'Inventario '!I$1)</f>
        <v>0</v>
      </c>
      <c r="J252" s="131">
        <f>SUMIFS(TablaConsumos[[CANTIDAD ]:[CANTIDAD ]],TablaConsumos[[CÓDIGO]:[CÓDIGO]],'Inventario '!$B252,TablaConsumos[[Planta]:[Planta]],'Inventario '!J$1)</f>
        <v>0</v>
      </c>
      <c r="K252" s="131">
        <f>SUMIFS(TablaConsumos[[CANTIDAD ]:[CANTIDAD ]],TablaConsumos[[CÓDIGO]:[CÓDIGO]],'Inventario '!$B252,TablaConsumos[[Planta]:[Planta]],'Inventario '!K$1)</f>
        <v>0</v>
      </c>
      <c r="L252" s="131">
        <f>SUMIFS(TablaConsumos[[CANTIDAD ]:[CANTIDAD ]],TablaConsumos[[CÓDIGO]:[CÓDIGO]],'Inventario '!$B252,TablaConsumos[[Planta]:[Planta]],'Inventario '!L$1)</f>
        <v>0</v>
      </c>
      <c r="M252" s="131">
        <f>SUMIFS(TablaConsumos[[CANTIDAD ]:[CANTIDAD ]],TablaConsumos[[CÓDIGO]:[CÓDIGO]],'Inventario '!$B252,TablaConsumos[[Planta]:[Planta]],'Inventario '!M$1)</f>
        <v>0</v>
      </c>
      <c r="N252" s="131">
        <f>SUMIFS(TablaConsumos[[CANTIDAD ]:[CANTIDAD ]],TablaConsumos[[CÓDIGO]:[CÓDIGO]],'Inventario '!$B252,TablaConsumos[[Planta]:[Planta]],'Inventario '!N$1)</f>
        <v>0</v>
      </c>
      <c r="O252" s="131">
        <f>SUMIFS(TablaConsumos[[CANTIDAD ]:[CANTIDAD ]],TablaConsumos[[CÓDIGO]:[CÓDIGO]],'Inventario '!$B252,TablaConsumos[[Planta]:[Planta]],'Inventario '!O$1)</f>
        <v>0</v>
      </c>
      <c r="P252" s="131">
        <f>SUMIFS(TablaConsumos[[CANTIDAD ]:[CANTIDAD ]],TablaConsumos[[CÓDIGO]:[CÓDIGO]],'Inventario '!$B252,TablaConsumos[[Planta]:[Planta]],'Inventario '!P$1)</f>
        <v>0</v>
      </c>
      <c r="Q252" s="131">
        <f>SUMIFS(TablaConsumos[[CANTIDAD ]:[CANTIDAD ]],TablaConsumos[[CÓDIGO]:[CÓDIGO]],'Inventario '!$B252,TablaConsumos[[Planta]:[Planta]],'Inventario '!Q$1)</f>
        <v>0</v>
      </c>
      <c r="R252" s="131">
        <f>SUMIFS(TablaConsumos[[CANTIDAD ]:[CANTIDAD ]],TablaConsumos[[CÓDIGO]:[CÓDIGO]],'Inventario '!$B252,TablaConsumos[[Planta]:[Planta]],'Inventario '!R$1)</f>
        <v>0</v>
      </c>
      <c r="S252" s="130">
        <f t="shared" si="236"/>
        <v>0</v>
      </c>
      <c r="T252" s="130">
        <f t="shared" si="237"/>
        <v>0</v>
      </c>
      <c r="U252" s="132"/>
      <c r="V252" s="130"/>
      <c r="W252" s="177">
        <v>1</v>
      </c>
      <c r="X252" s="132">
        <f t="shared" si="238"/>
        <v>0</v>
      </c>
      <c r="Y252" s="130">
        <f t="shared" si="239"/>
        <v>0</v>
      </c>
      <c r="Z252" s="132"/>
      <c r="AA252" s="132">
        <f t="shared" si="240"/>
        <v>0</v>
      </c>
      <c r="AB252" s="132"/>
      <c r="AC252" s="131">
        <f t="shared" si="241"/>
        <v>0</v>
      </c>
      <c r="AD252" s="131"/>
      <c r="AE252" s="130"/>
      <c r="AF252" s="130"/>
      <c r="AG252" s="168"/>
      <c r="AH252" s="134">
        <f t="shared" si="242"/>
        <v>0</v>
      </c>
      <c r="AI252" s="134">
        <f t="shared" si="243"/>
        <v>0</v>
      </c>
      <c r="AJ252" s="134">
        <f t="shared" si="244"/>
        <v>0</v>
      </c>
      <c r="AK252" s="134">
        <f t="shared" si="245"/>
        <v>0</v>
      </c>
      <c r="AL252" s="134">
        <f t="shared" si="246"/>
        <v>0</v>
      </c>
      <c r="AM252" s="134">
        <f t="shared" si="247"/>
        <v>0</v>
      </c>
      <c r="AN252" s="134">
        <f t="shared" si="248"/>
        <v>0</v>
      </c>
      <c r="AO252" s="134">
        <f t="shared" si="249"/>
        <v>0</v>
      </c>
      <c r="AP252" s="134">
        <f t="shared" si="250"/>
        <v>0</v>
      </c>
      <c r="AQ252" s="134">
        <f t="shared" si="251"/>
        <v>0</v>
      </c>
      <c r="AR252" s="134">
        <f t="shared" si="252"/>
        <v>0</v>
      </c>
      <c r="AS252" s="135">
        <f t="shared" si="253"/>
        <v>0</v>
      </c>
      <c r="AT252" s="137" t="str">
        <f t="shared" si="254"/>
        <v>0</v>
      </c>
      <c r="AU252" s="137" t="str">
        <f t="shared" si="255"/>
        <v>0</v>
      </c>
      <c r="AV252" s="137" t="str">
        <f t="shared" si="256"/>
        <v>0</v>
      </c>
      <c r="AW252" s="137" t="str">
        <f t="shared" si="257"/>
        <v>0</v>
      </c>
      <c r="AX252" s="137" t="str">
        <f t="shared" si="258"/>
        <v>0</v>
      </c>
      <c r="AY252" s="137" t="str">
        <f t="shared" si="259"/>
        <v>0</v>
      </c>
      <c r="AZ252" s="137" t="str">
        <f t="shared" si="260"/>
        <v>0</v>
      </c>
      <c r="BA252" s="137" t="str">
        <f t="shared" si="261"/>
        <v>0</v>
      </c>
      <c r="BB252" s="137" t="str">
        <f t="shared" si="262"/>
        <v>0</v>
      </c>
      <c r="BC252" s="137" t="str">
        <f t="shared" si="263"/>
        <v>0</v>
      </c>
      <c r="BD252" s="131">
        <f t="shared" si="264"/>
        <v>0</v>
      </c>
    </row>
    <row r="253" spans="2:56" ht="15" customHeight="1" x14ac:dyDescent="0.25">
      <c r="B253" s="127">
        <v>8203182</v>
      </c>
      <c r="C253" s="128" t="s">
        <v>17</v>
      </c>
      <c r="D253" s="128" t="s">
        <v>407</v>
      </c>
      <c r="E253" s="129" t="s">
        <v>708</v>
      </c>
      <c r="F253" s="274"/>
      <c r="G253" s="130">
        <f>+SUMIFS(TablaIngresos[Cantidad],TablaIngresos[Código],'Inventario '!B253)</f>
        <v>0</v>
      </c>
      <c r="H253" s="130">
        <f t="shared" si="235"/>
        <v>0</v>
      </c>
      <c r="I253" s="131">
        <f>SUMIFS(TablaConsumos[[CANTIDAD ]:[CANTIDAD ]],TablaConsumos[[CÓDIGO]:[CÓDIGO]],'Inventario '!$B253,TablaConsumos[[Planta]:[Planta]],'Inventario '!I$1)</f>
        <v>0</v>
      </c>
      <c r="J253" s="131">
        <f>SUMIFS(TablaConsumos[[CANTIDAD ]:[CANTIDAD ]],TablaConsumos[[CÓDIGO]:[CÓDIGO]],'Inventario '!$B253,TablaConsumos[[Planta]:[Planta]],'Inventario '!J$1)</f>
        <v>0</v>
      </c>
      <c r="K253" s="131">
        <f>SUMIFS(TablaConsumos[[CANTIDAD ]:[CANTIDAD ]],TablaConsumos[[CÓDIGO]:[CÓDIGO]],'Inventario '!$B253,TablaConsumos[[Planta]:[Planta]],'Inventario '!K$1)</f>
        <v>0</v>
      </c>
      <c r="L253" s="131">
        <f>SUMIFS(TablaConsumos[[CANTIDAD ]:[CANTIDAD ]],TablaConsumos[[CÓDIGO]:[CÓDIGO]],'Inventario '!$B253,TablaConsumos[[Planta]:[Planta]],'Inventario '!L$1)</f>
        <v>0</v>
      </c>
      <c r="M253" s="131">
        <f>SUMIFS(TablaConsumos[[CANTIDAD ]:[CANTIDAD ]],TablaConsumos[[CÓDIGO]:[CÓDIGO]],'Inventario '!$B253,TablaConsumos[[Planta]:[Planta]],'Inventario '!M$1)</f>
        <v>0</v>
      </c>
      <c r="N253" s="131">
        <f>SUMIFS(TablaConsumos[[CANTIDAD ]:[CANTIDAD ]],TablaConsumos[[CÓDIGO]:[CÓDIGO]],'Inventario '!$B253,TablaConsumos[[Planta]:[Planta]],'Inventario '!N$1)</f>
        <v>0</v>
      </c>
      <c r="O253" s="131">
        <f>SUMIFS(TablaConsumos[[CANTIDAD ]:[CANTIDAD ]],TablaConsumos[[CÓDIGO]:[CÓDIGO]],'Inventario '!$B253,TablaConsumos[[Planta]:[Planta]],'Inventario '!O$1)</f>
        <v>0</v>
      </c>
      <c r="P253" s="131">
        <f>SUMIFS(TablaConsumos[[CANTIDAD ]:[CANTIDAD ]],TablaConsumos[[CÓDIGO]:[CÓDIGO]],'Inventario '!$B253,TablaConsumos[[Planta]:[Planta]],'Inventario '!P$1)</f>
        <v>0</v>
      </c>
      <c r="Q253" s="131">
        <f>SUMIFS(TablaConsumos[[CANTIDAD ]:[CANTIDAD ]],TablaConsumos[[CÓDIGO]:[CÓDIGO]],'Inventario '!$B253,TablaConsumos[[Planta]:[Planta]],'Inventario '!Q$1)</f>
        <v>0</v>
      </c>
      <c r="R253" s="131">
        <f>SUMIFS(TablaConsumos[[CANTIDAD ]:[CANTIDAD ]],TablaConsumos[[CÓDIGO]:[CÓDIGO]],'Inventario '!$B253,TablaConsumos[[Planta]:[Planta]],'Inventario '!R$1)</f>
        <v>0</v>
      </c>
      <c r="S253" s="130">
        <f t="shared" si="236"/>
        <v>0</v>
      </c>
      <c r="T253" s="130">
        <f t="shared" si="237"/>
        <v>0</v>
      </c>
      <c r="U253" s="132"/>
      <c r="V253" s="130"/>
      <c r="W253" s="177">
        <v>1</v>
      </c>
      <c r="X253" s="132">
        <f t="shared" si="238"/>
        <v>0</v>
      </c>
      <c r="Y253" s="130">
        <f t="shared" si="239"/>
        <v>0</v>
      </c>
      <c r="Z253" s="132"/>
      <c r="AA253" s="132">
        <f t="shared" si="240"/>
        <v>0</v>
      </c>
      <c r="AB253" s="132"/>
      <c r="AC253" s="131">
        <f t="shared" si="241"/>
        <v>0</v>
      </c>
      <c r="AD253" s="131"/>
      <c r="AE253" s="130"/>
      <c r="AF253" s="130"/>
      <c r="AG253" s="168"/>
      <c r="AH253" s="134">
        <f t="shared" si="242"/>
        <v>0</v>
      </c>
      <c r="AI253" s="134">
        <f t="shared" si="243"/>
        <v>0</v>
      </c>
      <c r="AJ253" s="134">
        <f t="shared" si="244"/>
        <v>0</v>
      </c>
      <c r="AK253" s="134">
        <f t="shared" si="245"/>
        <v>0</v>
      </c>
      <c r="AL253" s="134">
        <f t="shared" si="246"/>
        <v>0</v>
      </c>
      <c r="AM253" s="134">
        <f t="shared" si="247"/>
        <v>0</v>
      </c>
      <c r="AN253" s="134">
        <f t="shared" si="248"/>
        <v>0</v>
      </c>
      <c r="AO253" s="134">
        <f t="shared" si="249"/>
        <v>0</v>
      </c>
      <c r="AP253" s="134">
        <f t="shared" si="250"/>
        <v>0</v>
      </c>
      <c r="AQ253" s="134">
        <f t="shared" si="251"/>
        <v>0</v>
      </c>
      <c r="AR253" s="134">
        <f t="shared" si="252"/>
        <v>0</v>
      </c>
      <c r="AS253" s="135">
        <f t="shared" si="253"/>
        <v>0</v>
      </c>
      <c r="AT253" s="137" t="str">
        <f t="shared" si="254"/>
        <v>0</v>
      </c>
      <c r="AU253" s="137" t="str">
        <f t="shared" si="255"/>
        <v>0</v>
      </c>
      <c r="AV253" s="137" t="str">
        <f t="shared" si="256"/>
        <v>0</v>
      </c>
      <c r="AW253" s="137" t="str">
        <f t="shared" si="257"/>
        <v>0</v>
      </c>
      <c r="AX253" s="137" t="str">
        <f t="shared" si="258"/>
        <v>0</v>
      </c>
      <c r="AY253" s="137" t="str">
        <f t="shared" si="259"/>
        <v>0</v>
      </c>
      <c r="AZ253" s="137" t="str">
        <f t="shared" si="260"/>
        <v>0</v>
      </c>
      <c r="BA253" s="137" t="str">
        <f t="shared" si="261"/>
        <v>0</v>
      </c>
      <c r="BB253" s="137" t="str">
        <f t="shared" si="262"/>
        <v>0</v>
      </c>
      <c r="BC253" s="137" t="str">
        <f t="shared" si="263"/>
        <v>0</v>
      </c>
      <c r="BD253" s="131">
        <f t="shared" si="264"/>
        <v>0</v>
      </c>
    </row>
    <row r="254" spans="2:56" ht="15" customHeight="1" x14ac:dyDescent="0.25">
      <c r="B254" s="127">
        <v>8203181</v>
      </c>
      <c r="C254" s="128" t="s">
        <v>17</v>
      </c>
      <c r="D254" s="128" t="s">
        <v>407</v>
      </c>
      <c r="E254" s="129" t="s">
        <v>709</v>
      </c>
      <c r="F254" s="274"/>
      <c r="G254" s="130">
        <f>+SUMIFS(TablaIngresos[Cantidad],TablaIngresos[Código],'Inventario '!B254)</f>
        <v>0</v>
      </c>
      <c r="H254" s="130">
        <f t="shared" si="235"/>
        <v>0</v>
      </c>
      <c r="I254" s="131">
        <f>SUMIFS(TablaConsumos[[CANTIDAD ]:[CANTIDAD ]],TablaConsumos[[CÓDIGO]:[CÓDIGO]],'Inventario '!$B254,TablaConsumos[[Planta]:[Planta]],'Inventario '!I$1)</f>
        <v>0</v>
      </c>
      <c r="J254" s="131">
        <f>SUMIFS(TablaConsumos[[CANTIDAD ]:[CANTIDAD ]],TablaConsumos[[CÓDIGO]:[CÓDIGO]],'Inventario '!$B254,TablaConsumos[[Planta]:[Planta]],'Inventario '!J$1)</f>
        <v>0</v>
      </c>
      <c r="K254" s="131">
        <f>SUMIFS(TablaConsumos[[CANTIDAD ]:[CANTIDAD ]],TablaConsumos[[CÓDIGO]:[CÓDIGO]],'Inventario '!$B254,TablaConsumos[[Planta]:[Planta]],'Inventario '!K$1)</f>
        <v>0</v>
      </c>
      <c r="L254" s="131">
        <f>SUMIFS(TablaConsumos[[CANTIDAD ]:[CANTIDAD ]],TablaConsumos[[CÓDIGO]:[CÓDIGO]],'Inventario '!$B254,TablaConsumos[[Planta]:[Planta]],'Inventario '!L$1)</f>
        <v>0</v>
      </c>
      <c r="M254" s="131">
        <f>SUMIFS(TablaConsumos[[CANTIDAD ]:[CANTIDAD ]],TablaConsumos[[CÓDIGO]:[CÓDIGO]],'Inventario '!$B254,TablaConsumos[[Planta]:[Planta]],'Inventario '!M$1)</f>
        <v>0</v>
      </c>
      <c r="N254" s="131">
        <f>SUMIFS(TablaConsumos[[CANTIDAD ]:[CANTIDAD ]],TablaConsumos[[CÓDIGO]:[CÓDIGO]],'Inventario '!$B254,TablaConsumos[[Planta]:[Planta]],'Inventario '!N$1)</f>
        <v>0</v>
      </c>
      <c r="O254" s="131">
        <f>SUMIFS(TablaConsumos[[CANTIDAD ]:[CANTIDAD ]],TablaConsumos[[CÓDIGO]:[CÓDIGO]],'Inventario '!$B254,TablaConsumos[[Planta]:[Planta]],'Inventario '!O$1)</f>
        <v>0</v>
      </c>
      <c r="P254" s="131">
        <f>SUMIFS(TablaConsumos[[CANTIDAD ]:[CANTIDAD ]],TablaConsumos[[CÓDIGO]:[CÓDIGO]],'Inventario '!$B254,TablaConsumos[[Planta]:[Planta]],'Inventario '!P$1)</f>
        <v>0</v>
      </c>
      <c r="Q254" s="131">
        <f>SUMIFS(TablaConsumos[[CANTIDAD ]:[CANTIDAD ]],TablaConsumos[[CÓDIGO]:[CÓDIGO]],'Inventario '!$B254,TablaConsumos[[Planta]:[Planta]],'Inventario '!Q$1)</f>
        <v>0</v>
      </c>
      <c r="R254" s="131">
        <f>SUMIFS(TablaConsumos[[CANTIDAD ]:[CANTIDAD ]],TablaConsumos[[CÓDIGO]:[CÓDIGO]],'Inventario '!$B254,TablaConsumos[[Planta]:[Planta]],'Inventario '!R$1)</f>
        <v>0</v>
      </c>
      <c r="S254" s="130">
        <f t="shared" si="236"/>
        <v>0</v>
      </c>
      <c r="T254" s="130">
        <f t="shared" si="237"/>
        <v>0</v>
      </c>
      <c r="U254" s="132"/>
      <c r="V254" s="130"/>
      <c r="W254" s="177">
        <v>1</v>
      </c>
      <c r="X254" s="132">
        <f t="shared" si="238"/>
        <v>0</v>
      </c>
      <c r="Y254" s="130">
        <f t="shared" si="239"/>
        <v>0</v>
      </c>
      <c r="Z254" s="132"/>
      <c r="AA254" s="132">
        <f t="shared" si="240"/>
        <v>0</v>
      </c>
      <c r="AB254" s="132"/>
      <c r="AC254" s="131">
        <f t="shared" si="241"/>
        <v>0</v>
      </c>
      <c r="AD254" s="131"/>
      <c r="AE254" s="130"/>
      <c r="AF254" s="130"/>
      <c r="AG254" s="168"/>
      <c r="AH254" s="134">
        <f t="shared" si="242"/>
        <v>0</v>
      </c>
      <c r="AI254" s="134">
        <f t="shared" si="243"/>
        <v>0</v>
      </c>
      <c r="AJ254" s="134">
        <f t="shared" si="244"/>
        <v>0</v>
      </c>
      <c r="AK254" s="134">
        <f t="shared" si="245"/>
        <v>0</v>
      </c>
      <c r="AL254" s="134">
        <f t="shared" si="246"/>
        <v>0</v>
      </c>
      <c r="AM254" s="134">
        <f t="shared" si="247"/>
        <v>0</v>
      </c>
      <c r="AN254" s="134">
        <f t="shared" si="248"/>
        <v>0</v>
      </c>
      <c r="AO254" s="134">
        <f t="shared" si="249"/>
        <v>0</v>
      </c>
      <c r="AP254" s="134">
        <f t="shared" si="250"/>
        <v>0</v>
      </c>
      <c r="AQ254" s="134">
        <f t="shared" si="251"/>
        <v>0</v>
      </c>
      <c r="AR254" s="134">
        <f t="shared" si="252"/>
        <v>0</v>
      </c>
      <c r="AS254" s="135">
        <f t="shared" si="253"/>
        <v>0</v>
      </c>
      <c r="AT254" s="137" t="str">
        <f t="shared" si="254"/>
        <v>0</v>
      </c>
      <c r="AU254" s="137" t="str">
        <f t="shared" si="255"/>
        <v>0</v>
      </c>
      <c r="AV254" s="137" t="str">
        <f t="shared" si="256"/>
        <v>0</v>
      </c>
      <c r="AW254" s="137" t="str">
        <f t="shared" si="257"/>
        <v>0</v>
      </c>
      <c r="AX254" s="137" t="str">
        <f t="shared" si="258"/>
        <v>0</v>
      </c>
      <c r="AY254" s="137" t="str">
        <f t="shared" si="259"/>
        <v>0</v>
      </c>
      <c r="AZ254" s="137" t="str">
        <f t="shared" si="260"/>
        <v>0</v>
      </c>
      <c r="BA254" s="137" t="str">
        <f t="shared" si="261"/>
        <v>0</v>
      </c>
      <c r="BB254" s="137" t="str">
        <f t="shared" si="262"/>
        <v>0</v>
      </c>
      <c r="BC254" s="137" t="str">
        <f t="shared" si="263"/>
        <v>0</v>
      </c>
      <c r="BD254" s="131">
        <f t="shared" si="264"/>
        <v>0</v>
      </c>
    </row>
    <row r="255" spans="2:56" ht="15" customHeight="1" x14ac:dyDescent="0.25">
      <c r="B255" s="127">
        <v>8203183</v>
      </c>
      <c r="C255" s="128" t="s">
        <v>17</v>
      </c>
      <c r="D255" s="128" t="s">
        <v>407</v>
      </c>
      <c r="E255" s="129" t="s">
        <v>722</v>
      </c>
      <c r="F255" s="274"/>
      <c r="G255" s="130">
        <f>+SUMIFS(TablaIngresos[Cantidad],TablaIngresos[Código],'Inventario '!B255)</f>
        <v>0</v>
      </c>
      <c r="H255" s="130">
        <f t="shared" ref="H255:H276" si="265">+F255+G255</f>
        <v>0</v>
      </c>
      <c r="I255" s="131">
        <f>SUMIFS(TablaConsumos[[CANTIDAD ]:[CANTIDAD ]],TablaConsumos[[CÓDIGO]:[CÓDIGO]],'Inventario '!$B255,TablaConsumos[[Planta]:[Planta]],'Inventario '!I$1)</f>
        <v>0</v>
      </c>
      <c r="J255" s="131">
        <f>SUMIFS(TablaConsumos[[CANTIDAD ]:[CANTIDAD ]],TablaConsumos[[CÓDIGO]:[CÓDIGO]],'Inventario '!$B255,TablaConsumos[[Planta]:[Planta]],'Inventario '!J$1)</f>
        <v>0</v>
      </c>
      <c r="K255" s="131">
        <f>SUMIFS(TablaConsumos[[CANTIDAD ]:[CANTIDAD ]],TablaConsumos[[CÓDIGO]:[CÓDIGO]],'Inventario '!$B255,TablaConsumos[[Planta]:[Planta]],'Inventario '!K$1)</f>
        <v>0</v>
      </c>
      <c r="L255" s="131">
        <f>SUMIFS(TablaConsumos[[CANTIDAD ]:[CANTIDAD ]],TablaConsumos[[CÓDIGO]:[CÓDIGO]],'Inventario '!$B255,TablaConsumos[[Planta]:[Planta]],'Inventario '!L$1)</f>
        <v>0</v>
      </c>
      <c r="M255" s="131">
        <f>SUMIFS(TablaConsumos[[CANTIDAD ]:[CANTIDAD ]],TablaConsumos[[CÓDIGO]:[CÓDIGO]],'Inventario '!$B255,TablaConsumos[[Planta]:[Planta]],'Inventario '!M$1)</f>
        <v>0</v>
      </c>
      <c r="N255" s="131">
        <f>SUMIFS(TablaConsumos[[CANTIDAD ]:[CANTIDAD ]],TablaConsumos[[CÓDIGO]:[CÓDIGO]],'Inventario '!$B255,TablaConsumos[[Planta]:[Planta]],'Inventario '!N$1)</f>
        <v>0</v>
      </c>
      <c r="O255" s="131">
        <f>SUMIFS(TablaConsumos[[CANTIDAD ]:[CANTIDAD ]],TablaConsumos[[CÓDIGO]:[CÓDIGO]],'Inventario '!$B255,TablaConsumos[[Planta]:[Planta]],'Inventario '!O$1)</f>
        <v>0</v>
      </c>
      <c r="P255" s="131">
        <f>SUMIFS(TablaConsumos[[CANTIDAD ]:[CANTIDAD ]],TablaConsumos[[CÓDIGO]:[CÓDIGO]],'Inventario '!$B255,TablaConsumos[[Planta]:[Planta]],'Inventario '!P$1)</f>
        <v>0</v>
      </c>
      <c r="Q255" s="131">
        <f>SUMIFS(TablaConsumos[[CANTIDAD ]:[CANTIDAD ]],TablaConsumos[[CÓDIGO]:[CÓDIGO]],'Inventario '!$B255,TablaConsumos[[Planta]:[Planta]],'Inventario '!Q$1)</f>
        <v>0</v>
      </c>
      <c r="R255" s="131">
        <f>SUMIFS(TablaConsumos[[CANTIDAD ]:[CANTIDAD ]],TablaConsumos[[CÓDIGO]:[CÓDIGO]],'Inventario '!$B255,TablaConsumos[[Planta]:[Planta]],'Inventario '!R$1)</f>
        <v>0</v>
      </c>
      <c r="S255" s="130">
        <f t="shared" ref="S255:S276" si="266">+SUM(I255:R255)</f>
        <v>0</v>
      </c>
      <c r="T255" s="130">
        <f t="shared" ref="T255:T276" si="267">+H255-S255</f>
        <v>0</v>
      </c>
      <c r="U255" s="132"/>
      <c r="V255" s="130"/>
      <c r="W255" s="177">
        <v>1</v>
      </c>
      <c r="X255" s="132">
        <f t="shared" ref="X255:X276" si="268">+U255*W255</f>
        <v>0</v>
      </c>
      <c r="Y255" s="130">
        <f t="shared" ref="Y255:Y276" si="269">+T255-X255</f>
        <v>0</v>
      </c>
      <c r="Z255" s="132"/>
      <c r="AA255" s="132">
        <f t="shared" ref="AA255:AA286" si="270">(Z255-X255)</f>
        <v>0</v>
      </c>
      <c r="AB255" s="132"/>
      <c r="AC255" s="131">
        <f t="shared" ref="AC255:AC286" si="271">+Z255-AA255</f>
        <v>0</v>
      </c>
      <c r="AD255" s="131"/>
      <c r="AE255" s="130"/>
      <c r="AF255" s="130"/>
      <c r="AG255" s="168"/>
      <c r="AH255" s="134">
        <f t="shared" ref="AH255:AH286" si="272">+IF(S255=0,0,AF255/S255)</f>
        <v>0</v>
      </c>
      <c r="AI255" s="134">
        <f t="shared" ref="AI255:AI286" si="273">+IF(I255=0,0,I255/$S255)</f>
        <v>0</v>
      </c>
      <c r="AJ255" s="134">
        <f t="shared" ref="AJ255:AJ286" si="274">+IF(J255=0,0,J255/$S255)</f>
        <v>0</v>
      </c>
      <c r="AK255" s="134">
        <f t="shared" ref="AK255:AK286" si="275">+IF(K255=0,0,K255/$S255)</f>
        <v>0</v>
      </c>
      <c r="AL255" s="134">
        <f t="shared" ref="AL255:AL286" si="276">+IF(L255=0,0,L255/$S255)</f>
        <v>0</v>
      </c>
      <c r="AM255" s="134">
        <f t="shared" ref="AM255:AM286" si="277">+IF(M255=0,0,M255/$S255)</f>
        <v>0</v>
      </c>
      <c r="AN255" s="134">
        <f t="shared" ref="AN255:AN286" si="278">+IF(N255=0,0,N255/$S255)</f>
        <v>0</v>
      </c>
      <c r="AO255" s="134">
        <f t="shared" ref="AO255:AO286" si="279">+IF(O255=0,0,O255/$S255)</f>
        <v>0</v>
      </c>
      <c r="AP255" s="134">
        <f t="shared" ref="AP255:AP286" si="280">+IF(P255=0,0,P255/$S255)</f>
        <v>0</v>
      </c>
      <c r="AQ255" s="134">
        <f t="shared" ref="AQ255:AQ286" si="281">+IF(Q255=0,0,Q255/$S255)</f>
        <v>0</v>
      </c>
      <c r="AR255" s="134">
        <f t="shared" ref="AR255:AR286" si="282">+IF(R255=0,0,R255/$S255)</f>
        <v>0</v>
      </c>
      <c r="AS255" s="135">
        <f t="shared" ref="AS255:AS276" si="283">+SUM(AI255:AR255)</f>
        <v>0</v>
      </c>
      <c r="AT255" s="137" t="str">
        <f t="shared" ref="AT255:AT286" si="284">+IF(I255=-I255,"0",I255+$Y255*AI255)</f>
        <v>0</v>
      </c>
      <c r="AU255" s="137" t="str">
        <f t="shared" ref="AU255:AU286" si="285">+IF(J255=-J255,"0",J255+$Y255*AJ255)</f>
        <v>0</v>
      </c>
      <c r="AV255" s="137" t="str">
        <f t="shared" ref="AV255:AV286" si="286">+IF(K255=-K255,"0",K255+$Y255*AK255)</f>
        <v>0</v>
      </c>
      <c r="AW255" s="137" t="str">
        <f t="shared" ref="AW255:AW286" si="287">+IF(L255=-L255,"0",L255+$Y255*AL255)</f>
        <v>0</v>
      </c>
      <c r="AX255" s="137" t="str">
        <f t="shared" ref="AX255:AX286" si="288">+IF(M255=-M255,"0",M255+$Y255*AM255)</f>
        <v>0</v>
      </c>
      <c r="AY255" s="137" t="str">
        <f t="shared" ref="AY255:AY286" si="289">+IF(N255=-N255,"0",N255+$Y255*AN255)</f>
        <v>0</v>
      </c>
      <c r="AZ255" s="137" t="str">
        <f t="shared" ref="AZ255:AZ286" si="290">+IF(O255=-O255,"0",O255+$Y255*AO255)</f>
        <v>0</v>
      </c>
      <c r="BA255" s="137" t="str">
        <f t="shared" ref="BA255:BA286" si="291">+IF(P255=-P255,"0",P255+$Y255*AP255)</f>
        <v>0</v>
      </c>
      <c r="BB255" s="137" t="str">
        <f t="shared" ref="BB255:BB286" si="292">+IF(Q255=-Q255,"0",Q255+$Y255*AQ255)</f>
        <v>0</v>
      </c>
      <c r="BC255" s="137" t="str">
        <f t="shared" ref="BC255:BC286" si="293">+IF(R255=-R255,"0",R255+$Y255*AR255)</f>
        <v>0</v>
      </c>
      <c r="BD255" s="131">
        <f t="shared" ref="BD255:BD276" si="294">+SUM(AT255:BC255)</f>
        <v>0</v>
      </c>
    </row>
    <row r="256" spans="2:56" ht="15" customHeight="1" x14ac:dyDescent="0.25">
      <c r="B256" s="127">
        <v>8203180</v>
      </c>
      <c r="C256" s="128" t="s">
        <v>17</v>
      </c>
      <c r="D256" s="128" t="s">
        <v>407</v>
      </c>
      <c r="E256" s="129" t="s">
        <v>710</v>
      </c>
      <c r="F256" s="274"/>
      <c r="G256" s="130">
        <f>+SUMIFS(TablaIngresos[Cantidad],TablaIngresos[Código],'Inventario '!B256)</f>
        <v>0</v>
      </c>
      <c r="H256" s="130">
        <f t="shared" si="265"/>
        <v>0</v>
      </c>
      <c r="I256" s="131">
        <f>SUMIFS(TablaConsumos[[CANTIDAD ]:[CANTIDAD ]],TablaConsumos[[CÓDIGO]:[CÓDIGO]],'Inventario '!$B256,TablaConsumos[[Planta]:[Planta]],'Inventario '!I$1)</f>
        <v>0</v>
      </c>
      <c r="J256" s="131">
        <f>SUMIFS(TablaConsumos[[CANTIDAD ]:[CANTIDAD ]],TablaConsumos[[CÓDIGO]:[CÓDIGO]],'Inventario '!$B256,TablaConsumos[[Planta]:[Planta]],'Inventario '!J$1)</f>
        <v>0</v>
      </c>
      <c r="K256" s="131">
        <f>SUMIFS(TablaConsumos[[CANTIDAD ]:[CANTIDAD ]],TablaConsumos[[CÓDIGO]:[CÓDIGO]],'Inventario '!$B256,TablaConsumos[[Planta]:[Planta]],'Inventario '!K$1)</f>
        <v>0</v>
      </c>
      <c r="L256" s="131">
        <f>SUMIFS(TablaConsumos[[CANTIDAD ]:[CANTIDAD ]],TablaConsumos[[CÓDIGO]:[CÓDIGO]],'Inventario '!$B256,TablaConsumos[[Planta]:[Planta]],'Inventario '!L$1)</f>
        <v>0</v>
      </c>
      <c r="M256" s="131">
        <f>SUMIFS(TablaConsumos[[CANTIDAD ]:[CANTIDAD ]],TablaConsumos[[CÓDIGO]:[CÓDIGO]],'Inventario '!$B256,TablaConsumos[[Planta]:[Planta]],'Inventario '!M$1)</f>
        <v>0</v>
      </c>
      <c r="N256" s="131">
        <f>SUMIFS(TablaConsumos[[CANTIDAD ]:[CANTIDAD ]],TablaConsumos[[CÓDIGO]:[CÓDIGO]],'Inventario '!$B256,TablaConsumos[[Planta]:[Planta]],'Inventario '!N$1)</f>
        <v>0</v>
      </c>
      <c r="O256" s="131">
        <f>SUMIFS(TablaConsumos[[CANTIDAD ]:[CANTIDAD ]],TablaConsumos[[CÓDIGO]:[CÓDIGO]],'Inventario '!$B256,TablaConsumos[[Planta]:[Planta]],'Inventario '!O$1)</f>
        <v>0</v>
      </c>
      <c r="P256" s="131">
        <f>SUMIFS(TablaConsumos[[CANTIDAD ]:[CANTIDAD ]],TablaConsumos[[CÓDIGO]:[CÓDIGO]],'Inventario '!$B256,TablaConsumos[[Planta]:[Planta]],'Inventario '!P$1)</f>
        <v>0</v>
      </c>
      <c r="Q256" s="131">
        <f>SUMIFS(TablaConsumos[[CANTIDAD ]:[CANTIDAD ]],TablaConsumos[[CÓDIGO]:[CÓDIGO]],'Inventario '!$B256,TablaConsumos[[Planta]:[Planta]],'Inventario '!Q$1)</f>
        <v>0</v>
      </c>
      <c r="R256" s="131">
        <f>SUMIFS(TablaConsumos[[CANTIDAD ]:[CANTIDAD ]],TablaConsumos[[CÓDIGO]:[CÓDIGO]],'Inventario '!$B256,TablaConsumos[[Planta]:[Planta]],'Inventario '!R$1)</f>
        <v>0</v>
      </c>
      <c r="S256" s="130">
        <f t="shared" si="266"/>
        <v>0</v>
      </c>
      <c r="T256" s="130">
        <f t="shared" si="267"/>
        <v>0</v>
      </c>
      <c r="U256" s="132"/>
      <c r="V256" s="130"/>
      <c r="W256" s="177">
        <v>1</v>
      </c>
      <c r="X256" s="132">
        <f t="shared" si="268"/>
        <v>0</v>
      </c>
      <c r="Y256" s="130">
        <f t="shared" si="269"/>
        <v>0</v>
      </c>
      <c r="Z256" s="132"/>
      <c r="AA256" s="132">
        <f t="shared" si="270"/>
        <v>0</v>
      </c>
      <c r="AB256" s="132"/>
      <c r="AC256" s="131">
        <f t="shared" si="271"/>
        <v>0</v>
      </c>
      <c r="AD256" s="131"/>
      <c r="AE256" s="130"/>
      <c r="AF256" s="130"/>
      <c r="AG256" s="168"/>
      <c r="AH256" s="134">
        <f t="shared" si="272"/>
        <v>0</v>
      </c>
      <c r="AI256" s="134">
        <f t="shared" si="273"/>
        <v>0</v>
      </c>
      <c r="AJ256" s="134">
        <f t="shared" si="274"/>
        <v>0</v>
      </c>
      <c r="AK256" s="134">
        <f t="shared" si="275"/>
        <v>0</v>
      </c>
      <c r="AL256" s="134">
        <f t="shared" si="276"/>
        <v>0</v>
      </c>
      <c r="AM256" s="134">
        <f t="shared" si="277"/>
        <v>0</v>
      </c>
      <c r="AN256" s="134">
        <f t="shared" si="278"/>
        <v>0</v>
      </c>
      <c r="AO256" s="134">
        <f t="shared" si="279"/>
        <v>0</v>
      </c>
      <c r="AP256" s="134">
        <f t="shared" si="280"/>
        <v>0</v>
      </c>
      <c r="AQ256" s="134">
        <f t="shared" si="281"/>
        <v>0</v>
      </c>
      <c r="AR256" s="134">
        <f t="shared" si="282"/>
        <v>0</v>
      </c>
      <c r="AS256" s="135">
        <f t="shared" si="283"/>
        <v>0</v>
      </c>
      <c r="AT256" s="137" t="str">
        <f t="shared" si="284"/>
        <v>0</v>
      </c>
      <c r="AU256" s="137" t="str">
        <f t="shared" si="285"/>
        <v>0</v>
      </c>
      <c r="AV256" s="137" t="str">
        <f t="shared" si="286"/>
        <v>0</v>
      </c>
      <c r="AW256" s="137" t="str">
        <f t="shared" si="287"/>
        <v>0</v>
      </c>
      <c r="AX256" s="137" t="str">
        <f t="shared" si="288"/>
        <v>0</v>
      </c>
      <c r="AY256" s="137" t="str">
        <f t="shared" si="289"/>
        <v>0</v>
      </c>
      <c r="AZ256" s="137" t="str">
        <f t="shared" si="290"/>
        <v>0</v>
      </c>
      <c r="BA256" s="137" t="str">
        <f t="shared" si="291"/>
        <v>0</v>
      </c>
      <c r="BB256" s="137" t="str">
        <f t="shared" si="292"/>
        <v>0</v>
      </c>
      <c r="BC256" s="137" t="str">
        <f t="shared" si="293"/>
        <v>0</v>
      </c>
      <c r="BD256" s="131">
        <f t="shared" si="294"/>
        <v>0</v>
      </c>
    </row>
    <row r="257" spans="2:56" ht="15" customHeight="1" x14ac:dyDescent="0.25">
      <c r="B257" s="127">
        <v>8203170</v>
      </c>
      <c r="C257" s="128" t="s">
        <v>17</v>
      </c>
      <c r="D257" s="128">
        <v>0</v>
      </c>
      <c r="E257" s="129" t="s">
        <v>711</v>
      </c>
      <c r="F257" s="274"/>
      <c r="G257" s="130">
        <f>+SUMIFS(TablaIngresos[Cantidad],TablaIngresos[Código],'Inventario '!B257)</f>
        <v>0</v>
      </c>
      <c r="H257" s="130">
        <f t="shared" si="265"/>
        <v>0</v>
      </c>
      <c r="I257" s="131">
        <f>SUMIFS(TablaConsumos[[CANTIDAD ]:[CANTIDAD ]],TablaConsumos[[CÓDIGO]:[CÓDIGO]],'Inventario '!$B257,TablaConsumos[[Planta]:[Planta]],'Inventario '!I$1)</f>
        <v>0</v>
      </c>
      <c r="J257" s="131">
        <f>SUMIFS(TablaConsumos[[CANTIDAD ]:[CANTIDAD ]],TablaConsumos[[CÓDIGO]:[CÓDIGO]],'Inventario '!$B257,TablaConsumos[[Planta]:[Planta]],'Inventario '!J$1)</f>
        <v>0</v>
      </c>
      <c r="K257" s="131">
        <f>SUMIFS(TablaConsumos[[CANTIDAD ]:[CANTIDAD ]],TablaConsumos[[CÓDIGO]:[CÓDIGO]],'Inventario '!$B257,TablaConsumos[[Planta]:[Planta]],'Inventario '!K$1)</f>
        <v>0</v>
      </c>
      <c r="L257" s="131">
        <f>SUMIFS(TablaConsumos[[CANTIDAD ]:[CANTIDAD ]],TablaConsumos[[CÓDIGO]:[CÓDIGO]],'Inventario '!$B257,TablaConsumos[[Planta]:[Planta]],'Inventario '!L$1)</f>
        <v>0</v>
      </c>
      <c r="M257" s="131">
        <f>SUMIFS(TablaConsumos[[CANTIDAD ]:[CANTIDAD ]],TablaConsumos[[CÓDIGO]:[CÓDIGO]],'Inventario '!$B257,TablaConsumos[[Planta]:[Planta]],'Inventario '!M$1)</f>
        <v>0</v>
      </c>
      <c r="N257" s="131">
        <f>SUMIFS(TablaConsumos[[CANTIDAD ]:[CANTIDAD ]],TablaConsumos[[CÓDIGO]:[CÓDIGO]],'Inventario '!$B257,TablaConsumos[[Planta]:[Planta]],'Inventario '!N$1)</f>
        <v>0</v>
      </c>
      <c r="O257" s="131">
        <f>SUMIFS(TablaConsumos[[CANTIDAD ]:[CANTIDAD ]],TablaConsumos[[CÓDIGO]:[CÓDIGO]],'Inventario '!$B257,TablaConsumos[[Planta]:[Planta]],'Inventario '!O$1)</f>
        <v>0</v>
      </c>
      <c r="P257" s="131">
        <f>SUMIFS(TablaConsumos[[CANTIDAD ]:[CANTIDAD ]],TablaConsumos[[CÓDIGO]:[CÓDIGO]],'Inventario '!$B257,TablaConsumos[[Planta]:[Planta]],'Inventario '!P$1)</f>
        <v>0</v>
      </c>
      <c r="Q257" s="131">
        <f>SUMIFS(TablaConsumos[[CANTIDAD ]:[CANTIDAD ]],TablaConsumos[[CÓDIGO]:[CÓDIGO]],'Inventario '!$B257,TablaConsumos[[Planta]:[Planta]],'Inventario '!Q$1)</f>
        <v>0</v>
      </c>
      <c r="R257" s="131">
        <f>SUMIFS(TablaConsumos[[CANTIDAD ]:[CANTIDAD ]],TablaConsumos[[CÓDIGO]:[CÓDIGO]],'Inventario '!$B257,TablaConsumos[[Planta]:[Planta]],'Inventario '!R$1)</f>
        <v>0</v>
      </c>
      <c r="S257" s="130">
        <f t="shared" si="266"/>
        <v>0</v>
      </c>
      <c r="T257" s="130">
        <f t="shared" si="267"/>
        <v>0</v>
      </c>
      <c r="U257" s="132"/>
      <c r="V257" s="130"/>
      <c r="W257" s="177">
        <v>1</v>
      </c>
      <c r="X257" s="132">
        <f t="shared" si="268"/>
        <v>0</v>
      </c>
      <c r="Y257" s="130">
        <f t="shared" si="269"/>
        <v>0</v>
      </c>
      <c r="Z257" s="132"/>
      <c r="AA257" s="132">
        <f t="shared" si="270"/>
        <v>0</v>
      </c>
      <c r="AB257" s="132"/>
      <c r="AC257" s="131">
        <f t="shared" si="271"/>
        <v>0</v>
      </c>
      <c r="AD257" s="131"/>
      <c r="AE257" s="130"/>
      <c r="AF257" s="130"/>
      <c r="AG257" s="168"/>
      <c r="AH257" s="134">
        <f t="shared" si="272"/>
        <v>0</v>
      </c>
      <c r="AI257" s="134">
        <f t="shared" si="273"/>
        <v>0</v>
      </c>
      <c r="AJ257" s="134">
        <f t="shared" si="274"/>
        <v>0</v>
      </c>
      <c r="AK257" s="134">
        <f t="shared" si="275"/>
        <v>0</v>
      </c>
      <c r="AL257" s="134">
        <f t="shared" si="276"/>
        <v>0</v>
      </c>
      <c r="AM257" s="134">
        <f t="shared" si="277"/>
        <v>0</v>
      </c>
      <c r="AN257" s="134">
        <f t="shared" si="278"/>
        <v>0</v>
      </c>
      <c r="AO257" s="134">
        <f t="shared" si="279"/>
        <v>0</v>
      </c>
      <c r="AP257" s="134">
        <f t="shared" si="280"/>
        <v>0</v>
      </c>
      <c r="AQ257" s="134">
        <f t="shared" si="281"/>
        <v>0</v>
      </c>
      <c r="AR257" s="134">
        <f t="shared" si="282"/>
        <v>0</v>
      </c>
      <c r="AS257" s="135">
        <f t="shared" si="283"/>
        <v>0</v>
      </c>
      <c r="AT257" s="137" t="str">
        <f t="shared" si="284"/>
        <v>0</v>
      </c>
      <c r="AU257" s="137" t="str">
        <f t="shared" si="285"/>
        <v>0</v>
      </c>
      <c r="AV257" s="137" t="str">
        <f t="shared" si="286"/>
        <v>0</v>
      </c>
      <c r="AW257" s="137" t="str">
        <f t="shared" si="287"/>
        <v>0</v>
      </c>
      <c r="AX257" s="137" t="str">
        <f t="shared" si="288"/>
        <v>0</v>
      </c>
      <c r="AY257" s="137" t="str">
        <f t="shared" si="289"/>
        <v>0</v>
      </c>
      <c r="AZ257" s="137" t="str">
        <f t="shared" si="290"/>
        <v>0</v>
      </c>
      <c r="BA257" s="137" t="str">
        <f t="shared" si="291"/>
        <v>0</v>
      </c>
      <c r="BB257" s="137" t="str">
        <f t="shared" si="292"/>
        <v>0</v>
      </c>
      <c r="BC257" s="137" t="str">
        <f t="shared" si="293"/>
        <v>0</v>
      </c>
      <c r="BD257" s="131">
        <f t="shared" si="294"/>
        <v>0</v>
      </c>
    </row>
    <row r="258" spans="2:56" ht="15" customHeight="1" x14ac:dyDescent="0.25">
      <c r="B258" s="127">
        <v>8202490</v>
      </c>
      <c r="C258" s="128" t="s">
        <v>17</v>
      </c>
      <c r="D258" s="128" t="s">
        <v>800</v>
      </c>
      <c r="E258" s="129" t="s">
        <v>505</v>
      </c>
      <c r="F258" s="274"/>
      <c r="G258" s="130">
        <f>+SUMIFS(TablaIngresos[Cantidad],TablaIngresos[Código],'Inventario '!B258)</f>
        <v>0</v>
      </c>
      <c r="H258" s="130">
        <f t="shared" si="265"/>
        <v>0</v>
      </c>
      <c r="I258" s="131">
        <f>SUMIFS(TablaConsumos[[CANTIDAD ]:[CANTIDAD ]],TablaConsumos[[CÓDIGO]:[CÓDIGO]],'Inventario '!$B258,TablaConsumos[[Planta]:[Planta]],'Inventario '!I$1)</f>
        <v>0</v>
      </c>
      <c r="J258" s="131">
        <f>SUMIFS(TablaConsumos[[CANTIDAD ]:[CANTIDAD ]],TablaConsumos[[CÓDIGO]:[CÓDIGO]],'Inventario '!$B258,TablaConsumos[[Planta]:[Planta]],'Inventario '!J$1)</f>
        <v>0</v>
      </c>
      <c r="K258" s="131">
        <f>SUMIFS(TablaConsumos[[CANTIDAD ]:[CANTIDAD ]],TablaConsumos[[CÓDIGO]:[CÓDIGO]],'Inventario '!$B258,TablaConsumos[[Planta]:[Planta]],'Inventario '!K$1)</f>
        <v>0</v>
      </c>
      <c r="L258" s="131">
        <f>SUMIFS(TablaConsumos[[CANTIDAD ]:[CANTIDAD ]],TablaConsumos[[CÓDIGO]:[CÓDIGO]],'Inventario '!$B258,TablaConsumos[[Planta]:[Planta]],'Inventario '!L$1)</f>
        <v>0</v>
      </c>
      <c r="M258" s="131">
        <f>SUMIFS(TablaConsumos[[CANTIDAD ]:[CANTIDAD ]],TablaConsumos[[CÓDIGO]:[CÓDIGO]],'Inventario '!$B258,TablaConsumos[[Planta]:[Planta]],'Inventario '!M$1)</f>
        <v>0</v>
      </c>
      <c r="N258" s="131">
        <f>SUMIFS(TablaConsumos[[CANTIDAD ]:[CANTIDAD ]],TablaConsumos[[CÓDIGO]:[CÓDIGO]],'Inventario '!$B258,TablaConsumos[[Planta]:[Planta]],'Inventario '!N$1)</f>
        <v>0</v>
      </c>
      <c r="O258" s="131">
        <f>SUMIFS(TablaConsumos[[CANTIDAD ]:[CANTIDAD ]],TablaConsumos[[CÓDIGO]:[CÓDIGO]],'Inventario '!$B258,TablaConsumos[[Planta]:[Planta]],'Inventario '!O$1)</f>
        <v>0</v>
      </c>
      <c r="P258" s="131">
        <f>SUMIFS(TablaConsumos[[CANTIDAD ]:[CANTIDAD ]],TablaConsumos[[CÓDIGO]:[CÓDIGO]],'Inventario '!$B258,TablaConsumos[[Planta]:[Planta]],'Inventario '!P$1)</f>
        <v>0</v>
      </c>
      <c r="Q258" s="131">
        <f>SUMIFS(TablaConsumos[[CANTIDAD ]:[CANTIDAD ]],TablaConsumos[[CÓDIGO]:[CÓDIGO]],'Inventario '!$B258,TablaConsumos[[Planta]:[Planta]],'Inventario '!Q$1)</f>
        <v>0</v>
      </c>
      <c r="R258" s="131">
        <f>SUMIFS(TablaConsumos[[CANTIDAD ]:[CANTIDAD ]],TablaConsumos[[CÓDIGO]:[CÓDIGO]],'Inventario '!$B258,TablaConsumos[[Planta]:[Planta]],'Inventario '!R$1)</f>
        <v>0</v>
      </c>
      <c r="S258" s="130">
        <f t="shared" si="266"/>
        <v>0</v>
      </c>
      <c r="T258" s="130">
        <f t="shared" si="267"/>
        <v>0</v>
      </c>
      <c r="U258" s="132"/>
      <c r="V258" s="130"/>
      <c r="W258" s="177">
        <v>1</v>
      </c>
      <c r="X258" s="132">
        <f t="shared" si="268"/>
        <v>0</v>
      </c>
      <c r="Y258" s="130">
        <f t="shared" si="269"/>
        <v>0</v>
      </c>
      <c r="Z258" s="132"/>
      <c r="AA258" s="132">
        <f t="shared" si="270"/>
        <v>0</v>
      </c>
      <c r="AB258" s="132"/>
      <c r="AC258" s="131">
        <f t="shared" si="271"/>
        <v>0</v>
      </c>
      <c r="AD258" s="131"/>
      <c r="AE258" s="130"/>
      <c r="AF258" s="130"/>
      <c r="AG258" s="168"/>
      <c r="AH258" s="134">
        <f t="shared" si="272"/>
        <v>0</v>
      </c>
      <c r="AI258" s="134">
        <f t="shared" si="273"/>
        <v>0</v>
      </c>
      <c r="AJ258" s="134">
        <f t="shared" si="274"/>
        <v>0</v>
      </c>
      <c r="AK258" s="134">
        <f t="shared" si="275"/>
        <v>0</v>
      </c>
      <c r="AL258" s="134">
        <f t="shared" si="276"/>
        <v>0</v>
      </c>
      <c r="AM258" s="134">
        <f t="shared" si="277"/>
        <v>0</v>
      </c>
      <c r="AN258" s="134">
        <f t="shared" si="278"/>
        <v>0</v>
      </c>
      <c r="AO258" s="134">
        <f t="shared" si="279"/>
        <v>0</v>
      </c>
      <c r="AP258" s="134">
        <f t="shared" si="280"/>
        <v>0</v>
      </c>
      <c r="AQ258" s="134">
        <f t="shared" si="281"/>
        <v>0</v>
      </c>
      <c r="AR258" s="134">
        <f t="shared" si="282"/>
        <v>0</v>
      </c>
      <c r="AS258" s="135">
        <f t="shared" si="283"/>
        <v>0</v>
      </c>
      <c r="AT258" s="137" t="str">
        <f t="shared" si="284"/>
        <v>0</v>
      </c>
      <c r="AU258" s="137" t="str">
        <f t="shared" si="285"/>
        <v>0</v>
      </c>
      <c r="AV258" s="137" t="str">
        <f t="shared" si="286"/>
        <v>0</v>
      </c>
      <c r="AW258" s="137" t="str">
        <f t="shared" si="287"/>
        <v>0</v>
      </c>
      <c r="AX258" s="137" t="str">
        <f t="shared" si="288"/>
        <v>0</v>
      </c>
      <c r="AY258" s="137" t="str">
        <f t="shared" si="289"/>
        <v>0</v>
      </c>
      <c r="AZ258" s="137" t="str">
        <f t="shared" si="290"/>
        <v>0</v>
      </c>
      <c r="BA258" s="137" t="str">
        <f t="shared" si="291"/>
        <v>0</v>
      </c>
      <c r="BB258" s="137" t="str">
        <f t="shared" si="292"/>
        <v>0</v>
      </c>
      <c r="BC258" s="137" t="str">
        <f t="shared" si="293"/>
        <v>0</v>
      </c>
      <c r="BD258" s="131">
        <f t="shared" si="294"/>
        <v>0</v>
      </c>
    </row>
    <row r="259" spans="2:56" ht="15" customHeight="1" x14ac:dyDescent="0.25">
      <c r="B259" s="127">
        <v>8202491</v>
      </c>
      <c r="C259" s="128" t="s">
        <v>17</v>
      </c>
      <c r="D259" s="128" t="s">
        <v>800</v>
      </c>
      <c r="E259" s="129" t="s">
        <v>506</v>
      </c>
      <c r="F259" s="274"/>
      <c r="G259" s="130">
        <f>+SUMIFS(TablaIngresos[Cantidad],TablaIngresos[Código],'Inventario '!B259)</f>
        <v>0</v>
      </c>
      <c r="H259" s="130">
        <f t="shared" si="265"/>
        <v>0</v>
      </c>
      <c r="I259" s="131">
        <f>SUMIFS(TablaConsumos[[CANTIDAD ]:[CANTIDAD ]],TablaConsumos[[CÓDIGO]:[CÓDIGO]],'Inventario '!$B259,TablaConsumos[[Planta]:[Planta]],'Inventario '!I$1)</f>
        <v>0</v>
      </c>
      <c r="J259" s="131">
        <f>SUMIFS(TablaConsumos[[CANTIDAD ]:[CANTIDAD ]],TablaConsumos[[CÓDIGO]:[CÓDIGO]],'Inventario '!$B259,TablaConsumos[[Planta]:[Planta]],'Inventario '!J$1)</f>
        <v>0</v>
      </c>
      <c r="K259" s="131">
        <f>SUMIFS(TablaConsumos[[CANTIDAD ]:[CANTIDAD ]],TablaConsumos[[CÓDIGO]:[CÓDIGO]],'Inventario '!$B259,TablaConsumos[[Planta]:[Planta]],'Inventario '!K$1)</f>
        <v>0</v>
      </c>
      <c r="L259" s="131">
        <f>SUMIFS(TablaConsumos[[CANTIDAD ]:[CANTIDAD ]],TablaConsumos[[CÓDIGO]:[CÓDIGO]],'Inventario '!$B259,TablaConsumos[[Planta]:[Planta]],'Inventario '!L$1)</f>
        <v>0</v>
      </c>
      <c r="M259" s="131">
        <f>SUMIFS(TablaConsumos[[CANTIDAD ]:[CANTIDAD ]],TablaConsumos[[CÓDIGO]:[CÓDIGO]],'Inventario '!$B259,TablaConsumos[[Planta]:[Planta]],'Inventario '!M$1)</f>
        <v>0</v>
      </c>
      <c r="N259" s="131">
        <f>SUMIFS(TablaConsumos[[CANTIDAD ]:[CANTIDAD ]],TablaConsumos[[CÓDIGO]:[CÓDIGO]],'Inventario '!$B259,TablaConsumos[[Planta]:[Planta]],'Inventario '!N$1)</f>
        <v>0</v>
      </c>
      <c r="O259" s="131">
        <f>SUMIFS(TablaConsumos[[CANTIDAD ]:[CANTIDAD ]],TablaConsumos[[CÓDIGO]:[CÓDIGO]],'Inventario '!$B259,TablaConsumos[[Planta]:[Planta]],'Inventario '!O$1)</f>
        <v>0</v>
      </c>
      <c r="P259" s="131">
        <f>SUMIFS(TablaConsumos[[CANTIDAD ]:[CANTIDAD ]],TablaConsumos[[CÓDIGO]:[CÓDIGO]],'Inventario '!$B259,TablaConsumos[[Planta]:[Planta]],'Inventario '!P$1)</f>
        <v>0</v>
      </c>
      <c r="Q259" s="131">
        <f>SUMIFS(TablaConsumos[[CANTIDAD ]:[CANTIDAD ]],TablaConsumos[[CÓDIGO]:[CÓDIGO]],'Inventario '!$B259,TablaConsumos[[Planta]:[Planta]],'Inventario '!Q$1)</f>
        <v>0</v>
      </c>
      <c r="R259" s="131">
        <f>SUMIFS(TablaConsumos[[CANTIDAD ]:[CANTIDAD ]],TablaConsumos[[CÓDIGO]:[CÓDIGO]],'Inventario '!$B259,TablaConsumos[[Planta]:[Planta]],'Inventario '!R$1)</f>
        <v>0</v>
      </c>
      <c r="S259" s="130">
        <f t="shared" si="266"/>
        <v>0</v>
      </c>
      <c r="T259" s="130">
        <f t="shared" si="267"/>
        <v>0</v>
      </c>
      <c r="U259" s="132"/>
      <c r="V259" s="130"/>
      <c r="W259" s="177">
        <v>1</v>
      </c>
      <c r="X259" s="132">
        <f t="shared" si="268"/>
        <v>0</v>
      </c>
      <c r="Y259" s="130">
        <f t="shared" si="269"/>
        <v>0</v>
      </c>
      <c r="Z259" s="132"/>
      <c r="AA259" s="132">
        <f t="shared" si="270"/>
        <v>0</v>
      </c>
      <c r="AB259" s="132"/>
      <c r="AC259" s="131">
        <f t="shared" si="271"/>
        <v>0</v>
      </c>
      <c r="AD259" s="131"/>
      <c r="AE259" s="130"/>
      <c r="AF259" s="130"/>
      <c r="AG259" s="168"/>
      <c r="AH259" s="134">
        <f t="shared" si="272"/>
        <v>0</v>
      </c>
      <c r="AI259" s="134">
        <f t="shared" si="273"/>
        <v>0</v>
      </c>
      <c r="AJ259" s="134">
        <f t="shared" si="274"/>
        <v>0</v>
      </c>
      <c r="AK259" s="134">
        <f t="shared" si="275"/>
        <v>0</v>
      </c>
      <c r="AL259" s="134">
        <f t="shared" si="276"/>
        <v>0</v>
      </c>
      <c r="AM259" s="134">
        <f t="shared" si="277"/>
        <v>0</v>
      </c>
      <c r="AN259" s="134">
        <f t="shared" si="278"/>
        <v>0</v>
      </c>
      <c r="AO259" s="134">
        <f t="shared" si="279"/>
        <v>0</v>
      </c>
      <c r="AP259" s="134">
        <f t="shared" si="280"/>
        <v>0</v>
      </c>
      <c r="AQ259" s="134">
        <f t="shared" si="281"/>
        <v>0</v>
      </c>
      <c r="AR259" s="134">
        <f t="shared" si="282"/>
        <v>0</v>
      </c>
      <c r="AS259" s="135">
        <f t="shared" si="283"/>
        <v>0</v>
      </c>
      <c r="AT259" s="137" t="str">
        <f t="shared" si="284"/>
        <v>0</v>
      </c>
      <c r="AU259" s="137" t="str">
        <f t="shared" si="285"/>
        <v>0</v>
      </c>
      <c r="AV259" s="137" t="str">
        <f t="shared" si="286"/>
        <v>0</v>
      </c>
      <c r="AW259" s="137" t="str">
        <f t="shared" si="287"/>
        <v>0</v>
      </c>
      <c r="AX259" s="137" t="str">
        <f t="shared" si="288"/>
        <v>0</v>
      </c>
      <c r="AY259" s="137" t="str">
        <f t="shared" si="289"/>
        <v>0</v>
      </c>
      <c r="AZ259" s="137" t="str">
        <f t="shared" si="290"/>
        <v>0</v>
      </c>
      <c r="BA259" s="137" t="str">
        <f t="shared" si="291"/>
        <v>0</v>
      </c>
      <c r="BB259" s="137" t="str">
        <f t="shared" si="292"/>
        <v>0</v>
      </c>
      <c r="BC259" s="137" t="str">
        <f t="shared" si="293"/>
        <v>0</v>
      </c>
      <c r="BD259" s="131">
        <f t="shared" si="294"/>
        <v>0</v>
      </c>
    </row>
    <row r="260" spans="2:56" ht="15" customHeight="1" x14ac:dyDescent="0.25">
      <c r="B260" s="127">
        <v>8202460</v>
      </c>
      <c r="C260" s="128" t="s">
        <v>17</v>
      </c>
      <c r="D260" s="128" t="s">
        <v>800</v>
      </c>
      <c r="E260" s="129" t="s">
        <v>507</v>
      </c>
      <c r="F260" s="274"/>
      <c r="G260" s="130">
        <f>+SUMIFS(TablaIngresos[Cantidad],TablaIngresos[Código],'Inventario '!B260)</f>
        <v>0</v>
      </c>
      <c r="H260" s="130">
        <f t="shared" si="265"/>
        <v>0</v>
      </c>
      <c r="I260" s="131">
        <f>SUMIFS(TablaConsumos[[CANTIDAD ]:[CANTIDAD ]],TablaConsumos[[CÓDIGO]:[CÓDIGO]],'Inventario '!$B260,TablaConsumos[[Planta]:[Planta]],'Inventario '!I$1)</f>
        <v>0</v>
      </c>
      <c r="J260" s="131">
        <f>SUMIFS(TablaConsumos[[CANTIDAD ]:[CANTIDAD ]],TablaConsumos[[CÓDIGO]:[CÓDIGO]],'Inventario '!$B260,TablaConsumos[[Planta]:[Planta]],'Inventario '!J$1)</f>
        <v>0</v>
      </c>
      <c r="K260" s="131">
        <f>SUMIFS(TablaConsumos[[CANTIDAD ]:[CANTIDAD ]],TablaConsumos[[CÓDIGO]:[CÓDIGO]],'Inventario '!$B260,TablaConsumos[[Planta]:[Planta]],'Inventario '!K$1)</f>
        <v>0</v>
      </c>
      <c r="L260" s="131">
        <f>SUMIFS(TablaConsumos[[CANTIDAD ]:[CANTIDAD ]],TablaConsumos[[CÓDIGO]:[CÓDIGO]],'Inventario '!$B260,TablaConsumos[[Planta]:[Planta]],'Inventario '!L$1)</f>
        <v>0</v>
      </c>
      <c r="M260" s="131">
        <f>SUMIFS(TablaConsumos[[CANTIDAD ]:[CANTIDAD ]],TablaConsumos[[CÓDIGO]:[CÓDIGO]],'Inventario '!$B260,TablaConsumos[[Planta]:[Planta]],'Inventario '!M$1)</f>
        <v>0</v>
      </c>
      <c r="N260" s="131">
        <f>SUMIFS(TablaConsumos[[CANTIDAD ]:[CANTIDAD ]],TablaConsumos[[CÓDIGO]:[CÓDIGO]],'Inventario '!$B260,TablaConsumos[[Planta]:[Planta]],'Inventario '!N$1)</f>
        <v>0</v>
      </c>
      <c r="O260" s="131">
        <f>SUMIFS(TablaConsumos[[CANTIDAD ]:[CANTIDAD ]],TablaConsumos[[CÓDIGO]:[CÓDIGO]],'Inventario '!$B260,TablaConsumos[[Planta]:[Planta]],'Inventario '!O$1)</f>
        <v>0</v>
      </c>
      <c r="P260" s="131">
        <f>SUMIFS(TablaConsumos[[CANTIDAD ]:[CANTIDAD ]],TablaConsumos[[CÓDIGO]:[CÓDIGO]],'Inventario '!$B260,TablaConsumos[[Planta]:[Planta]],'Inventario '!P$1)</f>
        <v>0</v>
      </c>
      <c r="Q260" s="131">
        <f>SUMIFS(TablaConsumos[[CANTIDAD ]:[CANTIDAD ]],TablaConsumos[[CÓDIGO]:[CÓDIGO]],'Inventario '!$B260,TablaConsumos[[Planta]:[Planta]],'Inventario '!Q$1)</f>
        <v>0</v>
      </c>
      <c r="R260" s="131">
        <f>SUMIFS(TablaConsumos[[CANTIDAD ]:[CANTIDAD ]],TablaConsumos[[CÓDIGO]:[CÓDIGO]],'Inventario '!$B260,TablaConsumos[[Planta]:[Planta]],'Inventario '!R$1)</f>
        <v>0</v>
      </c>
      <c r="S260" s="130">
        <f t="shared" si="266"/>
        <v>0</v>
      </c>
      <c r="T260" s="130">
        <f t="shared" si="267"/>
        <v>0</v>
      </c>
      <c r="U260" s="132"/>
      <c r="V260" s="130"/>
      <c r="W260" s="177">
        <v>1</v>
      </c>
      <c r="X260" s="132">
        <f t="shared" si="268"/>
        <v>0</v>
      </c>
      <c r="Y260" s="130">
        <f t="shared" si="269"/>
        <v>0</v>
      </c>
      <c r="Z260" s="132"/>
      <c r="AA260" s="132">
        <f t="shared" si="270"/>
        <v>0</v>
      </c>
      <c r="AB260" s="132"/>
      <c r="AC260" s="131">
        <f t="shared" si="271"/>
        <v>0</v>
      </c>
      <c r="AD260" s="131"/>
      <c r="AE260" s="130"/>
      <c r="AF260" s="130"/>
      <c r="AG260" s="168"/>
      <c r="AH260" s="134">
        <f t="shared" si="272"/>
        <v>0</v>
      </c>
      <c r="AI260" s="134">
        <f t="shared" si="273"/>
        <v>0</v>
      </c>
      <c r="AJ260" s="134">
        <f t="shared" si="274"/>
        <v>0</v>
      </c>
      <c r="AK260" s="134">
        <f t="shared" si="275"/>
        <v>0</v>
      </c>
      <c r="AL260" s="134">
        <f t="shared" si="276"/>
        <v>0</v>
      </c>
      <c r="AM260" s="134">
        <f t="shared" si="277"/>
        <v>0</v>
      </c>
      <c r="AN260" s="134">
        <f t="shared" si="278"/>
        <v>0</v>
      </c>
      <c r="AO260" s="134">
        <f t="shared" si="279"/>
        <v>0</v>
      </c>
      <c r="AP260" s="134">
        <f t="shared" si="280"/>
        <v>0</v>
      </c>
      <c r="AQ260" s="134">
        <f t="shared" si="281"/>
        <v>0</v>
      </c>
      <c r="AR260" s="134">
        <f t="shared" si="282"/>
        <v>0</v>
      </c>
      <c r="AS260" s="135">
        <f t="shared" si="283"/>
        <v>0</v>
      </c>
      <c r="AT260" s="137" t="str">
        <f t="shared" si="284"/>
        <v>0</v>
      </c>
      <c r="AU260" s="137" t="str">
        <f t="shared" si="285"/>
        <v>0</v>
      </c>
      <c r="AV260" s="137" t="str">
        <f t="shared" si="286"/>
        <v>0</v>
      </c>
      <c r="AW260" s="137" t="str">
        <f t="shared" si="287"/>
        <v>0</v>
      </c>
      <c r="AX260" s="137" t="str">
        <f t="shared" si="288"/>
        <v>0</v>
      </c>
      <c r="AY260" s="137" t="str">
        <f t="shared" si="289"/>
        <v>0</v>
      </c>
      <c r="AZ260" s="137" t="str">
        <f t="shared" si="290"/>
        <v>0</v>
      </c>
      <c r="BA260" s="137" t="str">
        <f t="shared" si="291"/>
        <v>0</v>
      </c>
      <c r="BB260" s="137" t="str">
        <f t="shared" si="292"/>
        <v>0</v>
      </c>
      <c r="BC260" s="137" t="str">
        <f t="shared" si="293"/>
        <v>0</v>
      </c>
      <c r="BD260" s="131">
        <f t="shared" si="294"/>
        <v>0</v>
      </c>
    </row>
    <row r="261" spans="2:56" ht="15" customHeight="1" x14ac:dyDescent="0.25">
      <c r="B261" s="127">
        <v>8202470</v>
      </c>
      <c r="C261" s="128" t="s">
        <v>17</v>
      </c>
      <c r="D261" s="128" t="s">
        <v>800</v>
      </c>
      <c r="E261" s="129" t="s">
        <v>508</v>
      </c>
      <c r="F261" s="274"/>
      <c r="G261" s="130">
        <f>+SUMIFS(TablaIngresos[Cantidad],TablaIngresos[Código],'Inventario '!B261)</f>
        <v>0</v>
      </c>
      <c r="H261" s="130">
        <f t="shared" si="265"/>
        <v>0</v>
      </c>
      <c r="I261" s="131">
        <f>SUMIFS(TablaConsumos[[CANTIDAD ]:[CANTIDAD ]],TablaConsumos[[CÓDIGO]:[CÓDIGO]],'Inventario '!$B261,TablaConsumos[[Planta]:[Planta]],'Inventario '!I$1)</f>
        <v>0</v>
      </c>
      <c r="J261" s="131">
        <f>SUMIFS(TablaConsumos[[CANTIDAD ]:[CANTIDAD ]],TablaConsumos[[CÓDIGO]:[CÓDIGO]],'Inventario '!$B261,TablaConsumos[[Planta]:[Planta]],'Inventario '!J$1)</f>
        <v>0</v>
      </c>
      <c r="K261" s="131">
        <f>SUMIFS(TablaConsumos[[CANTIDAD ]:[CANTIDAD ]],TablaConsumos[[CÓDIGO]:[CÓDIGO]],'Inventario '!$B261,TablaConsumos[[Planta]:[Planta]],'Inventario '!K$1)</f>
        <v>0</v>
      </c>
      <c r="L261" s="131">
        <f>SUMIFS(TablaConsumos[[CANTIDAD ]:[CANTIDAD ]],TablaConsumos[[CÓDIGO]:[CÓDIGO]],'Inventario '!$B261,TablaConsumos[[Planta]:[Planta]],'Inventario '!L$1)</f>
        <v>0</v>
      </c>
      <c r="M261" s="131">
        <f>SUMIFS(TablaConsumos[[CANTIDAD ]:[CANTIDAD ]],TablaConsumos[[CÓDIGO]:[CÓDIGO]],'Inventario '!$B261,TablaConsumos[[Planta]:[Planta]],'Inventario '!M$1)</f>
        <v>0</v>
      </c>
      <c r="N261" s="131">
        <f>SUMIFS(TablaConsumos[[CANTIDAD ]:[CANTIDAD ]],TablaConsumos[[CÓDIGO]:[CÓDIGO]],'Inventario '!$B261,TablaConsumos[[Planta]:[Planta]],'Inventario '!N$1)</f>
        <v>0</v>
      </c>
      <c r="O261" s="131">
        <f>SUMIFS(TablaConsumos[[CANTIDAD ]:[CANTIDAD ]],TablaConsumos[[CÓDIGO]:[CÓDIGO]],'Inventario '!$B261,TablaConsumos[[Planta]:[Planta]],'Inventario '!O$1)</f>
        <v>0</v>
      </c>
      <c r="P261" s="131">
        <f>SUMIFS(TablaConsumos[[CANTIDAD ]:[CANTIDAD ]],TablaConsumos[[CÓDIGO]:[CÓDIGO]],'Inventario '!$B261,TablaConsumos[[Planta]:[Planta]],'Inventario '!P$1)</f>
        <v>0</v>
      </c>
      <c r="Q261" s="131">
        <f>SUMIFS(TablaConsumos[[CANTIDAD ]:[CANTIDAD ]],TablaConsumos[[CÓDIGO]:[CÓDIGO]],'Inventario '!$B261,TablaConsumos[[Planta]:[Planta]],'Inventario '!Q$1)</f>
        <v>0</v>
      </c>
      <c r="R261" s="131">
        <f>SUMIFS(TablaConsumos[[CANTIDAD ]:[CANTIDAD ]],TablaConsumos[[CÓDIGO]:[CÓDIGO]],'Inventario '!$B261,TablaConsumos[[Planta]:[Planta]],'Inventario '!R$1)</f>
        <v>0</v>
      </c>
      <c r="S261" s="130">
        <f t="shared" si="266"/>
        <v>0</v>
      </c>
      <c r="T261" s="130">
        <f t="shared" si="267"/>
        <v>0</v>
      </c>
      <c r="U261" s="132"/>
      <c r="V261" s="130"/>
      <c r="W261" s="177">
        <v>1</v>
      </c>
      <c r="X261" s="132">
        <f t="shared" si="268"/>
        <v>0</v>
      </c>
      <c r="Y261" s="130">
        <f t="shared" si="269"/>
        <v>0</v>
      </c>
      <c r="Z261" s="132"/>
      <c r="AA261" s="132">
        <f t="shared" si="270"/>
        <v>0</v>
      </c>
      <c r="AB261" s="132"/>
      <c r="AC261" s="131">
        <f t="shared" si="271"/>
        <v>0</v>
      </c>
      <c r="AD261" s="131"/>
      <c r="AE261" s="130"/>
      <c r="AF261" s="130"/>
      <c r="AG261" s="168"/>
      <c r="AH261" s="134">
        <f t="shared" si="272"/>
        <v>0</v>
      </c>
      <c r="AI261" s="134">
        <f t="shared" si="273"/>
        <v>0</v>
      </c>
      <c r="AJ261" s="134">
        <f t="shared" si="274"/>
        <v>0</v>
      </c>
      <c r="AK261" s="134">
        <f t="shared" si="275"/>
        <v>0</v>
      </c>
      <c r="AL261" s="134">
        <f t="shared" si="276"/>
        <v>0</v>
      </c>
      <c r="AM261" s="134">
        <f t="shared" si="277"/>
        <v>0</v>
      </c>
      <c r="AN261" s="134">
        <f t="shared" si="278"/>
        <v>0</v>
      </c>
      <c r="AO261" s="134">
        <f t="shared" si="279"/>
        <v>0</v>
      </c>
      <c r="AP261" s="134">
        <f t="shared" si="280"/>
        <v>0</v>
      </c>
      <c r="AQ261" s="134">
        <f t="shared" si="281"/>
        <v>0</v>
      </c>
      <c r="AR261" s="134">
        <f t="shared" si="282"/>
        <v>0</v>
      </c>
      <c r="AS261" s="135">
        <f t="shared" si="283"/>
        <v>0</v>
      </c>
      <c r="AT261" s="137" t="str">
        <f t="shared" si="284"/>
        <v>0</v>
      </c>
      <c r="AU261" s="137" t="str">
        <f t="shared" si="285"/>
        <v>0</v>
      </c>
      <c r="AV261" s="137" t="str">
        <f t="shared" si="286"/>
        <v>0</v>
      </c>
      <c r="AW261" s="137" t="str">
        <f t="shared" si="287"/>
        <v>0</v>
      </c>
      <c r="AX261" s="137" t="str">
        <f t="shared" si="288"/>
        <v>0</v>
      </c>
      <c r="AY261" s="137" t="str">
        <f t="shared" si="289"/>
        <v>0</v>
      </c>
      <c r="AZ261" s="137" t="str">
        <f t="shared" si="290"/>
        <v>0</v>
      </c>
      <c r="BA261" s="137" t="str">
        <f t="shared" si="291"/>
        <v>0</v>
      </c>
      <c r="BB261" s="137" t="str">
        <f t="shared" si="292"/>
        <v>0</v>
      </c>
      <c r="BC261" s="137" t="str">
        <f t="shared" si="293"/>
        <v>0</v>
      </c>
      <c r="BD261" s="131">
        <f t="shared" si="294"/>
        <v>0</v>
      </c>
    </row>
    <row r="262" spans="2:56" ht="15" customHeight="1" x14ac:dyDescent="0.25">
      <c r="B262" s="127">
        <v>8202472</v>
      </c>
      <c r="C262" s="128" t="s">
        <v>17</v>
      </c>
      <c r="D262" s="128" t="s">
        <v>800</v>
      </c>
      <c r="E262" s="129" t="s">
        <v>509</v>
      </c>
      <c r="F262" s="274"/>
      <c r="G262" s="130">
        <f>+SUMIFS(TablaIngresos[Cantidad],TablaIngresos[Código],'Inventario '!B262)</f>
        <v>0</v>
      </c>
      <c r="H262" s="130">
        <f t="shared" si="265"/>
        <v>0</v>
      </c>
      <c r="I262" s="131">
        <f>SUMIFS(TablaConsumos[[CANTIDAD ]:[CANTIDAD ]],TablaConsumos[[CÓDIGO]:[CÓDIGO]],'Inventario '!$B262,TablaConsumos[[Planta]:[Planta]],'Inventario '!I$1)</f>
        <v>0</v>
      </c>
      <c r="J262" s="131">
        <f>SUMIFS(TablaConsumos[[CANTIDAD ]:[CANTIDAD ]],TablaConsumos[[CÓDIGO]:[CÓDIGO]],'Inventario '!$B262,TablaConsumos[[Planta]:[Planta]],'Inventario '!J$1)</f>
        <v>0</v>
      </c>
      <c r="K262" s="131">
        <f>SUMIFS(TablaConsumos[[CANTIDAD ]:[CANTIDAD ]],TablaConsumos[[CÓDIGO]:[CÓDIGO]],'Inventario '!$B262,TablaConsumos[[Planta]:[Planta]],'Inventario '!K$1)</f>
        <v>0</v>
      </c>
      <c r="L262" s="131">
        <f>SUMIFS(TablaConsumos[[CANTIDAD ]:[CANTIDAD ]],TablaConsumos[[CÓDIGO]:[CÓDIGO]],'Inventario '!$B262,TablaConsumos[[Planta]:[Planta]],'Inventario '!L$1)</f>
        <v>0</v>
      </c>
      <c r="M262" s="131">
        <f>SUMIFS(TablaConsumos[[CANTIDAD ]:[CANTIDAD ]],TablaConsumos[[CÓDIGO]:[CÓDIGO]],'Inventario '!$B262,TablaConsumos[[Planta]:[Planta]],'Inventario '!M$1)</f>
        <v>0</v>
      </c>
      <c r="N262" s="131">
        <f>SUMIFS(TablaConsumos[[CANTIDAD ]:[CANTIDAD ]],TablaConsumos[[CÓDIGO]:[CÓDIGO]],'Inventario '!$B262,TablaConsumos[[Planta]:[Planta]],'Inventario '!N$1)</f>
        <v>0</v>
      </c>
      <c r="O262" s="131">
        <f>SUMIFS(TablaConsumos[[CANTIDAD ]:[CANTIDAD ]],TablaConsumos[[CÓDIGO]:[CÓDIGO]],'Inventario '!$B262,TablaConsumos[[Planta]:[Planta]],'Inventario '!O$1)</f>
        <v>0</v>
      </c>
      <c r="P262" s="131">
        <f>SUMIFS(TablaConsumos[[CANTIDAD ]:[CANTIDAD ]],TablaConsumos[[CÓDIGO]:[CÓDIGO]],'Inventario '!$B262,TablaConsumos[[Planta]:[Planta]],'Inventario '!P$1)</f>
        <v>0</v>
      </c>
      <c r="Q262" s="131">
        <f>SUMIFS(TablaConsumos[[CANTIDAD ]:[CANTIDAD ]],TablaConsumos[[CÓDIGO]:[CÓDIGO]],'Inventario '!$B262,TablaConsumos[[Planta]:[Planta]],'Inventario '!Q$1)</f>
        <v>0</v>
      </c>
      <c r="R262" s="131">
        <f>SUMIFS(TablaConsumos[[CANTIDAD ]:[CANTIDAD ]],TablaConsumos[[CÓDIGO]:[CÓDIGO]],'Inventario '!$B262,TablaConsumos[[Planta]:[Planta]],'Inventario '!R$1)</f>
        <v>0</v>
      </c>
      <c r="S262" s="130">
        <f t="shared" si="266"/>
        <v>0</v>
      </c>
      <c r="T262" s="130">
        <f t="shared" si="267"/>
        <v>0</v>
      </c>
      <c r="U262" s="132"/>
      <c r="V262" s="130"/>
      <c r="W262" s="177">
        <v>1</v>
      </c>
      <c r="X262" s="132">
        <f t="shared" si="268"/>
        <v>0</v>
      </c>
      <c r="Y262" s="130">
        <f t="shared" si="269"/>
        <v>0</v>
      </c>
      <c r="Z262" s="132"/>
      <c r="AA262" s="132">
        <f t="shared" si="270"/>
        <v>0</v>
      </c>
      <c r="AB262" s="132"/>
      <c r="AC262" s="131">
        <f t="shared" si="271"/>
        <v>0</v>
      </c>
      <c r="AD262" s="131"/>
      <c r="AE262" s="130"/>
      <c r="AF262" s="130"/>
      <c r="AG262" s="168"/>
      <c r="AH262" s="134">
        <f t="shared" si="272"/>
        <v>0</v>
      </c>
      <c r="AI262" s="134">
        <f t="shared" si="273"/>
        <v>0</v>
      </c>
      <c r="AJ262" s="134">
        <f t="shared" si="274"/>
        <v>0</v>
      </c>
      <c r="AK262" s="134">
        <f t="shared" si="275"/>
        <v>0</v>
      </c>
      <c r="AL262" s="134">
        <f t="shared" si="276"/>
        <v>0</v>
      </c>
      <c r="AM262" s="134">
        <f t="shared" si="277"/>
        <v>0</v>
      </c>
      <c r="AN262" s="134">
        <f t="shared" si="278"/>
        <v>0</v>
      </c>
      <c r="AO262" s="134">
        <f t="shared" si="279"/>
        <v>0</v>
      </c>
      <c r="AP262" s="134">
        <f t="shared" si="280"/>
        <v>0</v>
      </c>
      <c r="AQ262" s="134">
        <f t="shared" si="281"/>
        <v>0</v>
      </c>
      <c r="AR262" s="134">
        <f t="shared" si="282"/>
        <v>0</v>
      </c>
      <c r="AS262" s="135">
        <f t="shared" si="283"/>
        <v>0</v>
      </c>
      <c r="AT262" s="137" t="str">
        <f t="shared" si="284"/>
        <v>0</v>
      </c>
      <c r="AU262" s="137" t="str">
        <f t="shared" si="285"/>
        <v>0</v>
      </c>
      <c r="AV262" s="137" t="str">
        <f t="shared" si="286"/>
        <v>0</v>
      </c>
      <c r="AW262" s="137" t="str">
        <f t="shared" si="287"/>
        <v>0</v>
      </c>
      <c r="AX262" s="137" t="str">
        <f t="shared" si="288"/>
        <v>0</v>
      </c>
      <c r="AY262" s="137" t="str">
        <f t="shared" si="289"/>
        <v>0</v>
      </c>
      <c r="AZ262" s="137" t="str">
        <f t="shared" si="290"/>
        <v>0</v>
      </c>
      <c r="BA262" s="137" t="str">
        <f t="shared" si="291"/>
        <v>0</v>
      </c>
      <c r="BB262" s="137" t="str">
        <f t="shared" si="292"/>
        <v>0</v>
      </c>
      <c r="BC262" s="137" t="str">
        <f t="shared" si="293"/>
        <v>0</v>
      </c>
      <c r="BD262" s="131">
        <f t="shared" si="294"/>
        <v>0</v>
      </c>
    </row>
    <row r="263" spans="2:56" ht="15" customHeight="1" x14ac:dyDescent="0.25">
      <c r="B263" s="127">
        <v>8202473</v>
      </c>
      <c r="C263" s="128" t="s">
        <v>17</v>
      </c>
      <c r="D263" s="128" t="s">
        <v>800</v>
      </c>
      <c r="E263" s="129" t="s">
        <v>510</v>
      </c>
      <c r="F263" s="274"/>
      <c r="G263" s="130">
        <f>+SUMIFS(TablaIngresos[Cantidad],TablaIngresos[Código],'Inventario '!B263)</f>
        <v>0</v>
      </c>
      <c r="H263" s="130">
        <f t="shared" si="265"/>
        <v>0</v>
      </c>
      <c r="I263" s="131">
        <f>SUMIFS(TablaConsumos[[CANTIDAD ]:[CANTIDAD ]],TablaConsumos[[CÓDIGO]:[CÓDIGO]],'Inventario '!$B263,TablaConsumos[[Planta]:[Planta]],'Inventario '!I$1)</f>
        <v>0</v>
      </c>
      <c r="J263" s="131">
        <f>SUMIFS(TablaConsumos[[CANTIDAD ]:[CANTIDAD ]],TablaConsumos[[CÓDIGO]:[CÓDIGO]],'Inventario '!$B263,TablaConsumos[[Planta]:[Planta]],'Inventario '!J$1)</f>
        <v>0</v>
      </c>
      <c r="K263" s="131">
        <f>SUMIFS(TablaConsumos[[CANTIDAD ]:[CANTIDAD ]],TablaConsumos[[CÓDIGO]:[CÓDIGO]],'Inventario '!$B263,TablaConsumos[[Planta]:[Planta]],'Inventario '!K$1)</f>
        <v>0</v>
      </c>
      <c r="L263" s="131">
        <f>SUMIFS(TablaConsumos[[CANTIDAD ]:[CANTIDAD ]],TablaConsumos[[CÓDIGO]:[CÓDIGO]],'Inventario '!$B263,TablaConsumos[[Planta]:[Planta]],'Inventario '!L$1)</f>
        <v>0</v>
      </c>
      <c r="M263" s="131">
        <f>SUMIFS(TablaConsumos[[CANTIDAD ]:[CANTIDAD ]],TablaConsumos[[CÓDIGO]:[CÓDIGO]],'Inventario '!$B263,TablaConsumos[[Planta]:[Planta]],'Inventario '!M$1)</f>
        <v>0</v>
      </c>
      <c r="N263" s="131">
        <f>SUMIFS(TablaConsumos[[CANTIDAD ]:[CANTIDAD ]],TablaConsumos[[CÓDIGO]:[CÓDIGO]],'Inventario '!$B263,TablaConsumos[[Planta]:[Planta]],'Inventario '!N$1)</f>
        <v>0</v>
      </c>
      <c r="O263" s="131">
        <f>SUMIFS(TablaConsumos[[CANTIDAD ]:[CANTIDAD ]],TablaConsumos[[CÓDIGO]:[CÓDIGO]],'Inventario '!$B263,TablaConsumos[[Planta]:[Planta]],'Inventario '!O$1)</f>
        <v>0</v>
      </c>
      <c r="P263" s="131">
        <f>SUMIFS(TablaConsumos[[CANTIDAD ]:[CANTIDAD ]],TablaConsumos[[CÓDIGO]:[CÓDIGO]],'Inventario '!$B263,TablaConsumos[[Planta]:[Planta]],'Inventario '!P$1)</f>
        <v>0</v>
      </c>
      <c r="Q263" s="131">
        <f>SUMIFS(TablaConsumos[[CANTIDAD ]:[CANTIDAD ]],TablaConsumos[[CÓDIGO]:[CÓDIGO]],'Inventario '!$B263,TablaConsumos[[Planta]:[Planta]],'Inventario '!Q$1)</f>
        <v>0</v>
      </c>
      <c r="R263" s="131">
        <f>SUMIFS(TablaConsumos[[CANTIDAD ]:[CANTIDAD ]],TablaConsumos[[CÓDIGO]:[CÓDIGO]],'Inventario '!$B263,TablaConsumos[[Planta]:[Planta]],'Inventario '!R$1)</f>
        <v>0</v>
      </c>
      <c r="S263" s="130">
        <f t="shared" si="266"/>
        <v>0</v>
      </c>
      <c r="T263" s="130">
        <f t="shared" si="267"/>
        <v>0</v>
      </c>
      <c r="U263" s="132"/>
      <c r="V263" s="130"/>
      <c r="W263" s="177">
        <v>1</v>
      </c>
      <c r="X263" s="132">
        <f t="shared" si="268"/>
        <v>0</v>
      </c>
      <c r="Y263" s="130">
        <f t="shared" si="269"/>
        <v>0</v>
      </c>
      <c r="Z263" s="132"/>
      <c r="AA263" s="132">
        <f t="shared" si="270"/>
        <v>0</v>
      </c>
      <c r="AB263" s="132"/>
      <c r="AC263" s="131">
        <f t="shared" si="271"/>
        <v>0</v>
      </c>
      <c r="AD263" s="131"/>
      <c r="AE263" s="130"/>
      <c r="AF263" s="130"/>
      <c r="AG263" s="168"/>
      <c r="AH263" s="134">
        <f t="shared" si="272"/>
        <v>0</v>
      </c>
      <c r="AI263" s="134">
        <f t="shared" si="273"/>
        <v>0</v>
      </c>
      <c r="AJ263" s="134">
        <f t="shared" si="274"/>
        <v>0</v>
      </c>
      <c r="AK263" s="134">
        <f t="shared" si="275"/>
        <v>0</v>
      </c>
      <c r="AL263" s="134">
        <f t="shared" si="276"/>
        <v>0</v>
      </c>
      <c r="AM263" s="134">
        <f t="shared" si="277"/>
        <v>0</v>
      </c>
      <c r="AN263" s="134">
        <f t="shared" si="278"/>
        <v>0</v>
      </c>
      <c r="AO263" s="134">
        <f t="shared" si="279"/>
        <v>0</v>
      </c>
      <c r="AP263" s="134">
        <f t="shared" si="280"/>
        <v>0</v>
      </c>
      <c r="AQ263" s="134">
        <f t="shared" si="281"/>
        <v>0</v>
      </c>
      <c r="AR263" s="134">
        <f t="shared" si="282"/>
        <v>0</v>
      </c>
      <c r="AS263" s="135">
        <f t="shared" si="283"/>
        <v>0</v>
      </c>
      <c r="AT263" s="137" t="str">
        <f t="shared" si="284"/>
        <v>0</v>
      </c>
      <c r="AU263" s="137" t="str">
        <f t="shared" si="285"/>
        <v>0</v>
      </c>
      <c r="AV263" s="137" t="str">
        <f t="shared" si="286"/>
        <v>0</v>
      </c>
      <c r="AW263" s="137" t="str">
        <f t="shared" si="287"/>
        <v>0</v>
      </c>
      <c r="AX263" s="137" t="str">
        <f t="shared" si="288"/>
        <v>0</v>
      </c>
      <c r="AY263" s="137" t="str">
        <f t="shared" si="289"/>
        <v>0</v>
      </c>
      <c r="AZ263" s="137" t="str">
        <f t="shared" si="290"/>
        <v>0</v>
      </c>
      <c r="BA263" s="137" t="str">
        <f t="shared" si="291"/>
        <v>0</v>
      </c>
      <c r="BB263" s="137" t="str">
        <f t="shared" si="292"/>
        <v>0</v>
      </c>
      <c r="BC263" s="137" t="str">
        <f t="shared" si="293"/>
        <v>0</v>
      </c>
      <c r="BD263" s="131">
        <f t="shared" si="294"/>
        <v>0</v>
      </c>
    </row>
    <row r="264" spans="2:56" ht="15" customHeight="1" x14ac:dyDescent="0.25">
      <c r="B264" s="127">
        <v>8201520</v>
      </c>
      <c r="C264" s="128" t="s">
        <v>712</v>
      </c>
      <c r="D264" s="128" t="s">
        <v>407</v>
      </c>
      <c r="E264" s="129" t="s">
        <v>511</v>
      </c>
      <c r="F264" s="274"/>
      <c r="G264" s="130">
        <f>+SUMIFS(TablaIngresos[Cantidad],TablaIngresos[Código],'Inventario '!B264)</f>
        <v>0</v>
      </c>
      <c r="H264" s="130">
        <f t="shared" si="265"/>
        <v>0</v>
      </c>
      <c r="I264" s="131">
        <f>SUMIFS(TablaConsumos[[CANTIDAD ]:[CANTIDAD ]],TablaConsumos[[CÓDIGO]:[CÓDIGO]],'Inventario '!$B264,TablaConsumos[[Planta]:[Planta]],'Inventario '!I$1)</f>
        <v>0</v>
      </c>
      <c r="J264" s="131">
        <f>SUMIFS(TablaConsumos[[CANTIDAD ]:[CANTIDAD ]],TablaConsumos[[CÓDIGO]:[CÓDIGO]],'Inventario '!$B264,TablaConsumos[[Planta]:[Planta]],'Inventario '!J$1)</f>
        <v>0</v>
      </c>
      <c r="K264" s="131">
        <f>SUMIFS(TablaConsumos[[CANTIDAD ]:[CANTIDAD ]],TablaConsumos[[CÓDIGO]:[CÓDIGO]],'Inventario '!$B264,TablaConsumos[[Planta]:[Planta]],'Inventario '!K$1)</f>
        <v>0</v>
      </c>
      <c r="L264" s="131">
        <f>SUMIFS(TablaConsumos[[CANTIDAD ]:[CANTIDAD ]],TablaConsumos[[CÓDIGO]:[CÓDIGO]],'Inventario '!$B264,TablaConsumos[[Planta]:[Planta]],'Inventario '!L$1)</f>
        <v>0</v>
      </c>
      <c r="M264" s="131">
        <f>SUMIFS(TablaConsumos[[CANTIDAD ]:[CANTIDAD ]],TablaConsumos[[CÓDIGO]:[CÓDIGO]],'Inventario '!$B264,TablaConsumos[[Planta]:[Planta]],'Inventario '!M$1)</f>
        <v>0</v>
      </c>
      <c r="N264" s="131">
        <f>SUMIFS(TablaConsumos[[CANTIDAD ]:[CANTIDAD ]],TablaConsumos[[CÓDIGO]:[CÓDIGO]],'Inventario '!$B264,TablaConsumos[[Planta]:[Planta]],'Inventario '!N$1)</f>
        <v>0</v>
      </c>
      <c r="O264" s="131">
        <f>SUMIFS(TablaConsumos[[CANTIDAD ]:[CANTIDAD ]],TablaConsumos[[CÓDIGO]:[CÓDIGO]],'Inventario '!$B264,TablaConsumos[[Planta]:[Planta]],'Inventario '!O$1)</f>
        <v>0</v>
      </c>
      <c r="P264" s="131">
        <f>SUMIFS(TablaConsumos[[CANTIDAD ]:[CANTIDAD ]],TablaConsumos[[CÓDIGO]:[CÓDIGO]],'Inventario '!$B264,TablaConsumos[[Planta]:[Planta]],'Inventario '!P$1)</f>
        <v>0</v>
      </c>
      <c r="Q264" s="131">
        <f>SUMIFS(TablaConsumos[[CANTIDAD ]:[CANTIDAD ]],TablaConsumos[[CÓDIGO]:[CÓDIGO]],'Inventario '!$B264,TablaConsumos[[Planta]:[Planta]],'Inventario '!Q$1)</f>
        <v>0</v>
      </c>
      <c r="R264" s="131">
        <f>SUMIFS(TablaConsumos[[CANTIDAD ]:[CANTIDAD ]],TablaConsumos[[CÓDIGO]:[CÓDIGO]],'Inventario '!$B264,TablaConsumos[[Planta]:[Planta]],'Inventario '!R$1)</f>
        <v>0</v>
      </c>
      <c r="S264" s="130">
        <f t="shared" si="266"/>
        <v>0</v>
      </c>
      <c r="T264" s="130">
        <f t="shared" si="267"/>
        <v>0</v>
      </c>
      <c r="U264" s="132"/>
      <c r="V264" s="130"/>
      <c r="W264" s="177">
        <v>1</v>
      </c>
      <c r="X264" s="132">
        <f t="shared" si="268"/>
        <v>0</v>
      </c>
      <c r="Y264" s="130">
        <f t="shared" si="269"/>
        <v>0</v>
      </c>
      <c r="Z264" s="132"/>
      <c r="AA264" s="132">
        <f t="shared" si="270"/>
        <v>0</v>
      </c>
      <c r="AB264" s="132"/>
      <c r="AC264" s="131">
        <f t="shared" si="271"/>
        <v>0</v>
      </c>
      <c r="AD264" s="131"/>
      <c r="AE264" s="130"/>
      <c r="AF264" s="130"/>
      <c r="AG264" s="168"/>
      <c r="AH264" s="134">
        <f t="shared" si="272"/>
        <v>0</v>
      </c>
      <c r="AI264" s="134">
        <f t="shared" si="273"/>
        <v>0</v>
      </c>
      <c r="AJ264" s="134">
        <f t="shared" si="274"/>
        <v>0</v>
      </c>
      <c r="AK264" s="134">
        <f t="shared" si="275"/>
        <v>0</v>
      </c>
      <c r="AL264" s="134">
        <f t="shared" si="276"/>
        <v>0</v>
      </c>
      <c r="AM264" s="134">
        <f t="shared" si="277"/>
        <v>0</v>
      </c>
      <c r="AN264" s="134">
        <f t="shared" si="278"/>
        <v>0</v>
      </c>
      <c r="AO264" s="134">
        <f t="shared" si="279"/>
        <v>0</v>
      </c>
      <c r="AP264" s="134">
        <f t="shared" si="280"/>
        <v>0</v>
      </c>
      <c r="AQ264" s="134">
        <f t="shared" si="281"/>
        <v>0</v>
      </c>
      <c r="AR264" s="134">
        <f t="shared" si="282"/>
        <v>0</v>
      </c>
      <c r="AS264" s="135">
        <f t="shared" si="283"/>
        <v>0</v>
      </c>
      <c r="AT264" s="137" t="str">
        <f t="shared" si="284"/>
        <v>0</v>
      </c>
      <c r="AU264" s="137" t="str">
        <f t="shared" si="285"/>
        <v>0</v>
      </c>
      <c r="AV264" s="137" t="str">
        <f t="shared" si="286"/>
        <v>0</v>
      </c>
      <c r="AW264" s="137" t="str">
        <f t="shared" si="287"/>
        <v>0</v>
      </c>
      <c r="AX264" s="137" t="str">
        <f t="shared" si="288"/>
        <v>0</v>
      </c>
      <c r="AY264" s="137" t="str">
        <f t="shared" si="289"/>
        <v>0</v>
      </c>
      <c r="AZ264" s="137" t="str">
        <f t="shared" si="290"/>
        <v>0</v>
      </c>
      <c r="BA264" s="137" t="str">
        <f t="shared" si="291"/>
        <v>0</v>
      </c>
      <c r="BB264" s="137" t="str">
        <f t="shared" si="292"/>
        <v>0</v>
      </c>
      <c r="BC264" s="137" t="str">
        <f t="shared" si="293"/>
        <v>0</v>
      </c>
      <c r="BD264" s="131">
        <f t="shared" si="294"/>
        <v>0</v>
      </c>
    </row>
    <row r="265" spans="2:56" ht="15" customHeight="1" x14ac:dyDescent="0.25">
      <c r="B265" s="127">
        <v>3437070</v>
      </c>
      <c r="C265" s="128" t="s">
        <v>17</v>
      </c>
      <c r="D265" s="128" t="s">
        <v>407</v>
      </c>
      <c r="E265" s="129" t="s">
        <v>512</v>
      </c>
      <c r="F265" s="274"/>
      <c r="G265" s="130">
        <f>+SUMIFS(TablaIngresos[Cantidad],TablaIngresos[Código],'Inventario '!B265)</f>
        <v>0</v>
      </c>
      <c r="H265" s="130">
        <f t="shared" si="265"/>
        <v>0</v>
      </c>
      <c r="I265" s="131">
        <f>SUMIFS(TablaConsumos[[CANTIDAD ]:[CANTIDAD ]],TablaConsumos[[CÓDIGO]:[CÓDIGO]],'Inventario '!$B265,TablaConsumos[[Planta]:[Planta]],'Inventario '!I$1)</f>
        <v>0</v>
      </c>
      <c r="J265" s="131">
        <f>SUMIFS(TablaConsumos[[CANTIDAD ]:[CANTIDAD ]],TablaConsumos[[CÓDIGO]:[CÓDIGO]],'Inventario '!$B265,TablaConsumos[[Planta]:[Planta]],'Inventario '!J$1)</f>
        <v>0</v>
      </c>
      <c r="K265" s="131">
        <f>SUMIFS(TablaConsumos[[CANTIDAD ]:[CANTIDAD ]],TablaConsumos[[CÓDIGO]:[CÓDIGO]],'Inventario '!$B265,TablaConsumos[[Planta]:[Planta]],'Inventario '!K$1)</f>
        <v>0</v>
      </c>
      <c r="L265" s="131">
        <f>SUMIFS(TablaConsumos[[CANTIDAD ]:[CANTIDAD ]],TablaConsumos[[CÓDIGO]:[CÓDIGO]],'Inventario '!$B265,TablaConsumos[[Planta]:[Planta]],'Inventario '!L$1)</f>
        <v>0</v>
      </c>
      <c r="M265" s="131">
        <f>SUMIFS(TablaConsumos[[CANTIDAD ]:[CANTIDAD ]],TablaConsumos[[CÓDIGO]:[CÓDIGO]],'Inventario '!$B265,TablaConsumos[[Planta]:[Planta]],'Inventario '!M$1)</f>
        <v>0</v>
      </c>
      <c r="N265" s="131">
        <f>SUMIFS(TablaConsumos[[CANTIDAD ]:[CANTIDAD ]],TablaConsumos[[CÓDIGO]:[CÓDIGO]],'Inventario '!$B265,TablaConsumos[[Planta]:[Planta]],'Inventario '!N$1)</f>
        <v>0</v>
      </c>
      <c r="O265" s="131">
        <f>SUMIFS(TablaConsumos[[CANTIDAD ]:[CANTIDAD ]],TablaConsumos[[CÓDIGO]:[CÓDIGO]],'Inventario '!$B265,TablaConsumos[[Planta]:[Planta]],'Inventario '!O$1)</f>
        <v>0</v>
      </c>
      <c r="P265" s="131">
        <f>SUMIFS(TablaConsumos[[CANTIDAD ]:[CANTIDAD ]],TablaConsumos[[CÓDIGO]:[CÓDIGO]],'Inventario '!$B265,TablaConsumos[[Planta]:[Planta]],'Inventario '!P$1)</f>
        <v>0</v>
      </c>
      <c r="Q265" s="131">
        <f>SUMIFS(TablaConsumos[[CANTIDAD ]:[CANTIDAD ]],TablaConsumos[[CÓDIGO]:[CÓDIGO]],'Inventario '!$B265,TablaConsumos[[Planta]:[Planta]],'Inventario '!Q$1)</f>
        <v>0</v>
      </c>
      <c r="R265" s="131">
        <f>SUMIFS(TablaConsumos[[CANTIDAD ]:[CANTIDAD ]],TablaConsumos[[CÓDIGO]:[CÓDIGO]],'Inventario '!$B265,TablaConsumos[[Planta]:[Planta]],'Inventario '!R$1)</f>
        <v>0</v>
      </c>
      <c r="S265" s="130">
        <f t="shared" si="266"/>
        <v>0</v>
      </c>
      <c r="T265" s="130">
        <f t="shared" si="267"/>
        <v>0</v>
      </c>
      <c r="U265" s="132"/>
      <c r="V265" s="130"/>
      <c r="W265" s="177">
        <v>1</v>
      </c>
      <c r="X265" s="132">
        <f t="shared" si="268"/>
        <v>0</v>
      </c>
      <c r="Y265" s="130">
        <f t="shared" si="269"/>
        <v>0</v>
      </c>
      <c r="Z265" s="132"/>
      <c r="AA265" s="132">
        <f t="shared" si="270"/>
        <v>0</v>
      </c>
      <c r="AB265" s="132"/>
      <c r="AC265" s="131">
        <f t="shared" si="271"/>
        <v>0</v>
      </c>
      <c r="AD265" s="131"/>
      <c r="AE265" s="130"/>
      <c r="AF265" s="130"/>
      <c r="AG265" s="168"/>
      <c r="AH265" s="134">
        <f t="shared" si="272"/>
        <v>0</v>
      </c>
      <c r="AI265" s="134">
        <f t="shared" si="273"/>
        <v>0</v>
      </c>
      <c r="AJ265" s="134">
        <f t="shared" si="274"/>
        <v>0</v>
      </c>
      <c r="AK265" s="134">
        <f t="shared" si="275"/>
        <v>0</v>
      </c>
      <c r="AL265" s="134">
        <f t="shared" si="276"/>
        <v>0</v>
      </c>
      <c r="AM265" s="134">
        <f t="shared" si="277"/>
        <v>0</v>
      </c>
      <c r="AN265" s="134">
        <f t="shared" si="278"/>
        <v>0</v>
      </c>
      <c r="AO265" s="134">
        <f t="shared" si="279"/>
        <v>0</v>
      </c>
      <c r="AP265" s="134">
        <f t="shared" si="280"/>
        <v>0</v>
      </c>
      <c r="AQ265" s="134">
        <f t="shared" si="281"/>
        <v>0</v>
      </c>
      <c r="AR265" s="134">
        <f t="shared" si="282"/>
        <v>0</v>
      </c>
      <c r="AS265" s="135">
        <f t="shared" si="283"/>
        <v>0</v>
      </c>
      <c r="AT265" s="137" t="str">
        <f t="shared" si="284"/>
        <v>0</v>
      </c>
      <c r="AU265" s="137" t="str">
        <f t="shared" si="285"/>
        <v>0</v>
      </c>
      <c r="AV265" s="137" t="str">
        <f t="shared" si="286"/>
        <v>0</v>
      </c>
      <c r="AW265" s="137" t="str">
        <f t="shared" si="287"/>
        <v>0</v>
      </c>
      <c r="AX265" s="137" t="str">
        <f t="shared" si="288"/>
        <v>0</v>
      </c>
      <c r="AY265" s="137" t="str">
        <f t="shared" si="289"/>
        <v>0</v>
      </c>
      <c r="AZ265" s="137" t="str">
        <f t="shared" si="290"/>
        <v>0</v>
      </c>
      <c r="BA265" s="137" t="str">
        <f t="shared" si="291"/>
        <v>0</v>
      </c>
      <c r="BB265" s="137" t="str">
        <f t="shared" si="292"/>
        <v>0</v>
      </c>
      <c r="BC265" s="137" t="str">
        <f t="shared" si="293"/>
        <v>0</v>
      </c>
      <c r="BD265" s="131">
        <f t="shared" si="294"/>
        <v>0</v>
      </c>
    </row>
    <row r="266" spans="2:56" ht="15" customHeight="1" x14ac:dyDescent="0.25">
      <c r="B266" s="127">
        <v>8203012</v>
      </c>
      <c r="C266" s="128" t="s">
        <v>530</v>
      </c>
      <c r="D266" s="128" t="s">
        <v>407</v>
      </c>
      <c r="E266" s="129" t="s">
        <v>513</v>
      </c>
      <c r="F266" s="274"/>
      <c r="G266" s="130">
        <f>+SUMIFS(TablaIngresos[Cantidad],TablaIngresos[Código],'Inventario '!B266)</f>
        <v>0</v>
      </c>
      <c r="H266" s="130">
        <f t="shared" si="265"/>
        <v>0</v>
      </c>
      <c r="I266" s="131">
        <f>SUMIFS(TablaConsumos[[CANTIDAD ]:[CANTIDAD ]],TablaConsumos[[CÓDIGO]:[CÓDIGO]],'Inventario '!$B266,TablaConsumos[[Planta]:[Planta]],'Inventario '!I$1)</f>
        <v>0</v>
      </c>
      <c r="J266" s="131">
        <f>SUMIFS(TablaConsumos[[CANTIDAD ]:[CANTIDAD ]],TablaConsumos[[CÓDIGO]:[CÓDIGO]],'Inventario '!$B266,TablaConsumos[[Planta]:[Planta]],'Inventario '!J$1)</f>
        <v>0</v>
      </c>
      <c r="K266" s="131">
        <f>SUMIFS(TablaConsumos[[CANTIDAD ]:[CANTIDAD ]],TablaConsumos[[CÓDIGO]:[CÓDIGO]],'Inventario '!$B266,TablaConsumos[[Planta]:[Planta]],'Inventario '!K$1)</f>
        <v>0</v>
      </c>
      <c r="L266" s="131">
        <f>SUMIFS(TablaConsumos[[CANTIDAD ]:[CANTIDAD ]],TablaConsumos[[CÓDIGO]:[CÓDIGO]],'Inventario '!$B266,TablaConsumos[[Planta]:[Planta]],'Inventario '!L$1)</f>
        <v>0</v>
      </c>
      <c r="M266" s="131">
        <f>SUMIFS(TablaConsumos[[CANTIDAD ]:[CANTIDAD ]],TablaConsumos[[CÓDIGO]:[CÓDIGO]],'Inventario '!$B266,TablaConsumos[[Planta]:[Planta]],'Inventario '!M$1)</f>
        <v>0</v>
      </c>
      <c r="N266" s="131">
        <f>SUMIFS(TablaConsumos[[CANTIDAD ]:[CANTIDAD ]],TablaConsumos[[CÓDIGO]:[CÓDIGO]],'Inventario '!$B266,TablaConsumos[[Planta]:[Planta]],'Inventario '!N$1)</f>
        <v>0</v>
      </c>
      <c r="O266" s="131">
        <f>SUMIFS(TablaConsumos[[CANTIDAD ]:[CANTIDAD ]],TablaConsumos[[CÓDIGO]:[CÓDIGO]],'Inventario '!$B266,TablaConsumos[[Planta]:[Planta]],'Inventario '!O$1)</f>
        <v>0</v>
      </c>
      <c r="P266" s="131">
        <f>SUMIFS(TablaConsumos[[CANTIDAD ]:[CANTIDAD ]],TablaConsumos[[CÓDIGO]:[CÓDIGO]],'Inventario '!$B266,TablaConsumos[[Planta]:[Planta]],'Inventario '!P$1)</f>
        <v>0</v>
      </c>
      <c r="Q266" s="131">
        <f>SUMIFS(TablaConsumos[[CANTIDAD ]:[CANTIDAD ]],TablaConsumos[[CÓDIGO]:[CÓDIGO]],'Inventario '!$B266,TablaConsumos[[Planta]:[Planta]],'Inventario '!Q$1)</f>
        <v>0</v>
      </c>
      <c r="R266" s="131">
        <f>SUMIFS(TablaConsumos[[CANTIDAD ]:[CANTIDAD ]],TablaConsumos[[CÓDIGO]:[CÓDIGO]],'Inventario '!$B266,TablaConsumos[[Planta]:[Planta]],'Inventario '!R$1)</f>
        <v>0</v>
      </c>
      <c r="S266" s="130">
        <f t="shared" si="266"/>
        <v>0</v>
      </c>
      <c r="T266" s="130">
        <f t="shared" si="267"/>
        <v>0</v>
      </c>
      <c r="U266" s="132"/>
      <c r="V266" s="130"/>
      <c r="W266" s="177">
        <v>1</v>
      </c>
      <c r="X266" s="132">
        <f t="shared" si="268"/>
        <v>0</v>
      </c>
      <c r="Y266" s="130">
        <f t="shared" si="269"/>
        <v>0</v>
      </c>
      <c r="Z266" s="132"/>
      <c r="AA266" s="132">
        <f t="shared" si="270"/>
        <v>0</v>
      </c>
      <c r="AB266" s="132"/>
      <c r="AC266" s="131">
        <f t="shared" si="271"/>
        <v>0</v>
      </c>
      <c r="AD266" s="131"/>
      <c r="AE266" s="130"/>
      <c r="AF266" s="130"/>
      <c r="AG266" s="168"/>
      <c r="AH266" s="134">
        <f t="shared" si="272"/>
        <v>0</v>
      </c>
      <c r="AI266" s="134">
        <f t="shared" si="273"/>
        <v>0</v>
      </c>
      <c r="AJ266" s="134">
        <f t="shared" si="274"/>
        <v>0</v>
      </c>
      <c r="AK266" s="134">
        <f t="shared" si="275"/>
        <v>0</v>
      </c>
      <c r="AL266" s="134">
        <f t="shared" si="276"/>
        <v>0</v>
      </c>
      <c r="AM266" s="134">
        <f t="shared" si="277"/>
        <v>0</v>
      </c>
      <c r="AN266" s="134">
        <f t="shared" si="278"/>
        <v>0</v>
      </c>
      <c r="AO266" s="134">
        <f t="shared" si="279"/>
        <v>0</v>
      </c>
      <c r="AP266" s="134">
        <f t="shared" si="280"/>
        <v>0</v>
      </c>
      <c r="AQ266" s="134">
        <f t="shared" si="281"/>
        <v>0</v>
      </c>
      <c r="AR266" s="134">
        <f t="shared" si="282"/>
        <v>0</v>
      </c>
      <c r="AS266" s="135">
        <f t="shared" si="283"/>
        <v>0</v>
      </c>
      <c r="AT266" s="137" t="str">
        <f t="shared" si="284"/>
        <v>0</v>
      </c>
      <c r="AU266" s="137" t="str">
        <f t="shared" si="285"/>
        <v>0</v>
      </c>
      <c r="AV266" s="137" t="str">
        <f t="shared" si="286"/>
        <v>0</v>
      </c>
      <c r="AW266" s="137" t="str">
        <f t="shared" si="287"/>
        <v>0</v>
      </c>
      <c r="AX266" s="137" t="str">
        <f t="shared" si="288"/>
        <v>0</v>
      </c>
      <c r="AY266" s="137" t="str">
        <f t="shared" si="289"/>
        <v>0</v>
      </c>
      <c r="AZ266" s="137" t="str">
        <f t="shared" si="290"/>
        <v>0</v>
      </c>
      <c r="BA266" s="137" t="str">
        <f t="shared" si="291"/>
        <v>0</v>
      </c>
      <c r="BB266" s="137" t="str">
        <f t="shared" si="292"/>
        <v>0</v>
      </c>
      <c r="BC266" s="137" t="str">
        <f t="shared" si="293"/>
        <v>0</v>
      </c>
      <c r="BD266" s="131">
        <f t="shared" si="294"/>
        <v>0</v>
      </c>
    </row>
    <row r="267" spans="2:56" ht="15" customHeight="1" x14ac:dyDescent="0.25">
      <c r="B267" s="303">
        <v>8203990</v>
      </c>
      <c r="C267" s="128" t="s">
        <v>17</v>
      </c>
      <c r="D267" s="128" t="s">
        <v>407</v>
      </c>
      <c r="E267" s="129" t="s">
        <v>519</v>
      </c>
      <c r="F267" s="274"/>
      <c r="G267" s="130">
        <f>+SUMIFS(TablaIngresos[Cantidad],TablaIngresos[Código],'Inventario '!B267)</f>
        <v>0</v>
      </c>
      <c r="H267" s="130">
        <f t="shared" si="265"/>
        <v>0</v>
      </c>
      <c r="I267" s="131">
        <f>SUMIFS(TablaConsumos[[CANTIDAD ]:[CANTIDAD ]],TablaConsumos[[CÓDIGO]:[CÓDIGO]],'Inventario '!$B267,TablaConsumos[[Planta]:[Planta]],'Inventario '!I$1)</f>
        <v>0</v>
      </c>
      <c r="J267" s="131">
        <f>SUMIFS(TablaConsumos[[CANTIDAD ]:[CANTIDAD ]],TablaConsumos[[CÓDIGO]:[CÓDIGO]],'Inventario '!$B267,TablaConsumos[[Planta]:[Planta]],'Inventario '!J$1)</f>
        <v>0</v>
      </c>
      <c r="K267" s="131">
        <f>SUMIFS(TablaConsumos[[CANTIDAD ]:[CANTIDAD ]],TablaConsumos[[CÓDIGO]:[CÓDIGO]],'Inventario '!$B267,TablaConsumos[[Planta]:[Planta]],'Inventario '!K$1)</f>
        <v>0</v>
      </c>
      <c r="L267" s="131">
        <f>SUMIFS(TablaConsumos[[CANTIDAD ]:[CANTIDAD ]],TablaConsumos[[CÓDIGO]:[CÓDIGO]],'Inventario '!$B267,TablaConsumos[[Planta]:[Planta]],'Inventario '!L$1)</f>
        <v>0</v>
      </c>
      <c r="M267" s="131">
        <f>SUMIFS(TablaConsumos[[CANTIDAD ]:[CANTIDAD ]],TablaConsumos[[CÓDIGO]:[CÓDIGO]],'Inventario '!$B267,TablaConsumos[[Planta]:[Planta]],'Inventario '!M$1)</f>
        <v>0</v>
      </c>
      <c r="N267" s="131">
        <f>SUMIFS(TablaConsumos[[CANTIDAD ]:[CANTIDAD ]],TablaConsumos[[CÓDIGO]:[CÓDIGO]],'Inventario '!$B267,TablaConsumos[[Planta]:[Planta]],'Inventario '!N$1)</f>
        <v>0</v>
      </c>
      <c r="O267" s="131">
        <f>SUMIFS(TablaConsumos[[CANTIDAD ]:[CANTIDAD ]],TablaConsumos[[CÓDIGO]:[CÓDIGO]],'Inventario '!$B267,TablaConsumos[[Planta]:[Planta]],'Inventario '!O$1)</f>
        <v>0</v>
      </c>
      <c r="P267" s="131">
        <f>SUMIFS(TablaConsumos[[CANTIDAD ]:[CANTIDAD ]],TablaConsumos[[CÓDIGO]:[CÓDIGO]],'Inventario '!$B267,TablaConsumos[[Planta]:[Planta]],'Inventario '!P$1)</f>
        <v>0</v>
      </c>
      <c r="Q267" s="131">
        <f>SUMIFS(TablaConsumos[[CANTIDAD ]:[CANTIDAD ]],TablaConsumos[[CÓDIGO]:[CÓDIGO]],'Inventario '!$B267,TablaConsumos[[Planta]:[Planta]],'Inventario '!Q$1)</f>
        <v>0</v>
      </c>
      <c r="R267" s="131">
        <f>SUMIFS(TablaConsumos[[CANTIDAD ]:[CANTIDAD ]],TablaConsumos[[CÓDIGO]:[CÓDIGO]],'Inventario '!$B267,TablaConsumos[[Planta]:[Planta]],'Inventario '!R$1)</f>
        <v>0</v>
      </c>
      <c r="S267" s="130">
        <f t="shared" si="266"/>
        <v>0</v>
      </c>
      <c r="T267" s="130">
        <f t="shared" si="267"/>
        <v>0</v>
      </c>
      <c r="U267" s="177"/>
      <c r="V267" s="130"/>
      <c r="W267" s="177">
        <v>1</v>
      </c>
      <c r="X267" s="132">
        <f t="shared" si="268"/>
        <v>0</v>
      </c>
      <c r="Y267" s="130">
        <f t="shared" si="269"/>
        <v>0</v>
      </c>
      <c r="Z267" s="132"/>
      <c r="AA267" s="132">
        <f t="shared" si="270"/>
        <v>0</v>
      </c>
      <c r="AB267" s="132"/>
      <c r="AC267" s="131">
        <f t="shared" si="271"/>
        <v>0</v>
      </c>
      <c r="AD267" s="131"/>
      <c r="AE267" s="130"/>
      <c r="AF267" s="130"/>
      <c r="AG267" s="168"/>
      <c r="AH267" s="134">
        <f t="shared" si="272"/>
        <v>0</v>
      </c>
      <c r="AI267" s="134">
        <f t="shared" si="273"/>
        <v>0</v>
      </c>
      <c r="AJ267" s="134">
        <f t="shared" si="274"/>
        <v>0</v>
      </c>
      <c r="AK267" s="134">
        <f t="shared" si="275"/>
        <v>0</v>
      </c>
      <c r="AL267" s="134">
        <f t="shared" si="276"/>
        <v>0</v>
      </c>
      <c r="AM267" s="134">
        <f t="shared" si="277"/>
        <v>0</v>
      </c>
      <c r="AN267" s="134">
        <f t="shared" si="278"/>
        <v>0</v>
      </c>
      <c r="AO267" s="134">
        <f t="shared" si="279"/>
        <v>0</v>
      </c>
      <c r="AP267" s="134">
        <f t="shared" si="280"/>
        <v>0</v>
      </c>
      <c r="AQ267" s="134">
        <f t="shared" si="281"/>
        <v>0</v>
      </c>
      <c r="AR267" s="134">
        <f t="shared" si="282"/>
        <v>0</v>
      </c>
      <c r="AS267" s="135">
        <f t="shared" si="283"/>
        <v>0</v>
      </c>
      <c r="AT267" s="137" t="str">
        <f t="shared" si="284"/>
        <v>0</v>
      </c>
      <c r="AU267" s="137" t="str">
        <f t="shared" si="285"/>
        <v>0</v>
      </c>
      <c r="AV267" s="137" t="str">
        <f t="shared" si="286"/>
        <v>0</v>
      </c>
      <c r="AW267" s="137" t="str">
        <f t="shared" si="287"/>
        <v>0</v>
      </c>
      <c r="AX267" s="137" t="str">
        <f t="shared" si="288"/>
        <v>0</v>
      </c>
      <c r="AY267" s="137" t="str">
        <f t="shared" si="289"/>
        <v>0</v>
      </c>
      <c r="AZ267" s="137" t="str">
        <f t="shared" si="290"/>
        <v>0</v>
      </c>
      <c r="BA267" s="137" t="str">
        <f t="shared" si="291"/>
        <v>0</v>
      </c>
      <c r="BB267" s="137" t="str">
        <f t="shared" si="292"/>
        <v>0</v>
      </c>
      <c r="BC267" s="137" t="str">
        <f t="shared" si="293"/>
        <v>0</v>
      </c>
      <c r="BD267" s="131">
        <f t="shared" si="294"/>
        <v>0</v>
      </c>
    </row>
    <row r="268" spans="2:56" ht="15" customHeight="1" x14ac:dyDescent="0.25">
      <c r="B268" s="127">
        <v>8201522</v>
      </c>
      <c r="C268" s="128" t="s">
        <v>530</v>
      </c>
      <c r="D268" s="128" t="s">
        <v>407</v>
      </c>
      <c r="E268" s="129" t="s">
        <v>521</v>
      </c>
      <c r="F268" s="274"/>
      <c r="G268" s="130">
        <f>+SUMIFS(TablaIngresos[Cantidad],TablaIngresos[Código],'Inventario '!B268)</f>
        <v>0</v>
      </c>
      <c r="H268" s="130">
        <f t="shared" si="265"/>
        <v>0</v>
      </c>
      <c r="I268" s="131">
        <f>SUMIFS(TablaConsumos[[CANTIDAD ]:[CANTIDAD ]],TablaConsumos[[CÓDIGO]:[CÓDIGO]],'Inventario '!$B268,TablaConsumos[[Planta]:[Planta]],'Inventario '!I$1)</f>
        <v>0</v>
      </c>
      <c r="J268" s="131">
        <f>SUMIFS(TablaConsumos[[CANTIDAD ]:[CANTIDAD ]],TablaConsumos[[CÓDIGO]:[CÓDIGO]],'Inventario '!$B268,TablaConsumos[[Planta]:[Planta]],'Inventario '!J$1)</f>
        <v>0</v>
      </c>
      <c r="K268" s="131">
        <f>SUMIFS(TablaConsumos[[CANTIDAD ]:[CANTIDAD ]],TablaConsumos[[CÓDIGO]:[CÓDIGO]],'Inventario '!$B268,TablaConsumos[[Planta]:[Planta]],'Inventario '!K$1)</f>
        <v>0</v>
      </c>
      <c r="L268" s="131">
        <f>SUMIFS(TablaConsumos[[CANTIDAD ]:[CANTIDAD ]],TablaConsumos[[CÓDIGO]:[CÓDIGO]],'Inventario '!$B268,TablaConsumos[[Planta]:[Planta]],'Inventario '!L$1)</f>
        <v>0</v>
      </c>
      <c r="M268" s="131">
        <f>SUMIFS(TablaConsumos[[CANTIDAD ]:[CANTIDAD ]],TablaConsumos[[CÓDIGO]:[CÓDIGO]],'Inventario '!$B268,TablaConsumos[[Planta]:[Planta]],'Inventario '!M$1)</f>
        <v>0</v>
      </c>
      <c r="N268" s="131">
        <f>SUMIFS(TablaConsumos[[CANTIDAD ]:[CANTIDAD ]],TablaConsumos[[CÓDIGO]:[CÓDIGO]],'Inventario '!$B268,TablaConsumos[[Planta]:[Planta]],'Inventario '!N$1)</f>
        <v>0</v>
      </c>
      <c r="O268" s="131">
        <f>SUMIFS(TablaConsumos[[CANTIDAD ]:[CANTIDAD ]],TablaConsumos[[CÓDIGO]:[CÓDIGO]],'Inventario '!$B268,TablaConsumos[[Planta]:[Planta]],'Inventario '!O$1)</f>
        <v>0</v>
      </c>
      <c r="P268" s="131">
        <f>SUMIFS(TablaConsumos[[CANTIDAD ]:[CANTIDAD ]],TablaConsumos[[CÓDIGO]:[CÓDIGO]],'Inventario '!$B268,TablaConsumos[[Planta]:[Planta]],'Inventario '!P$1)</f>
        <v>0</v>
      </c>
      <c r="Q268" s="131">
        <f>SUMIFS(TablaConsumos[[CANTIDAD ]:[CANTIDAD ]],TablaConsumos[[CÓDIGO]:[CÓDIGO]],'Inventario '!$B268,TablaConsumos[[Planta]:[Planta]],'Inventario '!Q$1)</f>
        <v>0</v>
      </c>
      <c r="R268" s="131">
        <f>SUMIFS(TablaConsumos[[CANTIDAD ]:[CANTIDAD ]],TablaConsumos[[CÓDIGO]:[CÓDIGO]],'Inventario '!$B268,TablaConsumos[[Planta]:[Planta]],'Inventario '!R$1)</f>
        <v>0</v>
      </c>
      <c r="S268" s="130">
        <f t="shared" si="266"/>
        <v>0</v>
      </c>
      <c r="T268" s="130">
        <f t="shared" si="267"/>
        <v>0</v>
      </c>
      <c r="U268" s="132"/>
      <c r="V268" s="130"/>
      <c r="W268" s="177">
        <v>1</v>
      </c>
      <c r="X268" s="132">
        <f t="shared" si="268"/>
        <v>0</v>
      </c>
      <c r="Y268" s="130">
        <f t="shared" si="269"/>
        <v>0</v>
      </c>
      <c r="Z268" s="132"/>
      <c r="AA268" s="132">
        <f t="shared" si="270"/>
        <v>0</v>
      </c>
      <c r="AB268" s="132"/>
      <c r="AC268" s="131">
        <f t="shared" si="271"/>
        <v>0</v>
      </c>
      <c r="AD268" s="131"/>
      <c r="AE268" s="130"/>
      <c r="AF268" s="130"/>
      <c r="AG268" s="168"/>
      <c r="AH268" s="134">
        <f t="shared" si="272"/>
        <v>0</v>
      </c>
      <c r="AI268" s="134">
        <f t="shared" si="273"/>
        <v>0</v>
      </c>
      <c r="AJ268" s="134">
        <f t="shared" si="274"/>
        <v>0</v>
      </c>
      <c r="AK268" s="134">
        <f t="shared" si="275"/>
        <v>0</v>
      </c>
      <c r="AL268" s="134">
        <f t="shared" si="276"/>
        <v>0</v>
      </c>
      <c r="AM268" s="134">
        <f t="shared" si="277"/>
        <v>0</v>
      </c>
      <c r="AN268" s="134">
        <f t="shared" si="278"/>
        <v>0</v>
      </c>
      <c r="AO268" s="134">
        <f t="shared" si="279"/>
        <v>0</v>
      </c>
      <c r="AP268" s="134">
        <f t="shared" si="280"/>
        <v>0</v>
      </c>
      <c r="AQ268" s="134">
        <f t="shared" si="281"/>
        <v>0</v>
      </c>
      <c r="AR268" s="134">
        <f t="shared" si="282"/>
        <v>0</v>
      </c>
      <c r="AS268" s="135">
        <f t="shared" si="283"/>
        <v>0</v>
      </c>
      <c r="AT268" s="137" t="str">
        <f t="shared" si="284"/>
        <v>0</v>
      </c>
      <c r="AU268" s="137" t="str">
        <f t="shared" si="285"/>
        <v>0</v>
      </c>
      <c r="AV268" s="137" t="str">
        <f t="shared" si="286"/>
        <v>0</v>
      </c>
      <c r="AW268" s="137" t="str">
        <f t="shared" si="287"/>
        <v>0</v>
      </c>
      <c r="AX268" s="137" t="str">
        <f t="shared" si="288"/>
        <v>0</v>
      </c>
      <c r="AY268" s="137" t="str">
        <f t="shared" si="289"/>
        <v>0</v>
      </c>
      <c r="AZ268" s="137" t="str">
        <f t="shared" si="290"/>
        <v>0</v>
      </c>
      <c r="BA268" s="137" t="str">
        <f t="shared" si="291"/>
        <v>0</v>
      </c>
      <c r="BB268" s="137" t="str">
        <f t="shared" si="292"/>
        <v>0</v>
      </c>
      <c r="BC268" s="137" t="str">
        <f t="shared" si="293"/>
        <v>0</v>
      </c>
      <c r="BD268" s="131">
        <f t="shared" si="294"/>
        <v>0</v>
      </c>
    </row>
    <row r="269" spans="2:56" ht="15" customHeight="1" x14ac:dyDescent="0.25">
      <c r="B269" s="127">
        <v>8203900</v>
      </c>
      <c r="C269" s="128" t="s">
        <v>17</v>
      </c>
      <c r="D269" s="128" t="s">
        <v>798</v>
      </c>
      <c r="E269" s="129" t="s">
        <v>522</v>
      </c>
      <c r="F269" s="274"/>
      <c r="G269" s="130">
        <f>+SUMIFS(TablaIngresos[Cantidad],TablaIngresos[Código],'Inventario '!B269)</f>
        <v>0</v>
      </c>
      <c r="H269" s="130">
        <f t="shared" si="265"/>
        <v>0</v>
      </c>
      <c r="I269" s="131">
        <f>SUMIFS(TablaConsumos[[CANTIDAD ]:[CANTIDAD ]],TablaConsumos[[CÓDIGO]:[CÓDIGO]],'Inventario '!$B269,TablaConsumos[[Planta]:[Planta]],'Inventario '!I$1)</f>
        <v>0</v>
      </c>
      <c r="J269" s="131">
        <f>SUMIFS(TablaConsumos[[CANTIDAD ]:[CANTIDAD ]],TablaConsumos[[CÓDIGO]:[CÓDIGO]],'Inventario '!$B269,TablaConsumos[[Planta]:[Planta]],'Inventario '!J$1)</f>
        <v>0</v>
      </c>
      <c r="K269" s="131">
        <f>SUMIFS(TablaConsumos[[CANTIDAD ]:[CANTIDAD ]],TablaConsumos[[CÓDIGO]:[CÓDIGO]],'Inventario '!$B269,TablaConsumos[[Planta]:[Planta]],'Inventario '!K$1)</f>
        <v>0</v>
      </c>
      <c r="L269" s="131">
        <f>SUMIFS(TablaConsumos[[CANTIDAD ]:[CANTIDAD ]],TablaConsumos[[CÓDIGO]:[CÓDIGO]],'Inventario '!$B269,TablaConsumos[[Planta]:[Planta]],'Inventario '!L$1)</f>
        <v>0</v>
      </c>
      <c r="M269" s="131">
        <f>SUMIFS(TablaConsumos[[CANTIDAD ]:[CANTIDAD ]],TablaConsumos[[CÓDIGO]:[CÓDIGO]],'Inventario '!$B269,TablaConsumos[[Planta]:[Planta]],'Inventario '!M$1)</f>
        <v>0</v>
      </c>
      <c r="N269" s="131">
        <f>SUMIFS(TablaConsumos[[CANTIDAD ]:[CANTIDAD ]],TablaConsumos[[CÓDIGO]:[CÓDIGO]],'Inventario '!$B269,TablaConsumos[[Planta]:[Planta]],'Inventario '!N$1)</f>
        <v>0</v>
      </c>
      <c r="O269" s="131">
        <f>SUMIFS(TablaConsumos[[CANTIDAD ]:[CANTIDAD ]],TablaConsumos[[CÓDIGO]:[CÓDIGO]],'Inventario '!$B269,TablaConsumos[[Planta]:[Planta]],'Inventario '!O$1)</f>
        <v>0</v>
      </c>
      <c r="P269" s="131">
        <f>SUMIFS(TablaConsumos[[CANTIDAD ]:[CANTIDAD ]],TablaConsumos[[CÓDIGO]:[CÓDIGO]],'Inventario '!$B269,TablaConsumos[[Planta]:[Planta]],'Inventario '!P$1)</f>
        <v>0</v>
      </c>
      <c r="Q269" s="131">
        <f>SUMIFS(TablaConsumos[[CANTIDAD ]:[CANTIDAD ]],TablaConsumos[[CÓDIGO]:[CÓDIGO]],'Inventario '!$B269,TablaConsumos[[Planta]:[Planta]],'Inventario '!Q$1)</f>
        <v>0</v>
      </c>
      <c r="R269" s="131">
        <f>SUMIFS(TablaConsumos[[CANTIDAD ]:[CANTIDAD ]],TablaConsumos[[CÓDIGO]:[CÓDIGO]],'Inventario '!$B269,TablaConsumos[[Planta]:[Planta]],'Inventario '!R$1)</f>
        <v>0</v>
      </c>
      <c r="S269" s="130">
        <f t="shared" si="266"/>
        <v>0</v>
      </c>
      <c r="T269" s="130">
        <f t="shared" si="267"/>
        <v>0</v>
      </c>
      <c r="U269" s="296"/>
      <c r="V269" s="130"/>
      <c r="W269" s="177">
        <v>1</v>
      </c>
      <c r="X269" s="132">
        <f t="shared" si="268"/>
        <v>0</v>
      </c>
      <c r="Y269" s="130">
        <f t="shared" si="269"/>
        <v>0</v>
      </c>
      <c r="Z269" s="132"/>
      <c r="AA269" s="132">
        <f t="shared" si="270"/>
        <v>0</v>
      </c>
      <c r="AB269" s="132"/>
      <c r="AC269" s="131">
        <f t="shared" si="271"/>
        <v>0</v>
      </c>
      <c r="AD269" s="131"/>
      <c r="AE269" s="130"/>
      <c r="AF269" s="130"/>
      <c r="AG269" s="168"/>
      <c r="AH269" s="134">
        <f t="shared" si="272"/>
        <v>0</v>
      </c>
      <c r="AI269" s="134">
        <f t="shared" si="273"/>
        <v>0</v>
      </c>
      <c r="AJ269" s="134">
        <f t="shared" si="274"/>
        <v>0</v>
      </c>
      <c r="AK269" s="134">
        <f t="shared" si="275"/>
        <v>0</v>
      </c>
      <c r="AL269" s="134">
        <f t="shared" si="276"/>
        <v>0</v>
      </c>
      <c r="AM269" s="134">
        <f t="shared" si="277"/>
        <v>0</v>
      </c>
      <c r="AN269" s="134">
        <f t="shared" si="278"/>
        <v>0</v>
      </c>
      <c r="AO269" s="134">
        <f t="shared" si="279"/>
        <v>0</v>
      </c>
      <c r="AP269" s="134">
        <f t="shared" si="280"/>
        <v>0</v>
      </c>
      <c r="AQ269" s="134">
        <f t="shared" si="281"/>
        <v>0</v>
      </c>
      <c r="AR269" s="134">
        <f t="shared" si="282"/>
        <v>0</v>
      </c>
      <c r="AS269" s="135">
        <f t="shared" si="283"/>
        <v>0</v>
      </c>
      <c r="AT269" s="137" t="str">
        <f t="shared" si="284"/>
        <v>0</v>
      </c>
      <c r="AU269" s="137" t="str">
        <f t="shared" si="285"/>
        <v>0</v>
      </c>
      <c r="AV269" s="137" t="str">
        <f t="shared" si="286"/>
        <v>0</v>
      </c>
      <c r="AW269" s="137" t="str">
        <f t="shared" si="287"/>
        <v>0</v>
      </c>
      <c r="AX269" s="137" t="str">
        <f t="shared" si="288"/>
        <v>0</v>
      </c>
      <c r="AY269" s="137" t="str">
        <f t="shared" si="289"/>
        <v>0</v>
      </c>
      <c r="AZ269" s="137" t="str">
        <f t="shared" si="290"/>
        <v>0</v>
      </c>
      <c r="BA269" s="137" t="str">
        <f t="shared" si="291"/>
        <v>0</v>
      </c>
      <c r="BB269" s="137" t="str">
        <f t="shared" si="292"/>
        <v>0</v>
      </c>
      <c r="BC269" s="137" t="str">
        <f t="shared" si="293"/>
        <v>0</v>
      </c>
      <c r="BD269" s="131">
        <f t="shared" si="294"/>
        <v>0</v>
      </c>
    </row>
    <row r="270" spans="2:56" ht="15" customHeight="1" x14ac:dyDescent="0.25">
      <c r="B270" s="136">
        <v>8204470</v>
      </c>
      <c r="C270" s="128" t="s">
        <v>17</v>
      </c>
      <c r="D270" s="128" t="s">
        <v>802</v>
      </c>
      <c r="E270" s="129" t="s">
        <v>523</v>
      </c>
      <c r="F270" s="274"/>
      <c r="G270" s="130">
        <f>+SUMIFS(TablaIngresos[Cantidad],TablaIngresos[Código],'Inventario '!B270)</f>
        <v>0</v>
      </c>
      <c r="H270" s="130">
        <f t="shared" si="265"/>
        <v>0</v>
      </c>
      <c r="I270" s="131">
        <f>SUMIFS(TablaConsumos[[CANTIDAD ]:[CANTIDAD ]],TablaConsumos[[CÓDIGO]:[CÓDIGO]],'Inventario '!$B270,TablaConsumos[[Planta]:[Planta]],'Inventario '!I$1)</f>
        <v>0</v>
      </c>
      <c r="J270" s="131">
        <f>SUMIFS(TablaConsumos[[CANTIDAD ]:[CANTIDAD ]],TablaConsumos[[CÓDIGO]:[CÓDIGO]],'Inventario '!$B270,TablaConsumos[[Planta]:[Planta]],'Inventario '!J$1)</f>
        <v>0</v>
      </c>
      <c r="K270" s="131">
        <f>SUMIFS(TablaConsumos[[CANTIDAD ]:[CANTIDAD ]],TablaConsumos[[CÓDIGO]:[CÓDIGO]],'Inventario '!$B270,TablaConsumos[[Planta]:[Planta]],'Inventario '!K$1)</f>
        <v>0</v>
      </c>
      <c r="L270" s="131">
        <f>SUMIFS(TablaConsumos[[CANTIDAD ]:[CANTIDAD ]],TablaConsumos[[CÓDIGO]:[CÓDIGO]],'Inventario '!$B270,TablaConsumos[[Planta]:[Planta]],'Inventario '!L$1)</f>
        <v>0</v>
      </c>
      <c r="M270" s="131">
        <f>SUMIFS(TablaConsumos[[CANTIDAD ]:[CANTIDAD ]],TablaConsumos[[CÓDIGO]:[CÓDIGO]],'Inventario '!$B270,TablaConsumos[[Planta]:[Planta]],'Inventario '!M$1)</f>
        <v>0</v>
      </c>
      <c r="N270" s="131">
        <f>SUMIFS(TablaConsumos[[CANTIDAD ]:[CANTIDAD ]],TablaConsumos[[CÓDIGO]:[CÓDIGO]],'Inventario '!$B270,TablaConsumos[[Planta]:[Planta]],'Inventario '!N$1)</f>
        <v>0</v>
      </c>
      <c r="O270" s="131">
        <f>SUMIFS(TablaConsumos[[CANTIDAD ]:[CANTIDAD ]],TablaConsumos[[CÓDIGO]:[CÓDIGO]],'Inventario '!$B270,TablaConsumos[[Planta]:[Planta]],'Inventario '!O$1)</f>
        <v>0</v>
      </c>
      <c r="P270" s="131">
        <f>SUMIFS(TablaConsumos[[CANTIDAD ]:[CANTIDAD ]],TablaConsumos[[CÓDIGO]:[CÓDIGO]],'Inventario '!$B270,TablaConsumos[[Planta]:[Planta]],'Inventario '!P$1)</f>
        <v>0</v>
      </c>
      <c r="Q270" s="131">
        <f>SUMIFS(TablaConsumos[[CANTIDAD ]:[CANTIDAD ]],TablaConsumos[[CÓDIGO]:[CÓDIGO]],'Inventario '!$B270,TablaConsumos[[Planta]:[Planta]],'Inventario '!Q$1)</f>
        <v>0</v>
      </c>
      <c r="R270" s="131">
        <f>SUMIFS(TablaConsumos[[CANTIDAD ]:[CANTIDAD ]],TablaConsumos[[CÓDIGO]:[CÓDIGO]],'Inventario '!$B270,TablaConsumos[[Planta]:[Planta]],'Inventario '!R$1)</f>
        <v>0</v>
      </c>
      <c r="S270" s="130">
        <f t="shared" si="266"/>
        <v>0</v>
      </c>
      <c r="T270" s="130">
        <f t="shared" si="267"/>
        <v>0</v>
      </c>
      <c r="U270" s="132"/>
      <c r="V270" s="130"/>
      <c r="W270" s="177">
        <v>1</v>
      </c>
      <c r="X270" s="132">
        <f t="shared" si="268"/>
        <v>0</v>
      </c>
      <c r="Y270" s="130">
        <f t="shared" si="269"/>
        <v>0</v>
      </c>
      <c r="Z270" s="132"/>
      <c r="AA270" s="132">
        <f t="shared" si="270"/>
        <v>0</v>
      </c>
      <c r="AB270" s="132"/>
      <c r="AC270" s="131">
        <f t="shared" si="271"/>
        <v>0</v>
      </c>
      <c r="AD270" s="131"/>
      <c r="AE270" s="130"/>
      <c r="AF270" s="130"/>
      <c r="AG270" s="168"/>
      <c r="AH270" s="134">
        <f t="shared" si="272"/>
        <v>0</v>
      </c>
      <c r="AI270" s="134">
        <f t="shared" si="273"/>
        <v>0</v>
      </c>
      <c r="AJ270" s="134">
        <f t="shared" si="274"/>
        <v>0</v>
      </c>
      <c r="AK270" s="134">
        <f t="shared" si="275"/>
        <v>0</v>
      </c>
      <c r="AL270" s="134">
        <f t="shared" si="276"/>
        <v>0</v>
      </c>
      <c r="AM270" s="134">
        <f t="shared" si="277"/>
        <v>0</v>
      </c>
      <c r="AN270" s="134">
        <f t="shared" si="278"/>
        <v>0</v>
      </c>
      <c r="AO270" s="134">
        <f t="shared" si="279"/>
        <v>0</v>
      </c>
      <c r="AP270" s="134">
        <f t="shared" si="280"/>
        <v>0</v>
      </c>
      <c r="AQ270" s="134">
        <f t="shared" si="281"/>
        <v>0</v>
      </c>
      <c r="AR270" s="134">
        <f t="shared" si="282"/>
        <v>0</v>
      </c>
      <c r="AS270" s="135">
        <f t="shared" si="283"/>
        <v>0</v>
      </c>
      <c r="AT270" s="137" t="str">
        <f t="shared" si="284"/>
        <v>0</v>
      </c>
      <c r="AU270" s="137" t="str">
        <f t="shared" si="285"/>
        <v>0</v>
      </c>
      <c r="AV270" s="137" t="str">
        <f t="shared" si="286"/>
        <v>0</v>
      </c>
      <c r="AW270" s="137" t="str">
        <f t="shared" si="287"/>
        <v>0</v>
      </c>
      <c r="AX270" s="137" t="str">
        <f t="shared" si="288"/>
        <v>0</v>
      </c>
      <c r="AY270" s="137" t="str">
        <f t="shared" si="289"/>
        <v>0</v>
      </c>
      <c r="AZ270" s="137" t="str">
        <f t="shared" si="290"/>
        <v>0</v>
      </c>
      <c r="BA270" s="137" t="str">
        <f t="shared" si="291"/>
        <v>0</v>
      </c>
      <c r="BB270" s="137" t="str">
        <f t="shared" si="292"/>
        <v>0</v>
      </c>
      <c r="BC270" s="137" t="str">
        <f t="shared" si="293"/>
        <v>0</v>
      </c>
      <c r="BD270" s="131">
        <f t="shared" si="294"/>
        <v>0</v>
      </c>
    </row>
    <row r="271" spans="2:56" ht="15" customHeight="1" x14ac:dyDescent="0.25">
      <c r="B271" s="136">
        <v>7840311</v>
      </c>
      <c r="C271" s="128" t="s">
        <v>17</v>
      </c>
      <c r="D271" s="128" t="s">
        <v>802</v>
      </c>
      <c r="E271" s="129" t="s">
        <v>524</v>
      </c>
      <c r="F271" s="274"/>
      <c r="G271" s="130">
        <f>+SUMIFS(TablaIngresos[Cantidad],TablaIngresos[Código],'Inventario '!B271)</f>
        <v>0</v>
      </c>
      <c r="H271" s="130">
        <f t="shared" si="265"/>
        <v>0</v>
      </c>
      <c r="I271" s="131">
        <f>SUMIFS(TablaConsumos[[CANTIDAD ]:[CANTIDAD ]],TablaConsumos[[CÓDIGO]:[CÓDIGO]],'Inventario '!$B271,TablaConsumos[[Planta]:[Planta]],'Inventario '!I$1)</f>
        <v>0</v>
      </c>
      <c r="J271" s="131">
        <f>SUMIFS(TablaConsumos[[CANTIDAD ]:[CANTIDAD ]],TablaConsumos[[CÓDIGO]:[CÓDIGO]],'Inventario '!$B271,TablaConsumos[[Planta]:[Planta]],'Inventario '!J$1)</f>
        <v>0</v>
      </c>
      <c r="K271" s="131">
        <f>SUMIFS(TablaConsumos[[CANTIDAD ]:[CANTIDAD ]],TablaConsumos[[CÓDIGO]:[CÓDIGO]],'Inventario '!$B271,TablaConsumos[[Planta]:[Planta]],'Inventario '!K$1)</f>
        <v>0</v>
      </c>
      <c r="L271" s="131">
        <f>SUMIFS(TablaConsumos[[CANTIDAD ]:[CANTIDAD ]],TablaConsumos[[CÓDIGO]:[CÓDIGO]],'Inventario '!$B271,TablaConsumos[[Planta]:[Planta]],'Inventario '!L$1)</f>
        <v>0</v>
      </c>
      <c r="M271" s="131">
        <f>SUMIFS(TablaConsumos[[CANTIDAD ]:[CANTIDAD ]],TablaConsumos[[CÓDIGO]:[CÓDIGO]],'Inventario '!$B271,TablaConsumos[[Planta]:[Planta]],'Inventario '!M$1)</f>
        <v>0</v>
      </c>
      <c r="N271" s="131">
        <f>SUMIFS(TablaConsumos[[CANTIDAD ]:[CANTIDAD ]],TablaConsumos[[CÓDIGO]:[CÓDIGO]],'Inventario '!$B271,TablaConsumos[[Planta]:[Planta]],'Inventario '!N$1)</f>
        <v>0</v>
      </c>
      <c r="O271" s="131">
        <f>SUMIFS(TablaConsumos[[CANTIDAD ]:[CANTIDAD ]],TablaConsumos[[CÓDIGO]:[CÓDIGO]],'Inventario '!$B271,TablaConsumos[[Planta]:[Planta]],'Inventario '!O$1)</f>
        <v>0</v>
      </c>
      <c r="P271" s="131">
        <f>SUMIFS(TablaConsumos[[CANTIDAD ]:[CANTIDAD ]],TablaConsumos[[CÓDIGO]:[CÓDIGO]],'Inventario '!$B271,TablaConsumos[[Planta]:[Planta]],'Inventario '!P$1)</f>
        <v>0</v>
      </c>
      <c r="Q271" s="131">
        <f>SUMIFS(TablaConsumos[[CANTIDAD ]:[CANTIDAD ]],TablaConsumos[[CÓDIGO]:[CÓDIGO]],'Inventario '!$B271,TablaConsumos[[Planta]:[Planta]],'Inventario '!Q$1)</f>
        <v>0</v>
      </c>
      <c r="R271" s="131">
        <f>SUMIFS(TablaConsumos[[CANTIDAD ]:[CANTIDAD ]],TablaConsumos[[CÓDIGO]:[CÓDIGO]],'Inventario '!$B271,TablaConsumos[[Planta]:[Planta]],'Inventario '!R$1)</f>
        <v>0</v>
      </c>
      <c r="S271" s="130">
        <f t="shared" si="266"/>
        <v>0</v>
      </c>
      <c r="T271" s="130">
        <f t="shared" si="267"/>
        <v>0</v>
      </c>
      <c r="U271" s="132"/>
      <c r="V271" s="130"/>
      <c r="W271" s="177">
        <v>1</v>
      </c>
      <c r="X271" s="132">
        <f t="shared" si="268"/>
        <v>0</v>
      </c>
      <c r="Y271" s="130">
        <f t="shared" si="269"/>
        <v>0</v>
      </c>
      <c r="Z271" s="132"/>
      <c r="AA271" s="132">
        <f t="shared" si="270"/>
        <v>0</v>
      </c>
      <c r="AB271" s="132"/>
      <c r="AC271" s="131">
        <f t="shared" si="271"/>
        <v>0</v>
      </c>
      <c r="AD271" s="131"/>
      <c r="AE271" s="130"/>
      <c r="AF271" s="130"/>
      <c r="AG271" s="168"/>
      <c r="AH271" s="134">
        <f t="shared" si="272"/>
        <v>0</v>
      </c>
      <c r="AI271" s="134">
        <f t="shared" si="273"/>
        <v>0</v>
      </c>
      <c r="AJ271" s="134">
        <f t="shared" si="274"/>
        <v>0</v>
      </c>
      <c r="AK271" s="134">
        <f t="shared" si="275"/>
        <v>0</v>
      </c>
      <c r="AL271" s="134">
        <f t="shared" si="276"/>
        <v>0</v>
      </c>
      <c r="AM271" s="134">
        <f t="shared" si="277"/>
        <v>0</v>
      </c>
      <c r="AN271" s="134">
        <f t="shared" si="278"/>
        <v>0</v>
      </c>
      <c r="AO271" s="134">
        <f t="shared" si="279"/>
        <v>0</v>
      </c>
      <c r="AP271" s="134">
        <f t="shared" si="280"/>
        <v>0</v>
      </c>
      <c r="AQ271" s="134">
        <f t="shared" si="281"/>
        <v>0</v>
      </c>
      <c r="AR271" s="134">
        <f t="shared" si="282"/>
        <v>0</v>
      </c>
      <c r="AS271" s="135">
        <f t="shared" si="283"/>
        <v>0</v>
      </c>
      <c r="AT271" s="137" t="str">
        <f t="shared" si="284"/>
        <v>0</v>
      </c>
      <c r="AU271" s="137" t="str">
        <f t="shared" si="285"/>
        <v>0</v>
      </c>
      <c r="AV271" s="137" t="str">
        <f t="shared" si="286"/>
        <v>0</v>
      </c>
      <c r="AW271" s="137" t="str">
        <f t="shared" si="287"/>
        <v>0</v>
      </c>
      <c r="AX271" s="137" t="str">
        <f t="shared" si="288"/>
        <v>0</v>
      </c>
      <c r="AY271" s="137" t="str">
        <f t="shared" si="289"/>
        <v>0</v>
      </c>
      <c r="AZ271" s="137" t="str">
        <f t="shared" si="290"/>
        <v>0</v>
      </c>
      <c r="BA271" s="137" t="str">
        <f t="shared" si="291"/>
        <v>0</v>
      </c>
      <c r="BB271" s="137" t="str">
        <f t="shared" si="292"/>
        <v>0</v>
      </c>
      <c r="BC271" s="137" t="str">
        <f t="shared" si="293"/>
        <v>0</v>
      </c>
      <c r="BD271" s="131">
        <f t="shared" si="294"/>
        <v>0</v>
      </c>
    </row>
    <row r="272" spans="2:56" ht="15" customHeight="1" x14ac:dyDescent="0.25">
      <c r="B272" s="127">
        <v>7840312</v>
      </c>
      <c r="C272" s="128" t="s">
        <v>17</v>
      </c>
      <c r="D272" s="128" t="s">
        <v>802</v>
      </c>
      <c r="E272" s="129" t="s">
        <v>525</v>
      </c>
      <c r="F272" s="274"/>
      <c r="G272" s="130">
        <f>+SUMIFS(TablaIngresos[Cantidad],TablaIngresos[Código],'Inventario '!B272)</f>
        <v>0</v>
      </c>
      <c r="H272" s="130">
        <f t="shared" si="265"/>
        <v>0</v>
      </c>
      <c r="I272" s="131">
        <f>SUMIFS(TablaConsumos[[CANTIDAD ]:[CANTIDAD ]],TablaConsumos[[CÓDIGO]:[CÓDIGO]],'Inventario '!$B272,TablaConsumos[[Planta]:[Planta]],'Inventario '!I$1)</f>
        <v>0</v>
      </c>
      <c r="J272" s="131">
        <f>SUMIFS(TablaConsumos[[CANTIDAD ]:[CANTIDAD ]],TablaConsumos[[CÓDIGO]:[CÓDIGO]],'Inventario '!$B272,TablaConsumos[[Planta]:[Planta]],'Inventario '!J$1)</f>
        <v>0</v>
      </c>
      <c r="K272" s="131">
        <f>SUMIFS(TablaConsumos[[CANTIDAD ]:[CANTIDAD ]],TablaConsumos[[CÓDIGO]:[CÓDIGO]],'Inventario '!$B272,TablaConsumos[[Planta]:[Planta]],'Inventario '!K$1)</f>
        <v>0</v>
      </c>
      <c r="L272" s="131">
        <f>SUMIFS(TablaConsumos[[CANTIDAD ]:[CANTIDAD ]],TablaConsumos[[CÓDIGO]:[CÓDIGO]],'Inventario '!$B272,TablaConsumos[[Planta]:[Planta]],'Inventario '!L$1)</f>
        <v>0</v>
      </c>
      <c r="M272" s="131">
        <f>SUMIFS(TablaConsumos[[CANTIDAD ]:[CANTIDAD ]],TablaConsumos[[CÓDIGO]:[CÓDIGO]],'Inventario '!$B272,TablaConsumos[[Planta]:[Planta]],'Inventario '!M$1)</f>
        <v>0</v>
      </c>
      <c r="N272" s="131">
        <f>SUMIFS(TablaConsumos[[CANTIDAD ]:[CANTIDAD ]],TablaConsumos[[CÓDIGO]:[CÓDIGO]],'Inventario '!$B272,TablaConsumos[[Planta]:[Planta]],'Inventario '!N$1)</f>
        <v>0</v>
      </c>
      <c r="O272" s="131">
        <f>SUMIFS(TablaConsumos[[CANTIDAD ]:[CANTIDAD ]],TablaConsumos[[CÓDIGO]:[CÓDIGO]],'Inventario '!$B272,TablaConsumos[[Planta]:[Planta]],'Inventario '!O$1)</f>
        <v>0</v>
      </c>
      <c r="P272" s="131">
        <f>SUMIFS(TablaConsumos[[CANTIDAD ]:[CANTIDAD ]],TablaConsumos[[CÓDIGO]:[CÓDIGO]],'Inventario '!$B272,TablaConsumos[[Planta]:[Planta]],'Inventario '!P$1)</f>
        <v>0</v>
      </c>
      <c r="Q272" s="131">
        <f>SUMIFS(TablaConsumos[[CANTIDAD ]:[CANTIDAD ]],TablaConsumos[[CÓDIGO]:[CÓDIGO]],'Inventario '!$B272,TablaConsumos[[Planta]:[Planta]],'Inventario '!Q$1)</f>
        <v>0</v>
      </c>
      <c r="R272" s="131">
        <f>SUMIFS(TablaConsumos[[CANTIDAD ]:[CANTIDAD ]],TablaConsumos[[CÓDIGO]:[CÓDIGO]],'Inventario '!$B272,TablaConsumos[[Planta]:[Planta]],'Inventario '!R$1)</f>
        <v>0</v>
      </c>
      <c r="S272" s="130">
        <f t="shared" si="266"/>
        <v>0</v>
      </c>
      <c r="T272" s="130">
        <f t="shared" si="267"/>
        <v>0</v>
      </c>
      <c r="U272" s="132"/>
      <c r="V272" s="130"/>
      <c r="W272" s="177">
        <v>1</v>
      </c>
      <c r="X272" s="132">
        <f t="shared" si="268"/>
        <v>0</v>
      </c>
      <c r="Y272" s="130">
        <f t="shared" si="269"/>
        <v>0</v>
      </c>
      <c r="Z272" s="132"/>
      <c r="AA272" s="132">
        <f t="shared" si="270"/>
        <v>0</v>
      </c>
      <c r="AB272" s="132"/>
      <c r="AC272" s="131">
        <f t="shared" si="271"/>
        <v>0</v>
      </c>
      <c r="AD272" s="131"/>
      <c r="AE272" s="130"/>
      <c r="AF272" s="130"/>
      <c r="AG272" s="168"/>
      <c r="AH272" s="134">
        <f t="shared" si="272"/>
        <v>0</v>
      </c>
      <c r="AI272" s="134">
        <f t="shared" si="273"/>
        <v>0</v>
      </c>
      <c r="AJ272" s="134">
        <f t="shared" si="274"/>
        <v>0</v>
      </c>
      <c r="AK272" s="134">
        <f t="shared" si="275"/>
        <v>0</v>
      </c>
      <c r="AL272" s="134">
        <f t="shared" si="276"/>
        <v>0</v>
      </c>
      <c r="AM272" s="134">
        <f t="shared" si="277"/>
        <v>0</v>
      </c>
      <c r="AN272" s="134">
        <f t="shared" si="278"/>
        <v>0</v>
      </c>
      <c r="AO272" s="134">
        <f t="shared" si="279"/>
        <v>0</v>
      </c>
      <c r="AP272" s="134">
        <f t="shared" si="280"/>
        <v>0</v>
      </c>
      <c r="AQ272" s="134">
        <f t="shared" si="281"/>
        <v>0</v>
      </c>
      <c r="AR272" s="134">
        <f t="shared" si="282"/>
        <v>0</v>
      </c>
      <c r="AS272" s="135">
        <f t="shared" si="283"/>
        <v>0</v>
      </c>
      <c r="AT272" s="137" t="str">
        <f t="shared" si="284"/>
        <v>0</v>
      </c>
      <c r="AU272" s="137" t="str">
        <f t="shared" si="285"/>
        <v>0</v>
      </c>
      <c r="AV272" s="137" t="str">
        <f t="shared" si="286"/>
        <v>0</v>
      </c>
      <c r="AW272" s="137" t="str">
        <f t="shared" si="287"/>
        <v>0</v>
      </c>
      <c r="AX272" s="137" t="str">
        <f t="shared" si="288"/>
        <v>0</v>
      </c>
      <c r="AY272" s="137" t="str">
        <f t="shared" si="289"/>
        <v>0</v>
      </c>
      <c r="AZ272" s="137" t="str">
        <f t="shared" si="290"/>
        <v>0</v>
      </c>
      <c r="BA272" s="137" t="str">
        <f t="shared" si="291"/>
        <v>0</v>
      </c>
      <c r="BB272" s="137" t="str">
        <f t="shared" si="292"/>
        <v>0</v>
      </c>
      <c r="BC272" s="137" t="str">
        <f t="shared" si="293"/>
        <v>0</v>
      </c>
      <c r="BD272" s="131">
        <f t="shared" si="294"/>
        <v>0</v>
      </c>
    </row>
    <row r="273" spans="2:56" ht="15" customHeight="1" x14ac:dyDescent="0.25">
      <c r="B273" s="127">
        <v>3415801</v>
      </c>
      <c r="C273" s="128" t="s">
        <v>17</v>
      </c>
      <c r="D273" s="128" t="s">
        <v>407</v>
      </c>
      <c r="E273" s="129" t="s">
        <v>536</v>
      </c>
      <c r="F273" s="274"/>
      <c r="G273" s="130">
        <f>+SUMIFS(TablaIngresos[Cantidad],TablaIngresos[Código],'Inventario '!B273)</f>
        <v>0</v>
      </c>
      <c r="H273" s="130">
        <f t="shared" si="265"/>
        <v>0</v>
      </c>
      <c r="I273" s="131">
        <f>SUMIFS(TablaConsumos[[CANTIDAD ]:[CANTIDAD ]],TablaConsumos[[CÓDIGO]:[CÓDIGO]],'Inventario '!$B273,TablaConsumos[[Planta]:[Planta]],'Inventario '!I$1)</f>
        <v>0</v>
      </c>
      <c r="J273" s="131">
        <f>SUMIFS(TablaConsumos[[CANTIDAD ]:[CANTIDAD ]],TablaConsumos[[CÓDIGO]:[CÓDIGO]],'Inventario '!$B273,TablaConsumos[[Planta]:[Planta]],'Inventario '!J$1)</f>
        <v>0</v>
      </c>
      <c r="K273" s="131">
        <f>SUMIFS(TablaConsumos[[CANTIDAD ]:[CANTIDAD ]],TablaConsumos[[CÓDIGO]:[CÓDIGO]],'Inventario '!$B273,TablaConsumos[[Planta]:[Planta]],'Inventario '!K$1)</f>
        <v>0</v>
      </c>
      <c r="L273" s="131">
        <f>SUMIFS(TablaConsumos[[CANTIDAD ]:[CANTIDAD ]],TablaConsumos[[CÓDIGO]:[CÓDIGO]],'Inventario '!$B273,TablaConsumos[[Planta]:[Planta]],'Inventario '!L$1)</f>
        <v>0</v>
      </c>
      <c r="M273" s="131">
        <f>SUMIFS(TablaConsumos[[CANTIDAD ]:[CANTIDAD ]],TablaConsumos[[CÓDIGO]:[CÓDIGO]],'Inventario '!$B273,TablaConsumos[[Planta]:[Planta]],'Inventario '!M$1)</f>
        <v>0</v>
      </c>
      <c r="N273" s="131">
        <f>SUMIFS(TablaConsumos[[CANTIDAD ]:[CANTIDAD ]],TablaConsumos[[CÓDIGO]:[CÓDIGO]],'Inventario '!$B273,TablaConsumos[[Planta]:[Planta]],'Inventario '!N$1)</f>
        <v>0</v>
      </c>
      <c r="O273" s="131">
        <f>SUMIFS(TablaConsumos[[CANTIDAD ]:[CANTIDAD ]],TablaConsumos[[CÓDIGO]:[CÓDIGO]],'Inventario '!$B273,TablaConsumos[[Planta]:[Planta]],'Inventario '!O$1)</f>
        <v>0</v>
      </c>
      <c r="P273" s="131">
        <f>SUMIFS(TablaConsumos[[CANTIDAD ]:[CANTIDAD ]],TablaConsumos[[CÓDIGO]:[CÓDIGO]],'Inventario '!$B273,TablaConsumos[[Planta]:[Planta]],'Inventario '!P$1)</f>
        <v>0</v>
      </c>
      <c r="Q273" s="131">
        <f>SUMIFS(TablaConsumos[[CANTIDAD ]:[CANTIDAD ]],TablaConsumos[[CÓDIGO]:[CÓDIGO]],'Inventario '!$B273,TablaConsumos[[Planta]:[Planta]],'Inventario '!Q$1)</f>
        <v>0</v>
      </c>
      <c r="R273" s="131">
        <f>SUMIFS(TablaConsumos[[CANTIDAD ]:[CANTIDAD ]],TablaConsumos[[CÓDIGO]:[CÓDIGO]],'Inventario '!$B273,TablaConsumos[[Planta]:[Planta]],'Inventario '!R$1)</f>
        <v>0</v>
      </c>
      <c r="S273" s="130">
        <f t="shared" si="266"/>
        <v>0</v>
      </c>
      <c r="T273" s="130">
        <f t="shared" si="267"/>
        <v>0</v>
      </c>
      <c r="U273" s="132"/>
      <c r="V273" s="130"/>
      <c r="W273" s="177">
        <v>1</v>
      </c>
      <c r="X273" s="132">
        <f t="shared" si="268"/>
        <v>0</v>
      </c>
      <c r="Y273" s="130">
        <f t="shared" si="269"/>
        <v>0</v>
      </c>
      <c r="Z273" s="132"/>
      <c r="AA273" s="132">
        <f t="shared" si="270"/>
        <v>0</v>
      </c>
      <c r="AB273" s="132"/>
      <c r="AC273" s="131">
        <f t="shared" si="271"/>
        <v>0</v>
      </c>
      <c r="AD273" s="131"/>
      <c r="AE273" s="130"/>
      <c r="AF273" s="130"/>
      <c r="AG273" s="168"/>
      <c r="AH273" s="134">
        <f t="shared" si="272"/>
        <v>0</v>
      </c>
      <c r="AI273" s="134">
        <f t="shared" si="273"/>
        <v>0</v>
      </c>
      <c r="AJ273" s="134">
        <f t="shared" si="274"/>
        <v>0</v>
      </c>
      <c r="AK273" s="134">
        <f t="shared" si="275"/>
        <v>0</v>
      </c>
      <c r="AL273" s="134">
        <f t="shared" si="276"/>
        <v>0</v>
      </c>
      <c r="AM273" s="134">
        <f t="shared" si="277"/>
        <v>0</v>
      </c>
      <c r="AN273" s="134">
        <f t="shared" si="278"/>
        <v>0</v>
      </c>
      <c r="AO273" s="134">
        <f t="shared" si="279"/>
        <v>0</v>
      </c>
      <c r="AP273" s="134">
        <f t="shared" si="280"/>
        <v>0</v>
      </c>
      <c r="AQ273" s="134">
        <f t="shared" si="281"/>
        <v>0</v>
      </c>
      <c r="AR273" s="134">
        <f t="shared" si="282"/>
        <v>0</v>
      </c>
      <c r="AS273" s="135">
        <f t="shared" si="283"/>
        <v>0</v>
      </c>
      <c r="AT273" s="137" t="str">
        <f t="shared" si="284"/>
        <v>0</v>
      </c>
      <c r="AU273" s="137" t="str">
        <f t="shared" si="285"/>
        <v>0</v>
      </c>
      <c r="AV273" s="137" t="str">
        <f t="shared" si="286"/>
        <v>0</v>
      </c>
      <c r="AW273" s="137" t="str">
        <f t="shared" si="287"/>
        <v>0</v>
      </c>
      <c r="AX273" s="137" t="str">
        <f t="shared" si="288"/>
        <v>0</v>
      </c>
      <c r="AY273" s="137" t="str">
        <f t="shared" si="289"/>
        <v>0</v>
      </c>
      <c r="AZ273" s="137" t="str">
        <f t="shared" si="290"/>
        <v>0</v>
      </c>
      <c r="BA273" s="137" t="str">
        <f t="shared" si="291"/>
        <v>0</v>
      </c>
      <c r="BB273" s="137" t="str">
        <f t="shared" si="292"/>
        <v>0</v>
      </c>
      <c r="BC273" s="137" t="str">
        <f t="shared" si="293"/>
        <v>0</v>
      </c>
      <c r="BD273" s="131">
        <f t="shared" si="294"/>
        <v>0</v>
      </c>
    </row>
    <row r="274" spans="2:56" ht="15" customHeight="1" x14ac:dyDescent="0.25">
      <c r="B274" s="127">
        <v>8204860</v>
      </c>
      <c r="C274" s="128" t="s">
        <v>17</v>
      </c>
      <c r="D274" s="128" t="s">
        <v>407</v>
      </c>
      <c r="E274" s="129" t="s">
        <v>714</v>
      </c>
      <c r="F274" s="274"/>
      <c r="G274" s="130">
        <f>+SUMIFS(TablaIngresos[Cantidad],TablaIngresos[Código],'Inventario '!B274)</f>
        <v>0</v>
      </c>
      <c r="H274" s="130">
        <f t="shared" si="265"/>
        <v>0</v>
      </c>
      <c r="I274" s="131">
        <f>SUMIFS(TablaConsumos[[CANTIDAD ]:[CANTIDAD ]],TablaConsumos[[CÓDIGO]:[CÓDIGO]],'Inventario '!$B274,TablaConsumos[[Planta]:[Planta]],'Inventario '!I$1)</f>
        <v>0</v>
      </c>
      <c r="J274" s="131">
        <f>SUMIFS(TablaConsumos[[CANTIDAD ]:[CANTIDAD ]],TablaConsumos[[CÓDIGO]:[CÓDIGO]],'Inventario '!$B274,TablaConsumos[[Planta]:[Planta]],'Inventario '!J$1)</f>
        <v>0</v>
      </c>
      <c r="K274" s="131">
        <f>SUMIFS(TablaConsumos[[CANTIDAD ]:[CANTIDAD ]],TablaConsumos[[CÓDIGO]:[CÓDIGO]],'Inventario '!$B274,TablaConsumos[[Planta]:[Planta]],'Inventario '!K$1)</f>
        <v>0</v>
      </c>
      <c r="L274" s="131">
        <f>SUMIFS(TablaConsumos[[CANTIDAD ]:[CANTIDAD ]],TablaConsumos[[CÓDIGO]:[CÓDIGO]],'Inventario '!$B274,TablaConsumos[[Planta]:[Planta]],'Inventario '!L$1)</f>
        <v>0</v>
      </c>
      <c r="M274" s="131">
        <f>SUMIFS(TablaConsumos[[CANTIDAD ]:[CANTIDAD ]],TablaConsumos[[CÓDIGO]:[CÓDIGO]],'Inventario '!$B274,TablaConsumos[[Planta]:[Planta]],'Inventario '!M$1)</f>
        <v>0</v>
      </c>
      <c r="N274" s="131">
        <f>SUMIFS(TablaConsumos[[CANTIDAD ]:[CANTIDAD ]],TablaConsumos[[CÓDIGO]:[CÓDIGO]],'Inventario '!$B274,TablaConsumos[[Planta]:[Planta]],'Inventario '!N$1)</f>
        <v>0</v>
      </c>
      <c r="O274" s="131">
        <f>SUMIFS(TablaConsumos[[CANTIDAD ]:[CANTIDAD ]],TablaConsumos[[CÓDIGO]:[CÓDIGO]],'Inventario '!$B274,TablaConsumos[[Planta]:[Planta]],'Inventario '!O$1)</f>
        <v>0</v>
      </c>
      <c r="P274" s="131">
        <f>SUMIFS(TablaConsumos[[CANTIDAD ]:[CANTIDAD ]],TablaConsumos[[CÓDIGO]:[CÓDIGO]],'Inventario '!$B274,TablaConsumos[[Planta]:[Planta]],'Inventario '!P$1)</f>
        <v>0</v>
      </c>
      <c r="Q274" s="131">
        <f>SUMIFS(TablaConsumos[[CANTIDAD ]:[CANTIDAD ]],TablaConsumos[[CÓDIGO]:[CÓDIGO]],'Inventario '!$B274,TablaConsumos[[Planta]:[Planta]],'Inventario '!Q$1)</f>
        <v>0</v>
      </c>
      <c r="R274" s="131">
        <f>SUMIFS(TablaConsumos[[CANTIDAD ]:[CANTIDAD ]],TablaConsumos[[CÓDIGO]:[CÓDIGO]],'Inventario '!$B274,TablaConsumos[[Planta]:[Planta]],'Inventario '!R$1)</f>
        <v>0</v>
      </c>
      <c r="S274" s="130">
        <f t="shared" si="266"/>
        <v>0</v>
      </c>
      <c r="T274" s="130">
        <f t="shared" si="267"/>
        <v>0</v>
      </c>
      <c r="U274" s="132"/>
      <c r="V274" s="130"/>
      <c r="W274" s="177">
        <v>1</v>
      </c>
      <c r="X274" s="132">
        <f t="shared" si="268"/>
        <v>0</v>
      </c>
      <c r="Y274" s="130">
        <f t="shared" si="269"/>
        <v>0</v>
      </c>
      <c r="Z274" s="132"/>
      <c r="AA274" s="132">
        <f t="shared" si="270"/>
        <v>0</v>
      </c>
      <c r="AB274" s="132"/>
      <c r="AC274" s="131">
        <f t="shared" si="271"/>
        <v>0</v>
      </c>
      <c r="AD274" s="131"/>
      <c r="AE274" s="130"/>
      <c r="AF274" s="130"/>
      <c r="AG274" s="168"/>
      <c r="AH274" s="134">
        <f t="shared" si="272"/>
        <v>0</v>
      </c>
      <c r="AI274" s="134">
        <f t="shared" si="273"/>
        <v>0</v>
      </c>
      <c r="AJ274" s="134">
        <f t="shared" si="274"/>
        <v>0</v>
      </c>
      <c r="AK274" s="134">
        <f t="shared" si="275"/>
        <v>0</v>
      </c>
      <c r="AL274" s="134">
        <f t="shared" si="276"/>
        <v>0</v>
      </c>
      <c r="AM274" s="134">
        <f t="shared" si="277"/>
        <v>0</v>
      </c>
      <c r="AN274" s="134">
        <f t="shared" si="278"/>
        <v>0</v>
      </c>
      <c r="AO274" s="134">
        <f t="shared" si="279"/>
        <v>0</v>
      </c>
      <c r="AP274" s="134">
        <f t="shared" si="280"/>
        <v>0</v>
      </c>
      <c r="AQ274" s="134">
        <f t="shared" si="281"/>
        <v>0</v>
      </c>
      <c r="AR274" s="134">
        <f t="shared" si="282"/>
        <v>0</v>
      </c>
      <c r="AS274" s="135">
        <f t="shared" si="283"/>
        <v>0</v>
      </c>
      <c r="AT274" s="137" t="str">
        <f t="shared" si="284"/>
        <v>0</v>
      </c>
      <c r="AU274" s="137" t="str">
        <f t="shared" si="285"/>
        <v>0</v>
      </c>
      <c r="AV274" s="137" t="str">
        <f t="shared" si="286"/>
        <v>0</v>
      </c>
      <c r="AW274" s="137" t="str">
        <f t="shared" si="287"/>
        <v>0</v>
      </c>
      <c r="AX274" s="137" t="str">
        <f t="shared" si="288"/>
        <v>0</v>
      </c>
      <c r="AY274" s="137" t="str">
        <f t="shared" si="289"/>
        <v>0</v>
      </c>
      <c r="AZ274" s="137" t="str">
        <f t="shared" si="290"/>
        <v>0</v>
      </c>
      <c r="BA274" s="137" t="str">
        <f t="shared" si="291"/>
        <v>0</v>
      </c>
      <c r="BB274" s="137" t="str">
        <f t="shared" si="292"/>
        <v>0</v>
      </c>
      <c r="BC274" s="137" t="str">
        <f t="shared" si="293"/>
        <v>0</v>
      </c>
      <c r="BD274" s="131">
        <f t="shared" si="294"/>
        <v>0</v>
      </c>
    </row>
    <row r="275" spans="2:56" ht="15" customHeight="1" x14ac:dyDescent="0.25">
      <c r="B275" s="127">
        <v>8205870</v>
      </c>
      <c r="C275" s="128" t="s">
        <v>17</v>
      </c>
      <c r="D275" s="128" t="s">
        <v>407</v>
      </c>
      <c r="E275" s="129" t="s">
        <v>566</v>
      </c>
      <c r="F275" s="274"/>
      <c r="G275" s="130">
        <f>+SUMIFS(TablaIngresos[Cantidad],TablaIngresos[Código],'Inventario '!B275)</f>
        <v>0</v>
      </c>
      <c r="H275" s="130">
        <f t="shared" si="265"/>
        <v>0</v>
      </c>
      <c r="I275" s="131">
        <f>SUMIFS(TablaConsumos[[CANTIDAD ]:[CANTIDAD ]],TablaConsumos[[CÓDIGO]:[CÓDIGO]],'Inventario '!$B275,TablaConsumos[[Planta]:[Planta]],'Inventario '!I$1)</f>
        <v>0</v>
      </c>
      <c r="J275" s="131">
        <f>SUMIFS(TablaConsumos[[CANTIDAD ]:[CANTIDAD ]],TablaConsumos[[CÓDIGO]:[CÓDIGO]],'Inventario '!$B275,TablaConsumos[[Planta]:[Planta]],'Inventario '!J$1)</f>
        <v>0</v>
      </c>
      <c r="K275" s="131">
        <f>SUMIFS(TablaConsumos[[CANTIDAD ]:[CANTIDAD ]],TablaConsumos[[CÓDIGO]:[CÓDIGO]],'Inventario '!$B275,TablaConsumos[[Planta]:[Planta]],'Inventario '!K$1)</f>
        <v>0</v>
      </c>
      <c r="L275" s="131">
        <f>SUMIFS(TablaConsumos[[CANTIDAD ]:[CANTIDAD ]],TablaConsumos[[CÓDIGO]:[CÓDIGO]],'Inventario '!$B275,TablaConsumos[[Planta]:[Planta]],'Inventario '!L$1)</f>
        <v>0</v>
      </c>
      <c r="M275" s="131">
        <f>SUMIFS(TablaConsumos[[CANTIDAD ]:[CANTIDAD ]],TablaConsumos[[CÓDIGO]:[CÓDIGO]],'Inventario '!$B275,TablaConsumos[[Planta]:[Planta]],'Inventario '!M$1)</f>
        <v>0</v>
      </c>
      <c r="N275" s="131">
        <f>SUMIFS(TablaConsumos[[CANTIDAD ]:[CANTIDAD ]],TablaConsumos[[CÓDIGO]:[CÓDIGO]],'Inventario '!$B275,TablaConsumos[[Planta]:[Planta]],'Inventario '!N$1)</f>
        <v>0</v>
      </c>
      <c r="O275" s="131">
        <f>SUMIFS(TablaConsumos[[CANTIDAD ]:[CANTIDAD ]],TablaConsumos[[CÓDIGO]:[CÓDIGO]],'Inventario '!$B275,TablaConsumos[[Planta]:[Planta]],'Inventario '!O$1)</f>
        <v>0</v>
      </c>
      <c r="P275" s="131">
        <f>SUMIFS(TablaConsumos[[CANTIDAD ]:[CANTIDAD ]],TablaConsumos[[CÓDIGO]:[CÓDIGO]],'Inventario '!$B275,TablaConsumos[[Planta]:[Planta]],'Inventario '!P$1)</f>
        <v>0</v>
      </c>
      <c r="Q275" s="131">
        <f>SUMIFS(TablaConsumos[[CANTIDAD ]:[CANTIDAD ]],TablaConsumos[[CÓDIGO]:[CÓDIGO]],'Inventario '!$B275,TablaConsumos[[Planta]:[Planta]],'Inventario '!Q$1)</f>
        <v>0</v>
      </c>
      <c r="R275" s="131">
        <f>SUMIFS(TablaConsumos[[CANTIDAD ]:[CANTIDAD ]],TablaConsumos[[CÓDIGO]:[CÓDIGO]],'Inventario '!$B275,TablaConsumos[[Planta]:[Planta]],'Inventario '!R$1)</f>
        <v>0</v>
      </c>
      <c r="S275" s="130">
        <f t="shared" si="266"/>
        <v>0</v>
      </c>
      <c r="T275" s="130">
        <f t="shared" si="267"/>
        <v>0</v>
      </c>
      <c r="U275" s="132"/>
      <c r="V275" s="130"/>
      <c r="W275" s="177">
        <v>1</v>
      </c>
      <c r="X275" s="132">
        <f t="shared" si="268"/>
        <v>0</v>
      </c>
      <c r="Y275" s="130">
        <f t="shared" si="269"/>
        <v>0</v>
      </c>
      <c r="Z275" s="132"/>
      <c r="AA275" s="132">
        <f t="shared" si="270"/>
        <v>0</v>
      </c>
      <c r="AB275" s="132"/>
      <c r="AC275" s="131">
        <f t="shared" si="271"/>
        <v>0</v>
      </c>
      <c r="AD275" s="131"/>
      <c r="AE275" s="130"/>
      <c r="AF275" s="130"/>
      <c r="AG275" s="168"/>
      <c r="AH275" s="134">
        <f t="shared" si="272"/>
        <v>0</v>
      </c>
      <c r="AI275" s="134">
        <f t="shared" si="273"/>
        <v>0</v>
      </c>
      <c r="AJ275" s="134">
        <f t="shared" si="274"/>
        <v>0</v>
      </c>
      <c r="AK275" s="134">
        <f t="shared" si="275"/>
        <v>0</v>
      </c>
      <c r="AL275" s="134">
        <f t="shared" si="276"/>
        <v>0</v>
      </c>
      <c r="AM275" s="134">
        <f t="shared" si="277"/>
        <v>0</v>
      </c>
      <c r="AN275" s="134">
        <f t="shared" si="278"/>
        <v>0</v>
      </c>
      <c r="AO275" s="134">
        <f t="shared" si="279"/>
        <v>0</v>
      </c>
      <c r="AP275" s="134">
        <f t="shared" si="280"/>
        <v>0</v>
      </c>
      <c r="AQ275" s="134">
        <f t="shared" si="281"/>
        <v>0</v>
      </c>
      <c r="AR275" s="134">
        <f t="shared" si="282"/>
        <v>0</v>
      </c>
      <c r="AS275" s="135">
        <f t="shared" si="283"/>
        <v>0</v>
      </c>
      <c r="AT275" s="137" t="str">
        <f t="shared" si="284"/>
        <v>0</v>
      </c>
      <c r="AU275" s="137" t="str">
        <f t="shared" si="285"/>
        <v>0</v>
      </c>
      <c r="AV275" s="137" t="str">
        <f t="shared" si="286"/>
        <v>0</v>
      </c>
      <c r="AW275" s="137" t="str">
        <f t="shared" si="287"/>
        <v>0</v>
      </c>
      <c r="AX275" s="137" t="str">
        <f t="shared" si="288"/>
        <v>0</v>
      </c>
      <c r="AY275" s="137" t="str">
        <f t="shared" si="289"/>
        <v>0</v>
      </c>
      <c r="AZ275" s="137" t="str">
        <f t="shared" si="290"/>
        <v>0</v>
      </c>
      <c r="BA275" s="137" t="str">
        <f t="shared" si="291"/>
        <v>0</v>
      </c>
      <c r="BB275" s="137" t="str">
        <f t="shared" si="292"/>
        <v>0</v>
      </c>
      <c r="BC275" s="137" t="str">
        <f t="shared" si="293"/>
        <v>0</v>
      </c>
      <c r="BD275" s="131">
        <f t="shared" si="294"/>
        <v>0</v>
      </c>
    </row>
    <row r="276" spans="2:56" ht="15" customHeight="1" x14ac:dyDescent="0.25">
      <c r="B276" s="127">
        <v>8205871</v>
      </c>
      <c r="C276" s="128" t="s">
        <v>17</v>
      </c>
      <c r="D276" s="128" t="s">
        <v>407</v>
      </c>
      <c r="E276" s="129" t="s">
        <v>567</v>
      </c>
      <c r="F276" s="274"/>
      <c r="G276" s="130">
        <f>+SUMIFS(TablaIngresos[Cantidad],TablaIngresos[Código],'Inventario '!B276)</f>
        <v>0</v>
      </c>
      <c r="H276" s="130">
        <f t="shared" si="265"/>
        <v>0</v>
      </c>
      <c r="I276" s="131">
        <f>SUMIFS(TablaConsumos[[CANTIDAD ]:[CANTIDAD ]],TablaConsumos[[CÓDIGO]:[CÓDIGO]],'Inventario '!$B276,TablaConsumos[[Planta]:[Planta]],'Inventario '!I$1)</f>
        <v>0</v>
      </c>
      <c r="J276" s="131">
        <f>SUMIFS(TablaConsumos[[CANTIDAD ]:[CANTIDAD ]],TablaConsumos[[CÓDIGO]:[CÓDIGO]],'Inventario '!$B276,TablaConsumos[[Planta]:[Planta]],'Inventario '!J$1)</f>
        <v>0</v>
      </c>
      <c r="K276" s="131">
        <f>SUMIFS(TablaConsumos[[CANTIDAD ]:[CANTIDAD ]],TablaConsumos[[CÓDIGO]:[CÓDIGO]],'Inventario '!$B276,TablaConsumos[[Planta]:[Planta]],'Inventario '!K$1)</f>
        <v>0</v>
      </c>
      <c r="L276" s="131">
        <f>SUMIFS(TablaConsumos[[CANTIDAD ]:[CANTIDAD ]],TablaConsumos[[CÓDIGO]:[CÓDIGO]],'Inventario '!$B276,TablaConsumos[[Planta]:[Planta]],'Inventario '!L$1)</f>
        <v>0</v>
      </c>
      <c r="M276" s="131">
        <f>SUMIFS(TablaConsumos[[CANTIDAD ]:[CANTIDAD ]],TablaConsumos[[CÓDIGO]:[CÓDIGO]],'Inventario '!$B276,TablaConsumos[[Planta]:[Planta]],'Inventario '!M$1)</f>
        <v>0</v>
      </c>
      <c r="N276" s="131">
        <f>SUMIFS(TablaConsumos[[CANTIDAD ]:[CANTIDAD ]],TablaConsumos[[CÓDIGO]:[CÓDIGO]],'Inventario '!$B276,TablaConsumos[[Planta]:[Planta]],'Inventario '!N$1)</f>
        <v>0</v>
      </c>
      <c r="O276" s="131">
        <f>SUMIFS(TablaConsumos[[CANTIDAD ]:[CANTIDAD ]],TablaConsumos[[CÓDIGO]:[CÓDIGO]],'Inventario '!$B276,TablaConsumos[[Planta]:[Planta]],'Inventario '!O$1)</f>
        <v>0</v>
      </c>
      <c r="P276" s="131">
        <f>SUMIFS(TablaConsumos[[CANTIDAD ]:[CANTIDAD ]],TablaConsumos[[CÓDIGO]:[CÓDIGO]],'Inventario '!$B276,TablaConsumos[[Planta]:[Planta]],'Inventario '!P$1)</f>
        <v>0</v>
      </c>
      <c r="Q276" s="131">
        <f>SUMIFS(TablaConsumos[[CANTIDAD ]:[CANTIDAD ]],TablaConsumos[[CÓDIGO]:[CÓDIGO]],'Inventario '!$B276,TablaConsumos[[Planta]:[Planta]],'Inventario '!Q$1)</f>
        <v>0</v>
      </c>
      <c r="R276" s="131">
        <f>SUMIFS(TablaConsumos[[CANTIDAD ]:[CANTIDAD ]],TablaConsumos[[CÓDIGO]:[CÓDIGO]],'Inventario '!$B276,TablaConsumos[[Planta]:[Planta]],'Inventario '!R$1)</f>
        <v>0</v>
      </c>
      <c r="S276" s="130">
        <f t="shared" si="266"/>
        <v>0</v>
      </c>
      <c r="T276" s="130">
        <f t="shared" si="267"/>
        <v>0</v>
      </c>
      <c r="U276" s="132"/>
      <c r="V276" s="130"/>
      <c r="W276" s="177">
        <v>1</v>
      </c>
      <c r="X276" s="132">
        <f t="shared" si="268"/>
        <v>0</v>
      </c>
      <c r="Y276" s="130">
        <f t="shared" si="269"/>
        <v>0</v>
      </c>
      <c r="Z276" s="132"/>
      <c r="AA276" s="132">
        <f t="shared" si="270"/>
        <v>0</v>
      </c>
      <c r="AB276" s="132"/>
      <c r="AC276" s="131">
        <f t="shared" si="271"/>
        <v>0</v>
      </c>
      <c r="AD276" s="131"/>
      <c r="AE276" s="130"/>
      <c r="AF276" s="130"/>
      <c r="AG276" s="168"/>
      <c r="AH276" s="134">
        <f t="shared" si="272"/>
        <v>0</v>
      </c>
      <c r="AI276" s="134">
        <f t="shared" si="273"/>
        <v>0</v>
      </c>
      <c r="AJ276" s="134">
        <f t="shared" si="274"/>
        <v>0</v>
      </c>
      <c r="AK276" s="134">
        <f t="shared" si="275"/>
        <v>0</v>
      </c>
      <c r="AL276" s="134">
        <f t="shared" si="276"/>
        <v>0</v>
      </c>
      <c r="AM276" s="134">
        <f t="shared" si="277"/>
        <v>0</v>
      </c>
      <c r="AN276" s="134">
        <f t="shared" si="278"/>
        <v>0</v>
      </c>
      <c r="AO276" s="134">
        <f t="shared" si="279"/>
        <v>0</v>
      </c>
      <c r="AP276" s="134">
        <f t="shared" si="280"/>
        <v>0</v>
      </c>
      <c r="AQ276" s="134">
        <f t="shared" si="281"/>
        <v>0</v>
      </c>
      <c r="AR276" s="134">
        <f t="shared" si="282"/>
        <v>0</v>
      </c>
      <c r="AS276" s="135">
        <f t="shared" si="283"/>
        <v>0</v>
      </c>
      <c r="AT276" s="137" t="str">
        <f t="shared" si="284"/>
        <v>0</v>
      </c>
      <c r="AU276" s="137" t="str">
        <f t="shared" si="285"/>
        <v>0</v>
      </c>
      <c r="AV276" s="137" t="str">
        <f t="shared" si="286"/>
        <v>0</v>
      </c>
      <c r="AW276" s="137" t="str">
        <f t="shared" si="287"/>
        <v>0</v>
      </c>
      <c r="AX276" s="137" t="str">
        <f t="shared" si="288"/>
        <v>0</v>
      </c>
      <c r="AY276" s="137" t="str">
        <f t="shared" si="289"/>
        <v>0</v>
      </c>
      <c r="AZ276" s="137" t="str">
        <f t="shared" si="290"/>
        <v>0</v>
      </c>
      <c r="BA276" s="137" t="str">
        <f t="shared" si="291"/>
        <v>0</v>
      </c>
      <c r="BB276" s="137" t="str">
        <f t="shared" si="292"/>
        <v>0</v>
      </c>
      <c r="BC276" s="137" t="str">
        <f t="shared" si="293"/>
        <v>0</v>
      </c>
      <c r="BD276" s="131">
        <f t="shared" si="294"/>
        <v>0</v>
      </c>
    </row>
    <row r="277" spans="2:56" ht="15" customHeight="1" x14ac:dyDescent="0.25">
      <c r="B277" s="150">
        <v>2406440</v>
      </c>
      <c r="C277" s="151" t="s">
        <v>17</v>
      </c>
      <c r="D277" s="151" t="s">
        <v>407</v>
      </c>
      <c r="E277" s="152" t="s">
        <v>375</v>
      </c>
      <c r="F277" s="274"/>
      <c r="G277" s="153">
        <f>+SUMIFS(TablaIngresos[Cantidad],TablaIngresos[Código],'Inventario '!B277)</f>
        <v>0</v>
      </c>
      <c r="H277" s="153">
        <f t="shared" ref="H277:H282" si="295">+F277+G277</f>
        <v>0</v>
      </c>
      <c r="I277" s="157">
        <f>SUMIFS(TablaConsumos[[CANTIDAD ]:[CANTIDAD ]],TablaConsumos[[CÓDIGO]:[CÓDIGO]],'Inventario '!$B277,TablaConsumos[[Planta]:[Planta]],'Inventario '!I$1)</f>
        <v>0</v>
      </c>
      <c r="J277" s="157">
        <f>SUMIFS(TablaConsumos[[CANTIDAD ]:[CANTIDAD ]],TablaConsumos[[CÓDIGO]:[CÓDIGO]],'Inventario '!$B277,TablaConsumos[[Planta]:[Planta]],'Inventario '!J$1)</f>
        <v>0</v>
      </c>
      <c r="K277" s="157">
        <f>SUMIFS(TablaConsumos[[CANTIDAD ]:[CANTIDAD ]],TablaConsumos[[CÓDIGO]:[CÓDIGO]],'Inventario '!$B277,TablaConsumos[[Planta]:[Planta]],'Inventario '!K$1)</f>
        <v>0</v>
      </c>
      <c r="L277" s="157">
        <f>SUMIFS(TablaConsumos[[CANTIDAD ]:[CANTIDAD ]],TablaConsumos[[CÓDIGO]:[CÓDIGO]],'Inventario '!$B277,TablaConsumos[[Planta]:[Planta]],'Inventario '!L$1)</f>
        <v>0</v>
      </c>
      <c r="M277" s="157">
        <f>SUMIFS(TablaConsumos[[CANTIDAD ]:[CANTIDAD ]],TablaConsumos[[CÓDIGO]:[CÓDIGO]],'Inventario '!$B277,TablaConsumos[[Planta]:[Planta]],'Inventario '!M$1)</f>
        <v>0</v>
      </c>
      <c r="N277" s="157">
        <f>SUMIFS(TablaConsumos[[CANTIDAD ]:[CANTIDAD ]],TablaConsumos[[CÓDIGO]:[CÓDIGO]],'Inventario '!$B277,TablaConsumos[[Planta]:[Planta]],'Inventario '!N$1)</f>
        <v>0</v>
      </c>
      <c r="O277" s="157">
        <f>SUMIFS(TablaConsumos[[CANTIDAD ]:[CANTIDAD ]],TablaConsumos[[CÓDIGO]:[CÓDIGO]],'Inventario '!$B277,TablaConsumos[[Planta]:[Planta]],'Inventario '!O$1)</f>
        <v>0</v>
      </c>
      <c r="P277" s="157">
        <f>SUMIFS(TablaConsumos[[CANTIDAD ]:[CANTIDAD ]],TablaConsumos[[CÓDIGO]:[CÓDIGO]],'Inventario '!$B277,TablaConsumos[[Planta]:[Planta]],'Inventario '!P$1)</f>
        <v>0</v>
      </c>
      <c r="Q277" s="157">
        <f>SUMIFS(TablaConsumos[[CANTIDAD ]:[CANTIDAD ]],TablaConsumos[[CÓDIGO]:[CÓDIGO]],'Inventario '!$B277,TablaConsumos[[Planta]:[Planta]],'Inventario '!Q$1)</f>
        <v>0</v>
      </c>
      <c r="R277" s="157">
        <f>SUMIFS(TablaConsumos[[CANTIDAD ]:[CANTIDAD ]],TablaConsumos[[CÓDIGO]:[CÓDIGO]],'Inventario '!$B277,TablaConsumos[[Planta]:[Planta]],'Inventario '!R$1)</f>
        <v>0</v>
      </c>
      <c r="S277" s="153">
        <f>+SUM(I277:R277)</f>
        <v>0</v>
      </c>
      <c r="T277" s="153">
        <f t="shared" ref="T277:T282" si="296">+H277-S277</f>
        <v>0</v>
      </c>
      <c r="U277" s="154"/>
      <c r="V277" s="153"/>
      <c r="W277" s="198">
        <v>1</v>
      </c>
      <c r="X277" s="132">
        <f t="shared" ref="X277:X311" si="297">+U277*W277</f>
        <v>0</v>
      </c>
      <c r="Y277" s="130">
        <f t="shared" ref="Y277:Y294" si="298">+T277-X277</f>
        <v>0</v>
      </c>
      <c r="Z277" s="132"/>
      <c r="AA277" s="132">
        <f t="shared" si="270"/>
        <v>0</v>
      </c>
      <c r="AB277" s="132"/>
      <c r="AC277" s="131">
        <f t="shared" si="271"/>
        <v>0</v>
      </c>
      <c r="AD277" s="131"/>
      <c r="AE277" s="130"/>
      <c r="AF277" s="130"/>
      <c r="AG277" s="168"/>
      <c r="AH277" s="134">
        <f t="shared" si="272"/>
        <v>0</v>
      </c>
      <c r="AI277" s="134">
        <f t="shared" si="273"/>
        <v>0</v>
      </c>
      <c r="AJ277" s="134">
        <f t="shared" si="274"/>
        <v>0</v>
      </c>
      <c r="AK277" s="134">
        <f t="shared" si="275"/>
        <v>0</v>
      </c>
      <c r="AL277" s="134">
        <f t="shared" si="276"/>
        <v>0</v>
      </c>
      <c r="AM277" s="134">
        <f t="shared" si="277"/>
        <v>0</v>
      </c>
      <c r="AN277" s="134">
        <f t="shared" si="278"/>
        <v>0</v>
      </c>
      <c r="AO277" s="134">
        <f t="shared" si="279"/>
        <v>0</v>
      </c>
      <c r="AP277" s="134">
        <f t="shared" si="280"/>
        <v>0</v>
      </c>
      <c r="AQ277" s="134">
        <f t="shared" si="281"/>
        <v>0</v>
      </c>
      <c r="AR277" s="134">
        <f t="shared" si="282"/>
        <v>0</v>
      </c>
      <c r="AS277" s="135">
        <f>+SUM(AI277:AR277)</f>
        <v>0</v>
      </c>
      <c r="AT277" s="137" t="str">
        <f t="shared" si="284"/>
        <v>0</v>
      </c>
      <c r="AU277" s="137" t="str">
        <f t="shared" si="285"/>
        <v>0</v>
      </c>
      <c r="AV277" s="137" t="str">
        <f t="shared" si="286"/>
        <v>0</v>
      </c>
      <c r="AW277" s="137" t="str">
        <f t="shared" si="287"/>
        <v>0</v>
      </c>
      <c r="AX277" s="137" t="str">
        <f t="shared" si="288"/>
        <v>0</v>
      </c>
      <c r="AY277" s="137" t="str">
        <f t="shared" si="289"/>
        <v>0</v>
      </c>
      <c r="AZ277" s="137" t="str">
        <f t="shared" si="290"/>
        <v>0</v>
      </c>
      <c r="BA277" s="137" t="str">
        <f t="shared" si="291"/>
        <v>0</v>
      </c>
      <c r="BB277" s="137" t="str">
        <f t="shared" si="292"/>
        <v>0</v>
      </c>
      <c r="BC277" s="137" t="str">
        <f t="shared" si="293"/>
        <v>0</v>
      </c>
      <c r="BD277" s="131">
        <f>+SUM(AT277:BC277)</f>
        <v>0</v>
      </c>
    </row>
    <row r="278" spans="2:56" ht="15" customHeight="1" x14ac:dyDescent="0.25">
      <c r="B278" s="150">
        <v>2806031</v>
      </c>
      <c r="C278" s="151" t="s">
        <v>316</v>
      </c>
      <c r="D278" s="151" t="s">
        <v>407</v>
      </c>
      <c r="E278" s="152" t="s">
        <v>378</v>
      </c>
      <c r="F278" s="274"/>
      <c r="G278" s="153">
        <f>+SUMIFS(TablaIngresos[Cantidad],TablaIngresos[Código],'Inventario '!B278)</f>
        <v>0</v>
      </c>
      <c r="H278" s="153">
        <f t="shared" si="295"/>
        <v>0</v>
      </c>
      <c r="I278" s="157">
        <f>SUMIFS(TablaConsumos[[CANTIDAD ]:[CANTIDAD ]],TablaConsumos[[CÓDIGO]:[CÓDIGO]],'Inventario '!$B278,TablaConsumos[[Planta]:[Planta]],'Inventario '!I$1)</f>
        <v>0</v>
      </c>
      <c r="J278" s="157">
        <f>SUMIFS(TablaConsumos[[CANTIDAD ]:[CANTIDAD ]],TablaConsumos[[CÓDIGO]:[CÓDIGO]],'Inventario '!$B278,TablaConsumos[[Planta]:[Planta]],'Inventario '!J$1)</f>
        <v>0</v>
      </c>
      <c r="K278" s="157">
        <f>SUMIFS(TablaConsumos[[CANTIDAD ]:[CANTIDAD ]],TablaConsumos[[CÓDIGO]:[CÓDIGO]],'Inventario '!$B278,TablaConsumos[[Planta]:[Planta]],'Inventario '!K$1)</f>
        <v>0</v>
      </c>
      <c r="L278" s="157">
        <f>SUMIFS(TablaConsumos[[CANTIDAD ]:[CANTIDAD ]],TablaConsumos[[CÓDIGO]:[CÓDIGO]],'Inventario '!$B278,TablaConsumos[[Planta]:[Planta]],'Inventario '!L$1)</f>
        <v>0</v>
      </c>
      <c r="M278" s="157">
        <f>SUMIFS(TablaConsumos[[CANTIDAD ]:[CANTIDAD ]],TablaConsumos[[CÓDIGO]:[CÓDIGO]],'Inventario '!$B278,TablaConsumos[[Planta]:[Planta]],'Inventario '!M$1)</f>
        <v>0</v>
      </c>
      <c r="N278" s="157">
        <f>SUMIFS(TablaConsumos[[CANTIDAD ]:[CANTIDAD ]],TablaConsumos[[CÓDIGO]:[CÓDIGO]],'Inventario '!$B278,TablaConsumos[[Planta]:[Planta]],'Inventario '!N$1)</f>
        <v>0</v>
      </c>
      <c r="O278" s="157">
        <f>SUMIFS(TablaConsumos[[CANTIDAD ]:[CANTIDAD ]],TablaConsumos[[CÓDIGO]:[CÓDIGO]],'Inventario '!$B278,TablaConsumos[[Planta]:[Planta]],'Inventario '!O$1)</f>
        <v>0</v>
      </c>
      <c r="P278" s="157">
        <f>SUMIFS(TablaConsumos[[CANTIDAD ]:[CANTIDAD ]],TablaConsumos[[CÓDIGO]:[CÓDIGO]],'Inventario '!$B278,TablaConsumos[[Planta]:[Planta]],'Inventario '!P$1)</f>
        <v>0</v>
      </c>
      <c r="Q278" s="157">
        <f>SUMIFS(TablaConsumos[[CANTIDAD ]:[CANTIDAD ]],TablaConsumos[[CÓDIGO]:[CÓDIGO]],'Inventario '!$B278,TablaConsumos[[Planta]:[Planta]],'Inventario '!Q$1)</f>
        <v>0</v>
      </c>
      <c r="R278" s="157">
        <f>SUMIFS(TablaConsumos[[CANTIDAD ]:[CANTIDAD ]],TablaConsumos[[CÓDIGO]:[CÓDIGO]],'Inventario '!$B278,TablaConsumos[[Planta]:[Planta]],'Inventario '!R$1)</f>
        <v>0</v>
      </c>
      <c r="S278" s="153">
        <f>+SUM(I278:R278)</f>
        <v>0</v>
      </c>
      <c r="T278" s="153">
        <f t="shared" si="296"/>
        <v>0</v>
      </c>
      <c r="U278" s="154"/>
      <c r="V278" s="153"/>
      <c r="W278" s="198">
        <v>1</v>
      </c>
      <c r="X278" s="132">
        <f t="shared" si="297"/>
        <v>0</v>
      </c>
      <c r="Y278" s="130">
        <f t="shared" si="298"/>
        <v>0</v>
      </c>
      <c r="Z278" s="132"/>
      <c r="AA278" s="132">
        <f t="shared" si="270"/>
        <v>0</v>
      </c>
      <c r="AB278" s="132"/>
      <c r="AC278" s="131">
        <f t="shared" si="271"/>
        <v>0</v>
      </c>
      <c r="AD278" s="131"/>
      <c r="AE278" s="130"/>
      <c r="AF278" s="130"/>
      <c r="AG278" s="168"/>
      <c r="AH278" s="134">
        <f t="shared" si="272"/>
        <v>0</v>
      </c>
      <c r="AI278" s="134">
        <f t="shared" si="273"/>
        <v>0</v>
      </c>
      <c r="AJ278" s="134">
        <f t="shared" si="274"/>
        <v>0</v>
      </c>
      <c r="AK278" s="134">
        <f t="shared" si="275"/>
        <v>0</v>
      </c>
      <c r="AL278" s="134">
        <f t="shared" si="276"/>
        <v>0</v>
      </c>
      <c r="AM278" s="134">
        <f t="shared" si="277"/>
        <v>0</v>
      </c>
      <c r="AN278" s="134">
        <f t="shared" si="278"/>
        <v>0</v>
      </c>
      <c r="AO278" s="134">
        <f t="shared" si="279"/>
        <v>0</v>
      </c>
      <c r="AP278" s="134">
        <f t="shared" si="280"/>
        <v>0</v>
      </c>
      <c r="AQ278" s="134">
        <f t="shared" si="281"/>
        <v>0</v>
      </c>
      <c r="AR278" s="134">
        <f t="shared" si="282"/>
        <v>0</v>
      </c>
      <c r="AS278" s="135">
        <f>+SUM(AI278:AR278)</f>
        <v>0</v>
      </c>
      <c r="AT278" s="137" t="str">
        <f t="shared" si="284"/>
        <v>0</v>
      </c>
      <c r="AU278" s="137" t="str">
        <f t="shared" si="285"/>
        <v>0</v>
      </c>
      <c r="AV278" s="137" t="str">
        <f t="shared" si="286"/>
        <v>0</v>
      </c>
      <c r="AW278" s="137" t="str">
        <f t="shared" si="287"/>
        <v>0</v>
      </c>
      <c r="AX278" s="137" t="str">
        <f t="shared" si="288"/>
        <v>0</v>
      </c>
      <c r="AY278" s="137" t="str">
        <f t="shared" si="289"/>
        <v>0</v>
      </c>
      <c r="AZ278" s="137" t="str">
        <f t="shared" si="290"/>
        <v>0</v>
      </c>
      <c r="BA278" s="137" t="str">
        <f t="shared" si="291"/>
        <v>0</v>
      </c>
      <c r="BB278" s="137" t="str">
        <f t="shared" si="292"/>
        <v>0</v>
      </c>
      <c r="BC278" s="137" t="str">
        <f t="shared" si="293"/>
        <v>0</v>
      </c>
      <c r="BD278" s="131">
        <f>+SUM(AT278:BC278)</f>
        <v>0</v>
      </c>
    </row>
    <row r="279" spans="2:56" ht="15" customHeight="1" x14ac:dyDescent="0.25">
      <c r="B279" s="150">
        <v>3400585</v>
      </c>
      <c r="C279" s="151" t="s">
        <v>316</v>
      </c>
      <c r="D279" s="151" t="s">
        <v>407</v>
      </c>
      <c r="E279" s="155" t="s">
        <v>380</v>
      </c>
      <c r="F279" s="274"/>
      <c r="G279" s="153">
        <f>+SUMIFS(TablaIngresos[Cantidad],TablaIngresos[Código],'Inventario '!B279)</f>
        <v>0</v>
      </c>
      <c r="H279" s="153">
        <f t="shared" si="295"/>
        <v>0</v>
      </c>
      <c r="I279" s="157">
        <f>SUMIFS(TablaConsumos[[CANTIDAD ]:[CANTIDAD ]],TablaConsumos[[CÓDIGO]:[CÓDIGO]],'Inventario '!$B279,TablaConsumos[[Planta]:[Planta]],'Inventario '!I$1)</f>
        <v>0</v>
      </c>
      <c r="J279" s="157">
        <f>SUMIFS(TablaConsumos[[CANTIDAD ]:[CANTIDAD ]],TablaConsumos[[CÓDIGO]:[CÓDIGO]],'Inventario '!$B279,TablaConsumos[[Planta]:[Planta]],'Inventario '!J$1)</f>
        <v>0</v>
      </c>
      <c r="K279" s="157">
        <f>SUMIFS(TablaConsumos[[CANTIDAD ]:[CANTIDAD ]],TablaConsumos[[CÓDIGO]:[CÓDIGO]],'Inventario '!$B279,TablaConsumos[[Planta]:[Planta]],'Inventario '!K$1)</f>
        <v>0</v>
      </c>
      <c r="L279" s="157">
        <f>SUMIFS(TablaConsumos[[CANTIDAD ]:[CANTIDAD ]],TablaConsumos[[CÓDIGO]:[CÓDIGO]],'Inventario '!$B279,TablaConsumos[[Planta]:[Planta]],'Inventario '!L$1)</f>
        <v>0</v>
      </c>
      <c r="M279" s="157">
        <f>SUMIFS(TablaConsumos[[CANTIDAD ]:[CANTIDAD ]],TablaConsumos[[CÓDIGO]:[CÓDIGO]],'Inventario '!$B279,TablaConsumos[[Planta]:[Planta]],'Inventario '!M$1)</f>
        <v>0</v>
      </c>
      <c r="N279" s="157">
        <f>SUMIFS(TablaConsumos[[CANTIDAD ]:[CANTIDAD ]],TablaConsumos[[CÓDIGO]:[CÓDIGO]],'Inventario '!$B279,TablaConsumos[[Planta]:[Planta]],'Inventario '!N$1)</f>
        <v>0</v>
      </c>
      <c r="O279" s="157">
        <f>SUMIFS(TablaConsumos[[CANTIDAD ]:[CANTIDAD ]],TablaConsumos[[CÓDIGO]:[CÓDIGO]],'Inventario '!$B279,TablaConsumos[[Planta]:[Planta]],'Inventario '!O$1)</f>
        <v>0</v>
      </c>
      <c r="P279" s="157">
        <f>SUMIFS(TablaConsumos[[CANTIDAD ]:[CANTIDAD ]],TablaConsumos[[CÓDIGO]:[CÓDIGO]],'Inventario '!$B279,TablaConsumos[[Planta]:[Planta]],'Inventario '!P$1)</f>
        <v>0</v>
      </c>
      <c r="Q279" s="157">
        <f>SUMIFS(TablaConsumos[[CANTIDAD ]:[CANTIDAD ]],TablaConsumos[[CÓDIGO]:[CÓDIGO]],'Inventario '!$B279,TablaConsumos[[Planta]:[Planta]],'Inventario '!Q$1)</f>
        <v>0</v>
      </c>
      <c r="R279" s="157">
        <f>SUMIFS(TablaConsumos[[CANTIDAD ]:[CANTIDAD ]],TablaConsumos[[CÓDIGO]:[CÓDIGO]],'Inventario '!$B279,TablaConsumos[[Planta]:[Planta]],'Inventario '!R$1)</f>
        <v>0</v>
      </c>
      <c r="S279" s="153">
        <f>+SUM(I279:R279)</f>
        <v>0</v>
      </c>
      <c r="T279" s="153">
        <f t="shared" si="296"/>
        <v>0</v>
      </c>
      <c r="U279" s="154"/>
      <c r="V279" s="153"/>
      <c r="W279" s="198">
        <v>1</v>
      </c>
      <c r="X279" s="132">
        <f t="shared" si="297"/>
        <v>0</v>
      </c>
      <c r="Y279" s="130">
        <f t="shared" si="298"/>
        <v>0</v>
      </c>
      <c r="Z279" s="132"/>
      <c r="AA279" s="132">
        <f t="shared" si="270"/>
        <v>0</v>
      </c>
      <c r="AB279" s="132"/>
      <c r="AC279" s="131">
        <f t="shared" si="271"/>
        <v>0</v>
      </c>
      <c r="AD279" s="131"/>
      <c r="AE279" s="130"/>
      <c r="AF279" s="130"/>
      <c r="AG279" s="168"/>
      <c r="AH279" s="134">
        <f t="shared" si="272"/>
        <v>0</v>
      </c>
      <c r="AI279" s="134">
        <f t="shared" si="273"/>
        <v>0</v>
      </c>
      <c r="AJ279" s="134">
        <f t="shared" si="274"/>
        <v>0</v>
      </c>
      <c r="AK279" s="134">
        <f t="shared" si="275"/>
        <v>0</v>
      </c>
      <c r="AL279" s="134">
        <f t="shared" si="276"/>
        <v>0</v>
      </c>
      <c r="AM279" s="134">
        <f t="shared" si="277"/>
        <v>0</v>
      </c>
      <c r="AN279" s="134">
        <f t="shared" si="278"/>
        <v>0</v>
      </c>
      <c r="AO279" s="134">
        <f t="shared" si="279"/>
        <v>0</v>
      </c>
      <c r="AP279" s="134">
        <f t="shared" si="280"/>
        <v>0</v>
      </c>
      <c r="AQ279" s="134">
        <f t="shared" si="281"/>
        <v>0</v>
      </c>
      <c r="AR279" s="134">
        <f t="shared" si="282"/>
        <v>0</v>
      </c>
      <c r="AS279" s="135">
        <f>+SUM(AI279:AR279)</f>
        <v>0</v>
      </c>
      <c r="AT279" s="137" t="str">
        <f t="shared" si="284"/>
        <v>0</v>
      </c>
      <c r="AU279" s="137" t="str">
        <f t="shared" si="285"/>
        <v>0</v>
      </c>
      <c r="AV279" s="137" t="str">
        <f t="shared" si="286"/>
        <v>0</v>
      </c>
      <c r="AW279" s="137" t="str">
        <f t="shared" si="287"/>
        <v>0</v>
      </c>
      <c r="AX279" s="137" t="str">
        <f t="shared" si="288"/>
        <v>0</v>
      </c>
      <c r="AY279" s="137" t="str">
        <f t="shared" si="289"/>
        <v>0</v>
      </c>
      <c r="AZ279" s="137" t="str">
        <f t="shared" si="290"/>
        <v>0</v>
      </c>
      <c r="BA279" s="137" t="str">
        <f t="shared" si="291"/>
        <v>0</v>
      </c>
      <c r="BB279" s="137" t="str">
        <f t="shared" si="292"/>
        <v>0</v>
      </c>
      <c r="BC279" s="137" t="str">
        <f t="shared" si="293"/>
        <v>0</v>
      </c>
      <c r="BD279" s="131">
        <f>+SUM(AT279:BC279)</f>
        <v>0</v>
      </c>
    </row>
    <row r="280" spans="2:56" ht="15" customHeight="1" x14ac:dyDescent="0.25">
      <c r="B280" s="150">
        <v>8203480</v>
      </c>
      <c r="C280" s="151" t="s">
        <v>316</v>
      </c>
      <c r="D280" s="151" t="s">
        <v>407</v>
      </c>
      <c r="E280" s="155" t="s">
        <v>701</v>
      </c>
      <c r="F280" s="274"/>
      <c r="G280" s="153">
        <f>+SUMIFS(TablaIngresos[Cantidad],TablaIngresos[Código],'Inventario '!B280)</f>
        <v>0</v>
      </c>
      <c r="H280" s="153">
        <f t="shared" si="295"/>
        <v>0</v>
      </c>
      <c r="I280" s="157">
        <f>SUMIFS(TablaConsumos[[CANTIDAD ]:[CANTIDAD ]],TablaConsumos[[CÓDIGO]:[CÓDIGO]],'Inventario '!$B280,TablaConsumos[[Planta]:[Planta]],'Inventario '!I$1)</f>
        <v>0</v>
      </c>
      <c r="J280" s="157">
        <f>SUMIFS(TablaConsumos[[CANTIDAD ]:[CANTIDAD ]],TablaConsumos[[CÓDIGO]:[CÓDIGO]],'Inventario '!$B280,TablaConsumos[[Planta]:[Planta]],'Inventario '!J$1)</f>
        <v>0</v>
      </c>
      <c r="K280" s="157">
        <f>SUMIFS(TablaConsumos[[CANTIDAD ]:[CANTIDAD ]],TablaConsumos[[CÓDIGO]:[CÓDIGO]],'Inventario '!$B280,TablaConsumos[[Planta]:[Planta]],'Inventario '!K$1)</f>
        <v>0</v>
      </c>
      <c r="L280" s="157">
        <f>SUMIFS(TablaConsumos[[CANTIDAD ]:[CANTIDAD ]],TablaConsumos[[CÓDIGO]:[CÓDIGO]],'Inventario '!$B280,TablaConsumos[[Planta]:[Planta]],'Inventario '!L$1)</f>
        <v>0</v>
      </c>
      <c r="M280" s="157">
        <f>SUMIFS(TablaConsumos[[CANTIDAD ]:[CANTIDAD ]],TablaConsumos[[CÓDIGO]:[CÓDIGO]],'Inventario '!$B280,TablaConsumos[[Planta]:[Planta]],'Inventario '!M$1)</f>
        <v>0</v>
      </c>
      <c r="N280" s="157">
        <f>SUMIFS(TablaConsumos[[CANTIDAD ]:[CANTIDAD ]],TablaConsumos[[CÓDIGO]:[CÓDIGO]],'Inventario '!$B280,TablaConsumos[[Planta]:[Planta]],'Inventario '!N$1)</f>
        <v>0</v>
      </c>
      <c r="O280" s="157">
        <f>SUMIFS(TablaConsumos[[CANTIDAD ]:[CANTIDAD ]],TablaConsumos[[CÓDIGO]:[CÓDIGO]],'Inventario '!$B280,TablaConsumos[[Planta]:[Planta]],'Inventario '!O$1)</f>
        <v>0</v>
      </c>
      <c r="P280" s="157">
        <f>SUMIFS(TablaConsumos[[CANTIDAD ]:[CANTIDAD ]],TablaConsumos[[CÓDIGO]:[CÓDIGO]],'Inventario '!$B280,TablaConsumos[[Planta]:[Planta]],'Inventario '!P$1)</f>
        <v>0</v>
      </c>
      <c r="Q280" s="157">
        <f>SUMIFS(TablaConsumos[[CANTIDAD ]:[CANTIDAD ]],TablaConsumos[[CÓDIGO]:[CÓDIGO]],'Inventario '!$B280,TablaConsumos[[Planta]:[Planta]],'Inventario '!Q$1)</f>
        <v>0</v>
      </c>
      <c r="R280" s="157">
        <f>SUMIFS(TablaConsumos[[CANTIDAD ]:[CANTIDAD ]],TablaConsumos[[CÓDIGO]:[CÓDIGO]],'Inventario '!$B280,TablaConsumos[[Planta]:[Planta]],'Inventario '!R$1)</f>
        <v>0</v>
      </c>
      <c r="S280" s="153">
        <f>+SUM(I280:R280)</f>
        <v>0</v>
      </c>
      <c r="T280" s="153">
        <f t="shared" si="296"/>
        <v>0</v>
      </c>
      <c r="U280" s="154"/>
      <c r="V280" s="153"/>
      <c r="W280" s="198">
        <v>1</v>
      </c>
      <c r="X280" s="132">
        <f t="shared" si="297"/>
        <v>0</v>
      </c>
      <c r="Y280" s="130">
        <f t="shared" si="298"/>
        <v>0</v>
      </c>
      <c r="Z280" s="132"/>
      <c r="AA280" s="132">
        <f t="shared" si="270"/>
        <v>0</v>
      </c>
      <c r="AB280" s="132"/>
      <c r="AC280" s="131">
        <f t="shared" si="271"/>
        <v>0</v>
      </c>
      <c r="AD280" s="131"/>
      <c r="AE280" s="130"/>
      <c r="AF280" s="130"/>
      <c r="AG280" s="168"/>
      <c r="AH280" s="134">
        <f t="shared" si="272"/>
        <v>0</v>
      </c>
      <c r="AI280" s="134">
        <f t="shared" si="273"/>
        <v>0</v>
      </c>
      <c r="AJ280" s="134">
        <f t="shared" si="274"/>
        <v>0</v>
      </c>
      <c r="AK280" s="134">
        <f t="shared" si="275"/>
        <v>0</v>
      </c>
      <c r="AL280" s="134">
        <f t="shared" si="276"/>
        <v>0</v>
      </c>
      <c r="AM280" s="134">
        <f t="shared" si="277"/>
        <v>0</v>
      </c>
      <c r="AN280" s="134">
        <f t="shared" si="278"/>
        <v>0</v>
      </c>
      <c r="AO280" s="134">
        <f t="shared" si="279"/>
        <v>0</v>
      </c>
      <c r="AP280" s="134">
        <f t="shared" si="280"/>
        <v>0</v>
      </c>
      <c r="AQ280" s="134">
        <f t="shared" si="281"/>
        <v>0</v>
      </c>
      <c r="AR280" s="134">
        <f t="shared" si="282"/>
        <v>0</v>
      </c>
      <c r="AS280" s="135">
        <f>+SUM(AI280:AR280)</f>
        <v>0</v>
      </c>
      <c r="AT280" s="137" t="str">
        <f t="shared" si="284"/>
        <v>0</v>
      </c>
      <c r="AU280" s="137" t="str">
        <f t="shared" si="285"/>
        <v>0</v>
      </c>
      <c r="AV280" s="137" t="str">
        <f t="shared" si="286"/>
        <v>0</v>
      </c>
      <c r="AW280" s="137" t="str">
        <f t="shared" si="287"/>
        <v>0</v>
      </c>
      <c r="AX280" s="137" t="str">
        <f t="shared" si="288"/>
        <v>0</v>
      </c>
      <c r="AY280" s="137" t="str">
        <f t="shared" si="289"/>
        <v>0</v>
      </c>
      <c r="AZ280" s="137" t="str">
        <f t="shared" si="290"/>
        <v>0</v>
      </c>
      <c r="BA280" s="137" t="str">
        <f t="shared" si="291"/>
        <v>0</v>
      </c>
      <c r="BB280" s="137" t="str">
        <f t="shared" si="292"/>
        <v>0</v>
      </c>
      <c r="BC280" s="137" t="str">
        <f t="shared" si="293"/>
        <v>0</v>
      </c>
      <c r="BD280" s="131">
        <f>+SUM(AT280:BC280)</f>
        <v>0</v>
      </c>
    </row>
    <row r="281" spans="2:56" ht="15" customHeight="1" x14ac:dyDescent="0.25">
      <c r="B281" s="150">
        <v>8203251</v>
      </c>
      <c r="C281" s="151" t="s">
        <v>384</v>
      </c>
      <c r="D281" s="151" t="s">
        <v>407</v>
      </c>
      <c r="E281" s="152" t="s">
        <v>702</v>
      </c>
      <c r="F281" s="274"/>
      <c r="G281" s="153">
        <f>+SUMIFS(TablaIngresos[Cantidad],TablaIngresos[Código],'Inventario '!B281)</f>
        <v>0</v>
      </c>
      <c r="H281" s="153">
        <f t="shared" si="295"/>
        <v>0</v>
      </c>
      <c r="I281" s="157">
        <f>SUMIFS(TablaConsumos[[CANTIDAD ]:[CANTIDAD ]],TablaConsumos[[CÓDIGO]:[CÓDIGO]],'Inventario '!$B281,TablaConsumos[[Planta]:[Planta]],'Inventario '!I$1)</f>
        <v>0</v>
      </c>
      <c r="J281" s="157">
        <f>SUMIFS(TablaConsumos[[CANTIDAD ]:[CANTIDAD ]],TablaConsumos[[CÓDIGO]:[CÓDIGO]],'Inventario '!$B281,TablaConsumos[[Planta]:[Planta]],'Inventario '!J$1)</f>
        <v>0</v>
      </c>
      <c r="K281" s="157">
        <f>SUMIFS(TablaConsumos[[CANTIDAD ]:[CANTIDAD ]],TablaConsumos[[CÓDIGO]:[CÓDIGO]],'Inventario '!$B281,TablaConsumos[[Planta]:[Planta]],'Inventario '!K$1)</f>
        <v>0</v>
      </c>
      <c r="L281" s="157">
        <f>SUMIFS(TablaConsumos[[CANTIDAD ]:[CANTIDAD ]],TablaConsumos[[CÓDIGO]:[CÓDIGO]],'Inventario '!$B281,TablaConsumos[[Planta]:[Planta]],'Inventario '!L$1)</f>
        <v>0</v>
      </c>
      <c r="M281" s="157">
        <f>SUMIFS(TablaConsumos[[CANTIDAD ]:[CANTIDAD ]],TablaConsumos[[CÓDIGO]:[CÓDIGO]],'Inventario '!$B281,TablaConsumos[[Planta]:[Planta]],'Inventario '!M$1)</f>
        <v>0</v>
      </c>
      <c r="N281" s="157">
        <f>SUMIFS(TablaConsumos[[CANTIDAD ]:[CANTIDAD ]],TablaConsumos[[CÓDIGO]:[CÓDIGO]],'Inventario '!$B281,TablaConsumos[[Planta]:[Planta]],'Inventario '!N$1)</f>
        <v>0</v>
      </c>
      <c r="O281" s="157">
        <f>SUMIFS(TablaConsumos[[CANTIDAD ]:[CANTIDAD ]],TablaConsumos[[CÓDIGO]:[CÓDIGO]],'Inventario '!$B281,TablaConsumos[[Planta]:[Planta]],'Inventario '!O$1)</f>
        <v>0</v>
      </c>
      <c r="P281" s="157">
        <f>SUMIFS(TablaConsumos[[CANTIDAD ]:[CANTIDAD ]],TablaConsumos[[CÓDIGO]:[CÓDIGO]],'Inventario '!$B281,TablaConsumos[[Planta]:[Planta]],'Inventario '!P$1)</f>
        <v>0</v>
      </c>
      <c r="Q281" s="157">
        <f>SUMIFS(TablaConsumos[[CANTIDAD ]:[CANTIDAD ]],TablaConsumos[[CÓDIGO]:[CÓDIGO]],'Inventario '!$B281,TablaConsumos[[Planta]:[Planta]],'Inventario '!Q$1)</f>
        <v>0</v>
      </c>
      <c r="R281" s="157">
        <f>SUMIFS(TablaConsumos[[CANTIDAD ]:[CANTIDAD ]],TablaConsumos[[CÓDIGO]:[CÓDIGO]],'Inventario '!$B281,TablaConsumos[[Planta]:[Planta]],'Inventario '!R$1)</f>
        <v>0</v>
      </c>
      <c r="S281" s="153">
        <f t="shared" ref="S281:S297" si="299">+SUM(I281:R281)</f>
        <v>0</v>
      </c>
      <c r="T281" s="153">
        <f t="shared" si="296"/>
        <v>0</v>
      </c>
      <c r="U281" s="154"/>
      <c r="V281" s="153"/>
      <c r="W281" s="198">
        <v>1</v>
      </c>
      <c r="X281" s="132">
        <f t="shared" si="297"/>
        <v>0</v>
      </c>
      <c r="Y281" s="130">
        <f t="shared" si="298"/>
        <v>0</v>
      </c>
      <c r="Z281" s="132"/>
      <c r="AA281" s="132">
        <f t="shared" si="270"/>
        <v>0</v>
      </c>
      <c r="AB281" s="132"/>
      <c r="AC281" s="131">
        <f t="shared" si="271"/>
        <v>0</v>
      </c>
      <c r="AD281" s="131"/>
      <c r="AE281" s="130"/>
      <c r="AF281" s="130"/>
      <c r="AG281" s="168"/>
      <c r="AH281" s="134">
        <f t="shared" si="272"/>
        <v>0</v>
      </c>
      <c r="AI281" s="134">
        <f t="shared" si="273"/>
        <v>0</v>
      </c>
      <c r="AJ281" s="134">
        <f t="shared" si="274"/>
        <v>0</v>
      </c>
      <c r="AK281" s="134">
        <f t="shared" si="275"/>
        <v>0</v>
      </c>
      <c r="AL281" s="134">
        <f t="shared" si="276"/>
        <v>0</v>
      </c>
      <c r="AM281" s="134">
        <f t="shared" si="277"/>
        <v>0</v>
      </c>
      <c r="AN281" s="134">
        <f t="shared" si="278"/>
        <v>0</v>
      </c>
      <c r="AO281" s="134">
        <f t="shared" si="279"/>
        <v>0</v>
      </c>
      <c r="AP281" s="134">
        <f t="shared" si="280"/>
        <v>0</v>
      </c>
      <c r="AQ281" s="134">
        <f t="shared" si="281"/>
        <v>0</v>
      </c>
      <c r="AR281" s="134">
        <f t="shared" si="282"/>
        <v>0</v>
      </c>
      <c r="AS281" s="135">
        <f t="shared" ref="AS281:AS297" si="300">+SUM(AI281:AR281)</f>
        <v>0</v>
      </c>
      <c r="AT281" s="137" t="str">
        <f t="shared" si="284"/>
        <v>0</v>
      </c>
      <c r="AU281" s="137" t="str">
        <f t="shared" si="285"/>
        <v>0</v>
      </c>
      <c r="AV281" s="137" t="str">
        <f t="shared" si="286"/>
        <v>0</v>
      </c>
      <c r="AW281" s="137" t="str">
        <f t="shared" si="287"/>
        <v>0</v>
      </c>
      <c r="AX281" s="137" t="str">
        <f t="shared" si="288"/>
        <v>0</v>
      </c>
      <c r="AY281" s="137" t="str">
        <f t="shared" si="289"/>
        <v>0</v>
      </c>
      <c r="AZ281" s="137" t="str">
        <f t="shared" si="290"/>
        <v>0</v>
      </c>
      <c r="BA281" s="137" t="str">
        <f t="shared" si="291"/>
        <v>0</v>
      </c>
      <c r="BB281" s="137" t="str">
        <f t="shared" si="292"/>
        <v>0</v>
      </c>
      <c r="BC281" s="137" t="str">
        <f t="shared" si="293"/>
        <v>0</v>
      </c>
      <c r="BD281" s="131">
        <f t="shared" ref="BD281:BD297" si="301">+SUM(AT281:BC281)</f>
        <v>0</v>
      </c>
    </row>
    <row r="282" spans="2:56" ht="15" customHeight="1" x14ac:dyDescent="0.25">
      <c r="B282" s="150">
        <v>3411267</v>
      </c>
      <c r="C282" s="151" t="s">
        <v>17</v>
      </c>
      <c r="D282" s="151" t="s">
        <v>407</v>
      </c>
      <c r="E282" s="152" t="s">
        <v>388</v>
      </c>
      <c r="F282" s="274"/>
      <c r="G282" s="153">
        <f>+SUMIFS(TablaIngresos[Cantidad],TablaIngresos[Código],'Inventario '!B282)</f>
        <v>0</v>
      </c>
      <c r="H282" s="153">
        <f t="shared" si="295"/>
        <v>0</v>
      </c>
      <c r="I282" s="157">
        <f>SUMIFS(TablaConsumos[[CANTIDAD ]:[CANTIDAD ]],TablaConsumos[[CÓDIGO]:[CÓDIGO]],'Inventario '!$B282,TablaConsumos[[Planta]:[Planta]],'Inventario '!I$1)</f>
        <v>0</v>
      </c>
      <c r="J282" s="157">
        <f>SUMIFS(TablaConsumos[[CANTIDAD ]:[CANTIDAD ]],TablaConsumos[[CÓDIGO]:[CÓDIGO]],'Inventario '!$B282,TablaConsumos[[Planta]:[Planta]],'Inventario '!J$1)</f>
        <v>0</v>
      </c>
      <c r="K282" s="157">
        <f>SUMIFS(TablaConsumos[[CANTIDAD ]:[CANTIDAD ]],TablaConsumos[[CÓDIGO]:[CÓDIGO]],'Inventario '!$B282,TablaConsumos[[Planta]:[Planta]],'Inventario '!K$1)</f>
        <v>0</v>
      </c>
      <c r="L282" s="157">
        <f>SUMIFS(TablaConsumos[[CANTIDAD ]:[CANTIDAD ]],TablaConsumos[[CÓDIGO]:[CÓDIGO]],'Inventario '!$B282,TablaConsumos[[Planta]:[Planta]],'Inventario '!L$1)</f>
        <v>0</v>
      </c>
      <c r="M282" s="157">
        <f>SUMIFS(TablaConsumos[[CANTIDAD ]:[CANTIDAD ]],TablaConsumos[[CÓDIGO]:[CÓDIGO]],'Inventario '!$B282,TablaConsumos[[Planta]:[Planta]],'Inventario '!M$1)</f>
        <v>0</v>
      </c>
      <c r="N282" s="157">
        <f>SUMIFS(TablaConsumos[[CANTIDAD ]:[CANTIDAD ]],TablaConsumos[[CÓDIGO]:[CÓDIGO]],'Inventario '!$B282,TablaConsumos[[Planta]:[Planta]],'Inventario '!N$1)</f>
        <v>0</v>
      </c>
      <c r="O282" s="157">
        <f>SUMIFS(TablaConsumos[[CANTIDAD ]:[CANTIDAD ]],TablaConsumos[[CÓDIGO]:[CÓDIGO]],'Inventario '!$B282,TablaConsumos[[Planta]:[Planta]],'Inventario '!O$1)</f>
        <v>0</v>
      </c>
      <c r="P282" s="157">
        <f>SUMIFS(TablaConsumos[[CANTIDAD ]:[CANTIDAD ]],TablaConsumos[[CÓDIGO]:[CÓDIGO]],'Inventario '!$B282,TablaConsumos[[Planta]:[Planta]],'Inventario '!P$1)</f>
        <v>0</v>
      </c>
      <c r="Q282" s="157">
        <f>SUMIFS(TablaConsumos[[CANTIDAD ]:[CANTIDAD ]],TablaConsumos[[CÓDIGO]:[CÓDIGO]],'Inventario '!$B282,TablaConsumos[[Planta]:[Planta]],'Inventario '!Q$1)</f>
        <v>0</v>
      </c>
      <c r="R282" s="157">
        <f>SUMIFS(TablaConsumos[[CANTIDAD ]:[CANTIDAD ]],TablaConsumos[[CÓDIGO]:[CÓDIGO]],'Inventario '!$B282,TablaConsumos[[Planta]:[Planta]],'Inventario '!R$1)</f>
        <v>0</v>
      </c>
      <c r="S282" s="153">
        <f t="shared" si="299"/>
        <v>0</v>
      </c>
      <c r="T282" s="153">
        <f t="shared" si="296"/>
        <v>0</v>
      </c>
      <c r="U282" s="154"/>
      <c r="V282" s="153"/>
      <c r="W282" s="198">
        <v>1</v>
      </c>
      <c r="X282" s="132">
        <f t="shared" si="297"/>
        <v>0</v>
      </c>
      <c r="Y282" s="130">
        <f t="shared" si="298"/>
        <v>0</v>
      </c>
      <c r="Z282" s="132"/>
      <c r="AA282" s="132">
        <f t="shared" si="270"/>
        <v>0</v>
      </c>
      <c r="AB282" s="132"/>
      <c r="AC282" s="131">
        <f t="shared" si="271"/>
        <v>0</v>
      </c>
      <c r="AD282" s="131"/>
      <c r="AE282" s="130"/>
      <c r="AF282" s="130"/>
      <c r="AG282" s="168"/>
      <c r="AH282" s="134">
        <f t="shared" si="272"/>
        <v>0</v>
      </c>
      <c r="AI282" s="134">
        <f t="shared" si="273"/>
        <v>0</v>
      </c>
      <c r="AJ282" s="134">
        <f t="shared" si="274"/>
        <v>0</v>
      </c>
      <c r="AK282" s="134">
        <f t="shared" si="275"/>
        <v>0</v>
      </c>
      <c r="AL282" s="134">
        <f t="shared" si="276"/>
        <v>0</v>
      </c>
      <c r="AM282" s="134">
        <f t="shared" si="277"/>
        <v>0</v>
      </c>
      <c r="AN282" s="134">
        <f t="shared" si="278"/>
        <v>0</v>
      </c>
      <c r="AO282" s="134">
        <f t="shared" si="279"/>
        <v>0</v>
      </c>
      <c r="AP282" s="134">
        <f t="shared" si="280"/>
        <v>0</v>
      </c>
      <c r="AQ282" s="134">
        <f t="shared" si="281"/>
        <v>0</v>
      </c>
      <c r="AR282" s="134">
        <f t="shared" si="282"/>
        <v>0</v>
      </c>
      <c r="AS282" s="135">
        <f t="shared" si="300"/>
        <v>0</v>
      </c>
      <c r="AT282" s="137" t="str">
        <f t="shared" si="284"/>
        <v>0</v>
      </c>
      <c r="AU282" s="137" t="str">
        <f t="shared" si="285"/>
        <v>0</v>
      </c>
      <c r="AV282" s="137" t="str">
        <f t="shared" si="286"/>
        <v>0</v>
      </c>
      <c r="AW282" s="137" t="str">
        <f t="shared" si="287"/>
        <v>0</v>
      </c>
      <c r="AX282" s="137" t="str">
        <f t="shared" si="288"/>
        <v>0</v>
      </c>
      <c r="AY282" s="137" t="str">
        <f t="shared" si="289"/>
        <v>0</v>
      </c>
      <c r="AZ282" s="137" t="str">
        <f t="shared" si="290"/>
        <v>0</v>
      </c>
      <c r="BA282" s="137" t="str">
        <f t="shared" si="291"/>
        <v>0</v>
      </c>
      <c r="BB282" s="137" t="str">
        <f t="shared" si="292"/>
        <v>0</v>
      </c>
      <c r="BC282" s="137" t="str">
        <f t="shared" si="293"/>
        <v>0</v>
      </c>
      <c r="BD282" s="131">
        <f t="shared" si="301"/>
        <v>0</v>
      </c>
    </row>
    <row r="283" spans="2:56" ht="15" customHeight="1" x14ac:dyDescent="0.25">
      <c r="B283" s="150">
        <v>3414920</v>
      </c>
      <c r="C283" s="151"/>
      <c r="D283" s="151" t="s">
        <v>407</v>
      </c>
      <c r="E283" s="152" t="s">
        <v>392</v>
      </c>
      <c r="F283" s="274"/>
      <c r="G283" s="153">
        <f>+SUMIFS(TablaIngresos[Cantidad],TablaIngresos[Código],'Inventario '!B283)</f>
        <v>0</v>
      </c>
      <c r="H283" s="153">
        <f t="shared" ref="H283:H300" si="302">+F283+G283</f>
        <v>0</v>
      </c>
      <c r="I283" s="157">
        <f>SUMIFS(TablaConsumos[[CANTIDAD ]:[CANTIDAD ]],TablaConsumos[[CÓDIGO]:[CÓDIGO]],'Inventario '!$B283,TablaConsumos[[Planta]:[Planta]],'Inventario '!I$1)</f>
        <v>0</v>
      </c>
      <c r="J283" s="157">
        <f>SUMIFS(TablaConsumos[[CANTIDAD ]:[CANTIDAD ]],TablaConsumos[[CÓDIGO]:[CÓDIGO]],'Inventario '!$B283,TablaConsumos[[Planta]:[Planta]],'Inventario '!J$1)</f>
        <v>0</v>
      </c>
      <c r="K283" s="157">
        <f>SUMIFS(TablaConsumos[[CANTIDAD ]:[CANTIDAD ]],TablaConsumos[[CÓDIGO]:[CÓDIGO]],'Inventario '!$B283,TablaConsumos[[Planta]:[Planta]],'Inventario '!K$1)</f>
        <v>0</v>
      </c>
      <c r="L283" s="157">
        <f>SUMIFS(TablaConsumos[[CANTIDAD ]:[CANTIDAD ]],TablaConsumos[[CÓDIGO]:[CÓDIGO]],'Inventario '!$B283,TablaConsumos[[Planta]:[Planta]],'Inventario '!L$1)</f>
        <v>0</v>
      </c>
      <c r="M283" s="157">
        <f>SUMIFS(TablaConsumos[[CANTIDAD ]:[CANTIDAD ]],TablaConsumos[[CÓDIGO]:[CÓDIGO]],'Inventario '!$B283,TablaConsumos[[Planta]:[Planta]],'Inventario '!M$1)</f>
        <v>0</v>
      </c>
      <c r="N283" s="157">
        <f>SUMIFS(TablaConsumos[[CANTIDAD ]:[CANTIDAD ]],TablaConsumos[[CÓDIGO]:[CÓDIGO]],'Inventario '!$B283,TablaConsumos[[Planta]:[Planta]],'Inventario '!N$1)</f>
        <v>0</v>
      </c>
      <c r="O283" s="157">
        <f>SUMIFS(TablaConsumos[[CANTIDAD ]:[CANTIDAD ]],TablaConsumos[[CÓDIGO]:[CÓDIGO]],'Inventario '!$B283,TablaConsumos[[Planta]:[Planta]],'Inventario '!O$1)</f>
        <v>0</v>
      </c>
      <c r="P283" s="157">
        <f>SUMIFS(TablaConsumos[[CANTIDAD ]:[CANTIDAD ]],TablaConsumos[[CÓDIGO]:[CÓDIGO]],'Inventario '!$B283,TablaConsumos[[Planta]:[Planta]],'Inventario '!P$1)</f>
        <v>0</v>
      </c>
      <c r="Q283" s="157">
        <f>SUMIFS(TablaConsumos[[CANTIDAD ]:[CANTIDAD ]],TablaConsumos[[CÓDIGO]:[CÓDIGO]],'Inventario '!$B283,TablaConsumos[[Planta]:[Planta]],'Inventario '!Q$1)</f>
        <v>0</v>
      </c>
      <c r="R283" s="157">
        <f>SUMIFS(TablaConsumos[[CANTIDAD ]:[CANTIDAD ]],TablaConsumos[[CÓDIGO]:[CÓDIGO]],'Inventario '!$B283,TablaConsumos[[Planta]:[Planta]],'Inventario '!R$1)</f>
        <v>0</v>
      </c>
      <c r="S283" s="153">
        <f t="shared" si="299"/>
        <v>0</v>
      </c>
      <c r="T283" s="153">
        <f t="shared" ref="T283:T300" si="303">+H283-S283</f>
        <v>0</v>
      </c>
      <c r="U283" s="154"/>
      <c r="V283" s="153"/>
      <c r="W283" s="198">
        <v>1</v>
      </c>
      <c r="X283" s="132">
        <f t="shared" si="297"/>
        <v>0</v>
      </c>
      <c r="Y283" s="130">
        <f t="shared" si="298"/>
        <v>0</v>
      </c>
      <c r="Z283" s="132"/>
      <c r="AA283" s="132">
        <f t="shared" si="270"/>
        <v>0</v>
      </c>
      <c r="AB283" s="132"/>
      <c r="AC283" s="131">
        <f t="shared" si="271"/>
        <v>0</v>
      </c>
      <c r="AD283" s="131"/>
      <c r="AE283" s="130"/>
      <c r="AF283" s="130"/>
      <c r="AG283" s="168"/>
      <c r="AH283" s="134">
        <f t="shared" si="272"/>
        <v>0</v>
      </c>
      <c r="AI283" s="134">
        <f t="shared" si="273"/>
        <v>0</v>
      </c>
      <c r="AJ283" s="134">
        <f t="shared" si="274"/>
        <v>0</v>
      </c>
      <c r="AK283" s="134">
        <f t="shared" si="275"/>
        <v>0</v>
      </c>
      <c r="AL283" s="134">
        <f t="shared" si="276"/>
        <v>0</v>
      </c>
      <c r="AM283" s="134">
        <f t="shared" si="277"/>
        <v>0</v>
      </c>
      <c r="AN283" s="134">
        <f t="shared" si="278"/>
        <v>0</v>
      </c>
      <c r="AO283" s="134">
        <f t="shared" si="279"/>
        <v>0</v>
      </c>
      <c r="AP283" s="134">
        <f t="shared" si="280"/>
        <v>0</v>
      </c>
      <c r="AQ283" s="134">
        <f t="shared" si="281"/>
        <v>0</v>
      </c>
      <c r="AR283" s="134">
        <f t="shared" si="282"/>
        <v>0</v>
      </c>
      <c r="AS283" s="135">
        <f t="shared" si="300"/>
        <v>0</v>
      </c>
      <c r="AT283" s="137" t="str">
        <f t="shared" si="284"/>
        <v>0</v>
      </c>
      <c r="AU283" s="137" t="str">
        <f t="shared" si="285"/>
        <v>0</v>
      </c>
      <c r="AV283" s="137" t="str">
        <f t="shared" si="286"/>
        <v>0</v>
      </c>
      <c r="AW283" s="137" t="str">
        <f t="shared" si="287"/>
        <v>0</v>
      </c>
      <c r="AX283" s="137" t="str">
        <f t="shared" si="288"/>
        <v>0</v>
      </c>
      <c r="AY283" s="137" t="str">
        <f t="shared" si="289"/>
        <v>0</v>
      </c>
      <c r="AZ283" s="137" t="str">
        <f t="shared" si="290"/>
        <v>0</v>
      </c>
      <c r="BA283" s="137" t="str">
        <f t="shared" si="291"/>
        <v>0</v>
      </c>
      <c r="BB283" s="137" t="str">
        <f t="shared" si="292"/>
        <v>0</v>
      </c>
      <c r="BC283" s="137" t="str">
        <f t="shared" si="293"/>
        <v>0</v>
      </c>
      <c r="BD283" s="131">
        <f t="shared" si="301"/>
        <v>0</v>
      </c>
    </row>
    <row r="284" spans="2:56" ht="15" customHeight="1" x14ac:dyDescent="0.25">
      <c r="B284" s="127">
        <v>3416760</v>
      </c>
      <c r="C284" s="128" t="s">
        <v>17</v>
      </c>
      <c r="D284" s="128" t="s">
        <v>407</v>
      </c>
      <c r="E284" s="129" t="s">
        <v>395</v>
      </c>
      <c r="F284" s="274"/>
      <c r="G284" s="153">
        <f>+SUMIFS(TablaIngresos[Cantidad],TablaIngresos[Código],'Inventario '!B284)</f>
        <v>0</v>
      </c>
      <c r="H284" s="153">
        <f t="shared" si="302"/>
        <v>0</v>
      </c>
      <c r="I284" s="157">
        <f>SUMIFS(TablaConsumos[[CANTIDAD ]:[CANTIDAD ]],TablaConsumos[[CÓDIGO]:[CÓDIGO]],'Inventario '!$B284,TablaConsumos[[Planta]:[Planta]],'Inventario '!I$1)</f>
        <v>0</v>
      </c>
      <c r="J284" s="157">
        <f>SUMIFS(TablaConsumos[[CANTIDAD ]:[CANTIDAD ]],TablaConsumos[[CÓDIGO]:[CÓDIGO]],'Inventario '!$B284,TablaConsumos[[Planta]:[Planta]],'Inventario '!J$1)</f>
        <v>0</v>
      </c>
      <c r="K284" s="157">
        <f>SUMIFS(TablaConsumos[[CANTIDAD ]:[CANTIDAD ]],TablaConsumos[[CÓDIGO]:[CÓDIGO]],'Inventario '!$B284,TablaConsumos[[Planta]:[Planta]],'Inventario '!K$1)</f>
        <v>0</v>
      </c>
      <c r="L284" s="157">
        <f>SUMIFS(TablaConsumos[[CANTIDAD ]:[CANTIDAD ]],TablaConsumos[[CÓDIGO]:[CÓDIGO]],'Inventario '!$B284,TablaConsumos[[Planta]:[Planta]],'Inventario '!L$1)</f>
        <v>0</v>
      </c>
      <c r="M284" s="157">
        <f>SUMIFS(TablaConsumos[[CANTIDAD ]:[CANTIDAD ]],TablaConsumos[[CÓDIGO]:[CÓDIGO]],'Inventario '!$B284,TablaConsumos[[Planta]:[Planta]],'Inventario '!M$1)</f>
        <v>0</v>
      </c>
      <c r="N284" s="157">
        <f>SUMIFS(TablaConsumos[[CANTIDAD ]:[CANTIDAD ]],TablaConsumos[[CÓDIGO]:[CÓDIGO]],'Inventario '!$B284,TablaConsumos[[Planta]:[Planta]],'Inventario '!N$1)</f>
        <v>0</v>
      </c>
      <c r="O284" s="157">
        <f>SUMIFS(TablaConsumos[[CANTIDAD ]:[CANTIDAD ]],TablaConsumos[[CÓDIGO]:[CÓDIGO]],'Inventario '!$B284,TablaConsumos[[Planta]:[Planta]],'Inventario '!O$1)</f>
        <v>0</v>
      </c>
      <c r="P284" s="157">
        <f>SUMIFS(TablaConsumos[[CANTIDAD ]:[CANTIDAD ]],TablaConsumos[[CÓDIGO]:[CÓDIGO]],'Inventario '!$B284,TablaConsumos[[Planta]:[Planta]],'Inventario '!P$1)</f>
        <v>0</v>
      </c>
      <c r="Q284" s="157">
        <f>SUMIFS(TablaConsumos[[CANTIDAD ]:[CANTIDAD ]],TablaConsumos[[CÓDIGO]:[CÓDIGO]],'Inventario '!$B284,TablaConsumos[[Planta]:[Planta]],'Inventario '!Q$1)</f>
        <v>0</v>
      </c>
      <c r="R284" s="157">
        <f>SUMIFS(TablaConsumos[[CANTIDAD ]:[CANTIDAD ]],TablaConsumos[[CÓDIGO]:[CÓDIGO]],'Inventario '!$B284,TablaConsumos[[Planta]:[Planta]],'Inventario '!R$1)</f>
        <v>0</v>
      </c>
      <c r="S284" s="153">
        <f t="shared" si="299"/>
        <v>0</v>
      </c>
      <c r="T284" s="153">
        <f t="shared" si="303"/>
        <v>0</v>
      </c>
      <c r="U284" s="154"/>
      <c r="V284" s="153"/>
      <c r="W284" s="198">
        <v>1</v>
      </c>
      <c r="X284" s="132">
        <f t="shared" si="297"/>
        <v>0</v>
      </c>
      <c r="Y284" s="130">
        <f t="shared" si="298"/>
        <v>0</v>
      </c>
      <c r="Z284" s="132"/>
      <c r="AA284" s="132">
        <f t="shared" si="270"/>
        <v>0</v>
      </c>
      <c r="AB284" s="132"/>
      <c r="AC284" s="131">
        <f t="shared" si="271"/>
        <v>0</v>
      </c>
      <c r="AD284" s="131"/>
      <c r="AE284" s="130"/>
      <c r="AF284" s="130"/>
      <c r="AG284" s="168"/>
      <c r="AH284" s="134">
        <f t="shared" si="272"/>
        <v>0</v>
      </c>
      <c r="AI284" s="134">
        <f t="shared" si="273"/>
        <v>0</v>
      </c>
      <c r="AJ284" s="134">
        <f t="shared" si="274"/>
        <v>0</v>
      </c>
      <c r="AK284" s="134">
        <f t="shared" si="275"/>
        <v>0</v>
      </c>
      <c r="AL284" s="134">
        <f t="shared" si="276"/>
        <v>0</v>
      </c>
      <c r="AM284" s="134">
        <f t="shared" si="277"/>
        <v>0</v>
      </c>
      <c r="AN284" s="134">
        <f t="shared" si="278"/>
        <v>0</v>
      </c>
      <c r="AO284" s="134">
        <f t="shared" si="279"/>
        <v>0</v>
      </c>
      <c r="AP284" s="134">
        <f t="shared" si="280"/>
        <v>0</v>
      </c>
      <c r="AQ284" s="134">
        <f t="shared" si="281"/>
        <v>0</v>
      </c>
      <c r="AR284" s="134">
        <f t="shared" si="282"/>
        <v>0</v>
      </c>
      <c r="AS284" s="135">
        <f t="shared" si="300"/>
        <v>0</v>
      </c>
      <c r="AT284" s="137" t="str">
        <f t="shared" si="284"/>
        <v>0</v>
      </c>
      <c r="AU284" s="137" t="str">
        <f t="shared" si="285"/>
        <v>0</v>
      </c>
      <c r="AV284" s="137" t="str">
        <f t="shared" si="286"/>
        <v>0</v>
      </c>
      <c r="AW284" s="137" t="str">
        <f t="shared" si="287"/>
        <v>0</v>
      </c>
      <c r="AX284" s="137" t="str">
        <f t="shared" si="288"/>
        <v>0</v>
      </c>
      <c r="AY284" s="137" t="str">
        <f t="shared" si="289"/>
        <v>0</v>
      </c>
      <c r="AZ284" s="137" t="str">
        <f t="shared" si="290"/>
        <v>0</v>
      </c>
      <c r="BA284" s="137" t="str">
        <f t="shared" si="291"/>
        <v>0</v>
      </c>
      <c r="BB284" s="137" t="str">
        <f t="shared" si="292"/>
        <v>0</v>
      </c>
      <c r="BC284" s="137" t="str">
        <f t="shared" si="293"/>
        <v>0</v>
      </c>
      <c r="BD284" s="131">
        <f t="shared" si="301"/>
        <v>0</v>
      </c>
    </row>
    <row r="285" spans="2:56" ht="15" customHeight="1" x14ac:dyDescent="0.25">
      <c r="B285" s="150">
        <v>4205901</v>
      </c>
      <c r="C285" s="151" t="s">
        <v>316</v>
      </c>
      <c r="D285" s="151" t="s">
        <v>407</v>
      </c>
      <c r="E285" s="152" t="s">
        <v>399</v>
      </c>
      <c r="F285" s="274"/>
      <c r="G285" s="153">
        <f>+SUMIFS(TablaIngresos[Cantidad],TablaIngresos[Código],'Inventario '!B285)</f>
        <v>0</v>
      </c>
      <c r="H285" s="153">
        <f t="shared" si="302"/>
        <v>0</v>
      </c>
      <c r="I285" s="157">
        <f>SUMIFS(TablaConsumos[[CANTIDAD ]:[CANTIDAD ]],TablaConsumos[[CÓDIGO]:[CÓDIGO]],'Inventario '!$B285,TablaConsumos[[Planta]:[Planta]],'Inventario '!I$1)</f>
        <v>0</v>
      </c>
      <c r="J285" s="157">
        <f>SUMIFS(TablaConsumos[[CANTIDAD ]:[CANTIDAD ]],TablaConsumos[[CÓDIGO]:[CÓDIGO]],'Inventario '!$B285,TablaConsumos[[Planta]:[Planta]],'Inventario '!J$1)</f>
        <v>0</v>
      </c>
      <c r="K285" s="157">
        <f>SUMIFS(TablaConsumos[[CANTIDAD ]:[CANTIDAD ]],TablaConsumos[[CÓDIGO]:[CÓDIGO]],'Inventario '!$B285,TablaConsumos[[Planta]:[Planta]],'Inventario '!K$1)</f>
        <v>0</v>
      </c>
      <c r="L285" s="157">
        <f>SUMIFS(TablaConsumos[[CANTIDAD ]:[CANTIDAD ]],TablaConsumos[[CÓDIGO]:[CÓDIGO]],'Inventario '!$B285,TablaConsumos[[Planta]:[Planta]],'Inventario '!L$1)</f>
        <v>0</v>
      </c>
      <c r="M285" s="157">
        <f>SUMIFS(TablaConsumos[[CANTIDAD ]:[CANTIDAD ]],TablaConsumos[[CÓDIGO]:[CÓDIGO]],'Inventario '!$B285,TablaConsumos[[Planta]:[Planta]],'Inventario '!M$1)</f>
        <v>0</v>
      </c>
      <c r="N285" s="157">
        <f>SUMIFS(TablaConsumos[[CANTIDAD ]:[CANTIDAD ]],TablaConsumos[[CÓDIGO]:[CÓDIGO]],'Inventario '!$B285,TablaConsumos[[Planta]:[Planta]],'Inventario '!N$1)</f>
        <v>0</v>
      </c>
      <c r="O285" s="157">
        <f>SUMIFS(TablaConsumos[[CANTIDAD ]:[CANTIDAD ]],TablaConsumos[[CÓDIGO]:[CÓDIGO]],'Inventario '!$B285,TablaConsumos[[Planta]:[Planta]],'Inventario '!O$1)</f>
        <v>0</v>
      </c>
      <c r="P285" s="157">
        <f>SUMIFS(TablaConsumos[[CANTIDAD ]:[CANTIDAD ]],TablaConsumos[[CÓDIGO]:[CÓDIGO]],'Inventario '!$B285,TablaConsumos[[Planta]:[Planta]],'Inventario '!P$1)</f>
        <v>0</v>
      </c>
      <c r="Q285" s="157">
        <f>SUMIFS(TablaConsumos[[CANTIDAD ]:[CANTIDAD ]],TablaConsumos[[CÓDIGO]:[CÓDIGO]],'Inventario '!$B285,TablaConsumos[[Planta]:[Planta]],'Inventario '!Q$1)</f>
        <v>0</v>
      </c>
      <c r="R285" s="157">
        <f>SUMIFS(TablaConsumos[[CANTIDAD ]:[CANTIDAD ]],TablaConsumos[[CÓDIGO]:[CÓDIGO]],'Inventario '!$B285,TablaConsumos[[Planta]:[Planta]],'Inventario '!R$1)</f>
        <v>0</v>
      </c>
      <c r="S285" s="153">
        <f t="shared" si="299"/>
        <v>0</v>
      </c>
      <c r="T285" s="153">
        <f t="shared" si="303"/>
        <v>0</v>
      </c>
      <c r="U285" s="154"/>
      <c r="V285" s="153"/>
      <c r="W285" s="198">
        <v>1</v>
      </c>
      <c r="X285" s="132">
        <f t="shared" si="297"/>
        <v>0</v>
      </c>
      <c r="Y285" s="130">
        <f t="shared" si="298"/>
        <v>0</v>
      </c>
      <c r="Z285" s="132"/>
      <c r="AA285" s="132">
        <f t="shared" si="270"/>
        <v>0</v>
      </c>
      <c r="AB285" s="132"/>
      <c r="AC285" s="131">
        <f t="shared" si="271"/>
        <v>0</v>
      </c>
      <c r="AD285" s="131"/>
      <c r="AE285" s="130"/>
      <c r="AF285" s="130"/>
      <c r="AG285" s="168"/>
      <c r="AH285" s="134">
        <f t="shared" si="272"/>
        <v>0</v>
      </c>
      <c r="AI285" s="134">
        <f t="shared" si="273"/>
        <v>0</v>
      </c>
      <c r="AJ285" s="134">
        <f t="shared" si="274"/>
        <v>0</v>
      </c>
      <c r="AK285" s="134">
        <f t="shared" si="275"/>
        <v>0</v>
      </c>
      <c r="AL285" s="134">
        <f t="shared" si="276"/>
        <v>0</v>
      </c>
      <c r="AM285" s="134">
        <f t="shared" si="277"/>
        <v>0</v>
      </c>
      <c r="AN285" s="134">
        <f t="shared" si="278"/>
        <v>0</v>
      </c>
      <c r="AO285" s="134">
        <f t="shared" si="279"/>
        <v>0</v>
      </c>
      <c r="AP285" s="134">
        <f t="shared" si="280"/>
        <v>0</v>
      </c>
      <c r="AQ285" s="134">
        <f t="shared" si="281"/>
        <v>0</v>
      </c>
      <c r="AR285" s="134">
        <f t="shared" si="282"/>
        <v>0</v>
      </c>
      <c r="AS285" s="135">
        <f t="shared" si="300"/>
        <v>0</v>
      </c>
      <c r="AT285" s="137" t="str">
        <f t="shared" si="284"/>
        <v>0</v>
      </c>
      <c r="AU285" s="137" t="str">
        <f t="shared" si="285"/>
        <v>0</v>
      </c>
      <c r="AV285" s="137" t="str">
        <f t="shared" si="286"/>
        <v>0</v>
      </c>
      <c r="AW285" s="137" t="str">
        <f t="shared" si="287"/>
        <v>0</v>
      </c>
      <c r="AX285" s="137" t="str">
        <f t="shared" si="288"/>
        <v>0</v>
      </c>
      <c r="AY285" s="137" t="str">
        <f t="shared" si="289"/>
        <v>0</v>
      </c>
      <c r="AZ285" s="137" t="str">
        <f t="shared" si="290"/>
        <v>0</v>
      </c>
      <c r="BA285" s="137" t="str">
        <f t="shared" si="291"/>
        <v>0</v>
      </c>
      <c r="BB285" s="137" t="str">
        <f t="shared" si="292"/>
        <v>0</v>
      </c>
      <c r="BC285" s="137" t="str">
        <f t="shared" si="293"/>
        <v>0</v>
      </c>
      <c r="BD285" s="131">
        <f t="shared" si="301"/>
        <v>0</v>
      </c>
    </row>
    <row r="286" spans="2:56" ht="15" customHeight="1" x14ac:dyDescent="0.25">
      <c r="B286" s="150">
        <v>8201240</v>
      </c>
      <c r="C286" s="157" t="s">
        <v>17</v>
      </c>
      <c r="D286" s="157" t="s">
        <v>407</v>
      </c>
      <c r="E286" s="155" t="s">
        <v>704</v>
      </c>
      <c r="F286" s="274"/>
      <c r="G286" s="153">
        <f>+SUMIFS(TablaIngresos[Cantidad],TablaIngresos[Código],'Inventario '!B286)</f>
        <v>0</v>
      </c>
      <c r="H286" s="153">
        <f t="shared" si="302"/>
        <v>0</v>
      </c>
      <c r="I286" s="157">
        <f>SUMIFS(TablaConsumos[[CANTIDAD ]:[CANTIDAD ]],TablaConsumos[[CÓDIGO]:[CÓDIGO]],'Inventario '!$B286,TablaConsumos[[Planta]:[Planta]],'Inventario '!I$1)</f>
        <v>0</v>
      </c>
      <c r="J286" s="157">
        <f>SUMIFS(TablaConsumos[[CANTIDAD ]:[CANTIDAD ]],TablaConsumos[[CÓDIGO]:[CÓDIGO]],'Inventario '!$B286,TablaConsumos[[Planta]:[Planta]],'Inventario '!J$1)</f>
        <v>0</v>
      </c>
      <c r="K286" s="157">
        <f>SUMIFS(TablaConsumos[[CANTIDAD ]:[CANTIDAD ]],TablaConsumos[[CÓDIGO]:[CÓDIGO]],'Inventario '!$B286,TablaConsumos[[Planta]:[Planta]],'Inventario '!K$1)</f>
        <v>0</v>
      </c>
      <c r="L286" s="157">
        <f>SUMIFS(TablaConsumos[[CANTIDAD ]:[CANTIDAD ]],TablaConsumos[[CÓDIGO]:[CÓDIGO]],'Inventario '!$B286,TablaConsumos[[Planta]:[Planta]],'Inventario '!L$1)</f>
        <v>0</v>
      </c>
      <c r="M286" s="157">
        <f>SUMIFS(TablaConsumos[[CANTIDAD ]:[CANTIDAD ]],TablaConsumos[[CÓDIGO]:[CÓDIGO]],'Inventario '!$B286,TablaConsumos[[Planta]:[Planta]],'Inventario '!M$1)</f>
        <v>0</v>
      </c>
      <c r="N286" s="157">
        <f>SUMIFS(TablaConsumos[[CANTIDAD ]:[CANTIDAD ]],TablaConsumos[[CÓDIGO]:[CÓDIGO]],'Inventario '!$B286,TablaConsumos[[Planta]:[Planta]],'Inventario '!N$1)</f>
        <v>0</v>
      </c>
      <c r="O286" s="157">
        <f>SUMIFS(TablaConsumos[[CANTIDAD ]:[CANTIDAD ]],TablaConsumos[[CÓDIGO]:[CÓDIGO]],'Inventario '!$B286,TablaConsumos[[Planta]:[Planta]],'Inventario '!O$1)</f>
        <v>0</v>
      </c>
      <c r="P286" s="157">
        <f>SUMIFS(TablaConsumos[[CANTIDAD ]:[CANTIDAD ]],TablaConsumos[[CÓDIGO]:[CÓDIGO]],'Inventario '!$B286,TablaConsumos[[Planta]:[Planta]],'Inventario '!P$1)</f>
        <v>0</v>
      </c>
      <c r="Q286" s="157">
        <f>SUMIFS(TablaConsumos[[CANTIDAD ]:[CANTIDAD ]],TablaConsumos[[CÓDIGO]:[CÓDIGO]],'Inventario '!$B286,TablaConsumos[[Planta]:[Planta]],'Inventario '!Q$1)</f>
        <v>0</v>
      </c>
      <c r="R286" s="157">
        <f>SUMIFS(TablaConsumos[[CANTIDAD ]:[CANTIDAD ]],TablaConsumos[[CÓDIGO]:[CÓDIGO]],'Inventario '!$B286,TablaConsumos[[Planta]:[Planta]],'Inventario '!R$1)</f>
        <v>0</v>
      </c>
      <c r="S286" s="153">
        <f t="shared" si="299"/>
        <v>0</v>
      </c>
      <c r="T286" s="153">
        <f t="shared" si="303"/>
        <v>0</v>
      </c>
      <c r="U286" s="154"/>
      <c r="V286" s="153"/>
      <c r="W286" s="198">
        <v>1</v>
      </c>
      <c r="X286" s="132">
        <f>+U286*W286</f>
        <v>0</v>
      </c>
      <c r="Y286" s="130">
        <f t="shared" si="298"/>
        <v>0</v>
      </c>
      <c r="Z286" s="132"/>
      <c r="AA286" s="132">
        <f t="shared" si="270"/>
        <v>0</v>
      </c>
      <c r="AB286" s="132"/>
      <c r="AC286" s="131">
        <f t="shared" si="271"/>
        <v>0</v>
      </c>
      <c r="AD286" s="131"/>
      <c r="AE286" s="130"/>
      <c r="AF286" s="130"/>
      <c r="AG286" s="168"/>
      <c r="AH286" s="134">
        <f t="shared" si="272"/>
        <v>0</v>
      </c>
      <c r="AI286" s="134">
        <f t="shared" si="273"/>
        <v>0</v>
      </c>
      <c r="AJ286" s="134">
        <f t="shared" si="274"/>
        <v>0</v>
      </c>
      <c r="AK286" s="134">
        <f t="shared" si="275"/>
        <v>0</v>
      </c>
      <c r="AL286" s="134">
        <f t="shared" si="276"/>
        <v>0</v>
      </c>
      <c r="AM286" s="134">
        <f t="shared" si="277"/>
        <v>0</v>
      </c>
      <c r="AN286" s="134">
        <f t="shared" si="278"/>
        <v>0</v>
      </c>
      <c r="AO286" s="134">
        <f t="shared" si="279"/>
        <v>0</v>
      </c>
      <c r="AP286" s="134">
        <f t="shared" si="280"/>
        <v>0</v>
      </c>
      <c r="AQ286" s="134">
        <f t="shared" si="281"/>
        <v>0</v>
      </c>
      <c r="AR286" s="134">
        <f t="shared" si="282"/>
        <v>0</v>
      </c>
      <c r="AS286" s="135">
        <f t="shared" si="300"/>
        <v>0</v>
      </c>
      <c r="AT286" s="137" t="str">
        <f t="shared" si="284"/>
        <v>0</v>
      </c>
      <c r="AU286" s="137" t="str">
        <f t="shared" si="285"/>
        <v>0</v>
      </c>
      <c r="AV286" s="137" t="str">
        <f t="shared" si="286"/>
        <v>0</v>
      </c>
      <c r="AW286" s="137" t="str">
        <f t="shared" si="287"/>
        <v>0</v>
      </c>
      <c r="AX286" s="137" t="str">
        <f t="shared" si="288"/>
        <v>0</v>
      </c>
      <c r="AY286" s="137" t="str">
        <f t="shared" si="289"/>
        <v>0</v>
      </c>
      <c r="AZ286" s="137" t="str">
        <f t="shared" si="290"/>
        <v>0</v>
      </c>
      <c r="BA286" s="137" t="str">
        <f t="shared" si="291"/>
        <v>0</v>
      </c>
      <c r="BB286" s="137" t="str">
        <f t="shared" si="292"/>
        <v>0</v>
      </c>
      <c r="BC286" s="137" t="str">
        <f t="shared" si="293"/>
        <v>0</v>
      </c>
      <c r="BD286" s="131">
        <f t="shared" si="301"/>
        <v>0</v>
      </c>
    </row>
    <row r="287" spans="2:56" ht="15" customHeight="1" x14ac:dyDescent="0.25">
      <c r="B287" s="150">
        <v>8200194</v>
      </c>
      <c r="C287" s="151" t="s">
        <v>316</v>
      </c>
      <c r="D287" s="151" t="s">
        <v>407</v>
      </c>
      <c r="E287" s="155" t="s">
        <v>410</v>
      </c>
      <c r="F287" s="274"/>
      <c r="G287" s="153">
        <f>+SUMIFS(TablaIngresos[Cantidad],TablaIngresos[Código],'Inventario '!B287)</f>
        <v>0</v>
      </c>
      <c r="H287" s="153">
        <f t="shared" si="302"/>
        <v>0</v>
      </c>
      <c r="I287" s="157">
        <f>SUMIFS(TablaConsumos[[CANTIDAD ]:[CANTIDAD ]],TablaConsumos[[CÓDIGO]:[CÓDIGO]],'Inventario '!$B287,TablaConsumos[[Planta]:[Planta]],'Inventario '!I$1)</f>
        <v>0</v>
      </c>
      <c r="J287" s="157">
        <f>SUMIFS(TablaConsumos[[CANTIDAD ]:[CANTIDAD ]],TablaConsumos[[CÓDIGO]:[CÓDIGO]],'Inventario '!$B287,TablaConsumos[[Planta]:[Planta]],'Inventario '!J$1)</f>
        <v>0</v>
      </c>
      <c r="K287" s="157">
        <f>SUMIFS(TablaConsumos[[CANTIDAD ]:[CANTIDAD ]],TablaConsumos[[CÓDIGO]:[CÓDIGO]],'Inventario '!$B287,TablaConsumos[[Planta]:[Planta]],'Inventario '!K$1)</f>
        <v>0</v>
      </c>
      <c r="L287" s="157">
        <f>SUMIFS(TablaConsumos[[CANTIDAD ]:[CANTIDAD ]],TablaConsumos[[CÓDIGO]:[CÓDIGO]],'Inventario '!$B287,TablaConsumos[[Planta]:[Planta]],'Inventario '!L$1)</f>
        <v>0</v>
      </c>
      <c r="M287" s="157">
        <f>SUMIFS(TablaConsumos[[CANTIDAD ]:[CANTIDAD ]],TablaConsumos[[CÓDIGO]:[CÓDIGO]],'Inventario '!$B287,TablaConsumos[[Planta]:[Planta]],'Inventario '!M$1)</f>
        <v>0</v>
      </c>
      <c r="N287" s="157">
        <f>SUMIFS(TablaConsumos[[CANTIDAD ]:[CANTIDAD ]],TablaConsumos[[CÓDIGO]:[CÓDIGO]],'Inventario '!$B287,TablaConsumos[[Planta]:[Planta]],'Inventario '!N$1)</f>
        <v>0</v>
      </c>
      <c r="O287" s="157">
        <f>SUMIFS(TablaConsumos[[CANTIDAD ]:[CANTIDAD ]],TablaConsumos[[CÓDIGO]:[CÓDIGO]],'Inventario '!$B287,TablaConsumos[[Planta]:[Planta]],'Inventario '!O$1)</f>
        <v>0</v>
      </c>
      <c r="P287" s="157">
        <f>SUMIFS(TablaConsumos[[CANTIDAD ]:[CANTIDAD ]],TablaConsumos[[CÓDIGO]:[CÓDIGO]],'Inventario '!$B287,TablaConsumos[[Planta]:[Planta]],'Inventario '!P$1)</f>
        <v>0</v>
      </c>
      <c r="Q287" s="157">
        <f>SUMIFS(TablaConsumos[[CANTIDAD ]:[CANTIDAD ]],TablaConsumos[[CÓDIGO]:[CÓDIGO]],'Inventario '!$B287,TablaConsumos[[Planta]:[Planta]],'Inventario '!Q$1)</f>
        <v>0</v>
      </c>
      <c r="R287" s="157">
        <f>SUMIFS(TablaConsumos[[CANTIDAD ]:[CANTIDAD ]],TablaConsumos[[CÓDIGO]:[CÓDIGO]],'Inventario '!$B287,TablaConsumos[[Planta]:[Planta]],'Inventario '!R$1)</f>
        <v>0</v>
      </c>
      <c r="S287" s="153">
        <f t="shared" si="299"/>
        <v>0</v>
      </c>
      <c r="T287" s="153">
        <f t="shared" si="303"/>
        <v>0</v>
      </c>
      <c r="U287" s="154"/>
      <c r="V287" s="153"/>
      <c r="W287" s="198">
        <v>1</v>
      </c>
      <c r="X287" s="132">
        <f t="shared" si="297"/>
        <v>0</v>
      </c>
      <c r="Y287" s="130">
        <f t="shared" si="298"/>
        <v>0</v>
      </c>
      <c r="Z287" s="132"/>
      <c r="AA287" s="132">
        <f t="shared" ref="AA287:AA306" si="304">(Z287-X287)</f>
        <v>0</v>
      </c>
      <c r="AB287" s="132"/>
      <c r="AC287" s="131">
        <f t="shared" ref="AC287:AC314" si="305">+Z287-AA287</f>
        <v>0</v>
      </c>
      <c r="AD287" s="131"/>
      <c r="AE287" s="130"/>
      <c r="AF287" s="130"/>
      <c r="AG287" s="168"/>
      <c r="AH287" s="134">
        <f t="shared" ref="AH287:AH314" si="306">+IF(S287=0,0,AF287/S287)</f>
        <v>0</v>
      </c>
      <c r="AI287" s="134">
        <f t="shared" ref="AI287:AI314" si="307">+IF(I287=0,0,I287/$S287)</f>
        <v>0</v>
      </c>
      <c r="AJ287" s="134">
        <f t="shared" ref="AJ287:AJ314" si="308">+IF(J287=0,0,J287/$S287)</f>
        <v>0</v>
      </c>
      <c r="AK287" s="134">
        <f t="shared" ref="AK287:AK314" si="309">+IF(K287=0,0,K287/$S287)</f>
        <v>0</v>
      </c>
      <c r="AL287" s="134">
        <f t="shared" ref="AL287:AL314" si="310">+IF(L287=0,0,L287/$S287)</f>
        <v>0</v>
      </c>
      <c r="AM287" s="134">
        <f t="shared" ref="AM287:AM314" si="311">+IF(M287=0,0,M287/$S287)</f>
        <v>0</v>
      </c>
      <c r="AN287" s="134">
        <f t="shared" ref="AN287:AN314" si="312">+IF(N287=0,0,N287/$S287)</f>
        <v>0</v>
      </c>
      <c r="AO287" s="134">
        <f t="shared" ref="AO287:AO314" si="313">+IF(O287=0,0,O287/$S287)</f>
        <v>0</v>
      </c>
      <c r="AP287" s="134">
        <f t="shared" ref="AP287:AP314" si="314">+IF(P287=0,0,P287/$S287)</f>
        <v>0</v>
      </c>
      <c r="AQ287" s="134">
        <f t="shared" ref="AQ287:AQ314" si="315">+IF(Q287=0,0,Q287/$S287)</f>
        <v>0</v>
      </c>
      <c r="AR287" s="134">
        <f t="shared" ref="AR287:AR314" si="316">+IF(R287=0,0,R287/$S287)</f>
        <v>0</v>
      </c>
      <c r="AS287" s="135">
        <f t="shared" si="300"/>
        <v>0</v>
      </c>
      <c r="AT287" s="137" t="str">
        <f t="shared" ref="AT287:AT314" si="317">+IF(I287=-I287,"0",I287+$Y287*AI287)</f>
        <v>0</v>
      </c>
      <c r="AU287" s="137" t="str">
        <f t="shared" ref="AU287:AU314" si="318">+IF(J287=-J287,"0",J287+$Y287*AJ287)</f>
        <v>0</v>
      </c>
      <c r="AV287" s="137" t="str">
        <f t="shared" ref="AV287:AV314" si="319">+IF(K287=-K287,"0",K287+$Y287*AK287)</f>
        <v>0</v>
      </c>
      <c r="AW287" s="137" t="str">
        <f t="shared" ref="AW287:AW314" si="320">+IF(L287=-L287,"0",L287+$Y287*AL287)</f>
        <v>0</v>
      </c>
      <c r="AX287" s="137" t="str">
        <f t="shared" ref="AX287:AX314" si="321">+IF(M287=-M287,"0",M287+$Y287*AM287)</f>
        <v>0</v>
      </c>
      <c r="AY287" s="137" t="str">
        <f t="shared" ref="AY287:AY314" si="322">+IF(N287=-N287,"0",N287+$Y287*AN287)</f>
        <v>0</v>
      </c>
      <c r="AZ287" s="137" t="str">
        <f t="shared" ref="AZ287:AZ314" si="323">+IF(O287=-O287,"0",O287+$Y287*AO287)</f>
        <v>0</v>
      </c>
      <c r="BA287" s="137" t="str">
        <f t="shared" ref="BA287:BA314" si="324">+IF(P287=-P287,"0",P287+$Y287*AP287)</f>
        <v>0</v>
      </c>
      <c r="BB287" s="137" t="str">
        <f t="shared" ref="BB287:BB314" si="325">+IF(Q287=-Q287,"0",Q287+$Y287*AQ287)</f>
        <v>0</v>
      </c>
      <c r="BC287" s="137" t="str">
        <f t="shared" ref="BC287:BC314" si="326">+IF(R287=-R287,"0",R287+$Y287*AR287)</f>
        <v>0</v>
      </c>
      <c r="BD287" s="131">
        <f t="shared" si="301"/>
        <v>0</v>
      </c>
    </row>
    <row r="288" spans="2:56" ht="15" customHeight="1" x14ac:dyDescent="0.25">
      <c r="B288" s="150">
        <v>8200480</v>
      </c>
      <c r="C288" s="151" t="s">
        <v>417</v>
      </c>
      <c r="D288" s="151" t="s">
        <v>407</v>
      </c>
      <c r="E288" s="155" t="s">
        <v>419</v>
      </c>
      <c r="F288" s="274"/>
      <c r="G288" s="153">
        <f>+SUMIFS(TablaIngresos[Cantidad],TablaIngresos[Código],'Inventario '!B288)</f>
        <v>0</v>
      </c>
      <c r="H288" s="153">
        <f t="shared" si="302"/>
        <v>0</v>
      </c>
      <c r="I288" s="157">
        <f>SUMIFS(TablaConsumos[[CANTIDAD ]:[CANTIDAD ]],TablaConsumos[[CÓDIGO]:[CÓDIGO]],'Inventario '!$B288,TablaConsumos[[Planta]:[Planta]],'Inventario '!I$1)</f>
        <v>0</v>
      </c>
      <c r="J288" s="157">
        <f>SUMIFS(TablaConsumos[[CANTIDAD ]:[CANTIDAD ]],TablaConsumos[[CÓDIGO]:[CÓDIGO]],'Inventario '!$B288,TablaConsumos[[Planta]:[Planta]],'Inventario '!J$1)</f>
        <v>0</v>
      </c>
      <c r="K288" s="157">
        <f>SUMIFS(TablaConsumos[[CANTIDAD ]:[CANTIDAD ]],TablaConsumos[[CÓDIGO]:[CÓDIGO]],'Inventario '!$B288,TablaConsumos[[Planta]:[Planta]],'Inventario '!K$1)</f>
        <v>0</v>
      </c>
      <c r="L288" s="157">
        <f>SUMIFS(TablaConsumos[[CANTIDAD ]:[CANTIDAD ]],TablaConsumos[[CÓDIGO]:[CÓDIGO]],'Inventario '!$B288,TablaConsumos[[Planta]:[Planta]],'Inventario '!L$1)</f>
        <v>0</v>
      </c>
      <c r="M288" s="157">
        <f>SUMIFS(TablaConsumos[[CANTIDAD ]:[CANTIDAD ]],TablaConsumos[[CÓDIGO]:[CÓDIGO]],'Inventario '!$B288,TablaConsumos[[Planta]:[Planta]],'Inventario '!M$1)</f>
        <v>0</v>
      </c>
      <c r="N288" s="157">
        <f>SUMIFS(TablaConsumos[[CANTIDAD ]:[CANTIDAD ]],TablaConsumos[[CÓDIGO]:[CÓDIGO]],'Inventario '!$B288,TablaConsumos[[Planta]:[Planta]],'Inventario '!N$1)</f>
        <v>0</v>
      </c>
      <c r="O288" s="157">
        <f>SUMIFS(TablaConsumos[[CANTIDAD ]:[CANTIDAD ]],TablaConsumos[[CÓDIGO]:[CÓDIGO]],'Inventario '!$B288,TablaConsumos[[Planta]:[Planta]],'Inventario '!O$1)</f>
        <v>0</v>
      </c>
      <c r="P288" s="157">
        <f>SUMIFS(TablaConsumos[[CANTIDAD ]:[CANTIDAD ]],TablaConsumos[[CÓDIGO]:[CÓDIGO]],'Inventario '!$B288,TablaConsumos[[Planta]:[Planta]],'Inventario '!P$1)</f>
        <v>0</v>
      </c>
      <c r="Q288" s="157">
        <f>SUMIFS(TablaConsumos[[CANTIDAD ]:[CANTIDAD ]],TablaConsumos[[CÓDIGO]:[CÓDIGO]],'Inventario '!$B288,TablaConsumos[[Planta]:[Planta]],'Inventario '!Q$1)</f>
        <v>0</v>
      </c>
      <c r="R288" s="157">
        <f>SUMIFS(TablaConsumos[[CANTIDAD ]:[CANTIDAD ]],TablaConsumos[[CÓDIGO]:[CÓDIGO]],'Inventario '!$B288,TablaConsumos[[Planta]:[Planta]],'Inventario '!R$1)</f>
        <v>0</v>
      </c>
      <c r="S288" s="153">
        <f t="shared" si="299"/>
        <v>0</v>
      </c>
      <c r="T288" s="153">
        <f t="shared" si="303"/>
        <v>0</v>
      </c>
      <c r="U288" s="154"/>
      <c r="V288" s="153"/>
      <c r="W288" s="198">
        <v>1</v>
      </c>
      <c r="X288" s="132">
        <f t="shared" si="297"/>
        <v>0</v>
      </c>
      <c r="Y288" s="130">
        <f t="shared" si="298"/>
        <v>0</v>
      </c>
      <c r="Z288" s="132"/>
      <c r="AA288" s="132">
        <f t="shared" si="304"/>
        <v>0</v>
      </c>
      <c r="AB288" s="132"/>
      <c r="AC288" s="131">
        <f t="shared" si="305"/>
        <v>0</v>
      </c>
      <c r="AD288" s="131"/>
      <c r="AE288" s="130"/>
      <c r="AF288" s="130"/>
      <c r="AG288" s="168"/>
      <c r="AH288" s="134">
        <f t="shared" si="306"/>
        <v>0</v>
      </c>
      <c r="AI288" s="134">
        <f t="shared" si="307"/>
        <v>0</v>
      </c>
      <c r="AJ288" s="134">
        <f t="shared" si="308"/>
        <v>0</v>
      </c>
      <c r="AK288" s="134">
        <f t="shared" si="309"/>
        <v>0</v>
      </c>
      <c r="AL288" s="134">
        <f t="shared" si="310"/>
        <v>0</v>
      </c>
      <c r="AM288" s="134">
        <f t="shared" si="311"/>
        <v>0</v>
      </c>
      <c r="AN288" s="134">
        <f t="shared" si="312"/>
        <v>0</v>
      </c>
      <c r="AO288" s="134">
        <f t="shared" si="313"/>
        <v>0</v>
      </c>
      <c r="AP288" s="134">
        <f t="shared" si="314"/>
        <v>0</v>
      </c>
      <c r="AQ288" s="134">
        <f t="shared" si="315"/>
        <v>0</v>
      </c>
      <c r="AR288" s="134">
        <f t="shared" si="316"/>
        <v>0</v>
      </c>
      <c r="AS288" s="135">
        <f t="shared" si="300"/>
        <v>0</v>
      </c>
      <c r="AT288" s="137" t="str">
        <f t="shared" si="317"/>
        <v>0</v>
      </c>
      <c r="AU288" s="137" t="str">
        <f t="shared" si="318"/>
        <v>0</v>
      </c>
      <c r="AV288" s="137" t="str">
        <f t="shared" si="319"/>
        <v>0</v>
      </c>
      <c r="AW288" s="137" t="str">
        <f t="shared" si="320"/>
        <v>0</v>
      </c>
      <c r="AX288" s="137" t="str">
        <f t="shared" si="321"/>
        <v>0</v>
      </c>
      <c r="AY288" s="137" t="str">
        <f t="shared" si="322"/>
        <v>0</v>
      </c>
      <c r="AZ288" s="137" t="str">
        <f t="shared" si="323"/>
        <v>0</v>
      </c>
      <c r="BA288" s="137" t="str">
        <f t="shared" si="324"/>
        <v>0</v>
      </c>
      <c r="BB288" s="137" t="str">
        <f t="shared" si="325"/>
        <v>0</v>
      </c>
      <c r="BC288" s="137" t="str">
        <f t="shared" si="326"/>
        <v>0</v>
      </c>
      <c r="BD288" s="131">
        <f t="shared" si="301"/>
        <v>0</v>
      </c>
    </row>
    <row r="289" spans="2:56" ht="15" customHeight="1" x14ac:dyDescent="0.25">
      <c r="B289" s="152">
        <v>8200830</v>
      </c>
      <c r="C289" s="158" t="s">
        <v>316</v>
      </c>
      <c r="D289" s="158" t="s">
        <v>407</v>
      </c>
      <c r="E289" s="152" t="s">
        <v>424</v>
      </c>
      <c r="F289" s="274"/>
      <c r="G289" s="153">
        <f>+SUMIFS(TablaIngresos[Cantidad],TablaIngresos[Código],'Inventario '!B289)</f>
        <v>0</v>
      </c>
      <c r="H289" s="153">
        <f t="shared" si="302"/>
        <v>0</v>
      </c>
      <c r="I289" s="157">
        <f>SUMIFS(TablaConsumos[[CANTIDAD ]:[CANTIDAD ]],TablaConsumos[[CÓDIGO]:[CÓDIGO]],'Inventario '!$B289,TablaConsumos[[Planta]:[Planta]],'Inventario '!I$1)</f>
        <v>0</v>
      </c>
      <c r="J289" s="157">
        <f>SUMIFS(TablaConsumos[[CANTIDAD ]:[CANTIDAD ]],TablaConsumos[[CÓDIGO]:[CÓDIGO]],'Inventario '!$B289,TablaConsumos[[Planta]:[Planta]],'Inventario '!J$1)</f>
        <v>0</v>
      </c>
      <c r="K289" s="157">
        <f>SUMIFS(TablaConsumos[[CANTIDAD ]:[CANTIDAD ]],TablaConsumos[[CÓDIGO]:[CÓDIGO]],'Inventario '!$B289,TablaConsumos[[Planta]:[Planta]],'Inventario '!K$1)</f>
        <v>0</v>
      </c>
      <c r="L289" s="157">
        <f>SUMIFS(TablaConsumos[[CANTIDAD ]:[CANTIDAD ]],TablaConsumos[[CÓDIGO]:[CÓDIGO]],'Inventario '!$B289,TablaConsumos[[Planta]:[Planta]],'Inventario '!L$1)</f>
        <v>0</v>
      </c>
      <c r="M289" s="157">
        <f>SUMIFS(TablaConsumos[[CANTIDAD ]:[CANTIDAD ]],TablaConsumos[[CÓDIGO]:[CÓDIGO]],'Inventario '!$B289,TablaConsumos[[Planta]:[Planta]],'Inventario '!M$1)</f>
        <v>0</v>
      </c>
      <c r="N289" s="157">
        <f>SUMIFS(TablaConsumos[[CANTIDAD ]:[CANTIDAD ]],TablaConsumos[[CÓDIGO]:[CÓDIGO]],'Inventario '!$B289,TablaConsumos[[Planta]:[Planta]],'Inventario '!N$1)</f>
        <v>0</v>
      </c>
      <c r="O289" s="157">
        <f>SUMIFS(TablaConsumos[[CANTIDAD ]:[CANTIDAD ]],TablaConsumos[[CÓDIGO]:[CÓDIGO]],'Inventario '!$B289,TablaConsumos[[Planta]:[Planta]],'Inventario '!O$1)</f>
        <v>0</v>
      </c>
      <c r="P289" s="157">
        <f>SUMIFS(TablaConsumos[[CANTIDAD ]:[CANTIDAD ]],TablaConsumos[[CÓDIGO]:[CÓDIGO]],'Inventario '!$B289,TablaConsumos[[Planta]:[Planta]],'Inventario '!P$1)</f>
        <v>0</v>
      </c>
      <c r="Q289" s="157">
        <f>SUMIFS(TablaConsumos[[CANTIDAD ]:[CANTIDAD ]],TablaConsumos[[CÓDIGO]:[CÓDIGO]],'Inventario '!$B289,TablaConsumos[[Planta]:[Planta]],'Inventario '!Q$1)</f>
        <v>0</v>
      </c>
      <c r="R289" s="157">
        <f>SUMIFS(TablaConsumos[[CANTIDAD ]:[CANTIDAD ]],TablaConsumos[[CÓDIGO]:[CÓDIGO]],'Inventario '!$B289,TablaConsumos[[Planta]:[Planta]],'Inventario '!R$1)</f>
        <v>0</v>
      </c>
      <c r="S289" s="153">
        <f t="shared" si="299"/>
        <v>0</v>
      </c>
      <c r="T289" s="153">
        <f t="shared" si="303"/>
        <v>0</v>
      </c>
      <c r="U289" s="154"/>
      <c r="V289" s="153"/>
      <c r="W289" s="198">
        <v>1</v>
      </c>
      <c r="X289" s="132">
        <f t="shared" si="297"/>
        <v>0</v>
      </c>
      <c r="Y289" s="130">
        <f t="shared" si="298"/>
        <v>0</v>
      </c>
      <c r="Z289" s="132"/>
      <c r="AA289" s="132">
        <f t="shared" si="304"/>
        <v>0</v>
      </c>
      <c r="AB289" s="132"/>
      <c r="AC289" s="131">
        <f t="shared" si="305"/>
        <v>0</v>
      </c>
      <c r="AD289" s="131"/>
      <c r="AE289" s="130"/>
      <c r="AF289" s="130"/>
      <c r="AG289" s="168"/>
      <c r="AH289" s="134">
        <f t="shared" si="306"/>
        <v>0</v>
      </c>
      <c r="AI289" s="134">
        <f t="shared" si="307"/>
        <v>0</v>
      </c>
      <c r="AJ289" s="134">
        <f t="shared" si="308"/>
        <v>0</v>
      </c>
      <c r="AK289" s="134">
        <f t="shared" si="309"/>
        <v>0</v>
      </c>
      <c r="AL289" s="134">
        <f t="shared" si="310"/>
        <v>0</v>
      </c>
      <c r="AM289" s="134">
        <f t="shared" si="311"/>
        <v>0</v>
      </c>
      <c r="AN289" s="134">
        <f t="shared" si="312"/>
        <v>0</v>
      </c>
      <c r="AO289" s="134">
        <f t="shared" si="313"/>
        <v>0</v>
      </c>
      <c r="AP289" s="134">
        <f t="shared" si="314"/>
        <v>0</v>
      </c>
      <c r="AQ289" s="134">
        <f t="shared" si="315"/>
        <v>0</v>
      </c>
      <c r="AR289" s="134">
        <f t="shared" si="316"/>
        <v>0</v>
      </c>
      <c r="AS289" s="135">
        <f t="shared" si="300"/>
        <v>0</v>
      </c>
      <c r="AT289" s="137" t="str">
        <f t="shared" si="317"/>
        <v>0</v>
      </c>
      <c r="AU289" s="137" t="str">
        <f t="shared" si="318"/>
        <v>0</v>
      </c>
      <c r="AV289" s="137" t="str">
        <f t="shared" si="319"/>
        <v>0</v>
      </c>
      <c r="AW289" s="137" t="str">
        <f t="shared" si="320"/>
        <v>0</v>
      </c>
      <c r="AX289" s="137" t="str">
        <f t="shared" si="321"/>
        <v>0</v>
      </c>
      <c r="AY289" s="137" t="str">
        <f t="shared" si="322"/>
        <v>0</v>
      </c>
      <c r="AZ289" s="137" t="str">
        <f t="shared" si="323"/>
        <v>0</v>
      </c>
      <c r="BA289" s="137" t="str">
        <f t="shared" si="324"/>
        <v>0</v>
      </c>
      <c r="BB289" s="137" t="str">
        <f t="shared" si="325"/>
        <v>0</v>
      </c>
      <c r="BC289" s="137" t="str">
        <f t="shared" si="326"/>
        <v>0</v>
      </c>
      <c r="BD289" s="131">
        <f t="shared" si="301"/>
        <v>0</v>
      </c>
    </row>
    <row r="290" spans="2:56" ht="15" customHeight="1" x14ac:dyDescent="0.25">
      <c r="B290" s="152">
        <v>8200831</v>
      </c>
      <c r="C290" s="158" t="s">
        <v>316</v>
      </c>
      <c r="D290" s="158" t="s">
        <v>407</v>
      </c>
      <c r="E290" s="152" t="s">
        <v>791</v>
      </c>
      <c r="F290" s="274"/>
      <c r="G290" s="153">
        <f>+SUMIFS(TablaIngresos[Cantidad],TablaIngresos[Código],'Inventario '!B290)</f>
        <v>0</v>
      </c>
      <c r="H290" s="153">
        <f t="shared" si="302"/>
        <v>0</v>
      </c>
      <c r="I290" s="157">
        <f>SUMIFS(TablaConsumos[[CANTIDAD ]:[CANTIDAD ]],TablaConsumos[[CÓDIGO]:[CÓDIGO]],'Inventario '!$B290,TablaConsumos[[Planta]:[Planta]],'Inventario '!I$1)</f>
        <v>0</v>
      </c>
      <c r="J290" s="157">
        <f>SUMIFS(TablaConsumos[[CANTIDAD ]:[CANTIDAD ]],TablaConsumos[[CÓDIGO]:[CÓDIGO]],'Inventario '!$B290,TablaConsumos[[Planta]:[Planta]],'Inventario '!J$1)</f>
        <v>0</v>
      </c>
      <c r="K290" s="157">
        <f>SUMIFS(TablaConsumos[[CANTIDAD ]:[CANTIDAD ]],TablaConsumos[[CÓDIGO]:[CÓDIGO]],'Inventario '!$B290,TablaConsumos[[Planta]:[Planta]],'Inventario '!K$1)</f>
        <v>0</v>
      </c>
      <c r="L290" s="157">
        <f>SUMIFS(TablaConsumos[[CANTIDAD ]:[CANTIDAD ]],TablaConsumos[[CÓDIGO]:[CÓDIGO]],'Inventario '!$B290,TablaConsumos[[Planta]:[Planta]],'Inventario '!L$1)</f>
        <v>0</v>
      </c>
      <c r="M290" s="157">
        <f>SUMIFS(TablaConsumos[[CANTIDAD ]:[CANTIDAD ]],TablaConsumos[[CÓDIGO]:[CÓDIGO]],'Inventario '!$B290,TablaConsumos[[Planta]:[Planta]],'Inventario '!M$1)</f>
        <v>0</v>
      </c>
      <c r="N290" s="157">
        <f>SUMIFS(TablaConsumos[[CANTIDAD ]:[CANTIDAD ]],TablaConsumos[[CÓDIGO]:[CÓDIGO]],'Inventario '!$B290,TablaConsumos[[Planta]:[Planta]],'Inventario '!N$1)</f>
        <v>0</v>
      </c>
      <c r="O290" s="157">
        <f>SUMIFS(TablaConsumos[[CANTIDAD ]:[CANTIDAD ]],TablaConsumos[[CÓDIGO]:[CÓDIGO]],'Inventario '!$B290,TablaConsumos[[Planta]:[Planta]],'Inventario '!O$1)</f>
        <v>0</v>
      </c>
      <c r="P290" s="157">
        <f>SUMIFS(TablaConsumos[[CANTIDAD ]:[CANTIDAD ]],TablaConsumos[[CÓDIGO]:[CÓDIGO]],'Inventario '!$B290,TablaConsumos[[Planta]:[Planta]],'Inventario '!P$1)</f>
        <v>0</v>
      </c>
      <c r="Q290" s="157">
        <f>SUMIFS(TablaConsumos[[CANTIDAD ]:[CANTIDAD ]],TablaConsumos[[CÓDIGO]:[CÓDIGO]],'Inventario '!$B290,TablaConsumos[[Planta]:[Planta]],'Inventario '!Q$1)</f>
        <v>0</v>
      </c>
      <c r="R290" s="157">
        <f>SUMIFS(TablaConsumos[[CANTIDAD ]:[CANTIDAD ]],TablaConsumos[[CÓDIGO]:[CÓDIGO]],'Inventario '!$B290,TablaConsumos[[Planta]:[Planta]],'Inventario '!R$1)</f>
        <v>0</v>
      </c>
      <c r="S290" s="153">
        <f t="shared" si="299"/>
        <v>0</v>
      </c>
      <c r="T290" s="153">
        <f t="shared" si="303"/>
        <v>0</v>
      </c>
      <c r="U290" s="154"/>
      <c r="V290" s="153"/>
      <c r="W290" s="198">
        <v>1</v>
      </c>
      <c r="X290" s="132">
        <f t="shared" si="297"/>
        <v>0</v>
      </c>
      <c r="Y290" s="130">
        <f t="shared" si="298"/>
        <v>0</v>
      </c>
      <c r="Z290" s="132"/>
      <c r="AA290" s="132">
        <f t="shared" si="304"/>
        <v>0</v>
      </c>
      <c r="AB290" s="132"/>
      <c r="AC290" s="131">
        <f t="shared" si="305"/>
        <v>0</v>
      </c>
      <c r="AD290" s="131"/>
      <c r="AE290" s="130"/>
      <c r="AF290" s="130"/>
      <c r="AG290" s="168"/>
      <c r="AH290" s="134">
        <f t="shared" si="306"/>
        <v>0</v>
      </c>
      <c r="AI290" s="134">
        <f t="shared" si="307"/>
        <v>0</v>
      </c>
      <c r="AJ290" s="134">
        <f t="shared" si="308"/>
        <v>0</v>
      </c>
      <c r="AK290" s="134">
        <f t="shared" si="309"/>
        <v>0</v>
      </c>
      <c r="AL290" s="134">
        <f t="shared" si="310"/>
        <v>0</v>
      </c>
      <c r="AM290" s="134">
        <f t="shared" si="311"/>
        <v>0</v>
      </c>
      <c r="AN290" s="134">
        <f t="shared" si="312"/>
        <v>0</v>
      </c>
      <c r="AO290" s="134">
        <f t="shared" si="313"/>
        <v>0</v>
      </c>
      <c r="AP290" s="134">
        <f t="shared" si="314"/>
        <v>0</v>
      </c>
      <c r="AQ290" s="134">
        <f t="shared" si="315"/>
        <v>0</v>
      </c>
      <c r="AR290" s="134">
        <f t="shared" si="316"/>
        <v>0</v>
      </c>
      <c r="AS290" s="135">
        <f t="shared" si="300"/>
        <v>0</v>
      </c>
      <c r="AT290" s="137" t="str">
        <f t="shared" si="317"/>
        <v>0</v>
      </c>
      <c r="AU290" s="137" t="str">
        <f t="shared" si="318"/>
        <v>0</v>
      </c>
      <c r="AV290" s="137" t="str">
        <f t="shared" si="319"/>
        <v>0</v>
      </c>
      <c r="AW290" s="137" t="str">
        <f t="shared" si="320"/>
        <v>0</v>
      </c>
      <c r="AX290" s="137" t="str">
        <f t="shared" si="321"/>
        <v>0</v>
      </c>
      <c r="AY290" s="137" t="str">
        <f t="shared" si="322"/>
        <v>0</v>
      </c>
      <c r="AZ290" s="137" t="str">
        <f t="shared" si="323"/>
        <v>0</v>
      </c>
      <c r="BA290" s="137" t="str">
        <f t="shared" si="324"/>
        <v>0</v>
      </c>
      <c r="BB290" s="137" t="str">
        <f t="shared" si="325"/>
        <v>0</v>
      </c>
      <c r="BC290" s="137" t="str">
        <f t="shared" si="326"/>
        <v>0</v>
      </c>
      <c r="BD290" s="131">
        <f t="shared" si="301"/>
        <v>0</v>
      </c>
    </row>
    <row r="291" spans="2:56" ht="15" customHeight="1" x14ac:dyDescent="0.25">
      <c r="B291" s="152">
        <v>8200832</v>
      </c>
      <c r="C291" s="158" t="s">
        <v>374</v>
      </c>
      <c r="D291" s="158" t="s">
        <v>407</v>
      </c>
      <c r="E291" s="152" t="s">
        <v>426</v>
      </c>
      <c r="F291" s="274"/>
      <c r="G291" s="153">
        <f>+SUMIFS(TablaIngresos[Cantidad],TablaIngresos[Código],'Inventario '!B291)</f>
        <v>0</v>
      </c>
      <c r="H291" s="153">
        <f t="shared" si="302"/>
        <v>0</v>
      </c>
      <c r="I291" s="157">
        <f>SUMIFS(TablaConsumos[[CANTIDAD ]:[CANTIDAD ]],TablaConsumos[[CÓDIGO]:[CÓDIGO]],'Inventario '!$B291,TablaConsumos[[Planta]:[Planta]],'Inventario '!I$1)</f>
        <v>0</v>
      </c>
      <c r="J291" s="157">
        <f>SUMIFS(TablaConsumos[[CANTIDAD ]:[CANTIDAD ]],TablaConsumos[[CÓDIGO]:[CÓDIGO]],'Inventario '!$B291,TablaConsumos[[Planta]:[Planta]],'Inventario '!J$1)</f>
        <v>0</v>
      </c>
      <c r="K291" s="157">
        <f>SUMIFS(TablaConsumos[[CANTIDAD ]:[CANTIDAD ]],TablaConsumos[[CÓDIGO]:[CÓDIGO]],'Inventario '!$B291,TablaConsumos[[Planta]:[Planta]],'Inventario '!K$1)</f>
        <v>0</v>
      </c>
      <c r="L291" s="157">
        <f>SUMIFS(TablaConsumos[[CANTIDAD ]:[CANTIDAD ]],TablaConsumos[[CÓDIGO]:[CÓDIGO]],'Inventario '!$B291,TablaConsumos[[Planta]:[Planta]],'Inventario '!L$1)</f>
        <v>0</v>
      </c>
      <c r="M291" s="157">
        <f>SUMIFS(TablaConsumos[[CANTIDAD ]:[CANTIDAD ]],TablaConsumos[[CÓDIGO]:[CÓDIGO]],'Inventario '!$B291,TablaConsumos[[Planta]:[Planta]],'Inventario '!M$1)</f>
        <v>0</v>
      </c>
      <c r="N291" s="157">
        <f>SUMIFS(TablaConsumos[[CANTIDAD ]:[CANTIDAD ]],TablaConsumos[[CÓDIGO]:[CÓDIGO]],'Inventario '!$B291,TablaConsumos[[Planta]:[Planta]],'Inventario '!N$1)</f>
        <v>0</v>
      </c>
      <c r="O291" s="157">
        <f>SUMIFS(TablaConsumos[[CANTIDAD ]:[CANTIDAD ]],TablaConsumos[[CÓDIGO]:[CÓDIGO]],'Inventario '!$B291,TablaConsumos[[Planta]:[Planta]],'Inventario '!O$1)</f>
        <v>0</v>
      </c>
      <c r="P291" s="157">
        <f>SUMIFS(TablaConsumos[[CANTIDAD ]:[CANTIDAD ]],TablaConsumos[[CÓDIGO]:[CÓDIGO]],'Inventario '!$B291,TablaConsumos[[Planta]:[Planta]],'Inventario '!P$1)</f>
        <v>0</v>
      </c>
      <c r="Q291" s="157">
        <f>SUMIFS(TablaConsumos[[CANTIDAD ]:[CANTIDAD ]],TablaConsumos[[CÓDIGO]:[CÓDIGO]],'Inventario '!$B291,TablaConsumos[[Planta]:[Planta]],'Inventario '!Q$1)</f>
        <v>0</v>
      </c>
      <c r="R291" s="157">
        <f>SUMIFS(TablaConsumos[[CANTIDAD ]:[CANTIDAD ]],TablaConsumos[[CÓDIGO]:[CÓDIGO]],'Inventario '!$B291,TablaConsumos[[Planta]:[Planta]],'Inventario '!R$1)</f>
        <v>0</v>
      </c>
      <c r="S291" s="153">
        <f t="shared" si="299"/>
        <v>0</v>
      </c>
      <c r="T291" s="153">
        <f t="shared" si="303"/>
        <v>0</v>
      </c>
      <c r="U291" s="154"/>
      <c r="V291" s="153"/>
      <c r="W291" s="198">
        <v>1</v>
      </c>
      <c r="X291" s="132">
        <f t="shared" si="297"/>
        <v>0</v>
      </c>
      <c r="Y291" s="130">
        <f t="shared" si="298"/>
        <v>0</v>
      </c>
      <c r="Z291" s="132"/>
      <c r="AA291" s="132">
        <f t="shared" si="304"/>
        <v>0</v>
      </c>
      <c r="AB291" s="132"/>
      <c r="AC291" s="131">
        <f t="shared" si="305"/>
        <v>0</v>
      </c>
      <c r="AD291" s="131"/>
      <c r="AE291" s="130"/>
      <c r="AF291" s="130"/>
      <c r="AG291" s="168"/>
      <c r="AH291" s="134">
        <f t="shared" si="306"/>
        <v>0</v>
      </c>
      <c r="AI291" s="134">
        <f t="shared" si="307"/>
        <v>0</v>
      </c>
      <c r="AJ291" s="134">
        <f t="shared" si="308"/>
        <v>0</v>
      </c>
      <c r="AK291" s="134">
        <f t="shared" si="309"/>
        <v>0</v>
      </c>
      <c r="AL291" s="134">
        <f t="shared" si="310"/>
        <v>0</v>
      </c>
      <c r="AM291" s="134">
        <f t="shared" si="311"/>
        <v>0</v>
      </c>
      <c r="AN291" s="134">
        <f t="shared" si="312"/>
        <v>0</v>
      </c>
      <c r="AO291" s="134">
        <f t="shared" si="313"/>
        <v>0</v>
      </c>
      <c r="AP291" s="134">
        <f t="shared" si="314"/>
        <v>0</v>
      </c>
      <c r="AQ291" s="134">
        <f t="shared" si="315"/>
        <v>0</v>
      </c>
      <c r="AR291" s="134">
        <f t="shared" si="316"/>
        <v>0</v>
      </c>
      <c r="AS291" s="135">
        <f t="shared" si="300"/>
        <v>0</v>
      </c>
      <c r="AT291" s="137" t="str">
        <f t="shared" si="317"/>
        <v>0</v>
      </c>
      <c r="AU291" s="137" t="str">
        <f t="shared" si="318"/>
        <v>0</v>
      </c>
      <c r="AV291" s="137" t="str">
        <f t="shared" si="319"/>
        <v>0</v>
      </c>
      <c r="AW291" s="137" t="str">
        <f t="shared" si="320"/>
        <v>0</v>
      </c>
      <c r="AX291" s="137" t="str">
        <f t="shared" si="321"/>
        <v>0</v>
      </c>
      <c r="AY291" s="137" t="str">
        <f t="shared" si="322"/>
        <v>0</v>
      </c>
      <c r="AZ291" s="137" t="str">
        <f t="shared" si="323"/>
        <v>0</v>
      </c>
      <c r="BA291" s="137" t="str">
        <f t="shared" si="324"/>
        <v>0</v>
      </c>
      <c r="BB291" s="137" t="str">
        <f t="shared" si="325"/>
        <v>0</v>
      </c>
      <c r="BC291" s="137" t="str">
        <f t="shared" si="326"/>
        <v>0</v>
      </c>
      <c r="BD291" s="131">
        <f t="shared" si="301"/>
        <v>0</v>
      </c>
    </row>
    <row r="292" spans="2:56" ht="15" customHeight="1" x14ac:dyDescent="0.25">
      <c r="B292" s="152">
        <v>8200833</v>
      </c>
      <c r="C292" s="158" t="s">
        <v>316</v>
      </c>
      <c r="D292" s="158" t="s">
        <v>407</v>
      </c>
      <c r="E292" s="152" t="s">
        <v>427</v>
      </c>
      <c r="F292" s="274"/>
      <c r="G292" s="153">
        <f>+SUMIFS(TablaIngresos[Cantidad],TablaIngresos[Código],'Inventario '!B292)</f>
        <v>0</v>
      </c>
      <c r="H292" s="153">
        <f t="shared" si="302"/>
        <v>0</v>
      </c>
      <c r="I292" s="157">
        <f>SUMIFS(TablaConsumos[[CANTIDAD ]:[CANTIDAD ]],TablaConsumos[[CÓDIGO]:[CÓDIGO]],'Inventario '!$B292,TablaConsumos[[Planta]:[Planta]],'Inventario '!I$1)</f>
        <v>0</v>
      </c>
      <c r="J292" s="157">
        <f>SUMIFS(TablaConsumos[[CANTIDAD ]:[CANTIDAD ]],TablaConsumos[[CÓDIGO]:[CÓDIGO]],'Inventario '!$B292,TablaConsumos[[Planta]:[Planta]],'Inventario '!J$1)</f>
        <v>0</v>
      </c>
      <c r="K292" s="157">
        <f>SUMIFS(TablaConsumos[[CANTIDAD ]:[CANTIDAD ]],TablaConsumos[[CÓDIGO]:[CÓDIGO]],'Inventario '!$B292,TablaConsumos[[Planta]:[Planta]],'Inventario '!K$1)</f>
        <v>0</v>
      </c>
      <c r="L292" s="157">
        <f>SUMIFS(TablaConsumos[[CANTIDAD ]:[CANTIDAD ]],TablaConsumos[[CÓDIGO]:[CÓDIGO]],'Inventario '!$B292,TablaConsumos[[Planta]:[Planta]],'Inventario '!L$1)</f>
        <v>0</v>
      </c>
      <c r="M292" s="157">
        <f>SUMIFS(TablaConsumos[[CANTIDAD ]:[CANTIDAD ]],TablaConsumos[[CÓDIGO]:[CÓDIGO]],'Inventario '!$B292,TablaConsumos[[Planta]:[Planta]],'Inventario '!M$1)</f>
        <v>0</v>
      </c>
      <c r="N292" s="157">
        <f>SUMIFS(TablaConsumos[[CANTIDAD ]:[CANTIDAD ]],TablaConsumos[[CÓDIGO]:[CÓDIGO]],'Inventario '!$B292,TablaConsumos[[Planta]:[Planta]],'Inventario '!N$1)</f>
        <v>0</v>
      </c>
      <c r="O292" s="157">
        <f>SUMIFS(TablaConsumos[[CANTIDAD ]:[CANTIDAD ]],TablaConsumos[[CÓDIGO]:[CÓDIGO]],'Inventario '!$B292,TablaConsumos[[Planta]:[Planta]],'Inventario '!O$1)</f>
        <v>0</v>
      </c>
      <c r="P292" s="157">
        <f>SUMIFS(TablaConsumos[[CANTIDAD ]:[CANTIDAD ]],TablaConsumos[[CÓDIGO]:[CÓDIGO]],'Inventario '!$B292,TablaConsumos[[Planta]:[Planta]],'Inventario '!P$1)</f>
        <v>0</v>
      </c>
      <c r="Q292" s="157">
        <f>SUMIFS(TablaConsumos[[CANTIDAD ]:[CANTIDAD ]],TablaConsumos[[CÓDIGO]:[CÓDIGO]],'Inventario '!$B292,TablaConsumos[[Planta]:[Planta]],'Inventario '!Q$1)</f>
        <v>0</v>
      </c>
      <c r="R292" s="157">
        <f>SUMIFS(TablaConsumos[[CANTIDAD ]:[CANTIDAD ]],TablaConsumos[[CÓDIGO]:[CÓDIGO]],'Inventario '!$B292,TablaConsumos[[Planta]:[Planta]],'Inventario '!R$1)</f>
        <v>0</v>
      </c>
      <c r="S292" s="153">
        <f t="shared" si="299"/>
        <v>0</v>
      </c>
      <c r="T292" s="153">
        <f t="shared" si="303"/>
        <v>0</v>
      </c>
      <c r="U292" s="154"/>
      <c r="V292" s="153"/>
      <c r="W292" s="198">
        <v>1</v>
      </c>
      <c r="X292" s="132">
        <f t="shared" si="297"/>
        <v>0</v>
      </c>
      <c r="Y292" s="130">
        <f t="shared" si="298"/>
        <v>0</v>
      </c>
      <c r="Z292" s="132"/>
      <c r="AA292" s="132">
        <f t="shared" si="304"/>
        <v>0</v>
      </c>
      <c r="AB292" s="132"/>
      <c r="AC292" s="131">
        <f t="shared" si="305"/>
        <v>0</v>
      </c>
      <c r="AD292" s="131"/>
      <c r="AE292" s="130"/>
      <c r="AF292" s="130"/>
      <c r="AG292" s="168"/>
      <c r="AH292" s="134">
        <f t="shared" si="306"/>
        <v>0</v>
      </c>
      <c r="AI292" s="134">
        <f t="shared" si="307"/>
        <v>0</v>
      </c>
      <c r="AJ292" s="134">
        <f t="shared" si="308"/>
        <v>0</v>
      </c>
      <c r="AK292" s="134">
        <f t="shared" si="309"/>
        <v>0</v>
      </c>
      <c r="AL292" s="134">
        <f t="shared" si="310"/>
        <v>0</v>
      </c>
      <c r="AM292" s="134">
        <f t="shared" si="311"/>
        <v>0</v>
      </c>
      <c r="AN292" s="134">
        <f t="shared" si="312"/>
        <v>0</v>
      </c>
      <c r="AO292" s="134">
        <f t="shared" si="313"/>
        <v>0</v>
      </c>
      <c r="AP292" s="134">
        <f t="shared" si="314"/>
        <v>0</v>
      </c>
      <c r="AQ292" s="134">
        <f t="shared" si="315"/>
        <v>0</v>
      </c>
      <c r="AR292" s="134">
        <f t="shared" si="316"/>
        <v>0</v>
      </c>
      <c r="AS292" s="135">
        <f t="shared" si="300"/>
        <v>0</v>
      </c>
      <c r="AT292" s="137" t="str">
        <f t="shared" si="317"/>
        <v>0</v>
      </c>
      <c r="AU292" s="137" t="str">
        <f t="shared" si="318"/>
        <v>0</v>
      </c>
      <c r="AV292" s="137" t="str">
        <f t="shared" si="319"/>
        <v>0</v>
      </c>
      <c r="AW292" s="137" t="str">
        <f t="shared" si="320"/>
        <v>0</v>
      </c>
      <c r="AX292" s="137" t="str">
        <f t="shared" si="321"/>
        <v>0</v>
      </c>
      <c r="AY292" s="137" t="str">
        <f t="shared" si="322"/>
        <v>0</v>
      </c>
      <c r="AZ292" s="137" t="str">
        <f t="shared" si="323"/>
        <v>0</v>
      </c>
      <c r="BA292" s="137" t="str">
        <f t="shared" si="324"/>
        <v>0</v>
      </c>
      <c r="BB292" s="137" t="str">
        <f t="shared" si="325"/>
        <v>0</v>
      </c>
      <c r="BC292" s="137" t="str">
        <f t="shared" si="326"/>
        <v>0</v>
      </c>
      <c r="BD292" s="131">
        <f t="shared" si="301"/>
        <v>0</v>
      </c>
    </row>
    <row r="293" spans="2:56" ht="15" customHeight="1" x14ac:dyDescent="0.25">
      <c r="B293" s="150">
        <v>8200841</v>
      </c>
      <c r="C293" s="151" t="s">
        <v>417</v>
      </c>
      <c r="D293" s="151" t="s">
        <v>407</v>
      </c>
      <c r="E293" s="155" t="s">
        <v>428</v>
      </c>
      <c r="F293" s="274"/>
      <c r="G293" s="153">
        <f>+SUMIFS(TablaIngresos[Cantidad],TablaIngresos[Código],'Inventario '!B293)</f>
        <v>0</v>
      </c>
      <c r="H293" s="153">
        <f t="shared" si="302"/>
        <v>0</v>
      </c>
      <c r="I293" s="157">
        <f>SUMIFS(TablaConsumos[[CANTIDAD ]:[CANTIDAD ]],TablaConsumos[[CÓDIGO]:[CÓDIGO]],'Inventario '!$B293,TablaConsumos[[Planta]:[Planta]],'Inventario '!I$1)</f>
        <v>0</v>
      </c>
      <c r="J293" s="157">
        <f>SUMIFS(TablaConsumos[[CANTIDAD ]:[CANTIDAD ]],TablaConsumos[[CÓDIGO]:[CÓDIGO]],'Inventario '!$B293,TablaConsumos[[Planta]:[Planta]],'Inventario '!J$1)</f>
        <v>0</v>
      </c>
      <c r="K293" s="157">
        <f>SUMIFS(TablaConsumos[[CANTIDAD ]:[CANTIDAD ]],TablaConsumos[[CÓDIGO]:[CÓDIGO]],'Inventario '!$B293,TablaConsumos[[Planta]:[Planta]],'Inventario '!K$1)</f>
        <v>0</v>
      </c>
      <c r="L293" s="157">
        <f>SUMIFS(TablaConsumos[[CANTIDAD ]:[CANTIDAD ]],TablaConsumos[[CÓDIGO]:[CÓDIGO]],'Inventario '!$B293,TablaConsumos[[Planta]:[Planta]],'Inventario '!L$1)</f>
        <v>0</v>
      </c>
      <c r="M293" s="157">
        <f>SUMIFS(TablaConsumos[[CANTIDAD ]:[CANTIDAD ]],TablaConsumos[[CÓDIGO]:[CÓDIGO]],'Inventario '!$B293,TablaConsumos[[Planta]:[Planta]],'Inventario '!M$1)</f>
        <v>0</v>
      </c>
      <c r="N293" s="157">
        <f>SUMIFS(TablaConsumos[[CANTIDAD ]:[CANTIDAD ]],TablaConsumos[[CÓDIGO]:[CÓDIGO]],'Inventario '!$B293,TablaConsumos[[Planta]:[Planta]],'Inventario '!N$1)</f>
        <v>0</v>
      </c>
      <c r="O293" s="157">
        <f>SUMIFS(TablaConsumos[[CANTIDAD ]:[CANTIDAD ]],TablaConsumos[[CÓDIGO]:[CÓDIGO]],'Inventario '!$B293,TablaConsumos[[Planta]:[Planta]],'Inventario '!O$1)</f>
        <v>0</v>
      </c>
      <c r="P293" s="157">
        <f>SUMIFS(TablaConsumos[[CANTIDAD ]:[CANTIDAD ]],TablaConsumos[[CÓDIGO]:[CÓDIGO]],'Inventario '!$B293,TablaConsumos[[Planta]:[Planta]],'Inventario '!P$1)</f>
        <v>0</v>
      </c>
      <c r="Q293" s="157">
        <f>SUMIFS(TablaConsumos[[CANTIDAD ]:[CANTIDAD ]],TablaConsumos[[CÓDIGO]:[CÓDIGO]],'Inventario '!$B293,TablaConsumos[[Planta]:[Planta]],'Inventario '!Q$1)</f>
        <v>0</v>
      </c>
      <c r="R293" s="157">
        <f>SUMIFS(TablaConsumos[[CANTIDAD ]:[CANTIDAD ]],TablaConsumos[[CÓDIGO]:[CÓDIGO]],'Inventario '!$B293,TablaConsumos[[Planta]:[Planta]],'Inventario '!R$1)</f>
        <v>0</v>
      </c>
      <c r="S293" s="153">
        <f t="shared" si="299"/>
        <v>0</v>
      </c>
      <c r="T293" s="153">
        <f t="shared" si="303"/>
        <v>0</v>
      </c>
      <c r="U293" s="154"/>
      <c r="V293" s="153"/>
      <c r="W293" s="198">
        <v>1</v>
      </c>
      <c r="X293" s="132">
        <f t="shared" si="297"/>
        <v>0</v>
      </c>
      <c r="Y293" s="130">
        <f t="shared" si="298"/>
        <v>0</v>
      </c>
      <c r="Z293" s="132"/>
      <c r="AA293" s="132">
        <f t="shared" si="304"/>
        <v>0</v>
      </c>
      <c r="AB293" s="132"/>
      <c r="AC293" s="131">
        <f t="shared" si="305"/>
        <v>0</v>
      </c>
      <c r="AD293" s="131"/>
      <c r="AE293" s="130"/>
      <c r="AF293" s="130"/>
      <c r="AG293" s="168"/>
      <c r="AH293" s="134">
        <f t="shared" si="306"/>
        <v>0</v>
      </c>
      <c r="AI293" s="134">
        <f t="shared" si="307"/>
        <v>0</v>
      </c>
      <c r="AJ293" s="134">
        <f t="shared" si="308"/>
        <v>0</v>
      </c>
      <c r="AK293" s="134">
        <f t="shared" si="309"/>
        <v>0</v>
      </c>
      <c r="AL293" s="134">
        <f t="shared" si="310"/>
        <v>0</v>
      </c>
      <c r="AM293" s="134">
        <f t="shared" si="311"/>
        <v>0</v>
      </c>
      <c r="AN293" s="134">
        <f t="shared" si="312"/>
        <v>0</v>
      </c>
      <c r="AO293" s="134">
        <f t="shared" si="313"/>
        <v>0</v>
      </c>
      <c r="AP293" s="134">
        <f t="shared" si="314"/>
        <v>0</v>
      </c>
      <c r="AQ293" s="134">
        <f t="shared" si="315"/>
        <v>0</v>
      </c>
      <c r="AR293" s="134">
        <f t="shared" si="316"/>
        <v>0</v>
      </c>
      <c r="AS293" s="135">
        <f t="shared" si="300"/>
        <v>0</v>
      </c>
      <c r="AT293" s="137" t="str">
        <f t="shared" si="317"/>
        <v>0</v>
      </c>
      <c r="AU293" s="137" t="str">
        <f t="shared" si="318"/>
        <v>0</v>
      </c>
      <c r="AV293" s="137" t="str">
        <f t="shared" si="319"/>
        <v>0</v>
      </c>
      <c r="AW293" s="137" t="str">
        <f t="shared" si="320"/>
        <v>0</v>
      </c>
      <c r="AX293" s="137" t="str">
        <f t="shared" si="321"/>
        <v>0</v>
      </c>
      <c r="AY293" s="137" t="str">
        <f t="shared" si="322"/>
        <v>0</v>
      </c>
      <c r="AZ293" s="137" t="str">
        <f t="shared" si="323"/>
        <v>0</v>
      </c>
      <c r="BA293" s="137" t="str">
        <f t="shared" si="324"/>
        <v>0</v>
      </c>
      <c r="BB293" s="137" t="str">
        <f t="shared" si="325"/>
        <v>0</v>
      </c>
      <c r="BC293" s="137" t="str">
        <f t="shared" si="326"/>
        <v>0</v>
      </c>
      <c r="BD293" s="131">
        <f t="shared" si="301"/>
        <v>0</v>
      </c>
    </row>
    <row r="294" spans="2:56" ht="15" customHeight="1" x14ac:dyDescent="0.25">
      <c r="B294" s="150">
        <v>8200842</v>
      </c>
      <c r="C294" s="151" t="s">
        <v>417</v>
      </c>
      <c r="D294" s="151" t="s">
        <v>407</v>
      </c>
      <c r="E294" s="155" t="s">
        <v>429</v>
      </c>
      <c r="F294" s="274"/>
      <c r="G294" s="153">
        <f>+SUMIFS(TablaIngresos[Cantidad],TablaIngresos[Código],'Inventario '!B294)</f>
        <v>0</v>
      </c>
      <c r="H294" s="153">
        <f t="shared" si="302"/>
        <v>0</v>
      </c>
      <c r="I294" s="157">
        <f>SUMIFS(TablaConsumos[[CANTIDAD ]:[CANTIDAD ]],TablaConsumos[[CÓDIGO]:[CÓDIGO]],'Inventario '!$B294,TablaConsumos[[Planta]:[Planta]],'Inventario '!I$1)</f>
        <v>0</v>
      </c>
      <c r="J294" s="157">
        <f>SUMIFS(TablaConsumos[[CANTIDAD ]:[CANTIDAD ]],TablaConsumos[[CÓDIGO]:[CÓDIGO]],'Inventario '!$B294,TablaConsumos[[Planta]:[Planta]],'Inventario '!J$1)</f>
        <v>0</v>
      </c>
      <c r="K294" s="157">
        <f>SUMIFS(TablaConsumos[[CANTIDAD ]:[CANTIDAD ]],TablaConsumos[[CÓDIGO]:[CÓDIGO]],'Inventario '!$B294,TablaConsumos[[Planta]:[Planta]],'Inventario '!K$1)</f>
        <v>0</v>
      </c>
      <c r="L294" s="157">
        <f>SUMIFS(TablaConsumos[[CANTIDAD ]:[CANTIDAD ]],TablaConsumos[[CÓDIGO]:[CÓDIGO]],'Inventario '!$B294,TablaConsumos[[Planta]:[Planta]],'Inventario '!L$1)</f>
        <v>0</v>
      </c>
      <c r="M294" s="157">
        <f>SUMIFS(TablaConsumos[[CANTIDAD ]:[CANTIDAD ]],TablaConsumos[[CÓDIGO]:[CÓDIGO]],'Inventario '!$B294,TablaConsumos[[Planta]:[Planta]],'Inventario '!M$1)</f>
        <v>0</v>
      </c>
      <c r="N294" s="157">
        <f>SUMIFS(TablaConsumos[[CANTIDAD ]:[CANTIDAD ]],TablaConsumos[[CÓDIGO]:[CÓDIGO]],'Inventario '!$B294,TablaConsumos[[Planta]:[Planta]],'Inventario '!N$1)</f>
        <v>0</v>
      </c>
      <c r="O294" s="157">
        <f>SUMIFS(TablaConsumos[[CANTIDAD ]:[CANTIDAD ]],TablaConsumos[[CÓDIGO]:[CÓDIGO]],'Inventario '!$B294,TablaConsumos[[Planta]:[Planta]],'Inventario '!O$1)</f>
        <v>0</v>
      </c>
      <c r="P294" s="157">
        <f>SUMIFS(TablaConsumos[[CANTIDAD ]:[CANTIDAD ]],TablaConsumos[[CÓDIGO]:[CÓDIGO]],'Inventario '!$B294,TablaConsumos[[Planta]:[Planta]],'Inventario '!P$1)</f>
        <v>0</v>
      </c>
      <c r="Q294" s="157">
        <f>SUMIFS(TablaConsumos[[CANTIDAD ]:[CANTIDAD ]],TablaConsumos[[CÓDIGO]:[CÓDIGO]],'Inventario '!$B294,TablaConsumos[[Planta]:[Planta]],'Inventario '!Q$1)</f>
        <v>0</v>
      </c>
      <c r="R294" s="157">
        <f>SUMIFS(TablaConsumos[[CANTIDAD ]:[CANTIDAD ]],TablaConsumos[[CÓDIGO]:[CÓDIGO]],'Inventario '!$B294,TablaConsumos[[Planta]:[Planta]],'Inventario '!R$1)</f>
        <v>0</v>
      </c>
      <c r="S294" s="153">
        <f t="shared" si="299"/>
        <v>0</v>
      </c>
      <c r="T294" s="153">
        <f t="shared" si="303"/>
        <v>0</v>
      </c>
      <c r="U294" s="154"/>
      <c r="V294" s="153"/>
      <c r="W294" s="198">
        <v>1</v>
      </c>
      <c r="X294" s="132">
        <f t="shared" si="297"/>
        <v>0</v>
      </c>
      <c r="Y294" s="130">
        <f t="shared" si="298"/>
        <v>0</v>
      </c>
      <c r="Z294" s="132"/>
      <c r="AA294" s="132">
        <f t="shared" si="304"/>
        <v>0</v>
      </c>
      <c r="AB294" s="132"/>
      <c r="AC294" s="131">
        <f t="shared" si="305"/>
        <v>0</v>
      </c>
      <c r="AD294" s="131"/>
      <c r="AE294" s="130"/>
      <c r="AF294" s="130"/>
      <c r="AG294" s="168"/>
      <c r="AH294" s="134">
        <f t="shared" si="306"/>
        <v>0</v>
      </c>
      <c r="AI294" s="134">
        <f t="shared" si="307"/>
        <v>0</v>
      </c>
      <c r="AJ294" s="134">
        <f t="shared" si="308"/>
        <v>0</v>
      </c>
      <c r="AK294" s="134">
        <f t="shared" si="309"/>
        <v>0</v>
      </c>
      <c r="AL294" s="134">
        <f t="shared" si="310"/>
        <v>0</v>
      </c>
      <c r="AM294" s="134">
        <f t="shared" si="311"/>
        <v>0</v>
      </c>
      <c r="AN294" s="134">
        <f t="shared" si="312"/>
        <v>0</v>
      </c>
      <c r="AO294" s="134">
        <f t="shared" si="313"/>
        <v>0</v>
      </c>
      <c r="AP294" s="134">
        <f t="shared" si="314"/>
        <v>0</v>
      </c>
      <c r="AQ294" s="134">
        <f t="shared" si="315"/>
        <v>0</v>
      </c>
      <c r="AR294" s="134">
        <f t="shared" si="316"/>
        <v>0</v>
      </c>
      <c r="AS294" s="135">
        <f t="shared" si="300"/>
        <v>0</v>
      </c>
      <c r="AT294" s="137" t="str">
        <f t="shared" si="317"/>
        <v>0</v>
      </c>
      <c r="AU294" s="137" t="str">
        <f t="shared" si="318"/>
        <v>0</v>
      </c>
      <c r="AV294" s="137" t="str">
        <f t="shared" si="319"/>
        <v>0</v>
      </c>
      <c r="AW294" s="137" t="str">
        <f t="shared" si="320"/>
        <v>0</v>
      </c>
      <c r="AX294" s="137" t="str">
        <f t="shared" si="321"/>
        <v>0</v>
      </c>
      <c r="AY294" s="137" t="str">
        <f t="shared" si="322"/>
        <v>0</v>
      </c>
      <c r="AZ294" s="137" t="str">
        <f t="shared" si="323"/>
        <v>0</v>
      </c>
      <c r="BA294" s="137" t="str">
        <f t="shared" si="324"/>
        <v>0</v>
      </c>
      <c r="BB294" s="137" t="str">
        <f t="shared" si="325"/>
        <v>0</v>
      </c>
      <c r="BC294" s="137" t="str">
        <f t="shared" si="326"/>
        <v>0</v>
      </c>
      <c r="BD294" s="131">
        <f t="shared" si="301"/>
        <v>0</v>
      </c>
    </row>
    <row r="295" spans="2:56" ht="15" customHeight="1" x14ac:dyDescent="0.25">
      <c r="B295" s="150">
        <v>8200862</v>
      </c>
      <c r="C295" s="151" t="s">
        <v>316</v>
      </c>
      <c r="D295" s="151" t="s">
        <v>407</v>
      </c>
      <c r="E295" s="152" t="s">
        <v>792</v>
      </c>
      <c r="F295" s="274"/>
      <c r="G295" s="153">
        <f>+SUMIFS(TablaIngresos[Cantidad],TablaIngresos[Código],'Inventario '!B295)</f>
        <v>0</v>
      </c>
      <c r="H295" s="153">
        <f t="shared" si="302"/>
        <v>0</v>
      </c>
      <c r="I295" s="157">
        <f>SUMIFS(TablaConsumos[[CANTIDAD ]:[CANTIDAD ]],TablaConsumos[[CÓDIGO]:[CÓDIGO]],'Inventario '!$B295,TablaConsumos[[Planta]:[Planta]],'Inventario '!I$1)</f>
        <v>0</v>
      </c>
      <c r="J295" s="157">
        <f>SUMIFS(TablaConsumos[[CANTIDAD ]:[CANTIDAD ]],TablaConsumos[[CÓDIGO]:[CÓDIGO]],'Inventario '!$B295,TablaConsumos[[Planta]:[Planta]],'Inventario '!J$1)</f>
        <v>0</v>
      </c>
      <c r="K295" s="157">
        <f>SUMIFS(TablaConsumos[[CANTIDAD ]:[CANTIDAD ]],TablaConsumos[[CÓDIGO]:[CÓDIGO]],'Inventario '!$B295,TablaConsumos[[Planta]:[Planta]],'Inventario '!K$1)</f>
        <v>0</v>
      </c>
      <c r="L295" s="157">
        <f>SUMIFS(TablaConsumos[[CANTIDAD ]:[CANTIDAD ]],TablaConsumos[[CÓDIGO]:[CÓDIGO]],'Inventario '!$B295,TablaConsumos[[Planta]:[Planta]],'Inventario '!L$1)</f>
        <v>0</v>
      </c>
      <c r="M295" s="157">
        <f>SUMIFS(TablaConsumos[[CANTIDAD ]:[CANTIDAD ]],TablaConsumos[[CÓDIGO]:[CÓDIGO]],'Inventario '!$B295,TablaConsumos[[Planta]:[Planta]],'Inventario '!M$1)</f>
        <v>0</v>
      </c>
      <c r="N295" s="157">
        <f>SUMIFS(TablaConsumos[[CANTIDAD ]:[CANTIDAD ]],TablaConsumos[[CÓDIGO]:[CÓDIGO]],'Inventario '!$B295,TablaConsumos[[Planta]:[Planta]],'Inventario '!N$1)</f>
        <v>0</v>
      </c>
      <c r="O295" s="157">
        <f>SUMIFS(TablaConsumos[[CANTIDAD ]:[CANTIDAD ]],TablaConsumos[[CÓDIGO]:[CÓDIGO]],'Inventario '!$B295,TablaConsumos[[Planta]:[Planta]],'Inventario '!O$1)</f>
        <v>0</v>
      </c>
      <c r="P295" s="157">
        <f>SUMIFS(TablaConsumos[[CANTIDAD ]:[CANTIDAD ]],TablaConsumos[[CÓDIGO]:[CÓDIGO]],'Inventario '!$B295,TablaConsumos[[Planta]:[Planta]],'Inventario '!P$1)</f>
        <v>0</v>
      </c>
      <c r="Q295" s="157">
        <f>SUMIFS(TablaConsumos[[CANTIDAD ]:[CANTIDAD ]],TablaConsumos[[CÓDIGO]:[CÓDIGO]],'Inventario '!$B295,TablaConsumos[[Planta]:[Planta]],'Inventario '!Q$1)</f>
        <v>0</v>
      </c>
      <c r="R295" s="157">
        <f>SUMIFS(TablaConsumos[[CANTIDAD ]:[CANTIDAD ]],TablaConsumos[[CÓDIGO]:[CÓDIGO]],'Inventario '!$B295,TablaConsumos[[Planta]:[Planta]],'Inventario '!R$1)</f>
        <v>0</v>
      </c>
      <c r="S295" s="153">
        <f t="shared" si="299"/>
        <v>0</v>
      </c>
      <c r="T295" s="153">
        <f t="shared" si="303"/>
        <v>0</v>
      </c>
      <c r="U295" s="154"/>
      <c r="V295" s="153"/>
      <c r="W295" s="198">
        <v>1</v>
      </c>
      <c r="X295" s="132">
        <f t="shared" si="297"/>
        <v>0</v>
      </c>
      <c r="Y295" s="130">
        <f t="shared" ref="Y295:Y313" si="327">+T295-X295</f>
        <v>0</v>
      </c>
      <c r="Z295" s="132"/>
      <c r="AA295" s="132">
        <f t="shared" si="304"/>
        <v>0</v>
      </c>
      <c r="AB295" s="132"/>
      <c r="AC295" s="131">
        <f t="shared" si="305"/>
        <v>0</v>
      </c>
      <c r="AD295" s="131"/>
      <c r="AE295" s="130"/>
      <c r="AF295" s="130"/>
      <c r="AG295" s="168"/>
      <c r="AH295" s="134">
        <f t="shared" si="306"/>
        <v>0</v>
      </c>
      <c r="AI295" s="134">
        <f t="shared" si="307"/>
        <v>0</v>
      </c>
      <c r="AJ295" s="134">
        <f t="shared" si="308"/>
        <v>0</v>
      </c>
      <c r="AK295" s="134">
        <f t="shared" si="309"/>
        <v>0</v>
      </c>
      <c r="AL295" s="134">
        <f t="shared" si="310"/>
        <v>0</v>
      </c>
      <c r="AM295" s="134">
        <f t="shared" si="311"/>
        <v>0</v>
      </c>
      <c r="AN295" s="134">
        <f t="shared" si="312"/>
        <v>0</v>
      </c>
      <c r="AO295" s="134">
        <f t="shared" si="313"/>
        <v>0</v>
      </c>
      <c r="AP295" s="134">
        <f t="shared" si="314"/>
        <v>0</v>
      </c>
      <c r="AQ295" s="134">
        <f t="shared" si="315"/>
        <v>0</v>
      </c>
      <c r="AR295" s="134">
        <f t="shared" si="316"/>
        <v>0</v>
      </c>
      <c r="AS295" s="135">
        <f t="shared" si="300"/>
        <v>0</v>
      </c>
      <c r="AT295" s="137" t="str">
        <f t="shared" si="317"/>
        <v>0</v>
      </c>
      <c r="AU295" s="137" t="str">
        <f t="shared" si="318"/>
        <v>0</v>
      </c>
      <c r="AV295" s="137" t="str">
        <f t="shared" si="319"/>
        <v>0</v>
      </c>
      <c r="AW295" s="137" t="str">
        <f t="shared" si="320"/>
        <v>0</v>
      </c>
      <c r="AX295" s="137" t="str">
        <f t="shared" si="321"/>
        <v>0</v>
      </c>
      <c r="AY295" s="137" t="str">
        <f t="shared" si="322"/>
        <v>0</v>
      </c>
      <c r="AZ295" s="137" t="str">
        <f t="shared" si="323"/>
        <v>0</v>
      </c>
      <c r="BA295" s="137" t="str">
        <f t="shared" si="324"/>
        <v>0</v>
      </c>
      <c r="BB295" s="137" t="str">
        <f t="shared" si="325"/>
        <v>0</v>
      </c>
      <c r="BC295" s="137" t="str">
        <f t="shared" si="326"/>
        <v>0</v>
      </c>
      <c r="BD295" s="131">
        <f t="shared" si="301"/>
        <v>0</v>
      </c>
    </row>
    <row r="296" spans="2:56" ht="15" customHeight="1" x14ac:dyDescent="0.25">
      <c r="B296" s="150">
        <v>8200866</v>
      </c>
      <c r="C296" s="151" t="s">
        <v>316</v>
      </c>
      <c r="D296" s="151" t="s">
        <v>407</v>
      </c>
      <c r="E296" s="152" t="s">
        <v>446</v>
      </c>
      <c r="F296" s="274"/>
      <c r="G296" s="153">
        <f>+SUMIFS(TablaIngresos[Cantidad],TablaIngresos[Código],'Inventario '!B296)</f>
        <v>0</v>
      </c>
      <c r="H296" s="153">
        <f t="shared" si="302"/>
        <v>0</v>
      </c>
      <c r="I296" s="157">
        <f>SUMIFS(TablaConsumos[[CANTIDAD ]:[CANTIDAD ]],TablaConsumos[[CÓDIGO]:[CÓDIGO]],'Inventario '!$B296,TablaConsumos[[Planta]:[Planta]],'Inventario '!I$1)</f>
        <v>0</v>
      </c>
      <c r="J296" s="157">
        <f>SUMIFS(TablaConsumos[[CANTIDAD ]:[CANTIDAD ]],TablaConsumos[[CÓDIGO]:[CÓDIGO]],'Inventario '!$B296,TablaConsumos[[Planta]:[Planta]],'Inventario '!J$1)</f>
        <v>0</v>
      </c>
      <c r="K296" s="157">
        <f>SUMIFS(TablaConsumos[[CANTIDAD ]:[CANTIDAD ]],TablaConsumos[[CÓDIGO]:[CÓDIGO]],'Inventario '!$B296,TablaConsumos[[Planta]:[Planta]],'Inventario '!K$1)</f>
        <v>0</v>
      </c>
      <c r="L296" s="157">
        <f>SUMIFS(TablaConsumos[[CANTIDAD ]:[CANTIDAD ]],TablaConsumos[[CÓDIGO]:[CÓDIGO]],'Inventario '!$B296,TablaConsumos[[Planta]:[Planta]],'Inventario '!L$1)</f>
        <v>0</v>
      </c>
      <c r="M296" s="157">
        <f>SUMIFS(TablaConsumos[[CANTIDAD ]:[CANTIDAD ]],TablaConsumos[[CÓDIGO]:[CÓDIGO]],'Inventario '!$B296,TablaConsumos[[Planta]:[Planta]],'Inventario '!M$1)</f>
        <v>0</v>
      </c>
      <c r="N296" s="157">
        <f>SUMIFS(TablaConsumos[[CANTIDAD ]:[CANTIDAD ]],TablaConsumos[[CÓDIGO]:[CÓDIGO]],'Inventario '!$B296,TablaConsumos[[Planta]:[Planta]],'Inventario '!N$1)</f>
        <v>0</v>
      </c>
      <c r="O296" s="157">
        <f>SUMIFS(TablaConsumos[[CANTIDAD ]:[CANTIDAD ]],TablaConsumos[[CÓDIGO]:[CÓDIGO]],'Inventario '!$B296,TablaConsumos[[Planta]:[Planta]],'Inventario '!O$1)</f>
        <v>0</v>
      </c>
      <c r="P296" s="157">
        <f>SUMIFS(TablaConsumos[[CANTIDAD ]:[CANTIDAD ]],TablaConsumos[[CÓDIGO]:[CÓDIGO]],'Inventario '!$B296,TablaConsumos[[Planta]:[Planta]],'Inventario '!P$1)</f>
        <v>0</v>
      </c>
      <c r="Q296" s="157">
        <f>SUMIFS(TablaConsumos[[CANTIDAD ]:[CANTIDAD ]],TablaConsumos[[CÓDIGO]:[CÓDIGO]],'Inventario '!$B296,TablaConsumos[[Planta]:[Planta]],'Inventario '!Q$1)</f>
        <v>0</v>
      </c>
      <c r="R296" s="157">
        <f>SUMIFS(TablaConsumos[[CANTIDAD ]:[CANTIDAD ]],TablaConsumos[[CÓDIGO]:[CÓDIGO]],'Inventario '!$B296,TablaConsumos[[Planta]:[Planta]],'Inventario '!R$1)</f>
        <v>0</v>
      </c>
      <c r="S296" s="153">
        <f t="shared" si="299"/>
        <v>0</v>
      </c>
      <c r="T296" s="153">
        <f t="shared" si="303"/>
        <v>0</v>
      </c>
      <c r="U296" s="154"/>
      <c r="V296" s="153"/>
      <c r="W296" s="198">
        <v>1</v>
      </c>
      <c r="X296" s="132">
        <f t="shared" si="297"/>
        <v>0</v>
      </c>
      <c r="Y296" s="130">
        <f t="shared" si="327"/>
        <v>0</v>
      </c>
      <c r="Z296" s="132"/>
      <c r="AA296" s="132">
        <f t="shared" si="304"/>
        <v>0</v>
      </c>
      <c r="AB296" s="132"/>
      <c r="AC296" s="131">
        <f t="shared" si="305"/>
        <v>0</v>
      </c>
      <c r="AD296" s="131"/>
      <c r="AE296" s="130"/>
      <c r="AF296" s="130"/>
      <c r="AG296" s="168"/>
      <c r="AH296" s="134">
        <f t="shared" si="306"/>
        <v>0</v>
      </c>
      <c r="AI296" s="134">
        <f t="shared" si="307"/>
        <v>0</v>
      </c>
      <c r="AJ296" s="134">
        <f t="shared" si="308"/>
        <v>0</v>
      </c>
      <c r="AK296" s="134">
        <f t="shared" si="309"/>
        <v>0</v>
      </c>
      <c r="AL296" s="134">
        <f t="shared" si="310"/>
        <v>0</v>
      </c>
      <c r="AM296" s="134">
        <f t="shared" si="311"/>
        <v>0</v>
      </c>
      <c r="AN296" s="134">
        <f t="shared" si="312"/>
        <v>0</v>
      </c>
      <c r="AO296" s="134">
        <f t="shared" si="313"/>
        <v>0</v>
      </c>
      <c r="AP296" s="134">
        <f t="shared" si="314"/>
        <v>0</v>
      </c>
      <c r="AQ296" s="134">
        <f t="shared" si="315"/>
        <v>0</v>
      </c>
      <c r="AR296" s="134">
        <f t="shared" si="316"/>
        <v>0</v>
      </c>
      <c r="AS296" s="135">
        <f t="shared" si="300"/>
        <v>0</v>
      </c>
      <c r="AT296" s="137" t="str">
        <f t="shared" si="317"/>
        <v>0</v>
      </c>
      <c r="AU296" s="137" t="str">
        <f t="shared" si="318"/>
        <v>0</v>
      </c>
      <c r="AV296" s="137" t="str">
        <f t="shared" si="319"/>
        <v>0</v>
      </c>
      <c r="AW296" s="137" t="str">
        <f t="shared" si="320"/>
        <v>0</v>
      </c>
      <c r="AX296" s="137" t="str">
        <f t="shared" si="321"/>
        <v>0</v>
      </c>
      <c r="AY296" s="137" t="str">
        <f t="shared" si="322"/>
        <v>0</v>
      </c>
      <c r="AZ296" s="137" t="str">
        <f t="shared" si="323"/>
        <v>0</v>
      </c>
      <c r="BA296" s="137" t="str">
        <f t="shared" si="324"/>
        <v>0</v>
      </c>
      <c r="BB296" s="137" t="str">
        <f t="shared" si="325"/>
        <v>0</v>
      </c>
      <c r="BC296" s="137" t="str">
        <f t="shared" si="326"/>
        <v>0</v>
      </c>
      <c r="BD296" s="131">
        <f t="shared" si="301"/>
        <v>0</v>
      </c>
    </row>
    <row r="297" spans="2:56" ht="15" customHeight="1" x14ac:dyDescent="0.25">
      <c r="B297" s="150">
        <v>8200868</v>
      </c>
      <c r="C297" s="151" t="s">
        <v>374</v>
      </c>
      <c r="D297" s="151" t="s">
        <v>407</v>
      </c>
      <c r="E297" s="152" t="s">
        <v>447</v>
      </c>
      <c r="F297" s="274"/>
      <c r="G297" s="153">
        <f>+SUMIFS(TablaIngresos[Cantidad],TablaIngresos[Código],'Inventario '!B297)</f>
        <v>0</v>
      </c>
      <c r="H297" s="153">
        <f t="shared" si="302"/>
        <v>0</v>
      </c>
      <c r="I297" s="157">
        <f>SUMIFS(TablaConsumos[[CANTIDAD ]:[CANTIDAD ]],TablaConsumos[[CÓDIGO]:[CÓDIGO]],'Inventario '!$B297,TablaConsumos[[Planta]:[Planta]],'Inventario '!I$1)</f>
        <v>0</v>
      </c>
      <c r="J297" s="157">
        <f>SUMIFS(TablaConsumos[[CANTIDAD ]:[CANTIDAD ]],TablaConsumos[[CÓDIGO]:[CÓDIGO]],'Inventario '!$B297,TablaConsumos[[Planta]:[Planta]],'Inventario '!J$1)</f>
        <v>0</v>
      </c>
      <c r="K297" s="157">
        <f>SUMIFS(TablaConsumos[[CANTIDAD ]:[CANTIDAD ]],TablaConsumos[[CÓDIGO]:[CÓDIGO]],'Inventario '!$B297,TablaConsumos[[Planta]:[Planta]],'Inventario '!K$1)</f>
        <v>0</v>
      </c>
      <c r="L297" s="157">
        <f>SUMIFS(TablaConsumos[[CANTIDAD ]:[CANTIDAD ]],TablaConsumos[[CÓDIGO]:[CÓDIGO]],'Inventario '!$B297,TablaConsumos[[Planta]:[Planta]],'Inventario '!L$1)</f>
        <v>0</v>
      </c>
      <c r="M297" s="157">
        <f>SUMIFS(TablaConsumos[[CANTIDAD ]:[CANTIDAD ]],TablaConsumos[[CÓDIGO]:[CÓDIGO]],'Inventario '!$B297,TablaConsumos[[Planta]:[Planta]],'Inventario '!M$1)</f>
        <v>0</v>
      </c>
      <c r="N297" s="157">
        <f>SUMIFS(TablaConsumos[[CANTIDAD ]:[CANTIDAD ]],TablaConsumos[[CÓDIGO]:[CÓDIGO]],'Inventario '!$B297,TablaConsumos[[Planta]:[Planta]],'Inventario '!N$1)</f>
        <v>0</v>
      </c>
      <c r="O297" s="157">
        <f>SUMIFS(TablaConsumos[[CANTIDAD ]:[CANTIDAD ]],TablaConsumos[[CÓDIGO]:[CÓDIGO]],'Inventario '!$B297,TablaConsumos[[Planta]:[Planta]],'Inventario '!O$1)</f>
        <v>0</v>
      </c>
      <c r="P297" s="157">
        <f>SUMIFS(TablaConsumos[[CANTIDAD ]:[CANTIDAD ]],TablaConsumos[[CÓDIGO]:[CÓDIGO]],'Inventario '!$B297,TablaConsumos[[Planta]:[Planta]],'Inventario '!P$1)</f>
        <v>0</v>
      </c>
      <c r="Q297" s="157">
        <f>SUMIFS(TablaConsumos[[CANTIDAD ]:[CANTIDAD ]],TablaConsumos[[CÓDIGO]:[CÓDIGO]],'Inventario '!$B297,TablaConsumos[[Planta]:[Planta]],'Inventario '!Q$1)</f>
        <v>0</v>
      </c>
      <c r="R297" s="157">
        <f>SUMIFS(TablaConsumos[[CANTIDAD ]:[CANTIDAD ]],TablaConsumos[[CÓDIGO]:[CÓDIGO]],'Inventario '!$B297,TablaConsumos[[Planta]:[Planta]],'Inventario '!R$1)</f>
        <v>0</v>
      </c>
      <c r="S297" s="153">
        <f t="shared" si="299"/>
        <v>0</v>
      </c>
      <c r="T297" s="153">
        <f t="shared" si="303"/>
        <v>0</v>
      </c>
      <c r="U297" s="154"/>
      <c r="V297" s="153"/>
      <c r="W297" s="198">
        <v>1</v>
      </c>
      <c r="X297" s="132">
        <f t="shared" si="297"/>
        <v>0</v>
      </c>
      <c r="Y297" s="130">
        <f t="shared" si="327"/>
        <v>0</v>
      </c>
      <c r="Z297" s="132"/>
      <c r="AA297" s="132">
        <f t="shared" si="304"/>
        <v>0</v>
      </c>
      <c r="AB297" s="132"/>
      <c r="AC297" s="131">
        <f t="shared" si="305"/>
        <v>0</v>
      </c>
      <c r="AD297" s="131"/>
      <c r="AE297" s="130"/>
      <c r="AF297" s="130"/>
      <c r="AG297" s="168"/>
      <c r="AH297" s="134">
        <f t="shared" si="306"/>
        <v>0</v>
      </c>
      <c r="AI297" s="134">
        <f t="shared" si="307"/>
        <v>0</v>
      </c>
      <c r="AJ297" s="134">
        <f t="shared" si="308"/>
        <v>0</v>
      </c>
      <c r="AK297" s="134">
        <f t="shared" si="309"/>
        <v>0</v>
      </c>
      <c r="AL297" s="134">
        <f t="shared" si="310"/>
        <v>0</v>
      </c>
      <c r="AM297" s="134">
        <f t="shared" si="311"/>
        <v>0</v>
      </c>
      <c r="AN297" s="134">
        <f t="shared" si="312"/>
        <v>0</v>
      </c>
      <c r="AO297" s="134">
        <f t="shared" si="313"/>
        <v>0</v>
      </c>
      <c r="AP297" s="134">
        <f t="shared" si="314"/>
        <v>0</v>
      </c>
      <c r="AQ297" s="134">
        <f t="shared" si="315"/>
        <v>0</v>
      </c>
      <c r="AR297" s="134">
        <f t="shared" si="316"/>
        <v>0</v>
      </c>
      <c r="AS297" s="135">
        <f t="shared" si="300"/>
        <v>0</v>
      </c>
      <c r="AT297" s="137" t="str">
        <f t="shared" si="317"/>
        <v>0</v>
      </c>
      <c r="AU297" s="137" t="str">
        <f t="shared" si="318"/>
        <v>0</v>
      </c>
      <c r="AV297" s="137" t="str">
        <f t="shared" si="319"/>
        <v>0</v>
      </c>
      <c r="AW297" s="137" t="str">
        <f t="shared" si="320"/>
        <v>0</v>
      </c>
      <c r="AX297" s="137" t="str">
        <f t="shared" si="321"/>
        <v>0</v>
      </c>
      <c r="AY297" s="137" t="str">
        <f t="shared" si="322"/>
        <v>0</v>
      </c>
      <c r="AZ297" s="137" t="str">
        <f t="shared" si="323"/>
        <v>0</v>
      </c>
      <c r="BA297" s="137" t="str">
        <f t="shared" si="324"/>
        <v>0</v>
      </c>
      <c r="BB297" s="137" t="str">
        <f t="shared" si="325"/>
        <v>0</v>
      </c>
      <c r="BC297" s="137" t="str">
        <f t="shared" si="326"/>
        <v>0</v>
      </c>
      <c r="BD297" s="131">
        <f t="shared" si="301"/>
        <v>0</v>
      </c>
    </row>
    <row r="298" spans="2:56" ht="15" customHeight="1" x14ac:dyDescent="0.25">
      <c r="B298" s="150">
        <v>8200931</v>
      </c>
      <c r="C298" s="151" t="s">
        <v>374</v>
      </c>
      <c r="D298" s="151">
        <v>0</v>
      </c>
      <c r="E298" s="152" t="s">
        <v>457</v>
      </c>
      <c r="F298" s="274"/>
      <c r="G298" s="153">
        <f>+SUMIFS(TablaIngresos[Cantidad],TablaIngresos[Código],'Inventario '!B298)</f>
        <v>0</v>
      </c>
      <c r="H298" s="153">
        <f t="shared" si="302"/>
        <v>0</v>
      </c>
      <c r="I298" s="157">
        <f>SUMIFS(TablaConsumos[[CANTIDAD ]:[CANTIDAD ]],TablaConsumos[[CÓDIGO]:[CÓDIGO]],'Inventario '!$B298,TablaConsumos[[Planta]:[Planta]],'Inventario '!I$1)</f>
        <v>0</v>
      </c>
      <c r="J298" s="157">
        <f>SUMIFS(TablaConsumos[[CANTIDAD ]:[CANTIDAD ]],TablaConsumos[[CÓDIGO]:[CÓDIGO]],'Inventario '!$B298,TablaConsumos[[Planta]:[Planta]],'Inventario '!J$1)</f>
        <v>0</v>
      </c>
      <c r="K298" s="157">
        <f>SUMIFS(TablaConsumos[[CANTIDAD ]:[CANTIDAD ]],TablaConsumos[[CÓDIGO]:[CÓDIGO]],'Inventario '!$B298,TablaConsumos[[Planta]:[Planta]],'Inventario '!K$1)</f>
        <v>0</v>
      </c>
      <c r="L298" s="157">
        <f>SUMIFS(TablaConsumos[[CANTIDAD ]:[CANTIDAD ]],TablaConsumos[[CÓDIGO]:[CÓDIGO]],'Inventario '!$B298,TablaConsumos[[Planta]:[Planta]],'Inventario '!L$1)</f>
        <v>0</v>
      </c>
      <c r="M298" s="157">
        <f>SUMIFS(TablaConsumos[[CANTIDAD ]:[CANTIDAD ]],TablaConsumos[[CÓDIGO]:[CÓDIGO]],'Inventario '!$B298,TablaConsumos[[Planta]:[Planta]],'Inventario '!M$1)</f>
        <v>0</v>
      </c>
      <c r="N298" s="157">
        <f>SUMIFS(TablaConsumos[[CANTIDAD ]:[CANTIDAD ]],TablaConsumos[[CÓDIGO]:[CÓDIGO]],'Inventario '!$B298,TablaConsumos[[Planta]:[Planta]],'Inventario '!N$1)</f>
        <v>0</v>
      </c>
      <c r="O298" s="157">
        <f>SUMIFS(TablaConsumos[[CANTIDAD ]:[CANTIDAD ]],TablaConsumos[[CÓDIGO]:[CÓDIGO]],'Inventario '!$B298,TablaConsumos[[Planta]:[Planta]],'Inventario '!O$1)</f>
        <v>0</v>
      </c>
      <c r="P298" s="157">
        <f>SUMIFS(TablaConsumos[[CANTIDAD ]:[CANTIDAD ]],TablaConsumos[[CÓDIGO]:[CÓDIGO]],'Inventario '!$B298,TablaConsumos[[Planta]:[Planta]],'Inventario '!P$1)</f>
        <v>0</v>
      </c>
      <c r="Q298" s="157">
        <f>SUMIFS(TablaConsumos[[CANTIDAD ]:[CANTIDAD ]],TablaConsumos[[CÓDIGO]:[CÓDIGO]],'Inventario '!$B298,TablaConsumos[[Planta]:[Planta]],'Inventario '!Q$1)</f>
        <v>0</v>
      </c>
      <c r="R298" s="157">
        <f>SUMIFS(TablaConsumos[[CANTIDAD ]:[CANTIDAD ]],TablaConsumos[[CÓDIGO]:[CÓDIGO]],'Inventario '!$B298,TablaConsumos[[Planta]:[Planta]],'Inventario '!R$1)</f>
        <v>0</v>
      </c>
      <c r="S298" s="153">
        <f t="shared" ref="S298:S314" si="328">+SUM(I298:R298)</f>
        <v>0</v>
      </c>
      <c r="T298" s="153">
        <f t="shared" si="303"/>
        <v>0</v>
      </c>
      <c r="U298" s="154"/>
      <c r="V298" s="153"/>
      <c r="W298" s="198">
        <v>1</v>
      </c>
      <c r="X298" s="132">
        <f t="shared" si="297"/>
        <v>0</v>
      </c>
      <c r="Y298" s="130">
        <f t="shared" si="327"/>
        <v>0</v>
      </c>
      <c r="Z298" s="132"/>
      <c r="AA298" s="132">
        <f t="shared" si="304"/>
        <v>0</v>
      </c>
      <c r="AB298" s="132"/>
      <c r="AC298" s="131">
        <f t="shared" si="305"/>
        <v>0</v>
      </c>
      <c r="AD298" s="131"/>
      <c r="AE298" s="130"/>
      <c r="AF298" s="130"/>
      <c r="AG298" s="168"/>
      <c r="AH298" s="134">
        <f t="shared" si="306"/>
        <v>0</v>
      </c>
      <c r="AI298" s="134">
        <f t="shared" si="307"/>
        <v>0</v>
      </c>
      <c r="AJ298" s="134">
        <f t="shared" si="308"/>
        <v>0</v>
      </c>
      <c r="AK298" s="134">
        <f t="shared" si="309"/>
        <v>0</v>
      </c>
      <c r="AL298" s="134">
        <f t="shared" si="310"/>
        <v>0</v>
      </c>
      <c r="AM298" s="134">
        <f t="shared" si="311"/>
        <v>0</v>
      </c>
      <c r="AN298" s="134">
        <f t="shared" si="312"/>
        <v>0</v>
      </c>
      <c r="AO298" s="134">
        <f t="shared" si="313"/>
        <v>0</v>
      </c>
      <c r="AP298" s="134">
        <f t="shared" si="314"/>
        <v>0</v>
      </c>
      <c r="AQ298" s="134">
        <f t="shared" si="315"/>
        <v>0</v>
      </c>
      <c r="AR298" s="134">
        <f t="shared" si="316"/>
        <v>0</v>
      </c>
      <c r="AS298" s="135">
        <f t="shared" ref="AS298:AS314" si="329">+SUM(AI298:AR298)</f>
        <v>0</v>
      </c>
      <c r="AT298" s="137" t="str">
        <f t="shared" si="317"/>
        <v>0</v>
      </c>
      <c r="AU298" s="137" t="str">
        <f t="shared" si="318"/>
        <v>0</v>
      </c>
      <c r="AV298" s="137" t="str">
        <f t="shared" si="319"/>
        <v>0</v>
      </c>
      <c r="AW298" s="137" t="str">
        <f t="shared" si="320"/>
        <v>0</v>
      </c>
      <c r="AX298" s="137" t="str">
        <f t="shared" si="321"/>
        <v>0</v>
      </c>
      <c r="AY298" s="137" t="str">
        <f t="shared" si="322"/>
        <v>0</v>
      </c>
      <c r="AZ298" s="137" t="str">
        <f t="shared" si="323"/>
        <v>0</v>
      </c>
      <c r="BA298" s="137" t="str">
        <f t="shared" si="324"/>
        <v>0</v>
      </c>
      <c r="BB298" s="137" t="str">
        <f t="shared" si="325"/>
        <v>0</v>
      </c>
      <c r="BC298" s="137" t="str">
        <f t="shared" si="326"/>
        <v>0</v>
      </c>
      <c r="BD298" s="131">
        <f t="shared" ref="BD298:BD314" si="330">+SUM(AT298:BC298)</f>
        <v>0</v>
      </c>
    </row>
    <row r="299" spans="2:56" ht="15" customHeight="1" x14ac:dyDescent="0.25">
      <c r="B299" s="150">
        <v>8200932</v>
      </c>
      <c r="C299" s="151" t="s">
        <v>374</v>
      </c>
      <c r="D299" s="151">
        <v>0</v>
      </c>
      <c r="E299" s="152" t="s">
        <v>458</v>
      </c>
      <c r="F299" s="274"/>
      <c r="G299" s="153">
        <f>+SUMIFS(TablaIngresos[Cantidad],TablaIngresos[Código],'Inventario '!B299)</f>
        <v>0</v>
      </c>
      <c r="H299" s="153">
        <f t="shared" si="302"/>
        <v>0</v>
      </c>
      <c r="I299" s="157">
        <f>SUMIFS(TablaConsumos[[CANTIDAD ]:[CANTIDAD ]],TablaConsumos[[CÓDIGO]:[CÓDIGO]],'Inventario '!$B299,TablaConsumos[[Planta]:[Planta]],'Inventario '!I$1)</f>
        <v>0</v>
      </c>
      <c r="J299" s="157">
        <f>SUMIFS(TablaConsumos[[CANTIDAD ]:[CANTIDAD ]],TablaConsumos[[CÓDIGO]:[CÓDIGO]],'Inventario '!$B299,TablaConsumos[[Planta]:[Planta]],'Inventario '!J$1)</f>
        <v>0</v>
      </c>
      <c r="K299" s="157">
        <f>SUMIFS(TablaConsumos[[CANTIDAD ]:[CANTIDAD ]],TablaConsumos[[CÓDIGO]:[CÓDIGO]],'Inventario '!$B299,TablaConsumos[[Planta]:[Planta]],'Inventario '!K$1)</f>
        <v>0</v>
      </c>
      <c r="L299" s="157">
        <f>SUMIFS(TablaConsumos[[CANTIDAD ]:[CANTIDAD ]],TablaConsumos[[CÓDIGO]:[CÓDIGO]],'Inventario '!$B299,TablaConsumos[[Planta]:[Planta]],'Inventario '!L$1)</f>
        <v>0</v>
      </c>
      <c r="M299" s="157">
        <f>SUMIFS(TablaConsumos[[CANTIDAD ]:[CANTIDAD ]],TablaConsumos[[CÓDIGO]:[CÓDIGO]],'Inventario '!$B299,TablaConsumos[[Planta]:[Planta]],'Inventario '!M$1)</f>
        <v>0</v>
      </c>
      <c r="N299" s="157">
        <f>SUMIFS(TablaConsumos[[CANTIDAD ]:[CANTIDAD ]],TablaConsumos[[CÓDIGO]:[CÓDIGO]],'Inventario '!$B299,TablaConsumos[[Planta]:[Planta]],'Inventario '!N$1)</f>
        <v>0</v>
      </c>
      <c r="O299" s="157">
        <f>SUMIFS(TablaConsumos[[CANTIDAD ]:[CANTIDAD ]],TablaConsumos[[CÓDIGO]:[CÓDIGO]],'Inventario '!$B299,TablaConsumos[[Planta]:[Planta]],'Inventario '!O$1)</f>
        <v>0</v>
      </c>
      <c r="P299" s="157">
        <f>SUMIFS(TablaConsumos[[CANTIDAD ]:[CANTIDAD ]],TablaConsumos[[CÓDIGO]:[CÓDIGO]],'Inventario '!$B299,TablaConsumos[[Planta]:[Planta]],'Inventario '!P$1)</f>
        <v>0</v>
      </c>
      <c r="Q299" s="157">
        <f>SUMIFS(TablaConsumos[[CANTIDAD ]:[CANTIDAD ]],TablaConsumos[[CÓDIGO]:[CÓDIGO]],'Inventario '!$B299,TablaConsumos[[Planta]:[Planta]],'Inventario '!Q$1)</f>
        <v>0</v>
      </c>
      <c r="R299" s="157">
        <f>SUMIFS(TablaConsumos[[CANTIDAD ]:[CANTIDAD ]],TablaConsumos[[CÓDIGO]:[CÓDIGO]],'Inventario '!$B299,TablaConsumos[[Planta]:[Planta]],'Inventario '!R$1)</f>
        <v>0</v>
      </c>
      <c r="S299" s="153">
        <f t="shared" si="328"/>
        <v>0</v>
      </c>
      <c r="T299" s="153">
        <f t="shared" si="303"/>
        <v>0</v>
      </c>
      <c r="U299" s="154"/>
      <c r="V299" s="153"/>
      <c r="W299" s="198">
        <v>1</v>
      </c>
      <c r="X299" s="132">
        <f t="shared" si="297"/>
        <v>0</v>
      </c>
      <c r="Y299" s="130">
        <f t="shared" si="327"/>
        <v>0</v>
      </c>
      <c r="Z299" s="132"/>
      <c r="AA299" s="132">
        <f t="shared" si="304"/>
        <v>0</v>
      </c>
      <c r="AB299" s="132"/>
      <c r="AC299" s="131">
        <f t="shared" si="305"/>
        <v>0</v>
      </c>
      <c r="AD299" s="131"/>
      <c r="AE299" s="130"/>
      <c r="AF299" s="130"/>
      <c r="AG299" s="168"/>
      <c r="AH299" s="134">
        <f t="shared" si="306"/>
        <v>0</v>
      </c>
      <c r="AI299" s="134">
        <f t="shared" si="307"/>
        <v>0</v>
      </c>
      <c r="AJ299" s="134">
        <f t="shared" si="308"/>
        <v>0</v>
      </c>
      <c r="AK299" s="134">
        <f t="shared" si="309"/>
        <v>0</v>
      </c>
      <c r="AL299" s="134">
        <f t="shared" si="310"/>
        <v>0</v>
      </c>
      <c r="AM299" s="134">
        <f t="shared" si="311"/>
        <v>0</v>
      </c>
      <c r="AN299" s="134">
        <f t="shared" si="312"/>
        <v>0</v>
      </c>
      <c r="AO299" s="134">
        <f t="shared" si="313"/>
        <v>0</v>
      </c>
      <c r="AP299" s="134">
        <f t="shared" si="314"/>
        <v>0</v>
      </c>
      <c r="AQ299" s="134">
        <f t="shared" si="315"/>
        <v>0</v>
      </c>
      <c r="AR299" s="134">
        <f t="shared" si="316"/>
        <v>0</v>
      </c>
      <c r="AS299" s="135">
        <f t="shared" si="329"/>
        <v>0</v>
      </c>
      <c r="AT299" s="137" t="str">
        <f t="shared" si="317"/>
        <v>0</v>
      </c>
      <c r="AU299" s="137" t="str">
        <f t="shared" si="318"/>
        <v>0</v>
      </c>
      <c r="AV299" s="137" t="str">
        <f t="shared" si="319"/>
        <v>0</v>
      </c>
      <c r="AW299" s="137" t="str">
        <f t="shared" si="320"/>
        <v>0</v>
      </c>
      <c r="AX299" s="137" t="str">
        <f t="shared" si="321"/>
        <v>0</v>
      </c>
      <c r="AY299" s="137" t="str">
        <f t="shared" si="322"/>
        <v>0</v>
      </c>
      <c r="AZ299" s="137" t="str">
        <f t="shared" si="323"/>
        <v>0</v>
      </c>
      <c r="BA299" s="137" t="str">
        <f t="shared" si="324"/>
        <v>0</v>
      </c>
      <c r="BB299" s="137" t="str">
        <f t="shared" si="325"/>
        <v>0</v>
      </c>
      <c r="BC299" s="137" t="str">
        <f t="shared" si="326"/>
        <v>0</v>
      </c>
      <c r="BD299" s="131">
        <f t="shared" si="330"/>
        <v>0</v>
      </c>
    </row>
    <row r="300" spans="2:56" ht="15" customHeight="1" x14ac:dyDescent="0.25">
      <c r="B300" s="150">
        <v>8200933</v>
      </c>
      <c r="C300" s="151" t="s">
        <v>374</v>
      </c>
      <c r="D300" s="151">
        <v>0</v>
      </c>
      <c r="E300" s="152" t="s">
        <v>459</v>
      </c>
      <c r="F300" s="274"/>
      <c r="G300" s="153">
        <f>+SUMIFS(TablaIngresos[Cantidad],TablaIngresos[Código],'Inventario '!B300)</f>
        <v>0</v>
      </c>
      <c r="H300" s="153">
        <f t="shared" si="302"/>
        <v>0</v>
      </c>
      <c r="I300" s="157">
        <f>SUMIFS(TablaConsumos[[CANTIDAD ]:[CANTIDAD ]],TablaConsumos[[CÓDIGO]:[CÓDIGO]],'Inventario '!$B300,TablaConsumos[[Planta]:[Planta]],'Inventario '!I$1)</f>
        <v>0</v>
      </c>
      <c r="J300" s="157">
        <f>SUMIFS(TablaConsumos[[CANTIDAD ]:[CANTIDAD ]],TablaConsumos[[CÓDIGO]:[CÓDIGO]],'Inventario '!$B300,TablaConsumos[[Planta]:[Planta]],'Inventario '!J$1)</f>
        <v>0</v>
      </c>
      <c r="K300" s="157">
        <f>SUMIFS(TablaConsumos[[CANTIDAD ]:[CANTIDAD ]],TablaConsumos[[CÓDIGO]:[CÓDIGO]],'Inventario '!$B300,TablaConsumos[[Planta]:[Planta]],'Inventario '!K$1)</f>
        <v>0</v>
      </c>
      <c r="L300" s="157">
        <f>SUMIFS(TablaConsumos[[CANTIDAD ]:[CANTIDAD ]],TablaConsumos[[CÓDIGO]:[CÓDIGO]],'Inventario '!$B300,TablaConsumos[[Planta]:[Planta]],'Inventario '!L$1)</f>
        <v>0</v>
      </c>
      <c r="M300" s="157">
        <f>SUMIFS(TablaConsumos[[CANTIDAD ]:[CANTIDAD ]],TablaConsumos[[CÓDIGO]:[CÓDIGO]],'Inventario '!$B300,TablaConsumos[[Planta]:[Planta]],'Inventario '!M$1)</f>
        <v>0</v>
      </c>
      <c r="N300" s="157">
        <f>SUMIFS(TablaConsumos[[CANTIDAD ]:[CANTIDAD ]],TablaConsumos[[CÓDIGO]:[CÓDIGO]],'Inventario '!$B300,TablaConsumos[[Planta]:[Planta]],'Inventario '!N$1)</f>
        <v>0</v>
      </c>
      <c r="O300" s="157">
        <f>SUMIFS(TablaConsumos[[CANTIDAD ]:[CANTIDAD ]],TablaConsumos[[CÓDIGO]:[CÓDIGO]],'Inventario '!$B300,TablaConsumos[[Planta]:[Planta]],'Inventario '!O$1)</f>
        <v>0</v>
      </c>
      <c r="P300" s="157">
        <f>SUMIFS(TablaConsumos[[CANTIDAD ]:[CANTIDAD ]],TablaConsumos[[CÓDIGO]:[CÓDIGO]],'Inventario '!$B300,TablaConsumos[[Planta]:[Planta]],'Inventario '!P$1)</f>
        <v>0</v>
      </c>
      <c r="Q300" s="157">
        <f>SUMIFS(TablaConsumos[[CANTIDAD ]:[CANTIDAD ]],TablaConsumos[[CÓDIGO]:[CÓDIGO]],'Inventario '!$B300,TablaConsumos[[Planta]:[Planta]],'Inventario '!Q$1)</f>
        <v>0</v>
      </c>
      <c r="R300" s="157">
        <f>SUMIFS(TablaConsumos[[CANTIDAD ]:[CANTIDAD ]],TablaConsumos[[CÓDIGO]:[CÓDIGO]],'Inventario '!$B300,TablaConsumos[[Planta]:[Planta]],'Inventario '!R$1)</f>
        <v>0</v>
      </c>
      <c r="S300" s="153">
        <f t="shared" si="328"/>
        <v>0</v>
      </c>
      <c r="T300" s="153">
        <f t="shared" si="303"/>
        <v>0</v>
      </c>
      <c r="U300" s="154"/>
      <c r="V300" s="153"/>
      <c r="W300" s="198">
        <v>1</v>
      </c>
      <c r="X300" s="132">
        <f t="shared" si="297"/>
        <v>0</v>
      </c>
      <c r="Y300" s="130">
        <f t="shared" si="327"/>
        <v>0</v>
      </c>
      <c r="Z300" s="132"/>
      <c r="AA300" s="132">
        <f t="shared" si="304"/>
        <v>0</v>
      </c>
      <c r="AB300" s="132"/>
      <c r="AC300" s="131">
        <f t="shared" si="305"/>
        <v>0</v>
      </c>
      <c r="AD300" s="131"/>
      <c r="AE300" s="130"/>
      <c r="AF300" s="130"/>
      <c r="AG300" s="168"/>
      <c r="AH300" s="134">
        <f t="shared" si="306"/>
        <v>0</v>
      </c>
      <c r="AI300" s="134">
        <f t="shared" si="307"/>
        <v>0</v>
      </c>
      <c r="AJ300" s="134">
        <f t="shared" si="308"/>
        <v>0</v>
      </c>
      <c r="AK300" s="134">
        <f t="shared" si="309"/>
        <v>0</v>
      </c>
      <c r="AL300" s="134">
        <f t="shared" si="310"/>
        <v>0</v>
      </c>
      <c r="AM300" s="134">
        <f t="shared" si="311"/>
        <v>0</v>
      </c>
      <c r="AN300" s="134">
        <f t="shared" si="312"/>
        <v>0</v>
      </c>
      <c r="AO300" s="134">
        <f t="shared" si="313"/>
        <v>0</v>
      </c>
      <c r="AP300" s="134">
        <f t="shared" si="314"/>
        <v>0</v>
      </c>
      <c r="AQ300" s="134">
        <f t="shared" si="315"/>
        <v>0</v>
      </c>
      <c r="AR300" s="134">
        <f t="shared" si="316"/>
        <v>0</v>
      </c>
      <c r="AS300" s="135">
        <f t="shared" si="329"/>
        <v>0</v>
      </c>
      <c r="AT300" s="137" t="str">
        <f t="shared" si="317"/>
        <v>0</v>
      </c>
      <c r="AU300" s="137" t="str">
        <f t="shared" si="318"/>
        <v>0</v>
      </c>
      <c r="AV300" s="137" t="str">
        <f t="shared" si="319"/>
        <v>0</v>
      </c>
      <c r="AW300" s="137" t="str">
        <f t="shared" si="320"/>
        <v>0</v>
      </c>
      <c r="AX300" s="137" t="str">
        <f t="shared" si="321"/>
        <v>0</v>
      </c>
      <c r="AY300" s="137" t="str">
        <f t="shared" si="322"/>
        <v>0</v>
      </c>
      <c r="AZ300" s="137" t="str">
        <f t="shared" si="323"/>
        <v>0</v>
      </c>
      <c r="BA300" s="137" t="str">
        <f t="shared" si="324"/>
        <v>0</v>
      </c>
      <c r="BB300" s="137" t="str">
        <f t="shared" si="325"/>
        <v>0</v>
      </c>
      <c r="BC300" s="137" t="str">
        <f t="shared" si="326"/>
        <v>0</v>
      </c>
      <c r="BD300" s="131">
        <f t="shared" si="330"/>
        <v>0</v>
      </c>
    </row>
    <row r="301" spans="2:56" ht="15" customHeight="1" x14ac:dyDescent="0.25">
      <c r="B301" s="150">
        <v>8200937</v>
      </c>
      <c r="C301" s="151" t="s">
        <v>374</v>
      </c>
      <c r="D301" s="151">
        <v>0</v>
      </c>
      <c r="E301" s="152" t="s">
        <v>463</v>
      </c>
      <c r="F301" s="274"/>
      <c r="G301" s="153">
        <f>+SUMIFS(TablaIngresos[Cantidad],TablaIngresos[Código],'Inventario '!B301)</f>
        <v>0</v>
      </c>
      <c r="H301" s="153">
        <f t="shared" ref="H301:H314" si="331">+F301+G301</f>
        <v>0</v>
      </c>
      <c r="I301" s="157">
        <f>SUMIFS(TablaConsumos[[CANTIDAD ]:[CANTIDAD ]],TablaConsumos[[CÓDIGO]:[CÓDIGO]],'Inventario '!$B301,TablaConsumos[[Planta]:[Planta]],'Inventario '!I$1)</f>
        <v>0</v>
      </c>
      <c r="J301" s="157">
        <f>SUMIFS(TablaConsumos[[CANTIDAD ]:[CANTIDAD ]],TablaConsumos[[CÓDIGO]:[CÓDIGO]],'Inventario '!$B301,TablaConsumos[[Planta]:[Planta]],'Inventario '!J$1)</f>
        <v>0</v>
      </c>
      <c r="K301" s="157">
        <f>SUMIFS(TablaConsumos[[CANTIDAD ]:[CANTIDAD ]],TablaConsumos[[CÓDIGO]:[CÓDIGO]],'Inventario '!$B301,TablaConsumos[[Planta]:[Planta]],'Inventario '!K$1)</f>
        <v>0</v>
      </c>
      <c r="L301" s="157">
        <f>SUMIFS(TablaConsumos[[CANTIDAD ]:[CANTIDAD ]],TablaConsumos[[CÓDIGO]:[CÓDIGO]],'Inventario '!$B301,TablaConsumos[[Planta]:[Planta]],'Inventario '!L$1)</f>
        <v>0</v>
      </c>
      <c r="M301" s="157">
        <f>SUMIFS(TablaConsumos[[CANTIDAD ]:[CANTIDAD ]],TablaConsumos[[CÓDIGO]:[CÓDIGO]],'Inventario '!$B301,TablaConsumos[[Planta]:[Planta]],'Inventario '!M$1)</f>
        <v>0</v>
      </c>
      <c r="N301" s="157">
        <f>SUMIFS(TablaConsumos[[CANTIDAD ]:[CANTIDAD ]],TablaConsumos[[CÓDIGO]:[CÓDIGO]],'Inventario '!$B301,TablaConsumos[[Planta]:[Planta]],'Inventario '!N$1)</f>
        <v>0</v>
      </c>
      <c r="O301" s="157">
        <f>SUMIFS(TablaConsumos[[CANTIDAD ]:[CANTIDAD ]],TablaConsumos[[CÓDIGO]:[CÓDIGO]],'Inventario '!$B301,TablaConsumos[[Planta]:[Planta]],'Inventario '!O$1)</f>
        <v>0</v>
      </c>
      <c r="P301" s="157">
        <f>SUMIFS(TablaConsumos[[CANTIDAD ]:[CANTIDAD ]],TablaConsumos[[CÓDIGO]:[CÓDIGO]],'Inventario '!$B301,TablaConsumos[[Planta]:[Planta]],'Inventario '!P$1)</f>
        <v>0</v>
      </c>
      <c r="Q301" s="157">
        <f>SUMIFS(TablaConsumos[[CANTIDAD ]:[CANTIDAD ]],TablaConsumos[[CÓDIGO]:[CÓDIGO]],'Inventario '!$B301,TablaConsumos[[Planta]:[Planta]],'Inventario '!Q$1)</f>
        <v>0</v>
      </c>
      <c r="R301" s="157">
        <f>SUMIFS(TablaConsumos[[CANTIDAD ]:[CANTIDAD ]],TablaConsumos[[CÓDIGO]:[CÓDIGO]],'Inventario '!$B301,TablaConsumos[[Planta]:[Planta]],'Inventario '!R$1)</f>
        <v>0</v>
      </c>
      <c r="S301" s="153">
        <f t="shared" si="328"/>
        <v>0</v>
      </c>
      <c r="T301" s="153">
        <f t="shared" ref="T301:T314" si="332">+H301-S301</f>
        <v>0</v>
      </c>
      <c r="U301" s="154"/>
      <c r="V301" s="153"/>
      <c r="W301" s="198">
        <v>1</v>
      </c>
      <c r="X301" s="132">
        <f t="shared" si="297"/>
        <v>0</v>
      </c>
      <c r="Y301" s="130">
        <f t="shared" si="327"/>
        <v>0</v>
      </c>
      <c r="Z301" s="132"/>
      <c r="AA301" s="132">
        <f t="shared" si="304"/>
        <v>0</v>
      </c>
      <c r="AB301" s="132"/>
      <c r="AC301" s="131">
        <f t="shared" si="305"/>
        <v>0</v>
      </c>
      <c r="AD301" s="131"/>
      <c r="AE301" s="130"/>
      <c r="AF301" s="130"/>
      <c r="AG301" s="168"/>
      <c r="AH301" s="134">
        <f t="shared" si="306"/>
        <v>0</v>
      </c>
      <c r="AI301" s="134">
        <f t="shared" si="307"/>
        <v>0</v>
      </c>
      <c r="AJ301" s="134">
        <f t="shared" si="308"/>
        <v>0</v>
      </c>
      <c r="AK301" s="134">
        <f t="shared" si="309"/>
        <v>0</v>
      </c>
      <c r="AL301" s="134">
        <f t="shared" si="310"/>
        <v>0</v>
      </c>
      <c r="AM301" s="134">
        <f t="shared" si="311"/>
        <v>0</v>
      </c>
      <c r="AN301" s="134">
        <f t="shared" si="312"/>
        <v>0</v>
      </c>
      <c r="AO301" s="134">
        <f t="shared" si="313"/>
        <v>0</v>
      </c>
      <c r="AP301" s="134">
        <f t="shared" si="314"/>
        <v>0</v>
      </c>
      <c r="AQ301" s="134">
        <f t="shared" si="315"/>
        <v>0</v>
      </c>
      <c r="AR301" s="134">
        <f t="shared" si="316"/>
        <v>0</v>
      </c>
      <c r="AS301" s="135">
        <f t="shared" si="329"/>
        <v>0</v>
      </c>
      <c r="AT301" s="137" t="str">
        <f t="shared" si="317"/>
        <v>0</v>
      </c>
      <c r="AU301" s="137" t="str">
        <f t="shared" si="318"/>
        <v>0</v>
      </c>
      <c r="AV301" s="137" t="str">
        <f t="shared" si="319"/>
        <v>0</v>
      </c>
      <c r="AW301" s="137" t="str">
        <f t="shared" si="320"/>
        <v>0</v>
      </c>
      <c r="AX301" s="137" t="str">
        <f t="shared" si="321"/>
        <v>0</v>
      </c>
      <c r="AY301" s="137" t="str">
        <f t="shared" si="322"/>
        <v>0</v>
      </c>
      <c r="AZ301" s="137" t="str">
        <f t="shared" si="323"/>
        <v>0</v>
      </c>
      <c r="BA301" s="137" t="str">
        <f t="shared" si="324"/>
        <v>0</v>
      </c>
      <c r="BB301" s="137" t="str">
        <f t="shared" si="325"/>
        <v>0</v>
      </c>
      <c r="BC301" s="137" t="str">
        <f t="shared" si="326"/>
        <v>0</v>
      </c>
      <c r="BD301" s="131">
        <f t="shared" si="330"/>
        <v>0</v>
      </c>
    </row>
    <row r="302" spans="2:56" ht="15" customHeight="1" x14ac:dyDescent="0.25">
      <c r="B302" s="150">
        <v>8200938</v>
      </c>
      <c r="C302" s="151" t="s">
        <v>374</v>
      </c>
      <c r="D302" s="151">
        <v>0</v>
      </c>
      <c r="E302" s="152" t="s">
        <v>464</v>
      </c>
      <c r="F302" s="274"/>
      <c r="G302" s="153">
        <f>+SUMIFS(TablaIngresos[Cantidad],TablaIngresos[Código],'Inventario '!B302)</f>
        <v>0</v>
      </c>
      <c r="H302" s="153">
        <f t="shared" si="331"/>
        <v>0</v>
      </c>
      <c r="I302" s="157">
        <f>SUMIFS(TablaConsumos[[CANTIDAD ]:[CANTIDAD ]],TablaConsumos[[CÓDIGO]:[CÓDIGO]],'Inventario '!$B302,TablaConsumos[[Planta]:[Planta]],'Inventario '!I$1)</f>
        <v>0</v>
      </c>
      <c r="J302" s="157">
        <f>SUMIFS(TablaConsumos[[CANTIDAD ]:[CANTIDAD ]],TablaConsumos[[CÓDIGO]:[CÓDIGO]],'Inventario '!$B302,TablaConsumos[[Planta]:[Planta]],'Inventario '!J$1)</f>
        <v>0</v>
      </c>
      <c r="K302" s="157">
        <f>SUMIFS(TablaConsumos[[CANTIDAD ]:[CANTIDAD ]],TablaConsumos[[CÓDIGO]:[CÓDIGO]],'Inventario '!$B302,TablaConsumos[[Planta]:[Planta]],'Inventario '!K$1)</f>
        <v>0</v>
      </c>
      <c r="L302" s="157">
        <f>SUMIFS(TablaConsumos[[CANTIDAD ]:[CANTIDAD ]],TablaConsumos[[CÓDIGO]:[CÓDIGO]],'Inventario '!$B302,TablaConsumos[[Planta]:[Planta]],'Inventario '!L$1)</f>
        <v>0</v>
      </c>
      <c r="M302" s="157">
        <f>SUMIFS(TablaConsumos[[CANTIDAD ]:[CANTIDAD ]],TablaConsumos[[CÓDIGO]:[CÓDIGO]],'Inventario '!$B302,TablaConsumos[[Planta]:[Planta]],'Inventario '!M$1)</f>
        <v>0</v>
      </c>
      <c r="N302" s="157">
        <f>SUMIFS(TablaConsumos[[CANTIDAD ]:[CANTIDAD ]],TablaConsumos[[CÓDIGO]:[CÓDIGO]],'Inventario '!$B302,TablaConsumos[[Planta]:[Planta]],'Inventario '!N$1)</f>
        <v>0</v>
      </c>
      <c r="O302" s="157">
        <f>SUMIFS(TablaConsumos[[CANTIDAD ]:[CANTIDAD ]],TablaConsumos[[CÓDIGO]:[CÓDIGO]],'Inventario '!$B302,TablaConsumos[[Planta]:[Planta]],'Inventario '!O$1)</f>
        <v>0</v>
      </c>
      <c r="P302" s="157">
        <f>SUMIFS(TablaConsumos[[CANTIDAD ]:[CANTIDAD ]],TablaConsumos[[CÓDIGO]:[CÓDIGO]],'Inventario '!$B302,TablaConsumos[[Planta]:[Planta]],'Inventario '!P$1)</f>
        <v>0</v>
      </c>
      <c r="Q302" s="157">
        <f>SUMIFS(TablaConsumos[[CANTIDAD ]:[CANTIDAD ]],TablaConsumos[[CÓDIGO]:[CÓDIGO]],'Inventario '!$B302,TablaConsumos[[Planta]:[Planta]],'Inventario '!Q$1)</f>
        <v>0</v>
      </c>
      <c r="R302" s="157">
        <f>SUMIFS(TablaConsumos[[CANTIDAD ]:[CANTIDAD ]],TablaConsumos[[CÓDIGO]:[CÓDIGO]],'Inventario '!$B302,TablaConsumos[[Planta]:[Planta]],'Inventario '!R$1)</f>
        <v>0</v>
      </c>
      <c r="S302" s="153">
        <f t="shared" si="328"/>
        <v>0</v>
      </c>
      <c r="T302" s="153">
        <f t="shared" si="332"/>
        <v>0</v>
      </c>
      <c r="U302" s="154"/>
      <c r="V302" s="153"/>
      <c r="W302" s="198">
        <v>1</v>
      </c>
      <c r="X302" s="132">
        <f t="shared" si="297"/>
        <v>0</v>
      </c>
      <c r="Y302" s="130">
        <f t="shared" si="327"/>
        <v>0</v>
      </c>
      <c r="Z302" s="132"/>
      <c r="AA302" s="132">
        <f t="shared" si="304"/>
        <v>0</v>
      </c>
      <c r="AB302" s="132"/>
      <c r="AC302" s="131">
        <f t="shared" si="305"/>
        <v>0</v>
      </c>
      <c r="AD302" s="131"/>
      <c r="AE302" s="130"/>
      <c r="AF302" s="130"/>
      <c r="AG302" s="168"/>
      <c r="AH302" s="134">
        <f t="shared" si="306"/>
        <v>0</v>
      </c>
      <c r="AI302" s="134">
        <f t="shared" si="307"/>
        <v>0</v>
      </c>
      <c r="AJ302" s="134">
        <f t="shared" si="308"/>
        <v>0</v>
      </c>
      <c r="AK302" s="134">
        <f t="shared" si="309"/>
        <v>0</v>
      </c>
      <c r="AL302" s="134">
        <f t="shared" si="310"/>
        <v>0</v>
      </c>
      <c r="AM302" s="134">
        <f t="shared" si="311"/>
        <v>0</v>
      </c>
      <c r="AN302" s="134">
        <f t="shared" si="312"/>
        <v>0</v>
      </c>
      <c r="AO302" s="134">
        <f t="shared" si="313"/>
        <v>0</v>
      </c>
      <c r="AP302" s="134">
        <f t="shared" si="314"/>
        <v>0</v>
      </c>
      <c r="AQ302" s="134">
        <f t="shared" si="315"/>
        <v>0</v>
      </c>
      <c r="AR302" s="134">
        <f t="shared" si="316"/>
        <v>0</v>
      </c>
      <c r="AS302" s="135">
        <f t="shared" si="329"/>
        <v>0</v>
      </c>
      <c r="AT302" s="137" t="str">
        <f t="shared" si="317"/>
        <v>0</v>
      </c>
      <c r="AU302" s="137" t="str">
        <f t="shared" si="318"/>
        <v>0</v>
      </c>
      <c r="AV302" s="137" t="str">
        <f t="shared" si="319"/>
        <v>0</v>
      </c>
      <c r="AW302" s="137" t="str">
        <f t="shared" si="320"/>
        <v>0</v>
      </c>
      <c r="AX302" s="137" t="str">
        <f t="shared" si="321"/>
        <v>0</v>
      </c>
      <c r="AY302" s="137" t="str">
        <f t="shared" si="322"/>
        <v>0</v>
      </c>
      <c r="AZ302" s="137" t="str">
        <f t="shared" si="323"/>
        <v>0</v>
      </c>
      <c r="BA302" s="137" t="str">
        <f t="shared" si="324"/>
        <v>0</v>
      </c>
      <c r="BB302" s="137" t="str">
        <f t="shared" si="325"/>
        <v>0</v>
      </c>
      <c r="BC302" s="137" t="str">
        <f t="shared" si="326"/>
        <v>0</v>
      </c>
      <c r="BD302" s="131">
        <f t="shared" si="330"/>
        <v>0</v>
      </c>
    </row>
    <row r="303" spans="2:56" ht="15" customHeight="1" x14ac:dyDescent="0.25">
      <c r="B303" s="150">
        <v>8200990</v>
      </c>
      <c r="C303" s="151" t="s">
        <v>316</v>
      </c>
      <c r="D303" s="151" t="s">
        <v>407</v>
      </c>
      <c r="E303" s="152" t="s">
        <v>469</v>
      </c>
      <c r="F303" s="274"/>
      <c r="G303" s="153">
        <f>+SUMIFS(TablaIngresos[Cantidad],TablaIngresos[Código],'Inventario '!B303)</f>
        <v>0</v>
      </c>
      <c r="H303" s="153">
        <f t="shared" si="331"/>
        <v>0</v>
      </c>
      <c r="I303" s="157">
        <f>SUMIFS(TablaConsumos[[CANTIDAD ]:[CANTIDAD ]],TablaConsumos[[CÓDIGO]:[CÓDIGO]],'Inventario '!$B303,TablaConsumos[[Planta]:[Planta]],'Inventario '!I$1)</f>
        <v>0</v>
      </c>
      <c r="J303" s="157">
        <f>SUMIFS(TablaConsumos[[CANTIDAD ]:[CANTIDAD ]],TablaConsumos[[CÓDIGO]:[CÓDIGO]],'Inventario '!$B303,TablaConsumos[[Planta]:[Planta]],'Inventario '!J$1)</f>
        <v>0</v>
      </c>
      <c r="K303" s="157">
        <f>SUMIFS(TablaConsumos[[CANTIDAD ]:[CANTIDAD ]],TablaConsumos[[CÓDIGO]:[CÓDIGO]],'Inventario '!$B303,TablaConsumos[[Planta]:[Planta]],'Inventario '!K$1)</f>
        <v>0</v>
      </c>
      <c r="L303" s="157">
        <f>SUMIFS(TablaConsumos[[CANTIDAD ]:[CANTIDAD ]],TablaConsumos[[CÓDIGO]:[CÓDIGO]],'Inventario '!$B303,TablaConsumos[[Planta]:[Planta]],'Inventario '!L$1)</f>
        <v>0</v>
      </c>
      <c r="M303" s="157">
        <f>SUMIFS(TablaConsumos[[CANTIDAD ]:[CANTIDAD ]],TablaConsumos[[CÓDIGO]:[CÓDIGO]],'Inventario '!$B303,TablaConsumos[[Planta]:[Planta]],'Inventario '!M$1)</f>
        <v>0</v>
      </c>
      <c r="N303" s="157">
        <f>SUMIFS(TablaConsumos[[CANTIDAD ]:[CANTIDAD ]],TablaConsumos[[CÓDIGO]:[CÓDIGO]],'Inventario '!$B303,TablaConsumos[[Planta]:[Planta]],'Inventario '!N$1)</f>
        <v>0</v>
      </c>
      <c r="O303" s="157">
        <f>SUMIFS(TablaConsumos[[CANTIDAD ]:[CANTIDAD ]],TablaConsumos[[CÓDIGO]:[CÓDIGO]],'Inventario '!$B303,TablaConsumos[[Planta]:[Planta]],'Inventario '!O$1)</f>
        <v>0</v>
      </c>
      <c r="P303" s="157">
        <f>SUMIFS(TablaConsumos[[CANTIDAD ]:[CANTIDAD ]],TablaConsumos[[CÓDIGO]:[CÓDIGO]],'Inventario '!$B303,TablaConsumos[[Planta]:[Planta]],'Inventario '!P$1)</f>
        <v>0</v>
      </c>
      <c r="Q303" s="157">
        <f>SUMIFS(TablaConsumos[[CANTIDAD ]:[CANTIDAD ]],TablaConsumos[[CÓDIGO]:[CÓDIGO]],'Inventario '!$B303,TablaConsumos[[Planta]:[Planta]],'Inventario '!Q$1)</f>
        <v>0</v>
      </c>
      <c r="R303" s="157">
        <f>SUMIFS(TablaConsumos[[CANTIDAD ]:[CANTIDAD ]],TablaConsumos[[CÓDIGO]:[CÓDIGO]],'Inventario '!$B303,TablaConsumos[[Planta]:[Planta]],'Inventario '!R$1)</f>
        <v>0</v>
      </c>
      <c r="S303" s="153">
        <f t="shared" si="328"/>
        <v>0</v>
      </c>
      <c r="T303" s="153">
        <f t="shared" si="332"/>
        <v>0</v>
      </c>
      <c r="U303" s="154"/>
      <c r="V303" s="153"/>
      <c r="W303" s="198">
        <v>1</v>
      </c>
      <c r="X303" s="132">
        <f t="shared" si="297"/>
        <v>0</v>
      </c>
      <c r="Y303" s="130">
        <f t="shared" si="327"/>
        <v>0</v>
      </c>
      <c r="Z303" s="132"/>
      <c r="AA303" s="132">
        <f t="shared" si="304"/>
        <v>0</v>
      </c>
      <c r="AB303" s="132"/>
      <c r="AC303" s="131">
        <f t="shared" si="305"/>
        <v>0</v>
      </c>
      <c r="AD303" s="131"/>
      <c r="AE303" s="130"/>
      <c r="AF303" s="130"/>
      <c r="AG303" s="168"/>
      <c r="AH303" s="134">
        <f t="shared" si="306"/>
        <v>0</v>
      </c>
      <c r="AI303" s="134">
        <f t="shared" si="307"/>
        <v>0</v>
      </c>
      <c r="AJ303" s="134">
        <f t="shared" si="308"/>
        <v>0</v>
      </c>
      <c r="AK303" s="134">
        <f t="shared" si="309"/>
        <v>0</v>
      </c>
      <c r="AL303" s="134">
        <f t="shared" si="310"/>
        <v>0</v>
      </c>
      <c r="AM303" s="134">
        <f t="shared" si="311"/>
        <v>0</v>
      </c>
      <c r="AN303" s="134">
        <f t="shared" si="312"/>
        <v>0</v>
      </c>
      <c r="AO303" s="134">
        <f t="shared" si="313"/>
        <v>0</v>
      </c>
      <c r="AP303" s="134">
        <f t="shared" si="314"/>
        <v>0</v>
      </c>
      <c r="AQ303" s="134">
        <f t="shared" si="315"/>
        <v>0</v>
      </c>
      <c r="AR303" s="134">
        <f t="shared" si="316"/>
        <v>0</v>
      </c>
      <c r="AS303" s="135">
        <f t="shared" si="329"/>
        <v>0</v>
      </c>
      <c r="AT303" s="137" t="str">
        <f t="shared" si="317"/>
        <v>0</v>
      </c>
      <c r="AU303" s="137" t="str">
        <f t="shared" si="318"/>
        <v>0</v>
      </c>
      <c r="AV303" s="137" t="str">
        <f t="shared" si="319"/>
        <v>0</v>
      </c>
      <c r="AW303" s="137" t="str">
        <f t="shared" si="320"/>
        <v>0</v>
      </c>
      <c r="AX303" s="137" t="str">
        <f t="shared" si="321"/>
        <v>0</v>
      </c>
      <c r="AY303" s="137" t="str">
        <f t="shared" si="322"/>
        <v>0</v>
      </c>
      <c r="AZ303" s="137" t="str">
        <f t="shared" si="323"/>
        <v>0</v>
      </c>
      <c r="BA303" s="137" t="str">
        <f t="shared" si="324"/>
        <v>0</v>
      </c>
      <c r="BB303" s="137" t="str">
        <f t="shared" si="325"/>
        <v>0</v>
      </c>
      <c r="BC303" s="137" t="str">
        <f t="shared" si="326"/>
        <v>0</v>
      </c>
      <c r="BD303" s="131">
        <f t="shared" si="330"/>
        <v>0</v>
      </c>
    </row>
    <row r="304" spans="2:56" ht="15" customHeight="1" x14ac:dyDescent="0.25">
      <c r="B304" s="150">
        <v>8201004</v>
      </c>
      <c r="C304" s="151" t="s">
        <v>316</v>
      </c>
      <c r="D304" s="151">
        <v>0</v>
      </c>
      <c r="E304" s="152" t="s">
        <v>470</v>
      </c>
      <c r="F304" s="274"/>
      <c r="G304" s="153">
        <f>+SUMIFS(TablaIngresos[Cantidad],TablaIngresos[Código],'Inventario '!B304)</f>
        <v>0</v>
      </c>
      <c r="H304" s="153">
        <f t="shared" si="331"/>
        <v>0</v>
      </c>
      <c r="I304" s="157">
        <f>SUMIFS(TablaConsumos[[CANTIDAD ]:[CANTIDAD ]],TablaConsumos[[CÓDIGO]:[CÓDIGO]],'Inventario '!$B304,TablaConsumos[[Planta]:[Planta]],'Inventario '!I$1)</f>
        <v>0</v>
      </c>
      <c r="J304" s="157">
        <f>SUMIFS(TablaConsumos[[CANTIDAD ]:[CANTIDAD ]],TablaConsumos[[CÓDIGO]:[CÓDIGO]],'Inventario '!$B304,TablaConsumos[[Planta]:[Planta]],'Inventario '!J$1)</f>
        <v>0</v>
      </c>
      <c r="K304" s="157">
        <f>SUMIFS(TablaConsumos[[CANTIDAD ]:[CANTIDAD ]],TablaConsumos[[CÓDIGO]:[CÓDIGO]],'Inventario '!$B304,TablaConsumos[[Planta]:[Planta]],'Inventario '!K$1)</f>
        <v>0</v>
      </c>
      <c r="L304" s="157">
        <f>SUMIFS(TablaConsumos[[CANTIDAD ]:[CANTIDAD ]],TablaConsumos[[CÓDIGO]:[CÓDIGO]],'Inventario '!$B304,TablaConsumos[[Planta]:[Planta]],'Inventario '!L$1)</f>
        <v>0</v>
      </c>
      <c r="M304" s="157">
        <f>SUMIFS(TablaConsumos[[CANTIDAD ]:[CANTIDAD ]],TablaConsumos[[CÓDIGO]:[CÓDIGO]],'Inventario '!$B304,TablaConsumos[[Planta]:[Planta]],'Inventario '!M$1)</f>
        <v>0</v>
      </c>
      <c r="N304" s="157">
        <f>SUMIFS(TablaConsumos[[CANTIDAD ]:[CANTIDAD ]],TablaConsumos[[CÓDIGO]:[CÓDIGO]],'Inventario '!$B304,TablaConsumos[[Planta]:[Planta]],'Inventario '!N$1)</f>
        <v>0</v>
      </c>
      <c r="O304" s="157">
        <f>SUMIFS(TablaConsumos[[CANTIDAD ]:[CANTIDAD ]],TablaConsumos[[CÓDIGO]:[CÓDIGO]],'Inventario '!$B304,TablaConsumos[[Planta]:[Planta]],'Inventario '!O$1)</f>
        <v>0</v>
      </c>
      <c r="P304" s="157">
        <f>SUMIFS(TablaConsumos[[CANTIDAD ]:[CANTIDAD ]],TablaConsumos[[CÓDIGO]:[CÓDIGO]],'Inventario '!$B304,TablaConsumos[[Planta]:[Planta]],'Inventario '!P$1)</f>
        <v>0</v>
      </c>
      <c r="Q304" s="157">
        <f>SUMIFS(TablaConsumos[[CANTIDAD ]:[CANTIDAD ]],TablaConsumos[[CÓDIGO]:[CÓDIGO]],'Inventario '!$B304,TablaConsumos[[Planta]:[Planta]],'Inventario '!Q$1)</f>
        <v>0</v>
      </c>
      <c r="R304" s="157">
        <f>SUMIFS(TablaConsumos[[CANTIDAD ]:[CANTIDAD ]],TablaConsumos[[CÓDIGO]:[CÓDIGO]],'Inventario '!$B304,TablaConsumos[[Planta]:[Planta]],'Inventario '!R$1)</f>
        <v>0</v>
      </c>
      <c r="S304" s="153">
        <f t="shared" si="328"/>
        <v>0</v>
      </c>
      <c r="T304" s="153">
        <f t="shared" si="332"/>
        <v>0</v>
      </c>
      <c r="U304" s="154"/>
      <c r="V304" s="153"/>
      <c r="W304" s="198">
        <v>1</v>
      </c>
      <c r="X304" s="132">
        <f t="shared" si="297"/>
        <v>0</v>
      </c>
      <c r="Y304" s="130">
        <f t="shared" si="327"/>
        <v>0</v>
      </c>
      <c r="Z304" s="132"/>
      <c r="AA304" s="132">
        <f t="shared" si="304"/>
        <v>0</v>
      </c>
      <c r="AB304" s="132"/>
      <c r="AC304" s="132">
        <f t="shared" si="305"/>
        <v>0</v>
      </c>
      <c r="AD304" s="131"/>
      <c r="AE304" s="130"/>
      <c r="AF304" s="130"/>
      <c r="AG304" s="168"/>
      <c r="AH304" s="134">
        <f t="shared" si="306"/>
        <v>0</v>
      </c>
      <c r="AI304" s="134">
        <f t="shared" si="307"/>
        <v>0</v>
      </c>
      <c r="AJ304" s="134">
        <f t="shared" si="308"/>
        <v>0</v>
      </c>
      <c r="AK304" s="134">
        <f t="shared" si="309"/>
        <v>0</v>
      </c>
      <c r="AL304" s="134">
        <f t="shared" si="310"/>
        <v>0</v>
      </c>
      <c r="AM304" s="134">
        <f t="shared" si="311"/>
        <v>0</v>
      </c>
      <c r="AN304" s="134">
        <f t="shared" si="312"/>
        <v>0</v>
      </c>
      <c r="AO304" s="134">
        <f t="shared" si="313"/>
        <v>0</v>
      </c>
      <c r="AP304" s="134">
        <f t="shared" si="314"/>
        <v>0</v>
      </c>
      <c r="AQ304" s="134">
        <f t="shared" si="315"/>
        <v>0</v>
      </c>
      <c r="AR304" s="134">
        <f t="shared" si="316"/>
        <v>0</v>
      </c>
      <c r="AS304" s="135">
        <f t="shared" si="329"/>
        <v>0</v>
      </c>
      <c r="AT304" s="137" t="str">
        <f t="shared" si="317"/>
        <v>0</v>
      </c>
      <c r="AU304" s="137" t="str">
        <f t="shared" si="318"/>
        <v>0</v>
      </c>
      <c r="AV304" s="137" t="str">
        <f t="shared" si="319"/>
        <v>0</v>
      </c>
      <c r="AW304" s="137" t="str">
        <f t="shared" si="320"/>
        <v>0</v>
      </c>
      <c r="AX304" s="137" t="str">
        <f t="shared" si="321"/>
        <v>0</v>
      </c>
      <c r="AY304" s="137" t="str">
        <f t="shared" si="322"/>
        <v>0</v>
      </c>
      <c r="AZ304" s="137" t="str">
        <f t="shared" si="323"/>
        <v>0</v>
      </c>
      <c r="BA304" s="137" t="str">
        <f t="shared" si="324"/>
        <v>0</v>
      </c>
      <c r="BB304" s="137" t="str">
        <f t="shared" si="325"/>
        <v>0</v>
      </c>
      <c r="BC304" s="137" t="str">
        <f t="shared" si="326"/>
        <v>0</v>
      </c>
      <c r="BD304" s="131">
        <f t="shared" si="330"/>
        <v>0</v>
      </c>
    </row>
    <row r="305" spans="1:56" ht="15" customHeight="1" x14ac:dyDescent="0.25">
      <c r="B305" s="150">
        <v>8201005</v>
      </c>
      <c r="C305" s="151" t="s">
        <v>316</v>
      </c>
      <c r="D305" s="151" t="s">
        <v>407</v>
      </c>
      <c r="E305" s="152" t="s">
        <v>471</v>
      </c>
      <c r="F305" s="274"/>
      <c r="G305" s="153">
        <f>+SUMIFS(TablaIngresos[Cantidad],TablaIngresos[Código],'Inventario '!B305)</f>
        <v>0</v>
      </c>
      <c r="H305" s="153">
        <f t="shared" si="331"/>
        <v>0</v>
      </c>
      <c r="I305" s="157">
        <f>SUMIFS(TablaConsumos[[CANTIDAD ]:[CANTIDAD ]],TablaConsumos[[CÓDIGO]:[CÓDIGO]],'Inventario '!$B305,TablaConsumos[[Planta]:[Planta]],'Inventario '!I$1)</f>
        <v>0</v>
      </c>
      <c r="J305" s="157">
        <f>SUMIFS(TablaConsumos[[CANTIDAD ]:[CANTIDAD ]],TablaConsumos[[CÓDIGO]:[CÓDIGO]],'Inventario '!$B305,TablaConsumos[[Planta]:[Planta]],'Inventario '!J$1)</f>
        <v>0</v>
      </c>
      <c r="K305" s="157">
        <f>SUMIFS(TablaConsumos[[CANTIDAD ]:[CANTIDAD ]],TablaConsumos[[CÓDIGO]:[CÓDIGO]],'Inventario '!$B305,TablaConsumos[[Planta]:[Planta]],'Inventario '!K$1)</f>
        <v>0</v>
      </c>
      <c r="L305" s="157">
        <f>SUMIFS(TablaConsumos[[CANTIDAD ]:[CANTIDAD ]],TablaConsumos[[CÓDIGO]:[CÓDIGO]],'Inventario '!$B305,TablaConsumos[[Planta]:[Planta]],'Inventario '!L$1)</f>
        <v>0</v>
      </c>
      <c r="M305" s="157">
        <f>SUMIFS(TablaConsumos[[CANTIDAD ]:[CANTIDAD ]],TablaConsumos[[CÓDIGO]:[CÓDIGO]],'Inventario '!$B305,TablaConsumos[[Planta]:[Planta]],'Inventario '!M$1)</f>
        <v>0</v>
      </c>
      <c r="N305" s="157">
        <f>SUMIFS(TablaConsumos[[CANTIDAD ]:[CANTIDAD ]],TablaConsumos[[CÓDIGO]:[CÓDIGO]],'Inventario '!$B305,TablaConsumos[[Planta]:[Planta]],'Inventario '!N$1)</f>
        <v>0</v>
      </c>
      <c r="O305" s="157">
        <f>SUMIFS(TablaConsumos[[CANTIDAD ]:[CANTIDAD ]],TablaConsumos[[CÓDIGO]:[CÓDIGO]],'Inventario '!$B305,TablaConsumos[[Planta]:[Planta]],'Inventario '!O$1)</f>
        <v>0</v>
      </c>
      <c r="P305" s="157">
        <f>SUMIFS(TablaConsumos[[CANTIDAD ]:[CANTIDAD ]],TablaConsumos[[CÓDIGO]:[CÓDIGO]],'Inventario '!$B305,TablaConsumos[[Planta]:[Planta]],'Inventario '!P$1)</f>
        <v>0</v>
      </c>
      <c r="Q305" s="157">
        <f>SUMIFS(TablaConsumos[[CANTIDAD ]:[CANTIDAD ]],TablaConsumos[[CÓDIGO]:[CÓDIGO]],'Inventario '!$B305,TablaConsumos[[Planta]:[Planta]],'Inventario '!Q$1)</f>
        <v>0</v>
      </c>
      <c r="R305" s="157">
        <f>SUMIFS(TablaConsumos[[CANTIDAD ]:[CANTIDAD ]],TablaConsumos[[CÓDIGO]:[CÓDIGO]],'Inventario '!$B305,TablaConsumos[[Planta]:[Planta]],'Inventario '!R$1)</f>
        <v>0</v>
      </c>
      <c r="S305" s="153">
        <f t="shared" si="328"/>
        <v>0</v>
      </c>
      <c r="T305" s="153">
        <f t="shared" si="332"/>
        <v>0</v>
      </c>
      <c r="U305" s="154"/>
      <c r="V305" s="153"/>
      <c r="W305" s="198">
        <v>1</v>
      </c>
      <c r="X305" s="132">
        <f t="shared" si="297"/>
        <v>0</v>
      </c>
      <c r="Y305" s="130">
        <f t="shared" si="327"/>
        <v>0</v>
      </c>
      <c r="Z305" s="132"/>
      <c r="AA305" s="132">
        <f t="shared" si="304"/>
        <v>0</v>
      </c>
      <c r="AB305" s="132"/>
      <c r="AC305" s="132">
        <f t="shared" si="305"/>
        <v>0</v>
      </c>
      <c r="AD305" s="131"/>
      <c r="AE305" s="130"/>
      <c r="AF305" s="130"/>
      <c r="AG305" s="168"/>
      <c r="AH305" s="134">
        <f t="shared" si="306"/>
        <v>0</v>
      </c>
      <c r="AI305" s="134">
        <f t="shared" si="307"/>
        <v>0</v>
      </c>
      <c r="AJ305" s="134">
        <f t="shared" si="308"/>
        <v>0</v>
      </c>
      <c r="AK305" s="134">
        <f t="shared" si="309"/>
        <v>0</v>
      </c>
      <c r="AL305" s="134">
        <f t="shared" si="310"/>
        <v>0</v>
      </c>
      <c r="AM305" s="134">
        <f t="shared" si="311"/>
        <v>0</v>
      </c>
      <c r="AN305" s="134">
        <f t="shared" si="312"/>
        <v>0</v>
      </c>
      <c r="AO305" s="134">
        <f t="shared" si="313"/>
        <v>0</v>
      </c>
      <c r="AP305" s="134">
        <f t="shared" si="314"/>
        <v>0</v>
      </c>
      <c r="AQ305" s="134">
        <f t="shared" si="315"/>
        <v>0</v>
      </c>
      <c r="AR305" s="134">
        <f t="shared" si="316"/>
        <v>0</v>
      </c>
      <c r="AS305" s="135">
        <f t="shared" si="329"/>
        <v>0</v>
      </c>
      <c r="AT305" s="137" t="str">
        <f t="shared" si="317"/>
        <v>0</v>
      </c>
      <c r="AU305" s="137" t="str">
        <f t="shared" si="318"/>
        <v>0</v>
      </c>
      <c r="AV305" s="137" t="str">
        <f t="shared" si="319"/>
        <v>0</v>
      </c>
      <c r="AW305" s="137" t="str">
        <f t="shared" si="320"/>
        <v>0</v>
      </c>
      <c r="AX305" s="137" t="str">
        <f t="shared" si="321"/>
        <v>0</v>
      </c>
      <c r="AY305" s="137" t="str">
        <f t="shared" si="322"/>
        <v>0</v>
      </c>
      <c r="AZ305" s="137" t="str">
        <f t="shared" si="323"/>
        <v>0</v>
      </c>
      <c r="BA305" s="137" t="str">
        <f t="shared" si="324"/>
        <v>0</v>
      </c>
      <c r="BB305" s="137" t="str">
        <f t="shared" si="325"/>
        <v>0</v>
      </c>
      <c r="BC305" s="137" t="str">
        <f t="shared" si="326"/>
        <v>0</v>
      </c>
      <c r="BD305" s="131">
        <f t="shared" si="330"/>
        <v>0</v>
      </c>
    </row>
    <row r="306" spans="1:56" ht="15" customHeight="1" x14ac:dyDescent="0.25">
      <c r="B306" s="150">
        <v>8201006</v>
      </c>
      <c r="C306" s="151" t="s">
        <v>316</v>
      </c>
      <c r="D306" s="151" t="s">
        <v>407</v>
      </c>
      <c r="E306" s="152" t="s">
        <v>472</v>
      </c>
      <c r="F306" s="274"/>
      <c r="G306" s="153">
        <f>+SUMIFS(TablaIngresos[Cantidad],TablaIngresos[Código],'Inventario '!B306)</f>
        <v>0</v>
      </c>
      <c r="H306" s="153">
        <f t="shared" si="331"/>
        <v>0</v>
      </c>
      <c r="I306" s="157">
        <f>SUMIFS(TablaConsumos[[CANTIDAD ]:[CANTIDAD ]],TablaConsumos[[CÓDIGO]:[CÓDIGO]],'Inventario '!$B306,TablaConsumos[[Planta]:[Planta]],'Inventario '!I$1)</f>
        <v>0</v>
      </c>
      <c r="J306" s="157">
        <f>SUMIFS(TablaConsumos[[CANTIDAD ]:[CANTIDAD ]],TablaConsumos[[CÓDIGO]:[CÓDIGO]],'Inventario '!$B306,TablaConsumos[[Planta]:[Planta]],'Inventario '!J$1)</f>
        <v>0</v>
      </c>
      <c r="K306" s="157">
        <f>SUMIFS(TablaConsumos[[CANTIDAD ]:[CANTIDAD ]],TablaConsumos[[CÓDIGO]:[CÓDIGO]],'Inventario '!$B306,TablaConsumos[[Planta]:[Planta]],'Inventario '!K$1)</f>
        <v>0</v>
      </c>
      <c r="L306" s="157">
        <f>SUMIFS(TablaConsumos[[CANTIDAD ]:[CANTIDAD ]],TablaConsumos[[CÓDIGO]:[CÓDIGO]],'Inventario '!$B306,TablaConsumos[[Planta]:[Planta]],'Inventario '!L$1)</f>
        <v>0</v>
      </c>
      <c r="M306" s="157">
        <f>SUMIFS(TablaConsumos[[CANTIDAD ]:[CANTIDAD ]],TablaConsumos[[CÓDIGO]:[CÓDIGO]],'Inventario '!$B306,TablaConsumos[[Planta]:[Planta]],'Inventario '!M$1)</f>
        <v>0</v>
      </c>
      <c r="N306" s="157">
        <f>SUMIFS(TablaConsumos[[CANTIDAD ]:[CANTIDAD ]],TablaConsumos[[CÓDIGO]:[CÓDIGO]],'Inventario '!$B306,TablaConsumos[[Planta]:[Planta]],'Inventario '!N$1)</f>
        <v>0</v>
      </c>
      <c r="O306" s="157">
        <f>SUMIFS(TablaConsumos[[CANTIDAD ]:[CANTIDAD ]],TablaConsumos[[CÓDIGO]:[CÓDIGO]],'Inventario '!$B306,TablaConsumos[[Planta]:[Planta]],'Inventario '!O$1)</f>
        <v>0</v>
      </c>
      <c r="P306" s="157">
        <f>SUMIFS(TablaConsumos[[CANTIDAD ]:[CANTIDAD ]],TablaConsumos[[CÓDIGO]:[CÓDIGO]],'Inventario '!$B306,TablaConsumos[[Planta]:[Planta]],'Inventario '!P$1)</f>
        <v>0</v>
      </c>
      <c r="Q306" s="157">
        <f>SUMIFS(TablaConsumos[[CANTIDAD ]:[CANTIDAD ]],TablaConsumos[[CÓDIGO]:[CÓDIGO]],'Inventario '!$B306,TablaConsumos[[Planta]:[Planta]],'Inventario '!Q$1)</f>
        <v>0</v>
      </c>
      <c r="R306" s="157">
        <f>SUMIFS(TablaConsumos[[CANTIDAD ]:[CANTIDAD ]],TablaConsumos[[CÓDIGO]:[CÓDIGO]],'Inventario '!$B306,TablaConsumos[[Planta]:[Planta]],'Inventario '!R$1)</f>
        <v>0</v>
      </c>
      <c r="S306" s="153">
        <f t="shared" si="328"/>
        <v>0</v>
      </c>
      <c r="T306" s="153">
        <f t="shared" si="332"/>
        <v>0</v>
      </c>
      <c r="U306" s="154"/>
      <c r="V306" s="153"/>
      <c r="W306" s="198">
        <v>1</v>
      </c>
      <c r="X306" s="132">
        <f t="shared" si="297"/>
        <v>0</v>
      </c>
      <c r="Y306" s="130">
        <f t="shared" si="327"/>
        <v>0</v>
      </c>
      <c r="Z306" s="132"/>
      <c r="AA306" s="132">
        <f t="shared" si="304"/>
        <v>0</v>
      </c>
      <c r="AB306" s="132"/>
      <c r="AC306" s="132">
        <f t="shared" si="305"/>
        <v>0</v>
      </c>
      <c r="AD306" s="131"/>
      <c r="AE306" s="130"/>
      <c r="AF306" s="130"/>
      <c r="AG306" s="168"/>
      <c r="AH306" s="134">
        <f t="shared" si="306"/>
        <v>0</v>
      </c>
      <c r="AI306" s="134">
        <f t="shared" si="307"/>
        <v>0</v>
      </c>
      <c r="AJ306" s="134">
        <f t="shared" si="308"/>
        <v>0</v>
      </c>
      <c r="AK306" s="134">
        <f t="shared" si="309"/>
        <v>0</v>
      </c>
      <c r="AL306" s="134">
        <f t="shared" si="310"/>
        <v>0</v>
      </c>
      <c r="AM306" s="134">
        <f t="shared" si="311"/>
        <v>0</v>
      </c>
      <c r="AN306" s="134">
        <f t="shared" si="312"/>
        <v>0</v>
      </c>
      <c r="AO306" s="134">
        <f t="shared" si="313"/>
        <v>0</v>
      </c>
      <c r="AP306" s="134">
        <f t="shared" si="314"/>
        <v>0</v>
      </c>
      <c r="AQ306" s="134">
        <f t="shared" si="315"/>
        <v>0</v>
      </c>
      <c r="AR306" s="134">
        <f t="shared" si="316"/>
        <v>0</v>
      </c>
      <c r="AS306" s="135">
        <f t="shared" si="329"/>
        <v>0</v>
      </c>
      <c r="AT306" s="137" t="str">
        <f t="shared" si="317"/>
        <v>0</v>
      </c>
      <c r="AU306" s="137" t="str">
        <f t="shared" si="318"/>
        <v>0</v>
      </c>
      <c r="AV306" s="137" t="str">
        <f t="shared" si="319"/>
        <v>0</v>
      </c>
      <c r="AW306" s="137" t="str">
        <f t="shared" si="320"/>
        <v>0</v>
      </c>
      <c r="AX306" s="137" t="str">
        <f t="shared" si="321"/>
        <v>0</v>
      </c>
      <c r="AY306" s="137" t="str">
        <f t="shared" si="322"/>
        <v>0</v>
      </c>
      <c r="AZ306" s="137" t="str">
        <f t="shared" si="323"/>
        <v>0</v>
      </c>
      <c r="BA306" s="137" t="str">
        <f t="shared" si="324"/>
        <v>0</v>
      </c>
      <c r="BB306" s="137" t="str">
        <f t="shared" si="325"/>
        <v>0</v>
      </c>
      <c r="BC306" s="137" t="str">
        <f t="shared" si="326"/>
        <v>0</v>
      </c>
      <c r="BD306" s="131">
        <f t="shared" si="330"/>
        <v>0</v>
      </c>
    </row>
    <row r="307" spans="1:56" ht="15" customHeight="1" x14ac:dyDescent="0.25">
      <c r="B307" s="150">
        <v>8201007</v>
      </c>
      <c r="C307" s="151" t="s">
        <v>316</v>
      </c>
      <c r="D307" s="151" t="s">
        <v>407</v>
      </c>
      <c r="E307" s="152" t="s">
        <v>473</v>
      </c>
      <c r="F307" s="274"/>
      <c r="G307" s="153">
        <f>+SUMIFS(TablaIngresos[Cantidad],TablaIngresos[Código],'Inventario '!B307)</f>
        <v>0</v>
      </c>
      <c r="H307" s="153">
        <f t="shared" si="331"/>
        <v>0</v>
      </c>
      <c r="I307" s="157">
        <f>SUMIFS(TablaConsumos[[CANTIDAD ]:[CANTIDAD ]],TablaConsumos[[CÓDIGO]:[CÓDIGO]],'Inventario '!$B307,TablaConsumos[[Planta]:[Planta]],'Inventario '!I$1)</f>
        <v>0</v>
      </c>
      <c r="J307" s="157">
        <f>SUMIFS(TablaConsumos[[CANTIDAD ]:[CANTIDAD ]],TablaConsumos[[CÓDIGO]:[CÓDIGO]],'Inventario '!$B307,TablaConsumos[[Planta]:[Planta]],'Inventario '!J$1)</f>
        <v>0</v>
      </c>
      <c r="K307" s="157">
        <f>SUMIFS(TablaConsumos[[CANTIDAD ]:[CANTIDAD ]],TablaConsumos[[CÓDIGO]:[CÓDIGO]],'Inventario '!$B307,TablaConsumos[[Planta]:[Planta]],'Inventario '!K$1)</f>
        <v>0</v>
      </c>
      <c r="L307" s="157">
        <f>SUMIFS(TablaConsumos[[CANTIDAD ]:[CANTIDAD ]],TablaConsumos[[CÓDIGO]:[CÓDIGO]],'Inventario '!$B307,TablaConsumos[[Planta]:[Planta]],'Inventario '!L$1)</f>
        <v>0</v>
      </c>
      <c r="M307" s="157">
        <f>SUMIFS(TablaConsumos[[CANTIDAD ]:[CANTIDAD ]],TablaConsumos[[CÓDIGO]:[CÓDIGO]],'Inventario '!$B307,TablaConsumos[[Planta]:[Planta]],'Inventario '!M$1)</f>
        <v>0</v>
      </c>
      <c r="N307" s="157">
        <f>SUMIFS(TablaConsumos[[CANTIDAD ]:[CANTIDAD ]],TablaConsumos[[CÓDIGO]:[CÓDIGO]],'Inventario '!$B307,TablaConsumos[[Planta]:[Planta]],'Inventario '!N$1)</f>
        <v>0</v>
      </c>
      <c r="O307" s="157">
        <f>SUMIFS(TablaConsumos[[CANTIDAD ]:[CANTIDAD ]],TablaConsumos[[CÓDIGO]:[CÓDIGO]],'Inventario '!$B307,TablaConsumos[[Planta]:[Planta]],'Inventario '!O$1)</f>
        <v>0</v>
      </c>
      <c r="P307" s="157">
        <f>SUMIFS(TablaConsumos[[CANTIDAD ]:[CANTIDAD ]],TablaConsumos[[CÓDIGO]:[CÓDIGO]],'Inventario '!$B307,TablaConsumos[[Planta]:[Planta]],'Inventario '!P$1)</f>
        <v>0</v>
      </c>
      <c r="Q307" s="157">
        <f>SUMIFS(TablaConsumos[[CANTIDAD ]:[CANTIDAD ]],TablaConsumos[[CÓDIGO]:[CÓDIGO]],'Inventario '!$B307,TablaConsumos[[Planta]:[Planta]],'Inventario '!Q$1)</f>
        <v>0</v>
      </c>
      <c r="R307" s="157">
        <f>SUMIFS(TablaConsumos[[CANTIDAD ]:[CANTIDAD ]],TablaConsumos[[CÓDIGO]:[CÓDIGO]],'Inventario '!$B307,TablaConsumos[[Planta]:[Planta]],'Inventario '!R$1)</f>
        <v>0</v>
      </c>
      <c r="S307" s="153">
        <f t="shared" si="328"/>
        <v>0</v>
      </c>
      <c r="T307" s="153">
        <f t="shared" si="332"/>
        <v>0</v>
      </c>
      <c r="U307" s="154"/>
      <c r="V307" s="153"/>
      <c r="W307" s="198">
        <v>1</v>
      </c>
      <c r="X307" s="132">
        <f t="shared" si="297"/>
        <v>0</v>
      </c>
      <c r="Y307" s="130">
        <f t="shared" si="327"/>
        <v>0</v>
      </c>
      <c r="Z307" s="132"/>
      <c r="AA307" s="132">
        <f>(Z312-X307)</f>
        <v>0</v>
      </c>
      <c r="AB307" s="132"/>
      <c r="AC307" s="132">
        <f t="shared" si="305"/>
        <v>0</v>
      </c>
      <c r="AD307" s="131"/>
      <c r="AE307" s="130"/>
      <c r="AF307" s="130"/>
      <c r="AG307" s="168"/>
      <c r="AH307" s="134">
        <f t="shared" si="306"/>
        <v>0</v>
      </c>
      <c r="AI307" s="134">
        <f t="shared" si="307"/>
        <v>0</v>
      </c>
      <c r="AJ307" s="134">
        <f t="shared" si="308"/>
        <v>0</v>
      </c>
      <c r="AK307" s="134">
        <f t="shared" si="309"/>
        <v>0</v>
      </c>
      <c r="AL307" s="134">
        <f t="shared" si="310"/>
        <v>0</v>
      </c>
      <c r="AM307" s="134">
        <f t="shared" si="311"/>
        <v>0</v>
      </c>
      <c r="AN307" s="134">
        <f t="shared" si="312"/>
        <v>0</v>
      </c>
      <c r="AO307" s="134">
        <f t="shared" si="313"/>
        <v>0</v>
      </c>
      <c r="AP307" s="134">
        <f t="shared" si="314"/>
        <v>0</v>
      </c>
      <c r="AQ307" s="134">
        <f t="shared" si="315"/>
        <v>0</v>
      </c>
      <c r="AR307" s="134">
        <f t="shared" si="316"/>
        <v>0</v>
      </c>
      <c r="AS307" s="135">
        <f t="shared" si="329"/>
        <v>0</v>
      </c>
      <c r="AT307" s="137" t="str">
        <f t="shared" si="317"/>
        <v>0</v>
      </c>
      <c r="AU307" s="137" t="str">
        <f t="shared" si="318"/>
        <v>0</v>
      </c>
      <c r="AV307" s="137" t="str">
        <f t="shared" si="319"/>
        <v>0</v>
      </c>
      <c r="AW307" s="137" t="str">
        <f t="shared" si="320"/>
        <v>0</v>
      </c>
      <c r="AX307" s="137" t="str">
        <f t="shared" si="321"/>
        <v>0</v>
      </c>
      <c r="AY307" s="137" t="str">
        <f t="shared" si="322"/>
        <v>0</v>
      </c>
      <c r="AZ307" s="137" t="str">
        <f t="shared" si="323"/>
        <v>0</v>
      </c>
      <c r="BA307" s="137" t="str">
        <f t="shared" si="324"/>
        <v>0</v>
      </c>
      <c r="BB307" s="137" t="str">
        <f t="shared" si="325"/>
        <v>0</v>
      </c>
      <c r="BC307" s="137" t="str">
        <f t="shared" si="326"/>
        <v>0</v>
      </c>
      <c r="BD307" s="131">
        <f t="shared" si="330"/>
        <v>0</v>
      </c>
    </row>
    <row r="308" spans="1:56" ht="15" customHeight="1" x14ac:dyDescent="0.25">
      <c r="B308" s="150">
        <v>8201008</v>
      </c>
      <c r="C308" s="151" t="s">
        <v>316</v>
      </c>
      <c r="D308" s="151" t="s">
        <v>407</v>
      </c>
      <c r="E308" s="152" t="s">
        <v>474</v>
      </c>
      <c r="F308" s="274"/>
      <c r="G308" s="153">
        <f>+SUMIFS(TablaIngresos[Cantidad],TablaIngresos[Código],'Inventario '!B308)</f>
        <v>0</v>
      </c>
      <c r="H308" s="153">
        <f t="shared" si="331"/>
        <v>0</v>
      </c>
      <c r="I308" s="157">
        <f>SUMIFS(TablaConsumos[[CANTIDAD ]:[CANTIDAD ]],TablaConsumos[[CÓDIGO]:[CÓDIGO]],'Inventario '!$B308,TablaConsumos[[Planta]:[Planta]],'Inventario '!I$1)</f>
        <v>0</v>
      </c>
      <c r="J308" s="157">
        <f>SUMIFS(TablaConsumos[[CANTIDAD ]:[CANTIDAD ]],TablaConsumos[[CÓDIGO]:[CÓDIGO]],'Inventario '!$B308,TablaConsumos[[Planta]:[Planta]],'Inventario '!J$1)</f>
        <v>0</v>
      </c>
      <c r="K308" s="157">
        <f>SUMIFS(TablaConsumos[[CANTIDAD ]:[CANTIDAD ]],TablaConsumos[[CÓDIGO]:[CÓDIGO]],'Inventario '!$B308,TablaConsumos[[Planta]:[Planta]],'Inventario '!K$1)</f>
        <v>0</v>
      </c>
      <c r="L308" s="157">
        <f>SUMIFS(TablaConsumos[[CANTIDAD ]:[CANTIDAD ]],TablaConsumos[[CÓDIGO]:[CÓDIGO]],'Inventario '!$B308,TablaConsumos[[Planta]:[Planta]],'Inventario '!L$1)</f>
        <v>0</v>
      </c>
      <c r="M308" s="157">
        <f>SUMIFS(TablaConsumos[[CANTIDAD ]:[CANTIDAD ]],TablaConsumos[[CÓDIGO]:[CÓDIGO]],'Inventario '!$B308,TablaConsumos[[Planta]:[Planta]],'Inventario '!M$1)</f>
        <v>0</v>
      </c>
      <c r="N308" s="157">
        <f>SUMIFS(TablaConsumos[[CANTIDAD ]:[CANTIDAD ]],TablaConsumos[[CÓDIGO]:[CÓDIGO]],'Inventario '!$B308,TablaConsumos[[Planta]:[Planta]],'Inventario '!N$1)</f>
        <v>0</v>
      </c>
      <c r="O308" s="157">
        <f>SUMIFS(TablaConsumos[[CANTIDAD ]:[CANTIDAD ]],TablaConsumos[[CÓDIGO]:[CÓDIGO]],'Inventario '!$B308,TablaConsumos[[Planta]:[Planta]],'Inventario '!O$1)</f>
        <v>0</v>
      </c>
      <c r="P308" s="157">
        <f>SUMIFS(TablaConsumos[[CANTIDAD ]:[CANTIDAD ]],TablaConsumos[[CÓDIGO]:[CÓDIGO]],'Inventario '!$B308,TablaConsumos[[Planta]:[Planta]],'Inventario '!P$1)</f>
        <v>0</v>
      </c>
      <c r="Q308" s="157">
        <f>SUMIFS(TablaConsumos[[CANTIDAD ]:[CANTIDAD ]],TablaConsumos[[CÓDIGO]:[CÓDIGO]],'Inventario '!$B308,TablaConsumos[[Planta]:[Planta]],'Inventario '!Q$1)</f>
        <v>0</v>
      </c>
      <c r="R308" s="157">
        <f>SUMIFS(TablaConsumos[[CANTIDAD ]:[CANTIDAD ]],TablaConsumos[[CÓDIGO]:[CÓDIGO]],'Inventario '!$B308,TablaConsumos[[Planta]:[Planta]],'Inventario '!R$1)</f>
        <v>0</v>
      </c>
      <c r="S308" s="153">
        <f t="shared" si="328"/>
        <v>0</v>
      </c>
      <c r="T308" s="153">
        <f t="shared" si="332"/>
        <v>0</v>
      </c>
      <c r="U308" s="154"/>
      <c r="V308" s="153"/>
      <c r="W308" s="198">
        <v>1</v>
      </c>
      <c r="X308" s="132">
        <f t="shared" si="297"/>
        <v>0</v>
      </c>
      <c r="Y308" s="130">
        <f t="shared" si="327"/>
        <v>0</v>
      </c>
      <c r="Z308" s="132"/>
      <c r="AA308" s="132">
        <f t="shared" ref="AA308:AA314" si="333">(Z308-X308)</f>
        <v>0</v>
      </c>
      <c r="AB308" s="132"/>
      <c r="AC308" s="132">
        <f t="shared" si="305"/>
        <v>0</v>
      </c>
      <c r="AD308" s="131"/>
      <c r="AE308" s="130"/>
      <c r="AF308" s="130"/>
      <c r="AG308" s="168"/>
      <c r="AH308" s="134">
        <f t="shared" si="306"/>
        <v>0</v>
      </c>
      <c r="AI308" s="134">
        <f t="shared" si="307"/>
        <v>0</v>
      </c>
      <c r="AJ308" s="134">
        <f t="shared" si="308"/>
        <v>0</v>
      </c>
      <c r="AK308" s="134">
        <f t="shared" si="309"/>
        <v>0</v>
      </c>
      <c r="AL308" s="134">
        <f t="shared" si="310"/>
        <v>0</v>
      </c>
      <c r="AM308" s="134">
        <f t="shared" si="311"/>
        <v>0</v>
      </c>
      <c r="AN308" s="134">
        <f t="shared" si="312"/>
        <v>0</v>
      </c>
      <c r="AO308" s="134">
        <f t="shared" si="313"/>
        <v>0</v>
      </c>
      <c r="AP308" s="134">
        <f t="shared" si="314"/>
        <v>0</v>
      </c>
      <c r="AQ308" s="134">
        <f t="shared" si="315"/>
        <v>0</v>
      </c>
      <c r="AR308" s="134">
        <f t="shared" si="316"/>
        <v>0</v>
      </c>
      <c r="AS308" s="135">
        <f t="shared" si="329"/>
        <v>0</v>
      </c>
      <c r="AT308" s="137" t="str">
        <f t="shared" si="317"/>
        <v>0</v>
      </c>
      <c r="AU308" s="137" t="str">
        <f t="shared" si="318"/>
        <v>0</v>
      </c>
      <c r="AV308" s="137" t="str">
        <f t="shared" si="319"/>
        <v>0</v>
      </c>
      <c r="AW308" s="137" t="str">
        <f t="shared" si="320"/>
        <v>0</v>
      </c>
      <c r="AX308" s="137" t="str">
        <f t="shared" si="321"/>
        <v>0</v>
      </c>
      <c r="AY308" s="137" t="str">
        <f t="shared" si="322"/>
        <v>0</v>
      </c>
      <c r="AZ308" s="137" t="str">
        <f t="shared" si="323"/>
        <v>0</v>
      </c>
      <c r="BA308" s="137" t="str">
        <f t="shared" si="324"/>
        <v>0</v>
      </c>
      <c r="BB308" s="137" t="str">
        <f t="shared" si="325"/>
        <v>0</v>
      </c>
      <c r="BC308" s="137" t="str">
        <f t="shared" si="326"/>
        <v>0</v>
      </c>
      <c r="BD308" s="131">
        <f t="shared" si="330"/>
        <v>0</v>
      </c>
    </row>
    <row r="309" spans="1:56" ht="15" customHeight="1" x14ac:dyDescent="0.25">
      <c r="B309" s="150">
        <v>8201132</v>
      </c>
      <c r="C309" s="151" t="s">
        <v>374</v>
      </c>
      <c r="D309" s="151" t="s">
        <v>407</v>
      </c>
      <c r="E309" s="152" t="s">
        <v>478</v>
      </c>
      <c r="F309" s="274"/>
      <c r="G309" s="153">
        <f>+SUMIFS(TablaIngresos[Cantidad],TablaIngresos[Código],'Inventario '!B309)</f>
        <v>0</v>
      </c>
      <c r="H309" s="153">
        <f t="shared" si="331"/>
        <v>0</v>
      </c>
      <c r="I309" s="157">
        <f>SUMIFS(TablaConsumos[[CANTIDAD ]:[CANTIDAD ]],TablaConsumos[[CÓDIGO]:[CÓDIGO]],'Inventario '!$B309,TablaConsumos[[Planta]:[Planta]],'Inventario '!I$1)</f>
        <v>0</v>
      </c>
      <c r="J309" s="157">
        <f>SUMIFS(TablaConsumos[[CANTIDAD ]:[CANTIDAD ]],TablaConsumos[[CÓDIGO]:[CÓDIGO]],'Inventario '!$B309,TablaConsumos[[Planta]:[Planta]],'Inventario '!J$1)</f>
        <v>0</v>
      </c>
      <c r="K309" s="157">
        <f>SUMIFS(TablaConsumos[[CANTIDAD ]:[CANTIDAD ]],TablaConsumos[[CÓDIGO]:[CÓDIGO]],'Inventario '!$B309,TablaConsumos[[Planta]:[Planta]],'Inventario '!K$1)</f>
        <v>0</v>
      </c>
      <c r="L309" s="157">
        <f>SUMIFS(TablaConsumos[[CANTIDAD ]:[CANTIDAD ]],TablaConsumos[[CÓDIGO]:[CÓDIGO]],'Inventario '!$B309,TablaConsumos[[Planta]:[Planta]],'Inventario '!L$1)</f>
        <v>0</v>
      </c>
      <c r="M309" s="157">
        <f>SUMIFS(TablaConsumos[[CANTIDAD ]:[CANTIDAD ]],TablaConsumos[[CÓDIGO]:[CÓDIGO]],'Inventario '!$B309,TablaConsumos[[Planta]:[Planta]],'Inventario '!M$1)</f>
        <v>0</v>
      </c>
      <c r="N309" s="157">
        <f>SUMIFS(TablaConsumos[[CANTIDAD ]:[CANTIDAD ]],TablaConsumos[[CÓDIGO]:[CÓDIGO]],'Inventario '!$B309,TablaConsumos[[Planta]:[Planta]],'Inventario '!N$1)</f>
        <v>0</v>
      </c>
      <c r="O309" s="157">
        <f>SUMIFS(TablaConsumos[[CANTIDAD ]:[CANTIDAD ]],TablaConsumos[[CÓDIGO]:[CÓDIGO]],'Inventario '!$B309,TablaConsumos[[Planta]:[Planta]],'Inventario '!O$1)</f>
        <v>0</v>
      </c>
      <c r="P309" s="157">
        <f>SUMIFS(TablaConsumos[[CANTIDAD ]:[CANTIDAD ]],TablaConsumos[[CÓDIGO]:[CÓDIGO]],'Inventario '!$B309,TablaConsumos[[Planta]:[Planta]],'Inventario '!P$1)</f>
        <v>0</v>
      </c>
      <c r="Q309" s="157">
        <f>SUMIFS(TablaConsumos[[CANTIDAD ]:[CANTIDAD ]],TablaConsumos[[CÓDIGO]:[CÓDIGO]],'Inventario '!$B309,TablaConsumos[[Planta]:[Planta]],'Inventario '!Q$1)</f>
        <v>0</v>
      </c>
      <c r="R309" s="157">
        <f>SUMIFS(TablaConsumos[[CANTIDAD ]:[CANTIDAD ]],TablaConsumos[[CÓDIGO]:[CÓDIGO]],'Inventario '!$B309,TablaConsumos[[Planta]:[Planta]],'Inventario '!R$1)</f>
        <v>0</v>
      </c>
      <c r="S309" s="153">
        <f t="shared" si="328"/>
        <v>0</v>
      </c>
      <c r="T309" s="153">
        <f t="shared" si="332"/>
        <v>0</v>
      </c>
      <c r="U309" s="154"/>
      <c r="V309" s="153"/>
      <c r="W309" s="198">
        <v>1</v>
      </c>
      <c r="X309" s="132">
        <f t="shared" si="297"/>
        <v>0</v>
      </c>
      <c r="Y309" s="130">
        <f t="shared" si="327"/>
        <v>0</v>
      </c>
      <c r="Z309" s="132"/>
      <c r="AA309" s="132">
        <f t="shared" si="333"/>
        <v>0</v>
      </c>
      <c r="AB309" s="132"/>
      <c r="AC309" s="132">
        <f t="shared" si="305"/>
        <v>0</v>
      </c>
      <c r="AD309" s="131"/>
      <c r="AE309" s="130"/>
      <c r="AF309" s="130"/>
      <c r="AG309" s="168"/>
      <c r="AH309" s="134">
        <f t="shared" si="306"/>
        <v>0</v>
      </c>
      <c r="AI309" s="134">
        <f t="shared" si="307"/>
        <v>0</v>
      </c>
      <c r="AJ309" s="134">
        <f t="shared" si="308"/>
        <v>0</v>
      </c>
      <c r="AK309" s="134">
        <f t="shared" si="309"/>
        <v>0</v>
      </c>
      <c r="AL309" s="134">
        <f t="shared" si="310"/>
        <v>0</v>
      </c>
      <c r="AM309" s="134">
        <f t="shared" si="311"/>
        <v>0</v>
      </c>
      <c r="AN309" s="134">
        <f t="shared" si="312"/>
        <v>0</v>
      </c>
      <c r="AO309" s="134">
        <f t="shared" si="313"/>
        <v>0</v>
      </c>
      <c r="AP309" s="134">
        <f t="shared" si="314"/>
        <v>0</v>
      </c>
      <c r="AQ309" s="134">
        <f t="shared" si="315"/>
        <v>0</v>
      </c>
      <c r="AR309" s="134">
        <f t="shared" si="316"/>
        <v>0</v>
      </c>
      <c r="AS309" s="135">
        <f t="shared" si="329"/>
        <v>0</v>
      </c>
      <c r="AT309" s="137" t="str">
        <f t="shared" si="317"/>
        <v>0</v>
      </c>
      <c r="AU309" s="137" t="str">
        <f t="shared" si="318"/>
        <v>0</v>
      </c>
      <c r="AV309" s="137" t="str">
        <f t="shared" si="319"/>
        <v>0</v>
      </c>
      <c r="AW309" s="137" t="str">
        <f t="shared" si="320"/>
        <v>0</v>
      </c>
      <c r="AX309" s="137" t="str">
        <f t="shared" si="321"/>
        <v>0</v>
      </c>
      <c r="AY309" s="137" t="str">
        <f t="shared" si="322"/>
        <v>0</v>
      </c>
      <c r="AZ309" s="137" t="str">
        <f t="shared" si="323"/>
        <v>0</v>
      </c>
      <c r="BA309" s="137" t="str">
        <f t="shared" si="324"/>
        <v>0</v>
      </c>
      <c r="BB309" s="137" t="str">
        <f t="shared" si="325"/>
        <v>0</v>
      </c>
      <c r="BC309" s="137" t="str">
        <f t="shared" si="326"/>
        <v>0</v>
      </c>
      <c r="BD309" s="131">
        <f t="shared" si="330"/>
        <v>0</v>
      </c>
    </row>
    <row r="310" spans="1:56" ht="15" customHeight="1" x14ac:dyDescent="0.25">
      <c r="B310" s="150">
        <v>8201170</v>
      </c>
      <c r="C310" s="151" t="s">
        <v>374</v>
      </c>
      <c r="D310" s="151" t="s">
        <v>407</v>
      </c>
      <c r="E310" s="152" t="s">
        <v>482</v>
      </c>
      <c r="F310" s="274"/>
      <c r="G310" s="153">
        <f>+SUMIFS(TablaIngresos[Cantidad],TablaIngresos[Código],'Inventario '!B310)</f>
        <v>0</v>
      </c>
      <c r="H310" s="153">
        <f t="shared" si="331"/>
        <v>0</v>
      </c>
      <c r="I310" s="157">
        <f>SUMIFS(TablaConsumos[[CANTIDAD ]:[CANTIDAD ]],TablaConsumos[[CÓDIGO]:[CÓDIGO]],'Inventario '!$B310,TablaConsumos[[Planta]:[Planta]],'Inventario '!I$1)</f>
        <v>0</v>
      </c>
      <c r="J310" s="157">
        <f>SUMIFS(TablaConsumos[[CANTIDAD ]:[CANTIDAD ]],TablaConsumos[[CÓDIGO]:[CÓDIGO]],'Inventario '!$B310,TablaConsumos[[Planta]:[Planta]],'Inventario '!J$1)</f>
        <v>0</v>
      </c>
      <c r="K310" s="157">
        <f>SUMIFS(TablaConsumos[[CANTIDAD ]:[CANTIDAD ]],TablaConsumos[[CÓDIGO]:[CÓDIGO]],'Inventario '!$B310,TablaConsumos[[Planta]:[Planta]],'Inventario '!K$1)</f>
        <v>0</v>
      </c>
      <c r="L310" s="157">
        <f>SUMIFS(TablaConsumos[[CANTIDAD ]:[CANTIDAD ]],TablaConsumos[[CÓDIGO]:[CÓDIGO]],'Inventario '!$B310,TablaConsumos[[Planta]:[Planta]],'Inventario '!L$1)</f>
        <v>0</v>
      </c>
      <c r="M310" s="157">
        <f>SUMIFS(TablaConsumos[[CANTIDAD ]:[CANTIDAD ]],TablaConsumos[[CÓDIGO]:[CÓDIGO]],'Inventario '!$B310,TablaConsumos[[Planta]:[Planta]],'Inventario '!M$1)</f>
        <v>0</v>
      </c>
      <c r="N310" s="157">
        <f>SUMIFS(TablaConsumos[[CANTIDAD ]:[CANTIDAD ]],TablaConsumos[[CÓDIGO]:[CÓDIGO]],'Inventario '!$B310,TablaConsumos[[Planta]:[Planta]],'Inventario '!N$1)</f>
        <v>0</v>
      </c>
      <c r="O310" s="157">
        <f>SUMIFS(TablaConsumos[[CANTIDAD ]:[CANTIDAD ]],TablaConsumos[[CÓDIGO]:[CÓDIGO]],'Inventario '!$B310,TablaConsumos[[Planta]:[Planta]],'Inventario '!O$1)</f>
        <v>0</v>
      </c>
      <c r="P310" s="157">
        <f>SUMIFS(TablaConsumos[[CANTIDAD ]:[CANTIDAD ]],TablaConsumos[[CÓDIGO]:[CÓDIGO]],'Inventario '!$B310,TablaConsumos[[Planta]:[Planta]],'Inventario '!P$1)</f>
        <v>0</v>
      </c>
      <c r="Q310" s="157">
        <f>SUMIFS(TablaConsumos[[CANTIDAD ]:[CANTIDAD ]],TablaConsumos[[CÓDIGO]:[CÓDIGO]],'Inventario '!$B310,TablaConsumos[[Planta]:[Planta]],'Inventario '!Q$1)</f>
        <v>0</v>
      </c>
      <c r="R310" s="157">
        <f>SUMIFS(TablaConsumos[[CANTIDAD ]:[CANTIDAD ]],TablaConsumos[[CÓDIGO]:[CÓDIGO]],'Inventario '!$B310,TablaConsumos[[Planta]:[Planta]],'Inventario '!R$1)</f>
        <v>0</v>
      </c>
      <c r="S310" s="153">
        <f t="shared" si="328"/>
        <v>0</v>
      </c>
      <c r="T310" s="153">
        <f t="shared" si="332"/>
        <v>0</v>
      </c>
      <c r="U310" s="154"/>
      <c r="V310" s="153"/>
      <c r="W310" s="198">
        <v>1</v>
      </c>
      <c r="X310" s="132">
        <f t="shared" si="297"/>
        <v>0</v>
      </c>
      <c r="Y310" s="130">
        <f t="shared" si="327"/>
        <v>0</v>
      </c>
      <c r="Z310" s="132"/>
      <c r="AA310" s="132">
        <f t="shared" si="333"/>
        <v>0</v>
      </c>
      <c r="AB310" s="132"/>
      <c r="AC310" s="132">
        <f t="shared" si="305"/>
        <v>0</v>
      </c>
      <c r="AD310" s="131"/>
      <c r="AE310" s="130"/>
      <c r="AF310" s="130"/>
      <c r="AG310" s="168"/>
      <c r="AH310" s="134">
        <f t="shared" si="306"/>
        <v>0</v>
      </c>
      <c r="AI310" s="134">
        <f t="shared" si="307"/>
        <v>0</v>
      </c>
      <c r="AJ310" s="134">
        <f t="shared" si="308"/>
        <v>0</v>
      </c>
      <c r="AK310" s="134">
        <f t="shared" si="309"/>
        <v>0</v>
      </c>
      <c r="AL310" s="134">
        <f t="shared" si="310"/>
        <v>0</v>
      </c>
      <c r="AM310" s="134">
        <f t="shared" si="311"/>
        <v>0</v>
      </c>
      <c r="AN310" s="134">
        <f t="shared" si="312"/>
        <v>0</v>
      </c>
      <c r="AO310" s="134">
        <f t="shared" si="313"/>
        <v>0</v>
      </c>
      <c r="AP310" s="134">
        <f t="shared" si="314"/>
        <v>0</v>
      </c>
      <c r="AQ310" s="134">
        <f t="shared" si="315"/>
        <v>0</v>
      </c>
      <c r="AR310" s="134">
        <f t="shared" si="316"/>
        <v>0</v>
      </c>
      <c r="AS310" s="135">
        <f t="shared" si="329"/>
        <v>0</v>
      </c>
      <c r="AT310" s="137" t="str">
        <f t="shared" si="317"/>
        <v>0</v>
      </c>
      <c r="AU310" s="137" t="str">
        <f t="shared" si="318"/>
        <v>0</v>
      </c>
      <c r="AV310" s="137" t="str">
        <f t="shared" si="319"/>
        <v>0</v>
      </c>
      <c r="AW310" s="137" t="str">
        <f t="shared" si="320"/>
        <v>0</v>
      </c>
      <c r="AX310" s="137" t="str">
        <f t="shared" si="321"/>
        <v>0</v>
      </c>
      <c r="AY310" s="137" t="str">
        <f t="shared" si="322"/>
        <v>0</v>
      </c>
      <c r="AZ310" s="137" t="str">
        <f t="shared" si="323"/>
        <v>0</v>
      </c>
      <c r="BA310" s="137" t="str">
        <f t="shared" si="324"/>
        <v>0</v>
      </c>
      <c r="BB310" s="137" t="str">
        <f t="shared" si="325"/>
        <v>0</v>
      </c>
      <c r="BC310" s="137" t="str">
        <f t="shared" si="326"/>
        <v>0</v>
      </c>
      <c r="BD310" s="131">
        <f t="shared" si="330"/>
        <v>0</v>
      </c>
    </row>
    <row r="311" spans="1:56" ht="15" customHeight="1" x14ac:dyDescent="0.25">
      <c r="B311" s="150">
        <v>8019390</v>
      </c>
      <c r="C311" s="151" t="s">
        <v>316</v>
      </c>
      <c r="D311" s="151" t="s">
        <v>407</v>
      </c>
      <c r="E311" s="152" t="s">
        <v>486</v>
      </c>
      <c r="F311" s="274"/>
      <c r="G311" s="153">
        <f>+SUMIFS(TablaIngresos[Cantidad],TablaIngresos[Código],'Inventario '!B311)</f>
        <v>0</v>
      </c>
      <c r="H311" s="153">
        <f t="shared" si="331"/>
        <v>0</v>
      </c>
      <c r="I311" s="157">
        <f>SUMIFS(TablaConsumos[[CANTIDAD ]:[CANTIDAD ]],TablaConsumos[[CÓDIGO]:[CÓDIGO]],'Inventario '!$B311,TablaConsumos[[Planta]:[Planta]],'Inventario '!I$1)</f>
        <v>0</v>
      </c>
      <c r="J311" s="157">
        <f>SUMIFS(TablaConsumos[[CANTIDAD ]:[CANTIDAD ]],TablaConsumos[[CÓDIGO]:[CÓDIGO]],'Inventario '!$B311,TablaConsumos[[Planta]:[Planta]],'Inventario '!J$1)</f>
        <v>0</v>
      </c>
      <c r="K311" s="157">
        <f>SUMIFS(TablaConsumos[[CANTIDAD ]:[CANTIDAD ]],TablaConsumos[[CÓDIGO]:[CÓDIGO]],'Inventario '!$B311,TablaConsumos[[Planta]:[Planta]],'Inventario '!K$1)</f>
        <v>0</v>
      </c>
      <c r="L311" s="157">
        <f>SUMIFS(TablaConsumos[[CANTIDAD ]:[CANTIDAD ]],TablaConsumos[[CÓDIGO]:[CÓDIGO]],'Inventario '!$B311,TablaConsumos[[Planta]:[Planta]],'Inventario '!L$1)</f>
        <v>0</v>
      </c>
      <c r="M311" s="157">
        <f>SUMIFS(TablaConsumos[[CANTIDAD ]:[CANTIDAD ]],TablaConsumos[[CÓDIGO]:[CÓDIGO]],'Inventario '!$B311,TablaConsumos[[Planta]:[Planta]],'Inventario '!M$1)</f>
        <v>0</v>
      </c>
      <c r="N311" s="157">
        <f>SUMIFS(TablaConsumos[[CANTIDAD ]:[CANTIDAD ]],TablaConsumos[[CÓDIGO]:[CÓDIGO]],'Inventario '!$B311,TablaConsumos[[Planta]:[Planta]],'Inventario '!N$1)</f>
        <v>0</v>
      </c>
      <c r="O311" s="157">
        <f>SUMIFS(TablaConsumos[[CANTIDAD ]:[CANTIDAD ]],TablaConsumos[[CÓDIGO]:[CÓDIGO]],'Inventario '!$B311,TablaConsumos[[Planta]:[Planta]],'Inventario '!O$1)</f>
        <v>0</v>
      </c>
      <c r="P311" s="157">
        <f>SUMIFS(TablaConsumos[[CANTIDAD ]:[CANTIDAD ]],TablaConsumos[[CÓDIGO]:[CÓDIGO]],'Inventario '!$B311,TablaConsumos[[Planta]:[Planta]],'Inventario '!P$1)</f>
        <v>0</v>
      </c>
      <c r="Q311" s="157">
        <f>SUMIFS(TablaConsumos[[CANTIDAD ]:[CANTIDAD ]],TablaConsumos[[CÓDIGO]:[CÓDIGO]],'Inventario '!$B311,TablaConsumos[[Planta]:[Planta]],'Inventario '!Q$1)</f>
        <v>0</v>
      </c>
      <c r="R311" s="157">
        <f>SUMIFS(TablaConsumos[[CANTIDAD ]:[CANTIDAD ]],TablaConsumos[[CÓDIGO]:[CÓDIGO]],'Inventario '!$B311,TablaConsumos[[Planta]:[Planta]],'Inventario '!R$1)</f>
        <v>0</v>
      </c>
      <c r="S311" s="153">
        <f t="shared" si="328"/>
        <v>0</v>
      </c>
      <c r="T311" s="153">
        <f t="shared" si="332"/>
        <v>0</v>
      </c>
      <c r="U311" s="154"/>
      <c r="V311" s="153"/>
      <c r="W311" s="198">
        <v>1</v>
      </c>
      <c r="X311" s="132">
        <f t="shared" si="297"/>
        <v>0</v>
      </c>
      <c r="Y311" s="130">
        <f t="shared" si="327"/>
        <v>0</v>
      </c>
      <c r="Z311" s="132"/>
      <c r="AA311" s="132">
        <f t="shared" si="333"/>
        <v>0</v>
      </c>
      <c r="AB311" s="132"/>
      <c r="AC311" s="132">
        <f t="shared" si="305"/>
        <v>0</v>
      </c>
      <c r="AD311" s="131"/>
      <c r="AE311" s="130"/>
      <c r="AF311" s="130"/>
      <c r="AG311" s="168"/>
      <c r="AH311" s="134">
        <f t="shared" si="306"/>
        <v>0</v>
      </c>
      <c r="AI311" s="134">
        <f t="shared" si="307"/>
        <v>0</v>
      </c>
      <c r="AJ311" s="134">
        <f t="shared" si="308"/>
        <v>0</v>
      </c>
      <c r="AK311" s="134">
        <f t="shared" si="309"/>
        <v>0</v>
      </c>
      <c r="AL311" s="134">
        <f t="shared" si="310"/>
        <v>0</v>
      </c>
      <c r="AM311" s="134">
        <f t="shared" si="311"/>
        <v>0</v>
      </c>
      <c r="AN311" s="134">
        <f t="shared" si="312"/>
        <v>0</v>
      </c>
      <c r="AO311" s="134">
        <f t="shared" si="313"/>
        <v>0</v>
      </c>
      <c r="AP311" s="134">
        <f t="shared" si="314"/>
        <v>0</v>
      </c>
      <c r="AQ311" s="134">
        <f t="shared" si="315"/>
        <v>0</v>
      </c>
      <c r="AR311" s="134">
        <f t="shared" si="316"/>
        <v>0</v>
      </c>
      <c r="AS311" s="135">
        <f t="shared" si="329"/>
        <v>0</v>
      </c>
      <c r="AT311" s="137" t="str">
        <f t="shared" si="317"/>
        <v>0</v>
      </c>
      <c r="AU311" s="137" t="str">
        <f t="shared" si="318"/>
        <v>0</v>
      </c>
      <c r="AV311" s="137" t="str">
        <f t="shared" si="319"/>
        <v>0</v>
      </c>
      <c r="AW311" s="137" t="str">
        <f t="shared" si="320"/>
        <v>0</v>
      </c>
      <c r="AX311" s="137" t="str">
        <f t="shared" si="321"/>
        <v>0</v>
      </c>
      <c r="AY311" s="137" t="str">
        <f t="shared" si="322"/>
        <v>0</v>
      </c>
      <c r="AZ311" s="137" t="str">
        <f t="shared" si="323"/>
        <v>0</v>
      </c>
      <c r="BA311" s="137" t="str">
        <f t="shared" si="324"/>
        <v>0</v>
      </c>
      <c r="BB311" s="137" t="str">
        <f t="shared" si="325"/>
        <v>0</v>
      </c>
      <c r="BC311" s="137" t="str">
        <f t="shared" si="326"/>
        <v>0</v>
      </c>
      <c r="BD311" s="131">
        <f t="shared" si="330"/>
        <v>0</v>
      </c>
    </row>
    <row r="312" spans="1:56" ht="15" customHeight="1" x14ac:dyDescent="0.25">
      <c r="B312" s="150">
        <v>8203013</v>
      </c>
      <c r="C312" s="151" t="s">
        <v>17</v>
      </c>
      <c r="D312" s="151" t="s">
        <v>407</v>
      </c>
      <c r="E312" s="152" t="s">
        <v>514</v>
      </c>
      <c r="F312" s="274"/>
      <c r="G312" s="153">
        <f>+SUMIFS(TablaIngresos[Cantidad],TablaIngresos[Código],'Inventario '!B312)</f>
        <v>0</v>
      </c>
      <c r="H312" s="153">
        <f t="shared" si="331"/>
        <v>0</v>
      </c>
      <c r="I312" s="157">
        <f>SUMIFS(TablaConsumos[[CANTIDAD ]:[CANTIDAD ]],TablaConsumos[[CÓDIGO]:[CÓDIGO]],'Inventario '!$B312,TablaConsumos[[Planta]:[Planta]],'Inventario '!I$1)</f>
        <v>0</v>
      </c>
      <c r="J312" s="157">
        <f>SUMIFS(TablaConsumos[[CANTIDAD ]:[CANTIDAD ]],TablaConsumos[[CÓDIGO]:[CÓDIGO]],'Inventario '!$B312,TablaConsumos[[Planta]:[Planta]],'Inventario '!J$1)</f>
        <v>0</v>
      </c>
      <c r="K312" s="157">
        <f>SUMIFS(TablaConsumos[[CANTIDAD ]:[CANTIDAD ]],TablaConsumos[[CÓDIGO]:[CÓDIGO]],'Inventario '!$B312,TablaConsumos[[Planta]:[Planta]],'Inventario '!K$1)</f>
        <v>0</v>
      </c>
      <c r="L312" s="157">
        <f>SUMIFS(TablaConsumos[[CANTIDAD ]:[CANTIDAD ]],TablaConsumos[[CÓDIGO]:[CÓDIGO]],'Inventario '!$B312,TablaConsumos[[Planta]:[Planta]],'Inventario '!L$1)</f>
        <v>0</v>
      </c>
      <c r="M312" s="157">
        <f>SUMIFS(TablaConsumos[[CANTIDAD ]:[CANTIDAD ]],TablaConsumos[[CÓDIGO]:[CÓDIGO]],'Inventario '!$B312,TablaConsumos[[Planta]:[Planta]],'Inventario '!M$1)</f>
        <v>0</v>
      </c>
      <c r="N312" s="157">
        <f>SUMIFS(TablaConsumos[[CANTIDAD ]:[CANTIDAD ]],TablaConsumos[[CÓDIGO]:[CÓDIGO]],'Inventario '!$B312,TablaConsumos[[Planta]:[Planta]],'Inventario '!N$1)</f>
        <v>0</v>
      </c>
      <c r="O312" s="157">
        <f>SUMIFS(TablaConsumos[[CANTIDAD ]:[CANTIDAD ]],TablaConsumos[[CÓDIGO]:[CÓDIGO]],'Inventario '!$B312,TablaConsumos[[Planta]:[Planta]],'Inventario '!O$1)</f>
        <v>0</v>
      </c>
      <c r="P312" s="157">
        <f>SUMIFS(TablaConsumos[[CANTIDAD ]:[CANTIDAD ]],TablaConsumos[[CÓDIGO]:[CÓDIGO]],'Inventario '!$B312,TablaConsumos[[Planta]:[Planta]],'Inventario '!P$1)</f>
        <v>0</v>
      </c>
      <c r="Q312" s="157">
        <f>SUMIFS(TablaConsumos[[CANTIDAD ]:[CANTIDAD ]],TablaConsumos[[CÓDIGO]:[CÓDIGO]],'Inventario '!$B312,TablaConsumos[[Planta]:[Planta]],'Inventario '!Q$1)</f>
        <v>0</v>
      </c>
      <c r="R312" s="157">
        <f>SUMIFS(TablaConsumos[[CANTIDAD ]:[CANTIDAD ]],TablaConsumos[[CÓDIGO]:[CÓDIGO]],'Inventario '!$B312,TablaConsumos[[Planta]:[Planta]],'Inventario '!R$1)</f>
        <v>0</v>
      </c>
      <c r="S312" s="153">
        <f t="shared" si="328"/>
        <v>0</v>
      </c>
      <c r="T312" s="153">
        <f t="shared" si="332"/>
        <v>0</v>
      </c>
      <c r="U312" s="154"/>
      <c r="V312" s="153"/>
      <c r="W312" s="198">
        <v>1</v>
      </c>
      <c r="X312" s="132">
        <f>+U312*W312</f>
        <v>0</v>
      </c>
      <c r="Y312" s="130">
        <f t="shared" si="327"/>
        <v>0</v>
      </c>
      <c r="Z312" s="132"/>
      <c r="AA312" s="132">
        <f t="shared" si="333"/>
        <v>0</v>
      </c>
      <c r="AB312" s="132"/>
      <c r="AC312" s="132">
        <f t="shared" si="305"/>
        <v>0</v>
      </c>
      <c r="AD312" s="131"/>
      <c r="AE312" s="130"/>
      <c r="AF312" s="130"/>
      <c r="AG312" s="168"/>
      <c r="AH312" s="134">
        <f t="shared" si="306"/>
        <v>0</v>
      </c>
      <c r="AI312" s="134">
        <f t="shared" si="307"/>
        <v>0</v>
      </c>
      <c r="AJ312" s="134">
        <f t="shared" si="308"/>
        <v>0</v>
      </c>
      <c r="AK312" s="134">
        <f t="shared" si="309"/>
        <v>0</v>
      </c>
      <c r="AL312" s="134">
        <f t="shared" si="310"/>
        <v>0</v>
      </c>
      <c r="AM312" s="134">
        <f t="shared" si="311"/>
        <v>0</v>
      </c>
      <c r="AN312" s="134">
        <f t="shared" si="312"/>
        <v>0</v>
      </c>
      <c r="AO312" s="134">
        <f t="shared" si="313"/>
        <v>0</v>
      </c>
      <c r="AP312" s="134">
        <f t="shared" si="314"/>
        <v>0</v>
      </c>
      <c r="AQ312" s="134">
        <f t="shared" si="315"/>
        <v>0</v>
      </c>
      <c r="AR312" s="134">
        <f t="shared" si="316"/>
        <v>0</v>
      </c>
      <c r="AS312" s="135">
        <f t="shared" si="329"/>
        <v>0</v>
      </c>
      <c r="AT312" s="137" t="str">
        <f t="shared" si="317"/>
        <v>0</v>
      </c>
      <c r="AU312" s="137" t="str">
        <f t="shared" si="318"/>
        <v>0</v>
      </c>
      <c r="AV312" s="137" t="str">
        <f t="shared" si="319"/>
        <v>0</v>
      </c>
      <c r="AW312" s="137" t="str">
        <f t="shared" si="320"/>
        <v>0</v>
      </c>
      <c r="AX312" s="137" t="str">
        <f t="shared" si="321"/>
        <v>0</v>
      </c>
      <c r="AY312" s="137" t="str">
        <f t="shared" si="322"/>
        <v>0</v>
      </c>
      <c r="AZ312" s="137" t="str">
        <f t="shared" si="323"/>
        <v>0</v>
      </c>
      <c r="BA312" s="137" t="str">
        <f t="shared" si="324"/>
        <v>0</v>
      </c>
      <c r="BB312" s="137" t="str">
        <f t="shared" si="325"/>
        <v>0</v>
      </c>
      <c r="BC312" s="137" t="str">
        <f t="shared" si="326"/>
        <v>0</v>
      </c>
      <c r="BD312" s="131">
        <f t="shared" si="330"/>
        <v>0</v>
      </c>
    </row>
    <row r="313" spans="1:56" ht="15" customHeight="1" x14ac:dyDescent="0.25">
      <c r="B313" s="150">
        <v>8203260</v>
      </c>
      <c r="C313" s="151" t="s">
        <v>17</v>
      </c>
      <c r="D313" s="151" t="s">
        <v>407</v>
      </c>
      <c r="E313" s="152" t="s">
        <v>713</v>
      </c>
      <c r="F313" s="274"/>
      <c r="G313" s="153">
        <f>+SUMIFS(TablaIngresos[Cantidad],TablaIngresos[Código],'Inventario '!B313)</f>
        <v>0</v>
      </c>
      <c r="H313" s="153">
        <f t="shared" si="331"/>
        <v>0</v>
      </c>
      <c r="I313" s="157">
        <f>SUMIFS(TablaConsumos[[CANTIDAD ]:[CANTIDAD ]],TablaConsumos[[CÓDIGO]:[CÓDIGO]],'Inventario '!$B313,TablaConsumos[[Planta]:[Planta]],'Inventario '!I$1)</f>
        <v>0</v>
      </c>
      <c r="J313" s="157">
        <f>SUMIFS(TablaConsumos[[CANTIDAD ]:[CANTIDAD ]],TablaConsumos[[CÓDIGO]:[CÓDIGO]],'Inventario '!$B313,TablaConsumos[[Planta]:[Planta]],'Inventario '!J$1)</f>
        <v>0</v>
      </c>
      <c r="K313" s="157">
        <f>SUMIFS(TablaConsumos[[CANTIDAD ]:[CANTIDAD ]],TablaConsumos[[CÓDIGO]:[CÓDIGO]],'Inventario '!$B313,TablaConsumos[[Planta]:[Planta]],'Inventario '!K$1)</f>
        <v>0</v>
      </c>
      <c r="L313" s="157">
        <f>SUMIFS(TablaConsumos[[CANTIDAD ]:[CANTIDAD ]],TablaConsumos[[CÓDIGO]:[CÓDIGO]],'Inventario '!$B313,TablaConsumos[[Planta]:[Planta]],'Inventario '!L$1)</f>
        <v>0</v>
      </c>
      <c r="M313" s="157">
        <f>SUMIFS(TablaConsumos[[CANTIDAD ]:[CANTIDAD ]],TablaConsumos[[CÓDIGO]:[CÓDIGO]],'Inventario '!$B313,TablaConsumos[[Planta]:[Planta]],'Inventario '!M$1)</f>
        <v>0</v>
      </c>
      <c r="N313" s="157">
        <f>SUMIFS(TablaConsumos[[CANTIDAD ]:[CANTIDAD ]],TablaConsumos[[CÓDIGO]:[CÓDIGO]],'Inventario '!$B313,TablaConsumos[[Planta]:[Planta]],'Inventario '!N$1)</f>
        <v>0</v>
      </c>
      <c r="O313" s="157">
        <f>SUMIFS(TablaConsumos[[CANTIDAD ]:[CANTIDAD ]],TablaConsumos[[CÓDIGO]:[CÓDIGO]],'Inventario '!$B313,TablaConsumos[[Planta]:[Planta]],'Inventario '!O$1)</f>
        <v>0</v>
      </c>
      <c r="P313" s="157">
        <f>SUMIFS(TablaConsumos[[CANTIDAD ]:[CANTIDAD ]],TablaConsumos[[CÓDIGO]:[CÓDIGO]],'Inventario '!$B313,TablaConsumos[[Planta]:[Planta]],'Inventario '!P$1)</f>
        <v>0</v>
      </c>
      <c r="Q313" s="157">
        <f>SUMIFS(TablaConsumos[[CANTIDAD ]:[CANTIDAD ]],TablaConsumos[[CÓDIGO]:[CÓDIGO]],'Inventario '!$B313,TablaConsumos[[Planta]:[Planta]],'Inventario '!Q$1)</f>
        <v>0</v>
      </c>
      <c r="R313" s="157">
        <f>SUMIFS(TablaConsumos[[CANTIDAD ]:[CANTIDAD ]],TablaConsumos[[CÓDIGO]:[CÓDIGO]],'Inventario '!$B313,TablaConsumos[[Planta]:[Planta]],'Inventario '!R$1)</f>
        <v>0</v>
      </c>
      <c r="S313" s="153">
        <f t="shared" si="328"/>
        <v>0</v>
      </c>
      <c r="T313" s="153">
        <f t="shared" si="332"/>
        <v>0</v>
      </c>
      <c r="U313" s="154"/>
      <c r="V313" s="153"/>
      <c r="W313" s="198">
        <v>1</v>
      </c>
      <c r="X313" s="132">
        <f>+U313*W313</f>
        <v>0</v>
      </c>
      <c r="Y313" s="130">
        <f t="shared" si="327"/>
        <v>0</v>
      </c>
      <c r="Z313" s="132"/>
      <c r="AA313" s="132">
        <f t="shared" si="333"/>
        <v>0</v>
      </c>
      <c r="AB313" s="132"/>
      <c r="AC313" s="131">
        <f t="shared" si="305"/>
        <v>0</v>
      </c>
      <c r="AD313" s="131"/>
      <c r="AE313" s="130"/>
      <c r="AF313" s="130"/>
      <c r="AG313" s="168"/>
      <c r="AH313" s="134">
        <f t="shared" si="306"/>
        <v>0</v>
      </c>
      <c r="AI313" s="134">
        <f t="shared" si="307"/>
        <v>0</v>
      </c>
      <c r="AJ313" s="134">
        <f t="shared" si="308"/>
        <v>0</v>
      </c>
      <c r="AK313" s="134">
        <f t="shared" si="309"/>
        <v>0</v>
      </c>
      <c r="AL313" s="134">
        <f t="shared" si="310"/>
        <v>0</v>
      </c>
      <c r="AM313" s="134">
        <f t="shared" si="311"/>
        <v>0</v>
      </c>
      <c r="AN313" s="134">
        <f t="shared" si="312"/>
        <v>0</v>
      </c>
      <c r="AO313" s="134">
        <f t="shared" si="313"/>
        <v>0</v>
      </c>
      <c r="AP313" s="134">
        <f t="shared" si="314"/>
        <v>0</v>
      </c>
      <c r="AQ313" s="134">
        <f t="shared" si="315"/>
        <v>0</v>
      </c>
      <c r="AR313" s="134">
        <f t="shared" si="316"/>
        <v>0</v>
      </c>
      <c r="AS313" s="135">
        <f t="shared" si="329"/>
        <v>0</v>
      </c>
      <c r="AT313" s="137" t="str">
        <f t="shared" si="317"/>
        <v>0</v>
      </c>
      <c r="AU313" s="137" t="str">
        <f t="shared" si="318"/>
        <v>0</v>
      </c>
      <c r="AV313" s="137" t="str">
        <f t="shared" si="319"/>
        <v>0</v>
      </c>
      <c r="AW313" s="137" t="str">
        <f t="shared" si="320"/>
        <v>0</v>
      </c>
      <c r="AX313" s="137" t="str">
        <f t="shared" si="321"/>
        <v>0</v>
      </c>
      <c r="AY313" s="137" t="str">
        <f t="shared" si="322"/>
        <v>0</v>
      </c>
      <c r="AZ313" s="137" t="str">
        <f t="shared" si="323"/>
        <v>0</v>
      </c>
      <c r="BA313" s="137" t="str">
        <f t="shared" si="324"/>
        <v>0</v>
      </c>
      <c r="BB313" s="137" t="str">
        <f t="shared" si="325"/>
        <v>0</v>
      </c>
      <c r="BC313" s="137" t="str">
        <f t="shared" si="326"/>
        <v>0</v>
      </c>
      <c r="BD313" s="131">
        <f t="shared" si="330"/>
        <v>0</v>
      </c>
    </row>
    <row r="314" spans="1:56" ht="15" customHeight="1" x14ac:dyDescent="0.25">
      <c r="B314" s="150">
        <v>3432911</v>
      </c>
      <c r="C314" s="151" t="s">
        <v>17</v>
      </c>
      <c r="D314" s="151" t="s">
        <v>407</v>
      </c>
      <c r="E314" s="152" t="s">
        <v>518</v>
      </c>
      <c r="F314" s="274"/>
      <c r="G314" s="153">
        <f>+SUMIFS(TablaIngresos[Cantidad],TablaIngresos[Código],'Inventario '!B314)</f>
        <v>0</v>
      </c>
      <c r="H314" s="153">
        <f t="shared" si="331"/>
        <v>0</v>
      </c>
      <c r="I314" s="157">
        <f>SUMIFS(TablaConsumos[[CANTIDAD ]:[CANTIDAD ]],TablaConsumos[[CÓDIGO]:[CÓDIGO]],'Inventario '!$B314,TablaConsumos[[Planta]:[Planta]],'Inventario '!I$1)</f>
        <v>0</v>
      </c>
      <c r="J314" s="157">
        <f>SUMIFS(TablaConsumos[[CANTIDAD ]:[CANTIDAD ]],TablaConsumos[[CÓDIGO]:[CÓDIGO]],'Inventario '!$B314,TablaConsumos[[Planta]:[Planta]],'Inventario '!J$1)</f>
        <v>0</v>
      </c>
      <c r="K314" s="157">
        <f>SUMIFS(TablaConsumos[[CANTIDAD ]:[CANTIDAD ]],TablaConsumos[[CÓDIGO]:[CÓDIGO]],'Inventario '!$B314,TablaConsumos[[Planta]:[Planta]],'Inventario '!K$1)</f>
        <v>0</v>
      </c>
      <c r="L314" s="157">
        <f>SUMIFS(TablaConsumos[[CANTIDAD ]:[CANTIDAD ]],TablaConsumos[[CÓDIGO]:[CÓDIGO]],'Inventario '!$B314,TablaConsumos[[Planta]:[Planta]],'Inventario '!L$1)</f>
        <v>0</v>
      </c>
      <c r="M314" s="157">
        <f>SUMIFS(TablaConsumos[[CANTIDAD ]:[CANTIDAD ]],TablaConsumos[[CÓDIGO]:[CÓDIGO]],'Inventario '!$B314,TablaConsumos[[Planta]:[Planta]],'Inventario '!M$1)</f>
        <v>0</v>
      </c>
      <c r="N314" s="157">
        <f>SUMIFS(TablaConsumos[[CANTIDAD ]:[CANTIDAD ]],TablaConsumos[[CÓDIGO]:[CÓDIGO]],'Inventario '!$B314,TablaConsumos[[Planta]:[Planta]],'Inventario '!N$1)</f>
        <v>0</v>
      </c>
      <c r="O314" s="157">
        <f>SUMIFS(TablaConsumos[[CANTIDAD ]:[CANTIDAD ]],TablaConsumos[[CÓDIGO]:[CÓDIGO]],'Inventario '!$B314,TablaConsumos[[Planta]:[Planta]],'Inventario '!O$1)</f>
        <v>0</v>
      </c>
      <c r="P314" s="157">
        <f>SUMIFS(TablaConsumos[[CANTIDAD ]:[CANTIDAD ]],TablaConsumos[[CÓDIGO]:[CÓDIGO]],'Inventario '!$B314,TablaConsumos[[Planta]:[Planta]],'Inventario '!P$1)</f>
        <v>0</v>
      </c>
      <c r="Q314" s="157">
        <f>SUMIFS(TablaConsumos[[CANTIDAD ]:[CANTIDAD ]],TablaConsumos[[CÓDIGO]:[CÓDIGO]],'Inventario '!$B314,TablaConsumos[[Planta]:[Planta]],'Inventario '!Q$1)</f>
        <v>0</v>
      </c>
      <c r="R314" s="157">
        <f>SUMIFS(TablaConsumos[[CANTIDAD ]:[CANTIDAD ]],TablaConsumos[[CÓDIGO]:[CÓDIGO]],'Inventario '!$B314,TablaConsumos[[Planta]:[Planta]],'Inventario '!R$1)</f>
        <v>0</v>
      </c>
      <c r="S314" s="153">
        <f t="shared" si="328"/>
        <v>0</v>
      </c>
      <c r="T314" s="153">
        <f t="shared" si="332"/>
        <v>0</v>
      </c>
      <c r="U314" s="154"/>
      <c r="V314" s="153"/>
      <c r="W314" s="198">
        <v>1</v>
      </c>
      <c r="X314" s="132">
        <f>+U314*W314</f>
        <v>0</v>
      </c>
      <c r="Y314" s="130">
        <f>+T314-X314</f>
        <v>0</v>
      </c>
      <c r="Z314" s="132"/>
      <c r="AA314" s="132">
        <f t="shared" si="333"/>
        <v>0</v>
      </c>
      <c r="AB314" s="132"/>
      <c r="AC314" s="131">
        <f t="shared" si="305"/>
        <v>0</v>
      </c>
      <c r="AD314" s="131"/>
      <c r="AE314" s="130"/>
      <c r="AF314" s="130"/>
      <c r="AG314" s="168"/>
      <c r="AH314" s="134">
        <f t="shared" si="306"/>
        <v>0</v>
      </c>
      <c r="AI314" s="134">
        <f t="shared" si="307"/>
        <v>0</v>
      </c>
      <c r="AJ314" s="134">
        <f t="shared" si="308"/>
        <v>0</v>
      </c>
      <c r="AK314" s="134">
        <f t="shared" si="309"/>
        <v>0</v>
      </c>
      <c r="AL314" s="134">
        <f t="shared" si="310"/>
        <v>0</v>
      </c>
      <c r="AM314" s="134">
        <f t="shared" si="311"/>
        <v>0</v>
      </c>
      <c r="AN314" s="134">
        <f t="shared" si="312"/>
        <v>0</v>
      </c>
      <c r="AO314" s="134">
        <f t="shared" si="313"/>
        <v>0</v>
      </c>
      <c r="AP314" s="134">
        <f t="shared" si="314"/>
        <v>0</v>
      </c>
      <c r="AQ314" s="134">
        <f t="shared" si="315"/>
        <v>0</v>
      </c>
      <c r="AR314" s="134">
        <f t="shared" si="316"/>
        <v>0</v>
      </c>
      <c r="AS314" s="135">
        <f t="shared" si="329"/>
        <v>0</v>
      </c>
      <c r="AT314" s="137" t="str">
        <f t="shared" si="317"/>
        <v>0</v>
      </c>
      <c r="AU314" s="137" t="str">
        <f t="shared" si="318"/>
        <v>0</v>
      </c>
      <c r="AV314" s="137" t="str">
        <f t="shared" si="319"/>
        <v>0</v>
      </c>
      <c r="AW314" s="137" t="str">
        <f t="shared" si="320"/>
        <v>0</v>
      </c>
      <c r="AX314" s="137" t="str">
        <f t="shared" si="321"/>
        <v>0</v>
      </c>
      <c r="AY314" s="137" t="str">
        <f t="shared" si="322"/>
        <v>0</v>
      </c>
      <c r="AZ314" s="137" t="str">
        <f t="shared" si="323"/>
        <v>0</v>
      </c>
      <c r="BA314" s="137" t="str">
        <f t="shared" si="324"/>
        <v>0</v>
      </c>
      <c r="BB314" s="137" t="str">
        <f t="shared" si="325"/>
        <v>0</v>
      </c>
      <c r="BC314" s="137" t="str">
        <f t="shared" si="326"/>
        <v>0</v>
      </c>
      <c r="BD314" s="131">
        <f t="shared" si="330"/>
        <v>0</v>
      </c>
    </row>
    <row r="315" spans="1:56" ht="27.75" customHeight="1" x14ac:dyDescent="0.25">
      <c r="B315" s="356" t="s">
        <v>568</v>
      </c>
      <c r="C315" s="356"/>
      <c r="D315" s="356"/>
      <c r="E315" s="356"/>
      <c r="F315" s="121"/>
      <c r="G315" s="121"/>
      <c r="H315" s="121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1"/>
      <c r="T315" s="121"/>
      <c r="U315" s="174"/>
      <c r="V315" s="121"/>
      <c r="W315" s="121"/>
      <c r="X315" s="121"/>
      <c r="Y315" s="121"/>
      <c r="Z315" s="121"/>
      <c r="AA315" s="121"/>
      <c r="AB315" s="121"/>
      <c r="AC315" s="121"/>
      <c r="AD315" s="121"/>
      <c r="AE315" s="121"/>
      <c r="AF315" s="121"/>
      <c r="AG315" s="181"/>
      <c r="AH315" s="123"/>
      <c r="AI315" s="123"/>
      <c r="AJ315" s="123"/>
      <c r="AK315" s="123"/>
      <c r="AL315" s="123"/>
      <c r="AM315" s="123"/>
      <c r="AN315" s="123"/>
      <c r="AO315" s="123"/>
      <c r="AP315" s="123"/>
      <c r="AQ315" s="123"/>
      <c r="AR315" s="123"/>
      <c r="AS315" s="124"/>
      <c r="AT315" s="125"/>
      <c r="AU315" s="125"/>
      <c r="AV315" s="125"/>
      <c r="AW315" s="125"/>
      <c r="AX315" s="125"/>
      <c r="AY315" s="125"/>
      <c r="AZ315" s="125"/>
      <c r="BA315" s="125"/>
      <c r="BB315" s="125"/>
      <c r="BC315" s="125"/>
      <c r="BD315" s="122"/>
    </row>
    <row r="316" spans="1:56" x14ac:dyDescent="0.25">
      <c r="A316" s="167" t="s">
        <v>650</v>
      </c>
      <c r="B316" s="127">
        <v>8200187</v>
      </c>
      <c r="C316" s="128" t="s">
        <v>374</v>
      </c>
      <c r="D316" s="128" t="s">
        <v>801</v>
      </c>
      <c r="E316" s="129" t="s">
        <v>570</v>
      </c>
      <c r="F316" s="274"/>
      <c r="G316" s="130">
        <f>+SUMIFS(TablaIngresos[Cantidad],TablaIngresos[Código],'Inventario '!B316)</f>
        <v>0</v>
      </c>
      <c r="H316" s="130">
        <f t="shared" ref="H316:H333" si="334">+F316+G316</f>
        <v>0</v>
      </c>
      <c r="I316" s="131">
        <f>SUMIFS(TablaConsumos[[CANTIDAD ]:[CANTIDAD ]],TablaConsumos[[CÓDIGO]:[CÓDIGO]],'Inventario '!$B316,TablaConsumos[[Planta]:[Planta]],'Inventario '!I$1)</f>
        <v>0</v>
      </c>
      <c r="J316" s="131">
        <f>SUMIFS(TablaConsumos[[CANTIDAD ]:[CANTIDAD ]],TablaConsumos[[CÓDIGO]:[CÓDIGO]],'Inventario '!$B316,TablaConsumos[[Planta]:[Planta]],'Inventario '!J$1)</f>
        <v>0</v>
      </c>
      <c r="K316" s="131">
        <f>SUMIFS(TablaConsumos[[CANTIDAD ]:[CANTIDAD ]],TablaConsumos[[CÓDIGO]:[CÓDIGO]],'Inventario '!$B316,TablaConsumos[[Planta]:[Planta]],'Inventario '!K$1)</f>
        <v>0</v>
      </c>
      <c r="L316" s="131">
        <f>SUMIFS(TablaConsumos[[CANTIDAD ]:[CANTIDAD ]],TablaConsumos[[CÓDIGO]:[CÓDIGO]],'Inventario '!$B316,TablaConsumos[[Planta]:[Planta]],'Inventario '!L$1)</f>
        <v>0</v>
      </c>
      <c r="M316" s="131">
        <f>SUMIFS(TablaConsumos[[CANTIDAD ]:[CANTIDAD ]],TablaConsumos[[CÓDIGO]:[CÓDIGO]],'Inventario '!$B316,TablaConsumos[[Planta]:[Planta]],'Inventario '!M$1)</f>
        <v>0</v>
      </c>
      <c r="N316" s="131">
        <f>SUMIFS(TablaConsumos[[CANTIDAD ]:[CANTIDAD ]],TablaConsumos[[CÓDIGO]:[CÓDIGO]],'Inventario '!$B316,TablaConsumos[[Planta]:[Planta]],'Inventario '!N$1)</f>
        <v>0</v>
      </c>
      <c r="O316" s="131">
        <f>SUMIFS(TablaConsumos[[CANTIDAD ]:[CANTIDAD ]],TablaConsumos[[CÓDIGO]:[CÓDIGO]],'Inventario '!$B316,TablaConsumos[[Planta]:[Planta]],'Inventario '!O$1)</f>
        <v>0</v>
      </c>
      <c r="P316" s="131">
        <f>SUMIFS(TablaConsumos[[CANTIDAD ]:[CANTIDAD ]],TablaConsumos[[CÓDIGO]:[CÓDIGO]],'Inventario '!$B316,TablaConsumos[[Planta]:[Planta]],'Inventario '!P$1)</f>
        <v>0</v>
      </c>
      <c r="Q316" s="131">
        <f>SUMIFS(TablaConsumos[[CANTIDAD ]:[CANTIDAD ]],TablaConsumos[[CÓDIGO]:[CÓDIGO]],'Inventario '!$B316,TablaConsumos[[Planta]:[Planta]],'Inventario '!Q$1)</f>
        <v>0</v>
      </c>
      <c r="R316" s="131">
        <f>SUMIFS(TablaConsumos[[CANTIDAD ]:[CANTIDAD ]],TablaConsumos[[CÓDIGO]:[CÓDIGO]],'Inventario '!$B316,TablaConsumos[[Planta]:[Planta]],'Inventario '!R$1)</f>
        <v>0</v>
      </c>
      <c r="S316" s="130">
        <f t="shared" ref="S316:S325" si="335">+SUM(I316:R316)</f>
        <v>0</v>
      </c>
      <c r="T316" s="130">
        <f t="shared" ref="T316:T333" si="336">+H316-S316</f>
        <v>0</v>
      </c>
      <c r="U316" s="297"/>
      <c r="V316" s="130"/>
      <c r="W316" s="132">
        <v>1</v>
      </c>
      <c r="X316" s="132">
        <f>+U316*W316</f>
        <v>0</v>
      </c>
      <c r="Y316" s="130">
        <f t="shared" ref="Y316:Y333" si="337">+T316-X316</f>
        <v>0</v>
      </c>
      <c r="Z316" s="132"/>
      <c r="AA316" s="132">
        <f t="shared" ref="AA316:AA333" si="338">(Z316-X316)</f>
        <v>0</v>
      </c>
      <c r="AB316" s="132"/>
      <c r="AC316" s="131">
        <f t="shared" ref="AC316:AC333" si="339">+Z316-AA316</f>
        <v>0</v>
      </c>
      <c r="AD316" s="131"/>
      <c r="AE316" s="130"/>
      <c r="AF316" s="130"/>
      <c r="AG316" s="168"/>
      <c r="AH316" s="134">
        <f t="shared" ref="AH316:AH333" si="340">+IF(S316=0,0,AF316/S316)</f>
        <v>0</v>
      </c>
      <c r="AI316" s="134">
        <f t="shared" ref="AI316:AI326" si="341">+IF(I316=0,0,I316/$S316)</f>
        <v>0</v>
      </c>
      <c r="AJ316" s="134">
        <f t="shared" ref="AJ316:AJ326" si="342">+IF(J316=0,0,J316/$S316)</f>
        <v>0</v>
      </c>
      <c r="AK316" s="134">
        <f t="shared" ref="AK316:AK326" si="343">+IF(K316=0,0,K316/$S316)</f>
        <v>0</v>
      </c>
      <c r="AL316" s="134">
        <f t="shared" ref="AL316:AL326" si="344">+IF(L316=0,0,L316/$S316)</f>
        <v>0</v>
      </c>
      <c r="AM316" s="134">
        <f t="shared" ref="AM316:AM326" si="345">+IF(M316=0,0,M316/$S316)</f>
        <v>0</v>
      </c>
      <c r="AN316" s="134">
        <f t="shared" ref="AN316:AN326" si="346">+IF(N316=0,0,N316/$S316)</f>
        <v>0</v>
      </c>
      <c r="AO316" s="134">
        <f t="shared" ref="AO316:AO326" si="347">+IF(O316=0,0,O316/$S316)</f>
        <v>0</v>
      </c>
      <c r="AP316" s="134">
        <f t="shared" ref="AP316:AP326" si="348">+IF(P316=0,0,P316/$S316)</f>
        <v>0</v>
      </c>
      <c r="AQ316" s="134">
        <f t="shared" ref="AQ316:AQ326" si="349">+IF(Q316=0,0,Q316/$S316)</f>
        <v>0</v>
      </c>
      <c r="AR316" s="134">
        <f t="shared" ref="AR316:AR326" si="350">+IF(R316=0,0,R316/$S316)</f>
        <v>0</v>
      </c>
      <c r="AS316" s="135">
        <f t="shared" ref="AS316:AS325" si="351">+SUM(AI316:AR316)</f>
        <v>0</v>
      </c>
      <c r="AT316" s="137" t="str">
        <f t="shared" ref="AT316:AT326" si="352">+IF(I316=-I316,"0",I316+$Y316*AI316)</f>
        <v>0</v>
      </c>
      <c r="AU316" s="137" t="str">
        <f t="shared" ref="AU316:AU326" si="353">+IF(J316=-J316,"0",J316+$Y316*AJ316)</f>
        <v>0</v>
      </c>
      <c r="AV316" s="137" t="str">
        <f t="shared" ref="AV316:AV326" si="354">+IF(K316=-K316,"0",K316+$Y316*AK316)</f>
        <v>0</v>
      </c>
      <c r="AW316" s="137" t="str">
        <f t="shared" ref="AW316:AW326" si="355">+IF(L316=-L316,"0",L316+$Y316*AL316)</f>
        <v>0</v>
      </c>
      <c r="AX316" s="137" t="str">
        <f t="shared" ref="AX316:AX326" si="356">+IF(M316=-M316,"0",M316+$Y316*AM316)</f>
        <v>0</v>
      </c>
      <c r="AY316" s="137" t="str">
        <f t="shared" ref="AY316:AY326" si="357">+IF(N316=-N316,"0",N316+$Y316*AN316)</f>
        <v>0</v>
      </c>
      <c r="AZ316" s="137" t="str">
        <f t="shared" ref="AZ316:AZ326" si="358">+IF(O316=-O316,"0",O316+$Y316*AO316)</f>
        <v>0</v>
      </c>
      <c r="BA316" s="137" t="str">
        <f t="shared" ref="BA316:BA326" si="359">+IF(P316=-P316,"0",P316+$Y316*AP316)</f>
        <v>0</v>
      </c>
      <c r="BB316" s="137" t="str">
        <f t="shared" ref="BB316:BB326" si="360">+IF(Q316=-Q316,"0",Q316+$Y316*AQ316)</f>
        <v>0</v>
      </c>
      <c r="BC316" s="137" t="str">
        <f t="shared" ref="BC316:BC326" si="361">+IF(R316=-R316,"0",R316+$Y316*AR316)</f>
        <v>0</v>
      </c>
      <c r="BD316" s="131">
        <f t="shared" ref="BD316:BD325" si="362">+SUM(AT316:BC316)</f>
        <v>0</v>
      </c>
    </row>
    <row r="317" spans="1:56" ht="38.25" x14ac:dyDescent="0.25">
      <c r="A317" s="167"/>
      <c r="B317" s="127">
        <v>8202010</v>
      </c>
      <c r="C317" s="128" t="s">
        <v>374</v>
      </c>
      <c r="D317" s="128"/>
      <c r="E317" s="129" t="s">
        <v>881</v>
      </c>
      <c r="F317" s="274"/>
      <c r="G317" s="130">
        <f>+SUMIFS(TablaIngresos[Cantidad],TablaIngresos[Código],'Inventario '!B317)</f>
        <v>0</v>
      </c>
      <c r="H317" s="130">
        <f>+F317+G317</f>
        <v>0</v>
      </c>
      <c r="I317" s="131">
        <f>SUMIFS(TablaConsumos[[CANTIDAD ]:[CANTIDAD ]],TablaConsumos[[CÓDIGO]:[CÓDIGO]],'Inventario '!$B317,TablaConsumos[[Planta]:[Planta]],'Inventario '!I$1)</f>
        <v>0</v>
      </c>
      <c r="J317" s="131">
        <f>SUMIFS(TablaConsumos[[CANTIDAD ]:[CANTIDAD ]],TablaConsumos[[CÓDIGO]:[CÓDIGO]],'Inventario '!$B317,TablaConsumos[[Planta]:[Planta]],'Inventario '!J$1)</f>
        <v>0</v>
      </c>
      <c r="K317" s="131">
        <f>SUMIFS(TablaConsumos[[CANTIDAD ]:[CANTIDAD ]],TablaConsumos[[CÓDIGO]:[CÓDIGO]],'Inventario '!$B317,TablaConsumos[[Planta]:[Planta]],'Inventario '!K$1)</f>
        <v>0</v>
      </c>
      <c r="L317" s="131">
        <f>SUMIFS(TablaConsumos[[CANTIDAD ]:[CANTIDAD ]],TablaConsumos[[CÓDIGO]:[CÓDIGO]],'Inventario '!$B317,TablaConsumos[[Planta]:[Planta]],'Inventario '!L$1)</f>
        <v>0</v>
      </c>
      <c r="M317" s="131">
        <f>SUMIFS(TablaConsumos[[CANTIDAD ]:[CANTIDAD ]],TablaConsumos[[CÓDIGO]:[CÓDIGO]],'Inventario '!$B317,TablaConsumos[[Planta]:[Planta]],'Inventario '!M$1)</f>
        <v>0</v>
      </c>
      <c r="N317" s="131">
        <f>SUMIFS(TablaConsumos[[CANTIDAD ]:[CANTIDAD ]],TablaConsumos[[CÓDIGO]:[CÓDIGO]],'Inventario '!$B317,TablaConsumos[[Planta]:[Planta]],'Inventario '!N$1)</f>
        <v>0</v>
      </c>
      <c r="O317" s="131">
        <f>SUMIFS(TablaConsumos[[CANTIDAD ]:[CANTIDAD ]],TablaConsumos[[CÓDIGO]:[CÓDIGO]],'Inventario '!$B317,TablaConsumos[[Planta]:[Planta]],'Inventario '!O$1)</f>
        <v>0</v>
      </c>
      <c r="P317" s="131">
        <f>SUMIFS(TablaConsumos[[CANTIDAD ]:[CANTIDAD ]],TablaConsumos[[CÓDIGO]:[CÓDIGO]],'Inventario '!$B317,TablaConsumos[[Planta]:[Planta]],'Inventario '!P$1)</f>
        <v>0</v>
      </c>
      <c r="Q317" s="131">
        <f>SUMIFS(TablaConsumos[[CANTIDAD ]:[CANTIDAD ]],TablaConsumos[[CÓDIGO]:[CÓDIGO]],'Inventario '!$B317,TablaConsumos[[Planta]:[Planta]],'Inventario '!Q$1)</f>
        <v>0</v>
      </c>
      <c r="R317" s="131">
        <f>SUMIFS(TablaConsumos[[CANTIDAD ]:[CANTIDAD ]],TablaConsumos[[CÓDIGO]:[CÓDIGO]],'Inventario '!$B317,TablaConsumos[[Planta]:[Planta]],'Inventario '!R$1)</f>
        <v>0</v>
      </c>
      <c r="S317" s="130">
        <f>+SUM(I317:R317)</f>
        <v>0</v>
      </c>
      <c r="T317" s="130">
        <f>+H317-S317</f>
        <v>0</v>
      </c>
      <c r="V317" s="130"/>
      <c r="W317" s="132">
        <v>1</v>
      </c>
      <c r="X317" s="132">
        <f>+U317*W317</f>
        <v>0</v>
      </c>
      <c r="Y317" s="130">
        <f>+T317-X317</f>
        <v>0</v>
      </c>
      <c r="Z317" s="132"/>
      <c r="AA317" s="132">
        <f t="shared" si="338"/>
        <v>0</v>
      </c>
      <c r="AB317" s="132"/>
      <c r="AC317" s="131">
        <f t="shared" si="339"/>
        <v>0</v>
      </c>
      <c r="AD317" s="131"/>
      <c r="AE317" s="130"/>
      <c r="AF317" s="130"/>
      <c r="AG317" s="168"/>
      <c r="AH317" s="134">
        <f t="shared" si="340"/>
        <v>0</v>
      </c>
      <c r="AI317" s="134">
        <f t="shared" si="341"/>
        <v>0</v>
      </c>
      <c r="AJ317" s="134">
        <f t="shared" si="342"/>
        <v>0</v>
      </c>
      <c r="AK317" s="134">
        <f t="shared" si="343"/>
        <v>0</v>
      </c>
      <c r="AL317" s="134">
        <f t="shared" si="344"/>
        <v>0</v>
      </c>
      <c r="AM317" s="134">
        <f t="shared" si="345"/>
        <v>0</v>
      </c>
      <c r="AN317" s="134">
        <f t="shared" si="346"/>
        <v>0</v>
      </c>
      <c r="AO317" s="134">
        <f t="shared" si="347"/>
        <v>0</v>
      </c>
      <c r="AP317" s="134">
        <f t="shared" si="348"/>
        <v>0</v>
      </c>
      <c r="AQ317" s="134">
        <f t="shared" si="349"/>
        <v>0</v>
      </c>
      <c r="AR317" s="134">
        <f t="shared" si="350"/>
        <v>0</v>
      </c>
      <c r="AS317" s="135">
        <f>+SUM(AI317:AR317)</f>
        <v>0</v>
      </c>
      <c r="AT317" s="137" t="str">
        <f t="shared" si="352"/>
        <v>0</v>
      </c>
      <c r="AU317" s="137" t="str">
        <f t="shared" si="353"/>
        <v>0</v>
      </c>
      <c r="AV317" s="137" t="str">
        <f t="shared" si="354"/>
        <v>0</v>
      </c>
      <c r="AW317" s="137" t="str">
        <f t="shared" si="355"/>
        <v>0</v>
      </c>
      <c r="AX317" s="137" t="str">
        <f t="shared" si="356"/>
        <v>0</v>
      </c>
      <c r="AY317" s="137" t="str">
        <f t="shared" si="357"/>
        <v>0</v>
      </c>
      <c r="AZ317" s="137" t="str">
        <f t="shared" si="358"/>
        <v>0</v>
      </c>
      <c r="BA317" s="137" t="str">
        <f t="shared" si="359"/>
        <v>0</v>
      </c>
      <c r="BB317" s="137" t="str">
        <f t="shared" si="360"/>
        <v>0</v>
      </c>
      <c r="BC317" s="137" t="str">
        <f t="shared" si="361"/>
        <v>0</v>
      </c>
      <c r="BD317" s="131">
        <f>+SUM(AT317:BC317)</f>
        <v>0</v>
      </c>
    </row>
    <row r="318" spans="1:56" x14ac:dyDescent="0.25">
      <c r="A318" s="167" t="s">
        <v>650</v>
      </c>
      <c r="B318" s="127">
        <v>8200188</v>
      </c>
      <c r="C318" s="128" t="s">
        <v>374</v>
      </c>
      <c r="D318" s="128" t="s">
        <v>801</v>
      </c>
      <c r="E318" s="129" t="s">
        <v>571</v>
      </c>
      <c r="F318" s="274"/>
      <c r="G318" s="130">
        <f>+SUMIFS(TablaIngresos[Cantidad],TablaIngresos[Código],'Inventario '!B318)</f>
        <v>0</v>
      </c>
      <c r="H318" s="130">
        <f t="shared" si="334"/>
        <v>0</v>
      </c>
      <c r="I318" s="131">
        <f>SUMIFS(TablaConsumos[[CANTIDAD ]:[CANTIDAD ]],TablaConsumos[[CÓDIGO]:[CÓDIGO]],'Inventario '!$B318,TablaConsumos[[Planta]:[Planta]],'Inventario '!I$1)</f>
        <v>0</v>
      </c>
      <c r="J318" s="131">
        <f>SUMIFS(TablaConsumos[[CANTIDAD ]:[CANTIDAD ]],TablaConsumos[[CÓDIGO]:[CÓDIGO]],'Inventario '!$B318,TablaConsumos[[Planta]:[Planta]],'Inventario '!J$1)</f>
        <v>0</v>
      </c>
      <c r="K318" s="131">
        <f>SUMIFS(TablaConsumos[[CANTIDAD ]:[CANTIDAD ]],TablaConsumos[[CÓDIGO]:[CÓDIGO]],'Inventario '!$B318,TablaConsumos[[Planta]:[Planta]],'Inventario '!K$1)</f>
        <v>0</v>
      </c>
      <c r="L318" s="131">
        <f>SUMIFS(TablaConsumos[[CANTIDAD ]:[CANTIDAD ]],TablaConsumos[[CÓDIGO]:[CÓDIGO]],'Inventario '!$B318,TablaConsumos[[Planta]:[Planta]],'Inventario '!L$1)</f>
        <v>0</v>
      </c>
      <c r="M318" s="131">
        <f>SUMIFS(TablaConsumos[[CANTIDAD ]:[CANTIDAD ]],TablaConsumos[[CÓDIGO]:[CÓDIGO]],'Inventario '!$B318,TablaConsumos[[Planta]:[Planta]],'Inventario '!M$1)</f>
        <v>0</v>
      </c>
      <c r="N318" s="131">
        <f>SUMIFS(TablaConsumos[[CANTIDAD ]:[CANTIDAD ]],TablaConsumos[[CÓDIGO]:[CÓDIGO]],'Inventario '!$B318,TablaConsumos[[Planta]:[Planta]],'Inventario '!N$1)</f>
        <v>0</v>
      </c>
      <c r="O318" s="131">
        <f>SUMIFS(TablaConsumos[[CANTIDAD ]:[CANTIDAD ]],TablaConsumos[[CÓDIGO]:[CÓDIGO]],'Inventario '!$B318,TablaConsumos[[Planta]:[Planta]],'Inventario '!O$1)</f>
        <v>0</v>
      </c>
      <c r="P318" s="131">
        <f>SUMIFS(TablaConsumos[[CANTIDAD ]:[CANTIDAD ]],TablaConsumos[[CÓDIGO]:[CÓDIGO]],'Inventario '!$B318,TablaConsumos[[Planta]:[Planta]],'Inventario '!P$1)</f>
        <v>0</v>
      </c>
      <c r="Q318" s="131">
        <f>SUMIFS(TablaConsumos[[CANTIDAD ]:[CANTIDAD ]],TablaConsumos[[CÓDIGO]:[CÓDIGO]],'Inventario '!$B318,TablaConsumos[[Planta]:[Planta]],'Inventario '!Q$1)</f>
        <v>0</v>
      </c>
      <c r="R318" s="131">
        <f>SUMIFS(TablaConsumos[[CANTIDAD ]:[CANTIDAD ]],TablaConsumos[[CÓDIGO]:[CÓDIGO]],'Inventario '!$B318,TablaConsumos[[Planta]:[Planta]],'Inventario '!R$1)</f>
        <v>0</v>
      </c>
      <c r="S318" s="130">
        <f t="shared" si="335"/>
        <v>0</v>
      </c>
      <c r="T318" s="130">
        <f t="shared" si="336"/>
        <v>0</v>
      </c>
      <c r="U318" s="132"/>
      <c r="V318" s="130"/>
      <c r="W318" s="132">
        <v>1</v>
      </c>
      <c r="X318" s="132">
        <f t="shared" ref="X318:X333" si="363">+U318*W318</f>
        <v>0</v>
      </c>
      <c r="Y318" s="130">
        <f t="shared" si="337"/>
        <v>0</v>
      </c>
      <c r="Z318" s="132"/>
      <c r="AA318" s="132">
        <f t="shared" si="338"/>
        <v>0</v>
      </c>
      <c r="AB318" s="132"/>
      <c r="AC318" s="131">
        <f t="shared" si="339"/>
        <v>0</v>
      </c>
      <c r="AD318" s="131"/>
      <c r="AE318" s="130"/>
      <c r="AF318" s="130"/>
      <c r="AG318" s="168"/>
      <c r="AH318" s="134">
        <f t="shared" si="340"/>
        <v>0</v>
      </c>
      <c r="AI318" s="134">
        <f t="shared" si="341"/>
        <v>0</v>
      </c>
      <c r="AJ318" s="134">
        <f t="shared" si="342"/>
        <v>0</v>
      </c>
      <c r="AK318" s="134">
        <f t="shared" si="343"/>
        <v>0</v>
      </c>
      <c r="AL318" s="134">
        <f t="shared" si="344"/>
        <v>0</v>
      </c>
      <c r="AM318" s="134">
        <f t="shared" si="345"/>
        <v>0</v>
      </c>
      <c r="AN318" s="134">
        <f t="shared" si="346"/>
        <v>0</v>
      </c>
      <c r="AO318" s="134">
        <f t="shared" si="347"/>
        <v>0</v>
      </c>
      <c r="AP318" s="134">
        <f t="shared" si="348"/>
        <v>0</v>
      </c>
      <c r="AQ318" s="134">
        <f t="shared" si="349"/>
        <v>0</v>
      </c>
      <c r="AR318" s="134">
        <f t="shared" si="350"/>
        <v>0</v>
      </c>
      <c r="AS318" s="135">
        <f>+SUM(AI318:AR318)</f>
        <v>0</v>
      </c>
      <c r="AT318" s="137" t="str">
        <f t="shared" si="352"/>
        <v>0</v>
      </c>
      <c r="AU318" s="137" t="str">
        <f t="shared" si="353"/>
        <v>0</v>
      </c>
      <c r="AV318" s="137" t="str">
        <f t="shared" si="354"/>
        <v>0</v>
      </c>
      <c r="AW318" s="137" t="str">
        <f t="shared" si="355"/>
        <v>0</v>
      </c>
      <c r="AX318" s="137" t="str">
        <f t="shared" si="356"/>
        <v>0</v>
      </c>
      <c r="AY318" s="137" t="str">
        <f t="shared" si="357"/>
        <v>0</v>
      </c>
      <c r="AZ318" s="137" t="str">
        <f t="shared" si="358"/>
        <v>0</v>
      </c>
      <c r="BA318" s="137" t="str">
        <f t="shared" si="359"/>
        <v>0</v>
      </c>
      <c r="BB318" s="137" t="str">
        <f t="shared" si="360"/>
        <v>0</v>
      </c>
      <c r="BC318" s="137" t="str">
        <f t="shared" si="361"/>
        <v>0</v>
      </c>
      <c r="BD318" s="131">
        <f>+SUM(AT318:BC318)</f>
        <v>0</v>
      </c>
    </row>
    <row r="319" spans="1:56" x14ac:dyDescent="0.25">
      <c r="A319" s="167" t="s">
        <v>650</v>
      </c>
      <c r="B319" s="127">
        <v>8200189</v>
      </c>
      <c r="C319" s="128" t="s">
        <v>374</v>
      </c>
      <c r="D319" s="128" t="s">
        <v>801</v>
      </c>
      <c r="E319" s="129" t="s">
        <v>572</v>
      </c>
      <c r="F319" s="274"/>
      <c r="G319" s="130">
        <f>+SUMIFS(TablaIngresos[Cantidad],TablaIngresos[Código],'Inventario '!B319)</f>
        <v>0</v>
      </c>
      <c r="H319" s="130">
        <f t="shared" si="334"/>
        <v>0</v>
      </c>
      <c r="I319" s="131">
        <f>SUMIFS(TablaConsumos[[CANTIDAD ]:[CANTIDAD ]],TablaConsumos[[CÓDIGO]:[CÓDIGO]],'Inventario '!$B319,TablaConsumos[[Planta]:[Planta]],'Inventario '!I$1)</f>
        <v>0</v>
      </c>
      <c r="J319" s="131">
        <f>SUMIFS(TablaConsumos[[CANTIDAD ]:[CANTIDAD ]],TablaConsumos[[CÓDIGO]:[CÓDIGO]],'Inventario '!$B319,TablaConsumos[[Planta]:[Planta]],'Inventario '!J$1)</f>
        <v>0</v>
      </c>
      <c r="K319" s="131">
        <f>SUMIFS(TablaConsumos[[CANTIDAD ]:[CANTIDAD ]],TablaConsumos[[CÓDIGO]:[CÓDIGO]],'Inventario '!$B319,TablaConsumos[[Planta]:[Planta]],'Inventario '!K$1)</f>
        <v>0</v>
      </c>
      <c r="L319" s="131">
        <f>SUMIFS(TablaConsumos[[CANTIDAD ]:[CANTIDAD ]],TablaConsumos[[CÓDIGO]:[CÓDIGO]],'Inventario '!$B319,TablaConsumos[[Planta]:[Planta]],'Inventario '!L$1)</f>
        <v>0</v>
      </c>
      <c r="M319" s="131">
        <f>SUMIFS(TablaConsumos[[CANTIDAD ]:[CANTIDAD ]],TablaConsumos[[CÓDIGO]:[CÓDIGO]],'Inventario '!$B319,TablaConsumos[[Planta]:[Planta]],'Inventario '!M$1)</f>
        <v>0</v>
      </c>
      <c r="N319" s="131">
        <f>SUMIFS(TablaConsumos[[CANTIDAD ]:[CANTIDAD ]],TablaConsumos[[CÓDIGO]:[CÓDIGO]],'Inventario '!$B319,TablaConsumos[[Planta]:[Planta]],'Inventario '!N$1)</f>
        <v>0</v>
      </c>
      <c r="O319" s="131">
        <f>SUMIFS(TablaConsumos[[CANTIDAD ]:[CANTIDAD ]],TablaConsumos[[CÓDIGO]:[CÓDIGO]],'Inventario '!$B319,TablaConsumos[[Planta]:[Planta]],'Inventario '!O$1)</f>
        <v>0</v>
      </c>
      <c r="P319" s="131">
        <f>SUMIFS(TablaConsumos[[CANTIDAD ]:[CANTIDAD ]],TablaConsumos[[CÓDIGO]:[CÓDIGO]],'Inventario '!$B319,TablaConsumos[[Planta]:[Planta]],'Inventario '!P$1)</f>
        <v>0</v>
      </c>
      <c r="Q319" s="131">
        <f>SUMIFS(TablaConsumos[[CANTIDAD ]:[CANTIDAD ]],TablaConsumos[[CÓDIGO]:[CÓDIGO]],'Inventario '!$B319,TablaConsumos[[Planta]:[Planta]],'Inventario '!Q$1)</f>
        <v>0</v>
      </c>
      <c r="R319" s="131">
        <f>SUMIFS(TablaConsumos[[CANTIDAD ]:[CANTIDAD ]],TablaConsumos[[CÓDIGO]:[CÓDIGO]],'Inventario '!$B319,TablaConsumos[[Planta]:[Planta]],'Inventario '!R$1)</f>
        <v>0</v>
      </c>
      <c r="S319" s="130">
        <f t="shared" si="335"/>
        <v>0</v>
      </c>
      <c r="T319" s="130">
        <f t="shared" si="336"/>
        <v>0</v>
      </c>
      <c r="U319" s="132"/>
      <c r="V319" s="130"/>
      <c r="W319" s="132">
        <v>1</v>
      </c>
      <c r="X319" s="132">
        <f t="shared" si="363"/>
        <v>0</v>
      </c>
      <c r="Y319" s="130">
        <f t="shared" si="337"/>
        <v>0</v>
      </c>
      <c r="Z319" s="132"/>
      <c r="AA319" s="132">
        <f t="shared" si="338"/>
        <v>0</v>
      </c>
      <c r="AB319" s="132"/>
      <c r="AC319" s="131">
        <f t="shared" si="339"/>
        <v>0</v>
      </c>
      <c r="AD319" s="131"/>
      <c r="AE319" s="130"/>
      <c r="AF319" s="130"/>
      <c r="AG319" s="168"/>
      <c r="AH319" s="134">
        <f t="shared" si="340"/>
        <v>0</v>
      </c>
      <c r="AI319" s="134">
        <f t="shared" si="341"/>
        <v>0</v>
      </c>
      <c r="AJ319" s="134">
        <f t="shared" si="342"/>
        <v>0</v>
      </c>
      <c r="AK319" s="134">
        <f t="shared" si="343"/>
        <v>0</v>
      </c>
      <c r="AL319" s="134">
        <f t="shared" si="344"/>
        <v>0</v>
      </c>
      <c r="AM319" s="134">
        <f t="shared" si="345"/>
        <v>0</v>
      </c>
      <c r="AN319" s="134">
        <f t="shared" si="346"/>
        <v>0</v>
      </c>
      <c r="AO319" s="134">
        <f t="shared" si="347"/>
        <v>0</v>
      </c>
      <c r="AP319" s="134">
        <f t="shared" si="348"/>
        <v>0</v>
      </c>
      <c r="AQ319" s="134">
        <f t="shared" si="349"/>
        <v>0</v>
      </c>
      <c r="AR319" s="134">
        <f t="shared" si="350"/>
        <v>0</v>
      </c>
      <c r="AS319" s="135">
        <f t="shared" si="351"/>
        <v>0</v>
      </c>
      <c r="AT319" s="137" t="str">
        <f t="shared" si="352"/>
        <v>0</v>
      </c>
      <c r="AU319" s="137" t="str">
        <f t="shared" si="353"/>
        <v>0</v>
      </c>
      <c r="AV319" s="137" t="str">
        <f t="shared" si="354"/>
        <v>0</v>
      </c>
      <c r="AW319" s="137" t="str">
        <f t="shared" si="355"/>
        <v>0</v>
      </c>
      <c r="AX319" s="137" t="str">
        <f t="shared" si="356"/>
        <v>0</v>
      </c>
      <c r="AY319" s="137" t="str">
        <f t="shared" si="357"/>
        <v>0</v>
      </c>
      <c r="AZ319" s="137" t="str">
        <f t="shared" si="358"/>
        <v>0</v>
      </c>
      <c r="BA319" s="137" t="str">
        <f t="shared" si="359"/>
        <v>0</v>
      </c>
      <c r="BB319" s="137" t="str">
        <f t="shared" si="360"/>
        <v>0</v>
      </c>
      <c r="BC319" s="137" t="str">
        <f t="shared" si="361"/>
        <v>0</v>
      </c>
      <c r="BD319" s="131">
        <f t="shared" si="362"/>
        <v>0</v>
      </c>
    </row>
    <row r="320" spans="1:56" x14ac:dyDescent="0.25">
      <c r="A320" s="167" t="s">
        <v>407</v>
      </c>
      <c r="B320" s="127">
        <v>8200190</v>
      </c>
      <c r="C320" s="128" t="s">
        <v>715</v>
      </c>
      <c r="D320" s="128" t="s">
        <v>407</v>
      </c>
      <c r="E320" s="129" t="s">
        <v>574</v>
      </c>
      <c r="F320" s="274"/>
      <c r="G320" s="130">
        <f>+SUMIFS(TablaIngresos[Cantidad],TablaIngresos[Código],'Inventario '!B320)</f>
        <v>0</v>
      </c>
      <c r="H320" s="130">
        <f t="shared" si="334"/>
        <v>0</v>
      </c>
      <c r="I320" s="131">
        <f>SUMIFS(TablaConsumos[[CANTIDAD ]:[CANTIDAD ]],TablaConsumos[[CÓDIGO]:[CÓDIGO]],'Inventario '!$B320,TablaConsumos[[Planta]:[Planta]],'Inventario '!I$1)</f>
        <v>0</v>
      </c>
      <c r="J320" s="131">
        <f>SUMIFS(TablaConsumos[[CANTIDAD ]:[CANTIDAD ]],TablaConsumos[[CÓDIGO]:[CÓDIGO]],'Inventario '!$B320,TablaConsumos[[Planta]:[Planta]],'Inventario '!J$1)</f>
        <v>0</v>
      </c>
      <c r="K320" s="131">
        <f>SUMIFS(TablaConsumos[[CANTIDAD ]:[CANTIDAD ]],TablaConsumos[[CÓDIGO]:[CÓDIGO]],'Inventario '!$B320,TablaConsumos[[Planta]:[Planta]],'Inventario '!K$1)</f>
        <v>0</v>
      </c>
      <c r="L320" s="131">
        <f>SUMIFS(TablaConsumos[[CANTIDAD ]:[CANTIDAD ]],TablaConsumos[[CÓDIGO]:[CÓDIGO]],'Inventario '!$B320,TablaConsumos[[Planta]:[Planta]],'Inventario '!L$1)</f>
        <v>0</v>
      </c>
      <c r="M320" s="131">
        <f>SUMIFS(TablaConsumos[[CANTIDAD ]:[CANTIDAD ]],TablaConsumos[[CÓDIGO]:[CÓDIGO]],'Inventario '!$B320,TablaConsumos[[Planta]:[Planta]],'Inventario '!M$1)</f>
        <v>0</v>
      </c>
      <c r="N320" s="131">
        <f>SUMIFS(TablaConsumos[[CANTIDAD ]:[CANTIDAD ]],TablaConsumos[[CÓDIGO]:[CÓDIGO]],'Inventario '!$B320,TablaConsumos[[Planta]:[Planta]],'Inventario '!N$1)</f>
        <v>0</v>
      </c>
      <c r="O320" s="131">
        <f>SUMIFS(TablaConsumos[[CANTIDAD ]:[CANTIDAD ]],TablaConsumos[[CÓDIGO]:[CÓDIGO]],'Inventario '!$B320,TablaConsumos[[Planta]:[Planta]],'Inventario '!O$1)</f>
        <v>0</v>
      </c>
      <c r="P320" s="131">
        <f>SUMIFS(TablaConsumos[[CANTIDAD ]:[CANTIDAD ]],TablaConsumos[[CÓDIGO]:[CÓDIGO]],'Inventario '!$B320,TablaConsumos[[Planta]:[Planta]],'Inventario '!P$1)</f>
        <v>0</v>
      </c>
      <c r="Q320" s="131">
        <f>SUMIFS(TablaConsumos[[CANTIDAD ]:[CANTIDAD ]],TablaConsumos[[CÓDIGO]:[CÓDIGO]],'Inventario '!$B320,TablaConsumos[[Planta]:[Planta]],'Inventario '!Q$1)</f>
        <v>0</v>
      </c>
      <c r="R320" s="131">
        <f>SUMIFS(TablaConsumos[[CANTIDAD ]:[CANTIDAD ]],TablaConsumos[[CÓDIGO]:[CÓDIGO]],'Inventario '!$B320,TablaConsumos[[Planta]:[Planta]],'Inventario '!R$1)</f>
        <v>0</v>
      </c>
      <c r="S320" s="130">
        <f t="shared" si="335"/>
        <v>0</v>
      </c>
      <c r="T320" s="130">
        <f t="shared" si="336"/>
        <v>0</v>
      </c>
      <c r="U320" s="132"/>
      <c r="V320" s="130"/>
      <c r="W320" s="132">
        <v>1</v>
      </c>
      <c r="X320" s="132">
        <f t="shared" si="363"/>
        <v>0</v>
      </c>
      <c r="Y320" s="130">
        <f t="shared" si="337"/>
        <v>0</v>
      </c>
      <c r="Z320" s="132"/>
      <c r="AA320" s="132">
        <f t="shared" si="338"/>
        <v>0</v>
      </c>
      <c r="AB320" s="132"/>
      <c r="AC320" s="131">
        <f t="shared" si="339"/>
        <v>0</v>
      </c>
      <c r="AD320" s="131"/>
      <c r="AE320" s="130"/>
      <c r="AF320" s="130"/>
      <c r="AG320" s="168"/>
      <c r="AH320" s="134">
        <f t="shared" si="340"/>
        <v>0</v>
      </c>
      <c r="AI320" s="134">
        <f t="shared" si="341"/>
        <v>0</v>
      </c>
      <c r="AJ320" s="134">
        <f t="shared" si="342"/>
        <v>0</v>
      </c>
      <c r="AK320" s="134">
        <f t="shared" si="343"/>
        <v>0</v>
      </c>
      <c r="AL320" s="134">
        <f t="shared" si="344"/>
        <v>0</v>
      </c>
      <c r="AM320" s="134">
        <f t="shared" si="345"/>
        <v>0</v>
      </c>
      <c r="AN320" s="134">
        <f t="shared" si="346"/>
        <v>0</v>
      </c>
      <c r="AO320" s="134">
        <f t="shared" si="347"/>
        <v>0</v>
      </c>
      <c r="AP320" s="134">
        <f t="shared" si="348"/>
        <v>0</v>
      </c>
      <c r="AQ320" s="134">
        <f t="shared" si="349"/>
        <v>0</v>
      </c>
      <c r="AR320" s="134">
        <f t="shared" si="350"/>
        <v>0</v>
      </c>
      <c r="AS320" s="135">
        <f t="shared" si="351"/>
        <v>0</v>
      </c>
      <c r="AT320" s="137" t="str">
        <f t="shared" si="352"/>
        <v>0</v>
      </c>
      <c r="AU320" s="137" t="str">
        <f t="shared" si="353"/>
        <v>0</v>
      </c>
      <c r="AV320" s="137" t="str">
        <f t="shared" si="354"/>
        <v>0</v>
      </c>
      <c r="AW320" s="137" t="str">
        <f t="shared" si="355"/>
        <v>0</v>
      </c>
      <c r="AX320" s="137" t="str">
        <f t="shared" si="356"/>
        <v>0</v>
      </c>
      <c r="AY320" s="137" t="str">
        <f t="shared" si="357"/>
        <v>0</v>
      </c>
      <c r="AZ320" s="137" t="str">
        <f t="shared" si="358"/>
        <v>0</v>
      </c>
      <c r="BA320" s="137" t="str">
        <f t="shared" si="359"/>
        <v>0</v>
      </c>
      <c r="BB320" s="137" t="str">
        <f t="shared" si="360"/>
        <v>0</v>
      </c>
      <c r="BC320" s="137" t="str">
        <f t="shared" si="361"/>
        <v>0</v>
      </c>
      <c r="BD320" s="131">
        <f t="shared" si="362"/>
        <v>0</v>
      </c>
    </row>
    <row r="321" spans="1:56" x14ac:dyDescent="0.25">
      <c r="A321" s="167" t="s">
        <v>407</v>
      </c>
      <c r="B321" s="300">
        <v>8200191</v>
      </c>
      <c r="C321" s="301" t="s">
        <v>316</v>
      </c>
      <c r="D321" s="301" t="s">
        <v>407</v>
      </c>
      <c r="E321" s="302" t="s">
        <v>575</v>
      </c>
      <c r="F321" s="274"/>
      <c r="G321" s="130">
        <f>+SUMIFS(TablaIngresos[Cantidad],TablaIngresos[Código],'Inventario '!B321)</f>
        <v>0</v>
      </c>
      <c r="H321" s="130">
        <f t="shared" si="334"/>
        <v>0</v>
      </c>
      <c r="I321" s="131">
        <f>SUMIFS(TablaConsumos[[CANTIDAD ]:[CANTIDAD ]],TablaConsumos[[CÓDIGO]:[CÓDIGO]],'Inventario '!$B321,TablaConsumos[[Planta]:[Planta]],'Inventario '!I$1)</f>
        <v>0</v>
      </c>
      <c r="J321" s="131">
        <f>SUMIFS(TablaConsumos[[CANTIDAD ]:[CANTIDAD ]],TablaConsumos[[CÓDIGO]:[CÓDIGO]],'Inventario '!$B321,TablaConsumos[[Planta]:[Planta]],'Inventario '!J$1)</f>
        <v>0</v>
      </c>
      <c r="K321" s="131">
        <f>SUMIFS(TablaConsumos[[CANTIDAD ]:[CANTIDAD ]],TablaConsumos[[CÓDIGO]:[CÓDIGO]],'Inventario '!$B321,TablaConsumos[[Planta]:[Planta]],'Inventario '!K$1)</f>
        <v>0</v>
      </c>
      <c r="L321" s="131">
        <f>SUMIFS(TablaConsumos[[CANTIDAD ]:[CANTIDAD ]],TablaConsumos[[CÓDIGO]:[CÓDIGO]],'Inventario '!$B321,TablaConsumos[[Planta]:[Planta]],'Inventario '!L$1)</f>
        <v>0</v>
      </c>
      <c r="M321" s="131">
        <f>SUMIFS(TablaConsumos[[CANTIDAD ]:[CANTIDAD ]],TablaConsumos[[CÓDIGO]:[CÓDIGO]],'Inventario '!$B321,TablaConsumos[[Planta]:[Planta]],'Inventario '!M$1)</f>
        <v>0</v>
      </c>
      <c r="N321" s="131">
        <f>SUMIFS(TablaConsumos[[CANTIDAD ]:[CANTIDAD ]],TablaConsumos[[CÓDIGO]:[CÓDIGO]],'Inventario '!$B321,TablaConsumos[[Planta]:[Planta]],'Inventario '!N$1)</f>
        <v>0</v>
      </c>
      <c r="O321" s="131">
        <f>SUMIFS(TablaConsumos[[CANTIDAD ]:[CANTIDAD ]],TablaConsumos[[CÓDIGO]:[CÓDIGO]],'Inventario '!$B321,TablaConsumos[[Planta]:[Planta]],'Inventario '!O$1)</f>
        <v>0</v>
      </c>
      <c r="P321" s="131">
        <f>SUMIFS(TablaConsumos[[CANTIDAD ]:[CANTIDAD ]],TablaConsumos[[CÓDIGO]:[CÓDIGO]],'Inventario '!$B321,TablaConsumos[[Planta]:[Planta]],'Inventario '!P$1)</f>
        <v>0</v>
      </c>
      <c r="Q321" s="131">
        <f>SUMIFS(TablaConsumos[[CANTIDAD ]:[CANTIDAD ]],TablaConsumos[[CÓDIGO]:[CÓDIGO]],'Inventario '!$B321,TablaConsumos[[Planta]:[Planta]],'Inventario '!Q$1)</f>
        <v>0</v>
      </c>
      <c r="R321" s="131">
        <f>SUMIFS(TablaConsumos[[CANTIDAD ]:[CANTIDAD ]],TablaConsumos[[CÓDIGO]:[CÓDIGO]],'Inventario '!$B321,TablaConsumos[[Planta]:[Planta]],'Inventario '!R$1)</f>
        <v>0</v>
      </c>
      <c r="S321" s="130">
        <f t="shared" si="335"/>
        <v>0</v>
      </c>
      <c r="T321" s="130">
        <f t="shared" si="336"/>
        <v>0</v>
      </c>
      <c r="U321" s="132"/>
      <c r="V321" s="130"/>
      <c r="W321" s="132">
        <v>1</v>
      </c>
      <c r="X321" s="132">
        <f t="shared" si="363"/>
        <v>0</v>
      </c>
      <c r="Y321" s="130">
        <f t="shared" si="337"/>
        <v>0</v>
      </c>
      <c r="Z321" s="132"/>
      <c r="AA321" s="132">
        <f t="shared" si="338"/>
        <v>0</v>
      </c>
      <c r="AB321" s="132"/>
      <c r="AC321" s="131">
        <f t="shared" si="339"/>
        <v>0</v>
      </c>
      <c r="AD321" s="131"/>
      <c r="AE321" s="130"/>
      <c r="AF321" s="130"/>
      <c r="AG321" s="168"/>
      <c r="AH321" s="134">
        <f t="shared" si="340"/>
        <v>0</v>
      </c>
      <c r="AI321" s="134">
        <f t="shared" si="341"/>
        <v>0</v>
      </c>
      <c r="AJ321" s="134">
        <f t="shared" si="342"/>
        <v>0</v>
      </c>
      <c r="AK321" s="134">
        <f t="shared" si="343"/>
        <v>0</v>
      </c>
      <c r="AL321" s="134">
        <f t="shared" si="344"/>
        <v>0</v>
      </c>
      <c r="AM321" s="134">
        <f t="shared" si="345"/>
        <v>0</v>
      </c>
      <c r="AN321" s="134">
        <f t="shared" si="346"/>
        <v>0</v>
      </c>
      <c r="AO321" s="134">
        <f t="shared" si="347"/>
        <v>0</v>
      </c>
      <c r="AP321" s="134">
        <f t="shared" si="348"/>
        <v>0</v>
      </c>
      <c r="AQ321" s="134">
        <f t="shared" si="349"/>
        <v>0</v>
      </c>
      <c r="AR321" s="134">
        <f t="shared" si="350"/>
        <v>0</v>
      </c>
      <c r="AS321" s="135">
        <f t="shared" si="351"/>
        <v>0</v>
      </c>
      <c r="AT321" s="137" t="str">
        <f t="shared" si="352"/>
        <v>0</v>
      </c>
      <c r="AU321" s="137" t="str">
        <f t="shared" si="353"/>
        <v>0</v>
      </c>
      <c r="AV321" s="137" t="str">
        <f t="shared" si="354"/>
        <v>0</v>
      </c>
      <c r="AW321" s="137" t="str">
        <f t="shared" si="355"/>
        <v>0</v>
      </c>
      <c r="AX321" s="137" t="str">
        <f t="shared" si="356"/>
        <v>0</v>
      </c>
      <c r="AY321" s="137" t="str">
        <f t="shared" si="357"/>
        <v>0</v>
      </c>
      <c r="AZ321" s="137" t="str">
        <f t="shared" si="358"/>
        <v>0</v>
      </c>
      <c r="BA321" s="137" t="str">
        <f t="shared" si="359"/>
        <v>0</v>
      </c>
      <c r="BB321" s="137" t="str">
        <f t="shared" si="360"/>
        <v>0</v>
      </c>
      <c r="BC321" s="137" t="str">
        <f t="shared" si="361"/>
        <v>0</v>
      </c>
      <c r="BD321" s="131">
        <f t="shared" si="362"/>
        <v>0</v>
      </c>
    </row>
    <row r="322" spans="1:56" x14ac:dyDescent="0.25">
      <c r="A322" s="167" t="s">
        <v>407</v>
      </c>
      <c r="B322" s="300">
        <v>8200260</v>
      </c>
      <c r="C322" s="301" t="s">
        <v>316</v>
      </c>
      <c r="D322" s="301" t="s">
        <v>407</v>
      </c>
      <c r="E322" s="302" t="s">
        <v>576</v>
      </c>
      <c r="F322" s="274"/>
      <c r="G322" s="130">
        <f>+SUMIFS(TablaIngresos[Cantidad],TablaIngresos[Código],'Inventario '!B322)</f>
        <v>0</v>
      </c>
      <c r="H322" s="130">
        <f t="shared" si="334"/>
        <v>0</v>
      </c>
      <c r="I322" s="131">
        <f>SUMIFS(TablaConsumos[[CANTIDAD ]:[CANTIDAD ]],TablaConsumos[[CÓDIGO]:[CÓDIGO]],'Inventario '!$B322,TablaConsumos[[Planta]:[Planta]],'Inventario '!I$1)</f>
        <v>0</v>
      </c>
      <c r="J322" s="131">
        <f>SUMIFS(TablaConsumos[[CANTIDAD ]:[CANTIDAD ]],TablaConsumos[[CÓDIGO]:[CÓDIGO]],'Inventario '!$B322,TablaConsumos[[Planta]:[Planta]],'Inventario '!J$1)</f>
        <v>0</v>
      </c>
      <c r="K322" s="131">
        <f>SUMIFS(TablaConsumos[[CANTIDAD ]:[CANTIDAD ]],TablaConsumos[[CÓDIGO]:[CÓDIGO]],'Inventario '!$B322,TablaConsumos[[Planta]:[Planta]],'Inventario '!K$1)</f>
        <v>0</v>
      </c>
      <c r="L322" s="131">
        <f>SUMIFS(TablaConsumos[[CANTIDAD ]:[CANTIDAD ]],TablaConsumos[[CÓDIGO]:[CÓDIGO]],'Inventario '!$B322,TablaConsumos[[Planta]:[Planta]],'Inventario '!L$1)</f>
        <v>0</v>
      </c>
      <c r="M322" s="131">
        <f>SUMIFS(TablaConsumos[[CANTIDAD ]:[CANTIDAD ]],TablaConsumos[[CÓDIGO]:[CÓDIGO]],'Inventario '!$B322,TablaConsumos[[Planta]:[Planta]],'Inventario '!M$1)</f>
        <v>0</v>
      </c>
      <c r="N322" s="131">
        <f>SUMIFS(TablaConsumos[[CANTIDAD ]:[CANTIDAD ]],TablaConsumos[[CÓDIGO]:[CÓDIGO]],'Inventario '!$B322,TablaConsumos[[Planta]:[Planta]],'Inventario '!N$1)</f>
        <v>0</v>
      </c>
      <c r="O322" s="131">
        <f>SUMIFS(TablaConsumos[[CANTIDAD ]:[CANTIDAD ]],TablaConsumos[[CÓDIGO]:[CÓDIGO]],'Inventario '!$B322,TablaConsumos[[Planta]:[Planta]],'Inventario '!O$1)</f>
        <v>0</v>
      </c>
      <c r="P322" s="131">
        <f>SUMIFS(TablaConsumos[[CANTIDAD ]:[CANTIDAD ]],TablaConsumos[[CÓDIGO]:[CÓDIGO]],'Inventario '!$B322,TablaConsumos[[Planta]:[Planta]],'Inventario '!P$1)</f>
        <v>0</v>
      </c>
      <c r="Q322" s="131">
        <f>SUMIFS(TablaConsumos[[CANTIDAD ]:[CANTIDAD ]],TablaConsumos[[CÓDIGO]:[CÓDIGO]],'Inventario '!$B322,TablaConsumos[[Planta]:[Planta]],'Inventario '!Q$1)</f>
        <v>0</v>
      </c>
      <c r="R322" s="131">
        <f>SUMIFS(TablaConsumos[[CANTIDAD ]:[CANTIDAD ]],TablaConsumos[[CÓDIGO]:[CÓDIGO]],'Inventario '!$B322,TablaConsumos[[Planta]:[Planta]],'Inventario '!R$1)</f>
        <v>0</v>
      </c>
      <c r="S322" s="130">
        <f t="shared" si="335"/>
        <v>0</v>
      </c>
      <c r="T322" s="130">
        <f t="shared" si="336"/>
        <v>0</v>
      </c>
      <c r="U322" s="132"/>
      <c r="V322" s="130"/>
      <c r="W322" s="132">
        <v>1</v>
      </c>
      <c r="X322" s="132">
        <f t="shared" si="363"/>
        <v>0</v>
      </c>
      <c r="Y322" s="130">
        <f t="shared" si="337"/>
        <v>0</v>
      </c>
      <c r="Z322" s="132"/>
      <c r="AA322" s="132">
        <f t="shared" si="338"/>
        <v>0</v>
      </c>
      <c r="AB322" s="132"/>
      <c r="AC322" s="131">
        <f t="shared" si="339"/>
        <v>0</v>
      </c>
      <c r="AD322" s="131"/>
      <c r="AE322" s="130"/>
      <c r="AF322" s="130"/>
      <c r="AG322" s="168"/>
      <c r="AH322" s="134">
        <f t="shared" si="340"/>
        <v>0</v>
      </c>
      <c r="AI322" s="134">
        <f t="shared" si="341"/>
        <v>0</v>
      </c>
      <c r="AJ322" s="134">
        <f t="shared" si="342"/>
        <v>0</v>
      </c>
      <c r="AK322" s="134">
        <f t="shared" si="343"/>
        <v>0</v>
      </c>
      <c r="AL322" s="134">
        <f t="shared" si="344"/>
        <v>0</v>
      </c>
      <c r="AM322" s="134">
        <f t="shared" si="345"/>
        <v>0</v>
      </c>
      <c r="AN322" s="134">
        <f t="shared" si="346"/>
        <v>0</v>
      </c>
      <c r="AO322" s="134">
        <f t="shared" si="347"/>
        <v>0</v>
      </c>
      <c r="AP322" s="134">
        <f t="shared" si="348"/>
        <v>0</v>
      </c>
      <c r="AQ322" s="134">
        <f t="shared" si="349"/>
        <v>0</v>
      </c>
      <c r="AR322" s="134">
        <f t="shared" si="350"/>
        <v>0</v>
      </c>
      <c r="AS322" s="135">
        <f t="shared" si="351"/>
        <v>0</v>
      </c>
      <c r="AT322" s="137" t="str">
        <f t="shared" si="352"/>
        <v>0</v>
      </c>
      <c r="AU322" s="137" t="str">
        <f t="shared" si="353"/>
        <v>0</v>
      </c>
      <c r="AV322" s="137" t="str">
        <f t="shared" si="354"/>
        <v>0</v>
      </c>
      <c r="AW322" s="137" t="str">
        <f t="shared" si="355"/>
        <v>0</v>
      </c>
      <c r="AX322" s="137" t="str">
        <f t="shared" si="356"/>
        <v>0</v>
      </c>
      <c r="AY322" s="137" t="str">
        <f t="shared" si="357"/>
        <v>0</v>
      </c>
      <c r="AZ322" s="137" t="str">
        <f t="shared" si="358"/>
        <v>0</v>
      </c>
      <c r="BA322" s="137" t="str">
        <f t="shared" si="359"/>
        <v>0</v>
      </c>
      <c r="BB322" s="137" t="str">
        <f t="shared" si="360"/>
        <v>0</v>
      </c>
      <c r="BC322" s="137" t="str">
        <f t="shared" si="361"/>
        <v>0</v>
      </c>
      <c r="BD322" s="131">
        <f t="shared" si="362"/>
        <v>0</v>
      </c>
    </row>
    <row r="323" spans="1:56" x14ac:dyDescent="0.25">
      <c r="A323" s="167" t="s">
        <v>796</v>
      </c>
      <c r="B323" s="127">
        <v>8200320</v>
      </c>
      <c r="C323" s="128" t="s">
        <v>589</v>
      </c>
      <c r="D323" s="128" t="s">
        <v>803</v>
      </c>
      <c r="E323" s="129" t="s">
        <v>578</v>
      </c>
      <c r="F323" s="274"/>
      <c r="G323" s="130">
        <f>+SUMIFS(TablaIngresos[Cantidad],TablaIngresos[Código],'Inventario '!B323)</f>
        <v>0</v>
      </c>
      <c r="H323" s="130">
        <f t="shared" si="334"/>
        <v>0</v>
      </c>
      <c r="I323" s="131">
        <f>SUMIFS(TablaConsumos[[CANTIDAD ]:[CANTIDAD ]],TablaConsumos[[CÓDIGO]:[CÓDIGO]],'Inventario '!$B323,TablaConsumos[[Planta]:[Planta]],'Inventario '!I$1)</f>
        <v>0</v>
      </c>
      <c r="J323" s="131">
        <f>SUMIFS(TablaConsumos[[CANTIDAD ]:[CANTIDAD ]],TablaConsumos[[CÓDIGO]:[CÓDIGO]],'Inventario '!$B323,TablaConsumos[[Planta]:[Planta]],'Inventario '!J$1)</f>
        <v>0</v>
      </c>
      <c r="K323" s="131">
        <f>SUMIFS(TablaConsumos[[CANTIDAD ]:[CANTIDAD ]],TablaConsumos[[CÓDIGO]:[CÓDIGO]],'Inventario '!$B323,TablaConsumos[[Planta]:[Planta]],'Inventario '!K$1)</f>
        <v>0</v>
      </c>
      <c r="L323" s="131">
        <f>SUMIFS(TablaConsumos[[CANTIDAD ]:[CANTIDAD ]],TablaConsumos[[CÓDIGO]:[CÓDIGO]],'Inventario '!$B323,TablaConsumos[[Planta]:[Planta]],'Inventario '!L$1)</f>
        <v>0</v>
      </c>
      <c r="M323" s="131">
        <f>SUMIFS(TablaConsumos[[CANTIDAD ]:[CANTIDAD ]],TablaConsumos[[CÓDIGO]:[CÓDIGO]],'Inventario '!$B323,TablaConsumos[[Planta]:[Planta]],'Inventario '!M$1)</f>
        <v>0</v>
      </c>
      <c r="N323" s="131">
        <f>SUMIFS(TablaConsumos[[CANTIDAD ]:[CANTIDAD ]],TablaConsumos[[CÓDIGO]:[CÓDIGO]],'Inventario '!$B323,TablaConsumos[[Planta]:[Planta]],'Inventario '!N$1)</f>
        <v>0</v>
      </c>
      <c r="O323" s="131">
        <f>SUMIFS(TablaConsumos[[CANTIDAD ]:[CANTIDAD ]],TablaConsumos[[CÓDIGO]:[CÓDIGO]],'Inventario '!$B323,TablaConsumos[[Planta]:[Planta]],'Inventario '!O$1)</f>
        <v>0</v>
      </c>
      <c r="P323" s="131">
        <f>SUMIFS(TablaConsumos[[CANTIDAD ]:[CANTIDAD ]],TablaConsumos[[CÓDIGO]:[CÓDIGO]],'Inventario '!$B323,TablaConsumos[[Planta]:[Planta]],'Inventario '!P$1)</f>
        <v>0</v>
      </c>
      <c r="Q323" s="131">
        <f>SUMIFS(TablaConsumos[[CANTIDAD ]:[CANTIDAD ]],TablaConsumos[[CÓDIGO]:[CÓDIGO]],'Inventario '!$B323,TablaConsumos[[Planta]:[Planta]],'Inventario '!Q$1)</f>
        <v>0</v>
      </c>
      <c r="R323" s="131">
        <f>SUMIFS(TablaConsumos[[CANTIDAD ]:[CANTIDAD ]],TablaConsumos[[CÓDIGO]:[CÓDIGO]],'Inventario '!$B323,TablaConsumos[[Planta]:[Planta]],'Inventario '!R$1)</f>
        <v>0</v>
      </c>
      <c r="S323" s="130">
        <f t="shared" si="335"/>
        <v>0</v>
      </c>
      <c r="T323" s="130">
        <f t="shared" si="336"/>
        <v>0</v>
      </c>
      <c r="U323" s="132"/>
      <c r="V323" s="130"/>
      <c r="W323" s="132">
        <v>1</v>
      </c>
      <c r="X323" s="132">
        <f t="shared" si="363"/>
        <v>0</v>
      </c>
      <c r="Y323" s="130">
        <f t="shared" si="337"/>
        <v>0</v>
      </c>
      <c r="Z323" s="132"/>
      <c r="AA323" s="132">
        <f t="shared" si="338"/>
        <v>0</v>
      </c>
      <c r="AB323" s="132"/>
      <c r="AC323" s="131">
        <f t="shared" si="339"/>
        <v>0</v>
      </c>
      <c r="AD323" s="131"/>
      <c r="AE323" s="130"/>
      <c r="AF323" s="130"/>
      <c r="AG323" s="168"/>
      <c r="AH323" s="134">
        <f t="shared" si="340"/>
        <v>0</v>
      </c>
      <c r="AI323" s="134">
        <f t="shared" si="341"/>
        <v>0</v>
      </c>
      <c r="AJ323" s="134">
        <f t="shared" si="342"/>
        <v>0</v>
      </c>
      <c r="AK323" s="134">
        <f t="shared" si="343"/>
        <v>0</v>
      </c>
      <c r="AL323" s="134">
        <f t="shared" si="344"/>
        <v>0</v>
      </c>
      <c r="AM323" s="134">
        <f t="shared" si="345"/>
        <v>0</v>
      </c>
      <c r="AN323" s="134">
        <f t="shared" si="346"/>
        <v>0</v>
      </c>
      <c r="AO323" s="134">
        <f t="shared" si="347"/>
        <v>0</v>
      </c>
      <c r="AP323" s="134">
        <f t="shared" si="348"/>
        <v>0</v>
      </c>
      <c r="AQ323" s="134">
        <f t="shared" si="349"/>
        <v>0</v>
      </c>
      <c r="AR323" s="134">
        <f t="shared" si="350"/>
        <v>0</v>
      </c>
      <c r="AS323" s="135">
        <f t="shared" si="351"/>
        <v>0</v>
      </c>
      <c r="AT323" s="137" t="str">
        <f t="shared" si="352"/>
        <v>0</v>
      </c>
      <c r="AU323" s="137" t="str">
        <f t="shared" si="353"/>
        <v>0</v>
      </c>
      <c r="AV323" s="137" t="str">
        <f t="shared" si="354"/>
        <v>0</v>
      </c>
      <c r="AW323" s="137" t="str">
        <f t="shared" si="355"/>
        <v>0</v>
      </c>
      <c r="AX323" s="137" t="str">
        <f t="shared" si="356"/>
        <v>0</v>
      </c>
      <c r="AY323" s="137" t="str">
        <f t="shared" si="357"/>
        <v>0</v>
      </c>
      <c r="AZ323" s="137" t="str">
        <f t="shared" si="358"/>
        <v>0</v>
      </c>
      <c r="BA323" s="137" t="str">
        <f t="shared" si="359"/>
        <v>0</v>
      </c>
      <c r="BB323" s="137" t="str">
        <f t="shared" si="360"/>
        <v>0</v>
      </c>
      <c r="BC323" s="137" t="str">
        <f t="shared" si="361"/>
        <v>0</v>
      </c>
      <c r="BD323" s="131">
        <f t="shared" si="362"/>
        <v>0</v>
      </c>
    </row>
    <row r="324" spans="1:56" ht="25.5" x14ac:dyDescent="0.25">
      <c r="A324" s="167" t="s">
        <v>796</v>
      </c>
      <c r="B324" s="127">
        <v>8200330</v>
      </c>
      <c r="C324" s="128" t="s">
        <v>17</v>
      </c>
      <c r="D324" s="128" t="s">
        <v>803</v>
      </c>
      <c r="E324" s="129" t="s">
        <v>716</v>
      </c>
      <c r="F324" s="274"/>
      <c r="G324" s="130">
        <f>+SUMIFS(TablaIngresos[Cantidad],TablaIngresos[Código],'Inventario '!B324)</f>
        <v>0</v>
      </c>
      <c r="H324" s="130">
        <f t="shared" si="334"/>
        <v>0</v>
      </c>
      <c r="I324" s="131">
        <f>SUMIFS(TablaConsumos[[CANTIDAD ]:[CANTIDAD ]],TablaConsumos[[CÓDIGO]:[CÓDIGO]],'Inventario '!$B324,TablaConsumos[[Planta]:[Planta]],'Inventario '!I$1)</f>
        <v>0</v>
      </c>
      <c r="J324" s="131">
        <f>SUMIFS(TablaConsumos[[CANTIDAD ]:[CANTIDAD ]],TablaConsumos[[CÓDIGO]:[CÓDIGO]],'Inventario '!$B324,TablaConsumos[[Planta]:[Planta]],'Inventario '!J$1)</f>
        <v>0</v>
      </c>
      <c r="K324" s="131">
        <f>SUMIFS(TablaConsumos[[CANTIDAD ]:[CANTIDAD ]],TablaConsumos[[CÓDIGO]:[CÓDIGO]],'Inventario '!$B324,TablaConsumos[[Planta]:[Planta]],'Inventario '!K$1)</f>
        <v>0</v>
      </c>
      <c r="L324" s="131">
        <f>SUMIFS(TablaConsumos[[CANTIDAD ]:[CANTIDAD ]],TablaConsumos[[CÓDIGO]:[CÓDIGO]],'Inventario '!$B324,TablaConsumos[[Planta]:[Planta]],'Inventario '!L$1)</f>
        <v>0</v>
      </c>
      <c r="M324" s="131">
        <f>SUMIFS(TablaConsumos[[CANTIDAD ]:[CANTIDAD ]],TablaConsumos[[CÓDIGO]:[CÓDIGO]],'Inventario '!$B324,TablaConsumos[[Planta]:[Planta]],'Inventario '!M$1)</f>
        <v>0</v>
      </c>
      <c r="N324" s="131">
        <f>SUMIFS(TablaConsumos[[CANTIDAD ]:[CANTIDAD ]],TablaConsumos[[CÓDIGO]:[CÓDIGO]],'Inventario '!$B324,TablaConsumos[[Planta]:[Planta]],'Inventario '!N$1)</f>
        <v>0</v>
      </c>
      <c r="O324" s="131">
        <f>SUMIFS(TablaConsumos[[CANTIDAD ]:[CANTIDAD ]],TablaConsumos[[CÓDIGO]:[CÓDIGO]],'Inventario '!$B324,TablaConsumos[[Planta]:[Planta]],'Inventario '!O$1)</f>
        <v>0</v>
      </c>
      <c r="P324" s="131">
        <f>SUMIFS(TablaConsumos[[CANTIDAD ]:[CANTIDAD ]],TablaConsumos[[CÓDIGO]:[CÓDIGO]],'Inventario '!$B324,TablaConsumos[[Planta]:[Planta]],'Inventario '!P$1)</f>
        <v>0</v>
      </c>
      <c r="Q324" s="131">
        <f>SUMIFS(TablaConsumos[[CANTIDAD ]:[CANTIDAD ]],TablaConsumos[[CÓDIGO]:[CÓDIGO]],'Inventario '!$B324,TablaConsumos[[Planta]:[Planta]],'Inventario '!Q$1)</f>
        <v>0</v>
      </c>
      <c r="R324" s="131">
        <f>SUMIFS(TablaConsumos[[CANTIDAD ]:[CANTIDAD ]],TablaConsumos[[CÓDIGO]:[CÓDIGO]],'Inventario '!$B324,TablaConsumos[[Planta]:[Planta]],'Inventario '!R$1)</f>
        <v>0</v>
      </c>
      <c r="S324" s="130">
        <f t="shared" si="335"/>
        <v>0</v>
      </c>
      <c r="T324" s="130">
        <f t="shared" si="336"/>
        <v>0</v>
      </c>
      <c r="U324" s="132"/>
      <c r="V324" s="130"/>
      <c r="W324" s="132">
        <v>1</v>
      </c>
      <c r="X324" s="132">
        <f t="shared" si="363"/>
        <v>0</v>
      </c>
      <c r="Y324" s="130">
        <f t="shared" si="337"/>
        <v>0</v>
      </c>
      <c r="Z324" s="132"/>
      <c r="AA324" s="132">
        <f t="shared" si="338"/>
        <v>0</v>
      </c>
      <c r="AB324" s="132"/>
      <c r="AC324" s="131">
        <f t="shared" si="339"/>
        <v>0</v>
      </c>
      <c r="AD324" s="131"/>
      <c r="AE324" s="130"/>
      <c r="AF324" s="130"/>
      <c r="AG324" s="168"/>
      <c r="AH324" s="134">
        <f t="shared" si="340"/>
        <v>0</v>
      </c>
      <c r="AI324" s="134">
        <f t="shared" si="341"/>
        <v>0</v>
      </c>
      <c r="AJ324" s="134">
        <f t="shared" si="342"/>
        <v>0</v>
      </c>
      <c r="AK324" s="134">
        <f t="shared" si="343"/>
        <v>0</v>
      </c>
      <c r="AL324" s="134">
        <f t="shared" si="344"/>
        <v>0</v>
      </c>
      <c r="AM324" s="134">
        <f t="shared" si="345"/>
        <v>0</v>
      </c>
      <c r="AN324" s="134">
        <f t="shared" si="346"/>
        <v>0</v>
      </c>
      <c r="AO324" s="134">
        <f t="shared" si="347"/>
        <v>0</v>
      </c>
      <c r="AP324" s="134">
        <f t="shared" si="348"/>
        <v>0</v>
      </c>
      <c r="AQ324" s="134">
        <f t="shared" si="349"/>
        <v>0</v>
      </c>
      <c r="AR324" s="134">
        <f t="shared" si="350"/>
        <v>0</v>
      </c>
      <c r="AS324" s="135">
        <f t="shared" si="351"/>
        <v>0</v>
      </c>
      <c r="AT324" s="137" t="str">
        <f t="shared" si="352"/>
        <v>0</v>
      </c>
      <c r="AU324" s="137" t="str">
        <f t="shared" si="353"/>
        <v>0</v>
      </c>
      <c r="AV324" s="137" t="str">
        <f t="shared" si="354"/>
        <v>0</v>
      </c>
      <c r="AW324" s="137" t="str">
        <f t="shared" si="355"/>
        <v>0</v>
      </c>
      <c r="AX324" s="137" t="str">
        <f t="shared" si="356"/>
        <v>0</v>
      </c>
      <c r="AY324" s="137" t="str">
        <f t="shared" si="357"/>
        <v>0</v>
      </c>
      <c r="AZ324" s="137" t="str">
        <f t="shared" si="358"/>
        <v>0</v>
      </c>
      <c r="BA324" s="137" t="str">
        <f t="shared" si="359"/>
        <v>0</v>
      </c>
      <c r="BB324" s="137" t="str">
        <f t="shared" si="360"/>
        <v>0</v>
      </c>
      <c r="BC324" s="137" t="str">
        <f t="shared" si="361"/>
        <v>0</v>
      </c>
      <c r="BD324" s="131">
        <f t="shared" si="362"/>
        <v>0</v>
      </c>
    </row>
    <row r="325" spans="1:56" ht="25.5" customHeight="1" x14ac:dyDescent="0.25">
      <c r="A325" s="167" t="s">
        <v>796</v>
      </c>
      <c r="B325" s="127">
        <v>8201110</v>
      </c>
      <c r="C325" s="128" t="s">
        <v>717</v>
      </c>
      <c r="D325" s="128" t="s">
        <v>804</v>
      </c>
      <c r="E325" s="129" t="s">
        <v>582</v>
      </c>
      <c r="F325" s="274"/>
      <c r="G325" s="130">
        <f>+SUMIFS(TablaIngresos[Cantidad],TablaIngresos[Código],'Inventario '!B325)</f>
        <v>0</v>
      </c>
      <c r="H325" s="130">
        <f t="shared" si="334"/>
        <v>0</v>
      </c>
      <c r="I325" s="131">
        <f>SUMIFS(TablaConsumos[[CANTIDAD ]:[CANTIDAD ]],TablaConsumos[[CÓDIGO]:[CÓDIGO]],'Inventario '!$B325,TablaConsumos[[Planta]:[Planta]],'Inventario '!I$1)</f>
        <v>0</v>
      </c>
      <c r="J325" s="131">
        <f>SUMIFS(TablaConsumos[[CANTIDAD ]:[CANTIDAD ]],TablaConsumos[[CÓDIGO]:[CÓDIGO]],'Inventario '!$B325,TablaConsumos[[Planta]:[Planta]],'Inventario '!J$1)</f>
        <v>0</v>
      </c>
      <c r="K325" s="131">
        <f>SUMIFS(TablaConsumos[[CANTIDAD ]:[CANTIDAD ]],TablaConsumos[[CÓDIGO]:[CÓDIGO]],'Inventario '!$B325,TablaConsumos[[Planta]:[Planta]],'Inventario '!K$1)</f>
        <v>0</v>
      </c>
      <c r="L325" s="131">
        <f>SUMIFS(TablaConsumos[[CANTIDAD ]:[CANTIDAD ]],TablaConsumos[[CÓDIGO]:[CÓDIGO]],'Inventario '!$B325,TablaConsumos[[Planta]:[Planta]],'Inventario '!L$1)</f>
        <v>0</v>
      </c>
      <c r="M325" s="131">
        <f>SUMIFS(TablaConsumos[[CANTIDAD ]:[CANTIDAD ]],TablaConsumos[[CÓDIGO]:[CÓDIGO]],'Inventario '!$B325,TablaConsumos[[Planta]:[Planta]],'Inventario '!M$1)</f>
        <v>0</v>
      </c>
      <c r="N325" s="131">
        <f>SUMIFS(TablaConsumos[[CANTIDAD ]:[CANTIDAD ]],TablaConsumos[[CÓDIGO]:[CÓDIGO]],'Inventario '!$B325,TablaConsumos[[Planta]:[Planta]],'Inventario '!N$1)</f>
        <v>0</v>
      </c>
      <c r="O325" s="131">
        <f>SUMIFS(TablaConsumos[[CANTIDAD ]:[CANTIDAD ]],TablaConsumos[[CÓDIGO]:[CÓDIGO]],'Inventario '!$B325,TablaConsumos[[Planta]:[Planta]],'Inventario '!O$1)</f>
        <v>0</v>
      </c>
      <c r="P325" s="131">
        <f>SUMIFS(TablaConsumos[[CANTIDAD ]:[CANTIDAD ]],TablaConsumos[[CÓDIGO]:[CÓDIGO]],'Inventario '!$B325,TablaConsumos[[Planta]:[Planta]],'Inventario '!P$1)</f>
        <v>0</v>
      </c>
      <c r="Q325" s="131">
        <f>SUMIFS(TablaConsumos[[CANTIDAD ]:[CANTIDAD ]],TablaConsumos[[CÓDIGO]:[CÓDIGO]],'Inventario '!$B325,TablaConsumos[[Planta]:[Planta]],'Inventario '!Q$1)</f>
        <v>0</v>
      </c>
      <c r="R325" s="131">
        <f>SUMIFS(TablaConsumos[[CANTIDAD ]:[CANTIDAD ]],TablaConsumos[[CÓDIGO]:[CÓDIGO]],'Inventario '!$B325,TablaConsumos[[Planta]:[Planta]],'Inventario '!R$1)</f>
        <v>0</v>
      </c>
      <c r="S325" s="130">
        <f t="shared" si="335"/>
        <v>0</v>
      </c>
      <c r="T325" s="130">
        <f t="shared" si="336"/>
        <v>0</v>
      </c>
      <c r="U325" s="132"/>
      <c r="V325" s="130"/>
      <c r="W325" s="132">
        <v>1</v>
      </c>
      <c r="X325" s="132">
        <f t="shared" si="363"/>
        <v>0</v>
      </c>
      <c r="Y325" s="130">
        <f t="shared" si="337"/>
        <v>0</v>
      </c>
      <c r="Z325" s="132"/>
      <c r="AA325" s="132">
        <f t="shared" si="338"/>
        <v>0</v>
      </c>
      <c r="AB325" s="132"/>
      <c r="AC325" s="131">
        <f t="shared" si="339"/>
        <v>0</v>
      </c>
      <c r="AD325" s="131"/>
      <c r="AE325" s="130"/>
      <c r="AF325" s="130"/>
      <c r="AG325" s="168"/>
      <c r="AH325" s="134">
        <f t="shared" si="340"/>
        <v>0</v>
      </c>
      <c r="AI325" s="134">
        <f t="shared" si="341"/>
        <v>0</v>
      </c>
      <c r="AJ325" s="134">
        <f t="shared" si="342"/>
        <v>0</v>
      </c>
      <c r="AK325" s="134">
        <f t="shared" si="343"/>
        <v>0</v>
      </c>
      <c r="AL325" s="134">
        <f t="shared" si="344"/>
        <v>0</v>
      </c>
      <c r="AM325" s="134">
        <f t="shared" si="345"/>
        <v>0</v>
      </c>
      <c r="AN325" s="134">
        <f t="shared" si="346"/>
        <v>0</v>
      </c>
      <c r="AO325" s="134">
        <f t="shared" si="347"/>
        <v>0</v>
      </c>
      <c r="AP325" s="134">
        <f t="shared" si="348"/>
        <v>0</v>
      </c>
      <c r="AQ325" s="134">
        <f t="shared" si="349"/>
        <v>0</v>
      </c>
      <c r="AR325" s="134">
        <f t="shared" si="350"/>
        <v>0</v>
      </c>
      <c r="AS325" s="135">
        <f t="shared" si="351"/>
        <v>0</v>
      </c>
      <c r="AT325" s="137" t="str">
        <f t="shared" si="352"/>
        <v>0</v>
      </c>
      <c r="AU325" s="137" t="str">
        <f t="shared" si="353"/>
        <v>0</v>
      </c>
      <c r="AV325" s="137" t="str">
        <f t="shared" si="354"/>
        <v>0</v>
      </c>
      <c r="AW325" s="137" t="str">
        <f t="shared" si="355"/>
        <v>0</v>
      </c>
      <c r="AX325" s="137" t="str">
        <f t="shared" si="356"/>
        <v>0</v>
      </c>
      <c r="AY325" s="137" t="str">
        <f t="shared" si="357"/>
        <v>0</v>
      </c>
      <c r="AZ325" s="137" t="str">
        <f t="shared" si="358"/>
        <v>0</v>
      </c>
      <c r="BA325" s="137" t="str">
        <f t="shared" si="359"/>
        <v>0</v>
      </c>
      <c r="BB325" s="137" t="str">
        <f t="shared" si="360"/>
        <v>0</v>
      </c>
      <c r="BC325" s="137" t="str">
        <f t="shared" si="361"/>
        <v>0</v>
      </c>
      <c r="BD325" s="131">
        <f t="shared" si="362"/>
        <v>0</v>
      </c>
    </row>
    <row r="326" spans="1:56" ht="51" x14ac:dyDescent="0.25">
      <c r="B326" s="127">
        <v>8201030</v>
      </c>
      <c r="C326" s="128" t="s">
        <v>17</v>
      </c>
      <c r="D326" s="128" t="s">
        <v>803</v>
      </c>
      <c r="E326" s="129" t="s">
        <v>794</v>
      </c>
      <c r="F326" s="274"/>
      <c r="G326" s="130">
        <f>+SUMIFS(TablaIngresos[Cantidad],TablaIngresos[Código],'Inventario '!B326)</f>
        <v>0</v>
      </c>
      <c r="H326" s="130">
        <f>+F326+G326</f>
        <v>0</v>
      </c>
      <c r="I326" s="131">
        <f>SUMIFS(TablaConsumos[[CANTIDAD ]:[CANTIDAD ]],TablaConsumos[[CÓDIGO]:[CÓDIGO]],'Inventario '!$B326,TablaConsumos[[Planta]:[Planta]],'Inventario '!I$1)</f>
        <v>0</v>
      </c>
      <c r="J326" s="131">
        <f>SUMIFS(TablaConsumos[[CANTIDAD ]:[CANTIDAD ]],TablaConsumos[[CÓDIGO]:[CÓDIGO]],'Inventario '!$B326,TablaConsumos[[Planta]:[Planta]],'Inventario '!J$1)</f>
        <v>0</v>
      </c>
      <c r="K326" s="131">
        <f>SUMIFS(TablaConsumos[[CANTIDAD ]:[CANTIDAD ]],TablaConsumos[[CÓDIGO]:[CÓDIGO]],'Inventario '!$B326,TablaConsumos[[Planta]:[Planta]],'Inventario '!K$1)</f>
        <v>0</v>
      </c>
      <c r="L326" s="131">
        <f>SUMIFS(TablaConsumos[[CANTIDAD ]:[CANTIDAD ]],TablaConsumos[[CÓDIGO]:[CÓDIGO]],'Inventario '!$B326,TablaConsumos[[Planta]:[Planta]],'Inventario '!L$1)</f>
        <v>0</v>
      </c>
      <c r="M326" s="131">
        <f>SUMIFS(TablaConsumos[[CANTIDAD ]:[CANTIDAD ]],TablaConsumos[[CÓDIGO]:[CÓDIGO]],'Inventario '!$B326,TablaConsumos[[Planta]:[Planta]],'Inventario '!M$1)</f>
        <v>0</v>
      </c>
      <c r="N326" s="131">
        <f>SUMIFS(TablaConsumos[[CANTIDAD ]:[CANTIDAD ]],TablaConsumos[[CÓDIGO]:[CÓDIGO]],'Inventario '!$B326,TablaConsumos[[Planta]:[Planta]],'Inventario '!N$1)</f>
        <v>0</v>
      </c>
      <c r="O326" s="131">
        <f>SUMIFS(TablaConsumos[[CANTIDAD ]:[CANTIDAD ]],TablaConsumos[[CÓDIGO]:[CÓDIGO]],'Inventario '!$B326,TablaConsumos[[Planta]:[Planta]],'Inventario '!O$1)</f>
        <v>0</v>
      </c>
      <c r="P326" s="131">
        <f>SUMIFS(TablaConsumos[[CANTIDAD ]:[CANTIDAD ]],TablaConsumos[[CÓDIGO]:[CÓDIGO]],'Inventario '!$B326,TablaConsumos[[Planta]:[Planta]],'Inventario '!P$1)</f>
        <v>0</v>
      </c>
      <c r="Q326" s="131">
        <f>SUMIFS(TablaConsumos[[CANTIDAD ]:[CANTIDAD ]],TablaConsumos[[CÓDIGO]:[CÓDIGO]],'Inventario '!$B326,TablaConsumos[[Planta]:[Planta]],'Inventario '!Q$1)</f>
        <v>0</v>
      </c>
      <c r="R326" s="131">
        <f>SUMIFS(TablaConsumos[[CANTIDAD ]:[CANTIDAD ]],TablaConsumos[[CÓDIGO]:[CÓDIGO]],'Inventario '!$B326,TablaConsumos[[Planta]:[Planta]],'Inventario '!R$1)</f>
        <v>0</v>
      </c>
      <c r="S326" s="130">
        <f>+SUM(I326:R326)</f>
        <v>0</v>
      </c>
      <c r="T326" s="130">
        <f>+H326-S326</f>
        <v>0</v>
      </c>
      <c r="U326" s="132"/>
      <c r="V326" s="130"/>
      <c r="W326" s="132">
        <v>1</v>
      </c>
      <c r="X326" s="132">
        <f>+U326*W326</f>
        <v>0</v>
      </c>
      <c r="Y326" s="130">
        <f>+T326-X326</f>
        <v>0</v>
      </c>
      <c r="Z326" s="132"/>
      <c r="AA326" s="132">
        <f t="shared" si="338"/>
        <v>0</v>
      </c>
      <c r="AB326" s="132"/>
      <c r="AC326" s="131">
        <f t="shared" si="339"/>
        <v>0</v>
      </c>
      <c r="AD326" s="131"/>
      <c r="AE326" s="130"/>
      <c r="AF326" s="130"/>
      <c r="AG326" s="168"/>
      <c r="AH326" s="134">
        <f t="shared" si="340"/>
        <v>0</v>
      </c>
      <c r="AI326" s="134">
        <f t="shared" si="341"/>
        <v>0</v>
      </c>
      <c r="AJ326" s="134">
        <f t="shared" si="342"/>
        <v>0</v>
      </c>
      <c r="AK326" s="134">
        <f t="shared" si="343"/>
        <v>0</v>
      </c>
      <c r="AL326" s="134">
        <f t="shared" si="344"/>
        <v>0</v>
      </c>
      <c r="AM326" s="134">
        <f t="shared" si="345"/>
        <v>0</v>
      </c>
      <c r="AN326" s="134">
        <f t="shared" si="346"/>
        <v>0</v>
      </c>
      <c r="AO326" s="134">
        <f t="shared" si="347"/>
        <v>0</v>
      </c>
      <c r="AP326" s="134">
        <f t="shared" si="348"/>
        <v>0</v>
      </c>
      <c r="AQ326" s="134">
        <f t="shared" si="349"/>
        <v>0</v>
      </c>
      <c r="AR326" s="134">
        <f t="shared" si="350"/>
        <v>0</v>
      </c>
      <c r="AS326" s="135">
        <f>+SUM(AI326:AR326)</f>
        <v>0</v>
      </c>
      <c r="AT326" s="137" t="str">
        <f t="shared" si="352"/>
        <v>0</v>
      </c>
      <c r="AU326" s="137" t="str">
        <f t="shared" si="353"/>
        <v>0</v>
      </c>
      <c r="AV326" s="137" t="str">
        <f t="shared" si="354"/>
        <v>0</v>
      </c>
      <c r="AW326" s="137" t="str">
        <f t="shared" si="355"/>
        <v>0</v>
      </c>
      <c r="AX326" s="137" t="str">
        <f t="shared" si="356"/>
        <v>0</v>
      </c>
      <c r="AY326" s="137" t="str">
        <f t="shared" si="357"/>
        <v>0</v>
      </c>
      <c r="AZ326" s="137" t="str">
        <f t="shared" si="358"/>
        <v>0</v>
      </c>
      <c r="BA326" s="137" t="str">
        <f t="shared" si="359"/>
        <v>0</v>
      </c>
      <c r="BB326" s="137" t="str">
        <f t="shared" si="360"/>
        <v>0</v>
      </c>
      <c r="BC326" s="137" t="str">
        <f t="shared" si="361"/>
        <v>0</v>
      </c>
      <c r="BD326" s="131">
        <f>+SUM(AT326:BC326)</f>
        <v>0</v>
      </c>
    </row>
    <row r="327" spans="1:56" ht="25.5" x14ac:dyDescent="0.25">
      <c r="B327" s="127">
        <v>8206280</v>
      </c>
      <c r="C327" s="128" t="s">
        <v>589</v>
      </c>
      <c r="D327" s="128"/>
      <c r="E327" s="129" t="s">
        <v>852</v>
      </c>
      <c r="F327" s="274"/>
      <c r="G327" s="130">
        <f>+SUMIFS(TablaIngresos[Cantidad],TablaIngresos[Código],'Inventario '!B327)</f>
        <v>0</v>
      </c>
      <c r="H327" s="130">
        <f t="shared" ref="H327:H332" si="364">+F327+G327</f>
        <v>0</v>
      </c>
      <c r="I327" s="131">
        <f>SUMIFS(TablaConsumos[[CANTIDAD ]:[CANTIDAD ]],TablaConsumos[[CÓDIGO]:[CÓDIGO]],'Inventario '!$B327,TablaConsumos[[Planta]:[Planta]],'Inventario '!I$1)</f>
        <v>0</v>
      </c>
      <c r="J327" s="131">
        <f>SUMIFS(TablaConsumos[[CANTIDAD ]:[CANTIDAD ]],TablaConsumos[[CÓDIGO]:[CÓDIGO]],'Inventario '!$B327,TablaConsumos[[Planta]:[Planta]],'Inventario '!J$1)</f>
        <v>0</v>
      </c>
      <c r="K327" s="131">
        <f>SUMIFS(TablaConsumos[[CANTIDAD ]:[CANTIDAD ]],TablaConsumos[[CÓDIGO]:[CÓDIGO]],'Inventario '!$B327,TablaConsumos[[Planta]:[Planta]],'Inventario '!K$1)</f>
        <v>0</v>
      </c>
      <c r="L327" s="131">
        <f>SUMIFS(TablaConsumos[[CANTIDAD ]:[CANTIDAD ]],TablaConsumos[[CÓDIGO]:[CÓDIGO]],'Inventario '!$B327,TablaConsumos[[Planta]:[Planta]],'Inventario '!L$1)</f>
        <v>0</v>
      </c>
      <c r="M327" s="131">
        <f>SUMIFS(TablaConsumos[[CANTIDAD ]:[CANTIDAD ]],TablaConsumos[[CÓDIGO]:[CÓDIGO]],'Inventario '!$B327,TablaConsumos[[Planta]:[Planta]],'Inventario '!M$1)</f>
        <v>0</v>
      </c>
      <c r="N327" s="131">
        <f>SUMIFS(TablaConsumos[[CANTIDAD ]:[CANTIDAD ]],TablaConsumos[[CÓDIGO]:[CÓDIGO]],'Inventario '!$B327,TablaConsumos[[Planta]:[Planta]],'Inventario '!N$1)</f>
        <v>0</v>
      </c>
      <c r="O327" s="131">
        <f>SUMIFS(TablaConsumos[[CANTIDAD ]:[CANTIDAD ]],TablaConsumos[[CÓDIGO]:[CÓDIGO]],'Inventario '!$B327,TablaConsumos[[Planta]:[Planta]],'Inventario '!O$1)</f>
        <v>0</v>
      </c>
      <c r="P327" s="131">
        <f>SUMIFS(TablaConsumos[[CANTIDAD ]:[CANTIDAD ]],TablaConsumos[[CÓDIGO]:[CÓDIGO]],'Inventario '!$B327,TablaConsumos[[Planta]:[Planta]],'Inventario '!P$1)</f>
        <v>0</v>
      </c>
      <c r="Q327" s="131">
        <f>SUMIFS(TablaConsumos[[CANTIDAD ]:[CANTIDAD ]],TablaConsumos[[CÓDIGO]:[CÓDIGO]],'Inventario '!$B327,TablaConsumos[[Planta]:[Planta]],'Inventario '!Q$1)</f>
        <v>0</v>
      </c>
      <c r="R327" s="131">
        <f>SUMIFS(TablaConsumos[[CANTIDAD ]:[CANTIDAD ]],TablaConsumos[[CÓDIGO]:[CÓDIGO]],'Inventario '!$B327,TablaConsumos[[Planta]:[Planta]],'Inventario '!R$1)</f>
        <v>0</v>
      </c>
      <c r="S327" s="130">
        <f t="shared" ref="S327:S332" si="365">+SUM(I327:R327)</f>
        <v>0</v>
      </c>
      <c r="T327" s="130">
        <f t="shared" ref="T327:T332" si="366">+H327-S327</f>
        <v>0</v>
      </c>
      <c r="U327" s="132"/>
      <c r="V327" s="130"/>
      <c r="W327" s="132">
        <v>1</v>
      </c>
      <c r="X327" s="132">
        <f t="shared" ref="X327:X332" si="367">+U327*W327</f>
        <v>0</v>
      </c>
      <c r="Y327" s="130">
        <f t="shared" ref="Y327:Y332" si="368">+T327-X327</f>
        <v>0</v>
      </c>
      <c r="Z327" s="132"/>
      <c r="AA327" s="132">
        <f t="shared" si="338"/>
        <v>0</v>
      </c>
      <c r="AB327" s="132"/>
      <c r="AC327" s="131">
        <f t="shared" si="339"/>
        <v>0</v>
      </c>
      <c r="AD327" s="131"/>
      <c r="AE327" s="130"/>
      <c r="AF327" s="130"/>
      <c r="AG327" s="168"/>
      <c r="AH327" s="134">
        <f t="shared" si="340"/>
        <v>0</v>
      </c>
      <c r="AI327" s="134"/>
      <c r="AJ327" s="134"/>
      <c r="AK327" s="134"/>
      <c r="AL327" s="134"/>
      <c r="AM327" s="134"/>
      <c r="AN327" s="134"/>
      <c r="AO327" s="134"/>
      <c r="AP327" s="134"/>
      <c r="AQ327" s="134"/>
      <c r="AR327" s="134"/>
      <c r="AS327" s="135"/>
      <c r="AT327" s="137"/>
      <c r="AU327" s="137"/>
      <c r="AV327" s="137"/>
      <c r="AW327" s="137"/>
      <c r="AX327" s="137"/>
      <c r="AY327" s="137"/>
      <c r="AZ327" s="137"/>
      <c r="BA327" s="137"/>
      <c r="BB327" s="137"/>
      <c r="BC327" s="137"/>
      <c r="BD327" s="131"/>
    </row>
    <row r="328" spans="1:56" ht="63.75" x14ac:dyDescent="0.25">
      <c r="B328" s="127">
        <v>8206300</v>
      </c>
      <c r="C328" s="128" t="s">
        <v>17</v>
      </c>
      <c r="D328" s="128" t="s">
        <v>803</v>
      </c>
      <c r="E328" s="129" t="s">
        <v>850</v>
      </c>
      <c r="F328" s="274"/>
      <c r="G328" s="130">
        <f>+SUMIFS(TablaIngresos[Cantidad],TablaIngresos[Código],'Inventario '!B328)</f>
        <v>0</v>
      </c>
      <c r="H328" s="130">
        <f t="shared" si="364"/>
        <v>0</v>
      </c>
      <c r="I328" s="131">
        <f>SUMIFS(TablaConsumos[[CANTIDAD ]:[CANTIDAD ]],TablaConsumos[[CÓDIGO]:[CÓDIGO]],'Inventario '!$B328,TablaConsumos[[Planta]:[Planta]],'Inventario '!I$1)</f>
        <v>0</v>
      </c>
      <c r="J328" s="131">
        <f>SUMIFS(TablaConsumos[[CANTIDAD ]:[CANTIDAD ]],TablaConsumos[[CÓDIGO]:[CÓDIGO]],'Inventario '!$B328,TablaConsumos[[Planta]:[Planta]],'Inventario '!J$1)</f>
        <v>0</v>
      </c>
      <c r="K328" s="131">
        <f>SUMIFS(TablaConsumos[[CANTIDAD ]:[CANTIDAD ]],TablaConsumos[[CÓDIGO]:[CÓDIGO]],'Inventario '!$B328,TablaConsumos[[Planta]:[Planta]],'Inventario '!K$1)</f>
        <v>0</v>
      </c>
      <c r="L328" s="131">
        <f>SUMIFS(TablaConsumos[[CANTIDAD ]:[CANTIDAD ]],TablaConsumos[[CÓDIGO]:[CÓDIGO]],'Inventario '!$B328,TablaConsumos[[Planta]:[Planta]],'Inventario '!L$1)</f>
        <v>0</v>
      </c>
      <c r="M328" s="131">
        <f>SUMIFS(TablaConsumos[[CANTIDAD ]:[CANTIDAD ]],TablaConsumos[[CÓDIGO]:[CÓDIGO]],'Inventario '!$B328,TablaConsumos[[Planta]:[Planta]],'Inventario '!M$1)</f>
        <v>0</v>
      </c>
      <c r="N328" s="131">
        <f>SUMIFS(TablaConsumos[[CANTIDAD ]:[CANTIDAD ]],TablaConsumos[[CÓDIGO]:[CÓDIGO]],'Inventario '!$B328,TablaConsumos[[Planta]:[Planta]],'Inventario '!N$1)</f>
        <v>0</v>
      </c>
      <c r="O328" s="131">
        <f>SUMIFS(TablaConsumos[[CANTIDAD ]:[CANTIDAD ]],TablaConsumos[[CÓDIGO]:[CÓDIGO]],'Inventario '!$B328,TablaConsumos[[Planta]:[Planta]],'Inventario '!O$1)</f>
        <v>0</v>
      </c>
      <c r="P328" s="131">
        <f>SUMIFS(TablaConsumos[[CANTIDAD ]:[CANTIDAD ]],TablaConsumos[[CÓDIGO]:[CÓDIGO]],'Inventario '!$B328,TablaConsumos[[Planta]:[Planta]],'Inventario '!P$1)</f>
        <v>0</v>
      </c>
      <c r="Q328" s="131">
        <f>SUMIFS(TablaConsumos[[CANTIDAD ]:[CANTIDAD ]],TablaConsumos[[CÓDIGO]:[CÓDIGO]],'Inventario '!$B328,TablaConsumos[[Planta]:[Planta]],'Inventario '!Q$1)</f>
        <v>0</v>
      </c>
      <c r="R328" s="131">
        <f>SUMIFS(TablaConsumos[[CANTIDAD ]:[CANTIDAD ]],TablaConsumos[[CÓDIGO]:[CÓDIGO]],'Inventario '!$B328,TablaConsumos[[Planta]:[Planta]],'Inventario '!R$1)</f>
        <v>0</v>
      </c>
      <c r="S328" s="130">
        <f t="shared" si="365"/>
        <v>0</v>
      </c>
      <c r="T328" s="130">
        <f t="shared" si="366"/>
        <v>0</v>
      </c>
      <c r="U328" s="132"/>
      <c r="V328" s="130"/>
      <c r="W328" s="132">
        <v>1</v>
      </c>
      <c r="X328" s="132">
        <f t="shared" si="367"/>
        <v>0</v>
      </c>
      <c r="Y328" s="130">
        <f t="shared" si="368"/>
        <v>0</v>
      </c>
      <c r="Z328" s="132"/>
      <c r="AA328" s="132">
        <f t="shared" si="338"/>
        <v>0</v>
      </c>
      <c r="AB328" s="132"/>
      <c r="AC328" s="131">
        <f t="shared" si="339"/>
        <v>0</v>
      </c>
      <c r="AD328" s="131"/>
      <c r="AE328" s="130"/>
      <c r="AF328" s="130"/>
      <c r="AG328" s="168"/>
      <c r="AH328" s="134">
        <f t="shared" si="340"/>
        <v>0</v>
      </c>
      <c r="AI328" s="134"/>
      <c r="AJ328" s="134"/>
      <c r="AK328" s="134"/>
      <c r="AL328" s="134"/>
      <c r="AM328" s="134"/>
      <c r="AN328" s="134"/>
      <c r="AO328" s="134"/>
      <c r="AP328" s="134"/>
      <c r="AQ328" s="134"/>
      <c r="AR328" s="134"/>
      <c r="AS328" s="135"/>
      <c r="AT328" s="137"/>
      <c r="AU328" s="137"/>
      <c r="AV328" s="137"/>
      <c r="AW328" s="137"/>
      <c r="AX328" s="137"/>
      <c r="AY328" s="137"/>
      <c r="AZ328" s="137"/>
      <c r="BA328" s="137"/>
      <c r="BB328" s="137"/>
      <c r="BC328" s="137"/>
      <c r="BD328" s="131"/>
    </row>
    <row r="329" spans="1:56" ht="63.75" x14ac:dyDescent="0.25">
      <c r="B329" s="127">
        <v>8206301</v>
      </c>
      <c r="C329" s="128" t="s">
        <v>17</v>
      </c>
      <c r="D329" s="128" t="s">
        <v>804</v>
      </c>
      <c r="E329" s="129" t="s">
        <v>851</v>
      </c>
      <c r="F329" s="274"/>
      <c r="G329" s="130">
        <f>+SUMIFS(TablaIngresos[Cantidad],TablaIngresos[Código],'Inventario '!B329)</f>
        <v>0</v>
      </c>
      <c r="H329" s="130">
        <f t="shared" si="364"/>
        <v>0</v>
      </c>
      <c r="I329" s="131">
        <f>SUMIFS(TablaConsumos[[CANTIDAD ]:[CANTIDAD ]],TablaConsumos[[CÓDIGO]:[CÓDIGO]],'Inventario '!$B329,TablaConsumos[[Planta]:[Planta]],'Inventario '!I$1)</f>
        <v>0</v>
      </c>
      <c r="J329" s="131">
        <f>SUMIFS(TablaConsumos[[CANTIDAD ]:[CANTIDAD ]],TablaConsumos[[CÓDIGO]:[CÓDIGO]],'Inventario '!$B329,TablaConsumos[[Planta]:[Planta]],'Inventario '!J$1)</f>
        <v>0</v>
      </c>
      <c r="K329" s="131">
        <f>SUMIFS(TablaConsumos[[CANTIDAD ]:[CANTIDAD ]],TablaConsumos[[CÓDIGO]:[CÓDIGO]],'Inventario '!$B329,TablaConsumos[[Planta]:[Planta]],'Inventario '!K$1)</f>
        <v>0</v>
      </c>
      <c r="L329" s="131">
        <f>SUMIFS(TablaConsumos[[CANTIDAD ]:[CANTIDAD ]],TablaConsumos[[CÓDIGO]:[CÓDIGO]],'Inventario '!$B329,TablaConsumos[[Planta]:[Planta]],'Inventario '!L$1)</f>
        <v>0</v>
      </c>
      <c r="M329" s="131">
        <f>SUMIFS(TablaConsumos[[CANTIDAD ]:[CANTIDAD ]],TablaConsumos[[CÓDIGO]:[CÓDIGO]],'Inventario '!$B329,TablaConsumos[[Planta]:[Planta]],'Inventario '!M$1)</f>
        <v>0</v>
      </c>
      <c r="N329" s="131">
        <f>SUMIFS(TablaConsumos[[CANTIDAD ]:[CANTIDAD ]],TablaConsumos[[CÓDIGO]:[CÓDIGO]],'Inventario '!$B329,TablaConsumos[[Planta]:[Planta]],'Inventario '!N$1)</f>
        <v>0</v>
      </c>
      <c r="O329" s="131">
        <f>SUMIFS(TablaConsumos[[CANTIDAD ]:[CANTIDAD ]],TablaConsumos[[CÓDIGO]:[CÓDIGO]],'Inventario '!$B329,TablaConsumos[[Planta]:[Planta]],'Inventario '!O$1)</f>
        <v>0</v>
      </c>
      <c r="P329" s="131">
        <f>SUMIFS(TablaConsumos[[CANTIDAD ]:[CANTIDAD ]],TablaConsumos[[CÓDIGO]:[CÓDIGO]],'Inventario '!$B329,TablaConsumos[[Planta]:[Planta]],'Inventario '!P$1)</f>
        <v>0</v>
      </c>
      <c r="Q329" s="131">
        <f>SUMIFS(TablaConsumos[[CANTIDAD ]:[CANTIDAD ]],TablaConsumos[[CÓDIGO]:[CÓDIGO]],'Inventario '!$B329,TablaConsumos[[Planta]:[Planta]],'Inventario '!Q$1)</f>
        <v>0</v>
      </c>
      <c r="R329" s="131">
        <f>SUMIFS(TablaConsumos[[CANTIDAD ]:[CANTIDAD ]],TablaConsumos[[CÓDIGO]:[CÓDIGO]],'Inventario '!$B329,TablaConsumos[[Planta]:[Planta]],'Inventario '!R$1)</f>
        <v>0</v>
      </c>
      <c r="S329" s="130">
        <f t="shared" si="365"/>
        <v>0</v>
      </c>
      <c r="T329" s="130">
        <f t="shared" si="366"/>
        <v>0</v>
      </c>
      <c r="U329" s="132"/>
      <c r="V329" s="130"/>
      <c r="W329" s="132">
        <v>1</v>
      </c>
      <c r="X329" s="132">
        <f t="shared" si="367"/>
        <v>0</v>
      </c>
      <c r="Y329" s="130">
        <f t="shared" si="368"/>
        <v>0</v>
      </c>
      <c r="Z329" s="132"/>
      <c r="AA329" s="132">
        <f t="shared" si="338"/>
        <v>0</v>
      </c>
      <c r="AB329" s="132"/>
      <c r="AC329" s="131">
        <f t="shared" si="339"/>
        <v>0</v>
      </c>
      <c r="AD329" s="131"/>
      <c r="AE329" s="130"/>
      <c r="AF329" s="130"/>
      <c r="AG329" s="168"/>
      <c r="AH329" s="134">
        <f t="shared" si="340"/>
        <v>0</v>
      </c>
      <c r="AI329" s="134"/>
      <c r="AJ329" s="134"/>
      <c r="AK329" s="134"/>
      <c r="AL329" s="134"/>
      <c r="AM329" s="134"/>
      <c r="AN329" s="134"/>
      <c r="AO329" s="134"/>
      <c r="AP329" s="134"/>
      <c r="AQ329" s="134"/>
      <c r="AR329" s="134"/>
      <c r="AS329" s="135"/>
      <c r="AT329" s="137"/>
      <c r="AU329" s="137"/>
      <c r="AV329" s="137"/>
      <c r="AW329" s="137"/>
      <c r="AX329" s="137"/>
      <c r="AY329" s="137"/>
      <c r="AZ329" s="137"/>
      <c r="BA329" s="137"/>
      <c r="BB329" s="137"/>
      <c r="BC329" s="137"/>
      <c r="BD329" s="131"/>
    </row>
    <row r="330" spans="1:56" ht="38.25" x14ac:dyDescent="0.25">
      <c r="B330" s="127">
        <v>8203940</v>
      </c>
      <c r="C330" s="128" t="s">
        <v>17</v>
      </c>
      <c r="D330" s="128"/>
      <c r="E330" s="129" t="s">
        <v>812</v>
      </c>
      <c r="F330" s="274"/>
      <c r="G330" s="130">
        <f>+SUMIFS(TablaIngresos[Cantidad],TablaIngresos[Código],'Inventario '!B330)</f>
        <v>0</v>
      </c>
      <c r="H330" s="130">
        <f t="shared" si="364"/>
        <v>0</v>
      </c>
      <c r="I330" s="131">
        <f>SUMIFS(TablaConsumos[[CANTIDAD ]:[CANTIDAD ]],TablaConsumos[[CÓDIGO]:[CÓDIGO]],'Inventario '!$B330,TablaConsumos[[Planta]:[Planta]],'Inventario '!I$1)</f>
        <v>0</v>
      </c>
      <c r="J330" s="131">
        <f>SUMIFS(TablaConsumos[[CANTIDAD ]:[CANTIDAD ]],TablaConsumos[[CÓDIGO]:[CÓDIGO]],'Inventario '!$B330,TablaConsumos[[Planta]:[Planta]],'Inventario '!J$1)</f>
        <v>0</v>
      </c>
      <c r="K330" s="131">
        <f>SUMIFS(TablaConsumos[[CANTIDAD ]:[CANTIDAD ]],TablaConsumos[[CÓDIGO]:[CÓDIGO]],'Inventario '!$B330,TablaConsumos[[Planta]:[Planta]],'Inventario '!K$1)</f>
        <v>0</v>
      </c>
      <c r="L330" s="131">
        <f>SUMIFS(TablaConsumos[[CANTIDAD ]:[CANTIDAD ]],TablaConsumos[[CÓDIGO]:[CÓDIGO]],'Inventario '!$B330,TablaConsumos[[Planta]:[Planta]],'Inventario '!L$1)</f>
        <v>0</v>
      </c>
      <c r="M330" s="131">
        <f>SUMIFS(TablaConsumos[[CANTIDAD ]:[CANTIDAD ]],TablaConsumos[[CÓDIGO]:[CÓDIGO]],'Inventario '!$B330,TablaConsumos[[Planta]:[Planta]],'Inventario '!M$1)</f>
        <v>0</v>
      </c>
      <c r="N330" s="131">
        <f>SUMIFS(TablaConsumos[[CANTIDAD ]:[CANTIDAD ]],TablaConsumos[[CÓDIGO]:[CÓDIGO]],'Inventario '!$B330,TablaConsumos[[Planta]:[Planta]],'Inventario '!N$1)</f>
        <v>0</v>
      </c>
      <c r="O330" s="131">
        <f>SUMIFS(TablaConsumos[[CANTIDAD ]:[CANTIDAD ]],TablaConsumos[[CÓDIGO]:[CÓDIGO]],'Inventario '!$B330,TablaConsumos[[Planta]:[Planta]],'Inventario '!O$1)</f>
        <v>0</v>
      </c>
      <c r="P330" s="131">
        <f>SUMIFS(TablaConsumos[[CANTIDAD ]:[CANTIDAD ]],TablaConsumos[[CÓDIGO]:[CÓDIGO]],'Inventario '!$B330,TablaConsumos[[Planta]:[Planta]],'Inventario '!P$1)</f>
        <v>0</v>
      </c>
      <c r="Q330" s="131">
        <f>SUMIFS(TablaConsumos[[CANTIDAD ]:[CANTIDAD ]],TablaConsumos[[CÓDIGO]:[CÓDIGO]],'Inventario '!$B330,TablaConsumos[[Planta]:[Planta]],'Inventario '!Q$1)</f>
        <v>0</v>
      </c>
      <c r="R330" s="131">
        <f>SUMIFS(TablaConsumos[[CANTIDAD ]:[CANTIDAD ]],TablaConsumos[[CÓDIGO]:[CÓDIGO]],'Inventario '!$B330,TablaConsumos[[Planta]:[Planta]],'Inventario '!R$1)</f>
        <v>0</v>
      </c>
      <c r="S330" s="130">
        <f t="shared" si="365"/>
        <v>0</v>
      </c>
      <c r="T330" s="130">
        <f t="shared" si="366"/>
        <v>0</v>
      </c>
      <c r="U330" s="132"/>
      <c r="V330" s="130"/>
      <c r="W330" s="132">
        <v>1</v>
      </c>
      <c r="X330" s="132">
        <f t="shared" si="367"/>
        <v>0</v>
      </c>
      <c r="Y330" s="130">
        <f t="shared" si="368"/>
        <v>0</v>
      </c>
      <c r="Z330" s="132"/>
      <c r="AA330" s="132">
        <f t="shared" si="338"/>
        <v>0</v>
      </c>
      <c r="AB330" s="132"/>
      <c r="AC330" s="131">
        <f t="shared" si="339"/>
        <v>0</v>
      </c>
      <c r="AD330" s="131"/>
      <c r="AE330" s="130"/>
      <c r="AF330" s="130"/>
      <c r="AG330" s="168"/>
      <c r="AH330" s="134">
        <f t="shared" si="340"/>
        <v>0</v>
      </c>
      <c r="AI330" s="134"/>
      <c r="AJ330" s="134"/>
      <c r="AK330" s="134"/>
      <c r="AL330" s="134"/>
      <c r="AM330" s="134"/>
      <c r="AN330" s="134"/>
      <c r="AO330" s="134"/>
      <c r="AP330" s="134"/>
      <c r="AQ330" s="134"/>
      <c r="AR330" s="134"/>
      <c r="AS330" s="135"/>
      <c r="AT330" s="137"/>
      <c r="AU330" s="137"/>
      <c r="AV330" s="137"/>
      <c r="AW330" s="137"/>
      <c r="AX330" s="137"/>
      <c r="AY330" s="137"/>
      <c r="AZ330" s="137"/>
      <c r="BA330" s="137"/>
      <c r="BB330" s="137"/>
      <c r="BC330" s="137"/>
      <c r="BD330" s="131"/>
    </row>
    <row r="331" spans="1:56" ht="20.25" customHeight="1" x14ac:dyDescent="0.25">
      <c r="B331" s="127">
        <v>8201820</v>
      </c>
      <c r="C331" s="128" t="s">
        <v>417</v>
      </c>
      <c r="D331" s="128"/>
      <c r="E331" s="129" t="s">
        <v>831</v>
      </c>
      <c r="F331" s="274"/>
      <c r="G331" s="130">
        <f>+SUMIFS(TablaIngresos[Cantidad],TablaIngresos[Código],'Inventario '!B331)</f>
        <v>0</v>
      </c>
      <c r="H331" s="130">
        <f t="shared" si="364"/>
        <v>0</v>
      </c>
      <c r="I331" s="131">
        <f>SUMIFS(TablaConsumos[[CANTIDAD ]:[CANTIDAD ]],TablaConsumos[[CÓDIGO]:[CÓDIGO]],'Inventario '!$B331,TablaConsumos[[Planta]:[Planta]],'Inventario '!I$1)</f>
        <v>0</v>
      </c>
      <c r="J331" s="131">
        <f>SUMIFS(TablaConsumos[[CANTIDAD ]:[CANTIDAD ]],TablaConsumos[[CÓDIGO]:[CÓDIGO]],'Inventario '!$B331,TablaConsumos[[Planta]:[Planta]],'Inventario '!J$1)</f>
        <v>0</v>
      </c>
      <c r="K331" s="131">
        <f>SUMIFS(TablaConsumos[[CANTIDAD ]:[CANTIDAD ]],TablaConsumos[[CÓDIGO]:[CÓDIGO]],'Inventario '!$B331,TablaConsumos[[Planta]:[Planta]],'Inventario '!K$1)</f>
        <v>0</v>
      </c>
      <c r="L331" s="131">
        <f>SUMIFS(TablaConsumos[[CANTIDAD ]:[CANTIDAD ]],TablaConsumos[[CÓDIGO]:[CÓDIGO]],'Inventario '!$B331,TablaConsumos[[Planta]:[Planta]],'Inventario '!L$1)</f>
        <v>0</v>
      </c>
      <c r="M331" s="131">
        <f>SUMIFS(TablaConsumos[[CANTIDAD ]:[CANTIDAD ]],TablaConsumos[[CÓDIGO]:[CÓDIGO]],'Inventario '!$B331,TablaConsumos[[Planta]:[Planta]],'Inventario '!M$1)</f>
        <v>0</v>
      </c>
      <c r="N331" s="131">
        <f>SUMIFS(TablaConsumos[[CANTIDAD ]:[CANTIDAD ]],TablaConsumos[[CÓDIGO]:[CÓDIGO]],'Inventario '!$B331,TablaConsumos[[Planta]:[Planta]],'Inventario '!N$1)</f>
        <v>0</v>
      </c>
      <c r="O331" s="131">
        <f>SUMIFS(TablaConsumos[[CANTIDAD ]:[CANTIDAD ]],TablaConsumos[[CÓDIGO]:[CÓDIGO]],'Inventario '!$B331,TablaConsumos[[Planta]:[Planta]],'Inventario '!O$1)</f>
        <v>0</v>
      </c>
      <c r="P331" s="131">
        <f>SUMIFS(TablaConsumos[[CANTIDAD ]:[CANTIDAD ]],TablaConsumos[[CÓDIGO]:[CÓDIGO]],'Inventario '!$B331,TablaConsumos[[Planta]:[Planta]],'Inventario '!P$1)</f>
        <v>0</v>
      </c>
      <c r="Q331" s="131">
        <f>SUMIFS(TablaConsumos[[CANTIDAD ]:[CANTIDAD ]],TablaConsumos[[CÓDIGO]:[CÓDIGO]],'Inventario '!$B331,TablaConsumos[[Planta]:[Planta]],'Inventario '!Q$1)</f>
        <v>0</v>
      </c>
      <c r="R331" s="131">
        <f>SUMIFS(TablaConsumos[[CANTIDAD ]:[CANTIDAD ]],TablaConsumos[[CÓDIGO]:[CÓDIGO]],'Inventario '!$B331,TablaConsumos[[Planta]:[Planta]],'Inventario '!R$1)</f>
        <v>0</v>
      </c>
      <c r="S331" s="130">
        <f t="shared" si="365"/>
        <v>0</v>
      </c>
      <c r="T331" s="130">
        <f t="shared" si="366"/>
        <v>0</v>
      </c>
      <c r="U331" s="132"/>
      <c r="V331" s="130"/>
      <c r="W331" s="132">
        <v>1</v>
      </c>
      <c r="X331" s="132">
        <f t="shared" si="367"/>
        <v>0</v>
      </c>
      <c r="Y331" s="130">
        <f t="shared" si="368"/>
        <v>0</v>
      </c>
      <c r="Z331" s="132"/>
      <c r="AA331" s="132">
        <f t="shared" si="338"/>
        <v>0</v>
      </c>
      <c r="AB331" s="132"/>
      <c r="AC331" s="131">
        <f t="shared" si="339"/>
        <v>0</v>
      </c>
      <c r="AD331" s="131"/>
      <c r="AE331" s="130"/>
      <c r="AF331" s="130"/>
      <c r="AG331" s="168"/>
      <c r="AH331" s="134">
        <f t="shared" si="340"/>
        <v>0</v>
      </c>
      <c r="AI331" s="134"/>
      <c r="AJ331" s="134"/>
      <c r="AK331" s="134"/>
      <c r="AL331" s="134"/>
      <c r="AM331" s="134"/>
      <c r="AN331" s="134"/>
      <c r="AO331" s="134"/>
      <c r="AP331" s="134"/>
      <c r="AQ331" s="134"/>
      <c r="AR331" s="134"/>
      <c r="AS331" s="135"/>
      <c r="AT331" s="137"/>
      <c r="AU331" s="137"/>
      <c r="AV331" s="137"/>
      <c r="AW331" s="137"/>
      <c r="AX331" s="137"/>
      <c r="AY331" s="137"/>
      <c r="AZ331" s="137"/>
      <c r="BA331" s="137"/>
      <c r="BB331" s="137"/>
      <c r="BC331" s="137"/>
      <c r="BD331" s="131"/>
    </row>
    <row r="332" spans="1:56" ht="38.25" x14ac:dyDescent="0.25">
      <c r="B332" s="127">
        <v>3628563</v>
      </c>
      <c r="C332" s="128" t="s">
        <v>17</v>
      </c>
      <c r="D332" s="128"/>
      <c r="E332" s="129" t="s">
        <v>832</v>
      </c>
      <c r="F332" s="274"/>
      <c r="G332" s="130">
        <f>+SUMIFS(TablaIngresos[Cantidad],TablaIngresos[Código],'Inventario '!B332)</f>
        <v>0</v>
      </c>
      <c r="H332" s="130">
        <f t="shared" si="364"/>
        <v>0</v>
      </c>
      <c r="I332" s="131">
        <f>SUMIFS(TablaConsumos[[CANTIDAD ]:[CANTIDAD ]],TablaConsumos[[CÓDIGO]:[CÓDIGO]],'Inventario '!$B332,TablaConsumos[[Planta]:[Planta]],'Inventario '!I$1)</f>
        <v>0</v>
      </c>
      <c r="J332" s="131">
        <f>SUMIFS(TablaConsumos[[CANTIDAD ]:[CANTIDAD ]],TablaConsumos[[CÓDIGO]:[CÓDIGO]],'Inventario '!$B332,TablaConsumos[[Planta]:[Planta]],'Inventario '!J$1)</f>
        <v>0</v>
      </c>
      <c r="K332" s="131">
        <f>SUMIFS(TablaConsumos[[CANTIDAD ]:[CANTIDAD ]],TablaConsumos[[CÓDIGO]:[CÓDIGO]],'Inventario '!$B332,TablaConsumos[[Planta]:[Planta]],'Inventario '!K$1)</f>
        <v>0</v>
      </c>
      <c r="L332" s="131">
        <f>SUMIFS(TablaConsumos[[CANTIDAD ]:[CANTIDAD ]],TablaConsumos[[CÓDIGO]:[CÓDIGO]],'Inventario '!$B332,TablaConsumos[[Planta]:[Planta]],'Inventario '!L$1)</f>
        <v>0</v>
      </c>
      <c r="M332" s="131">
        <f>SUMIFS(TablaConsumos[[CANTIDAD ]:[CANTIDAD ]],TablaConsumos[[CÓDIGO]:[CÓDIGO]],'Inventario '!$B332,TablaConsumos[[Planta]:[Planta]],'Inventario '!M$1)</f>
        <v>0</v>
      </c>
      <c r="N332" s="131">
        <f>SUMIFS(TablaConsumos[[CANTIDAD ]:[CANTIDAD ]],TablaConsumos[[CÓDIGO]:[CÓDIGO]],'Inventario '!$B332,TablaConsumos[[Planta]:[Planta]],'Inventario '!N$1)</f>
        <v>0</v>
      </c>
      <c r="O332" s="131">
        <f>SUMIFS(TablaConsumos[[CANTIDAD ]:[CANTIDAD ]],TablaConsumos[[CÓDIGO]:[CÓDIGO]],'Inventario '!$B332,TablaConsumos[[Planta]:[Planta]],'Inventario '!O$1)</f>
        <v>0</v>
      </c>
      <c r="P332" s="131">
        <f>SUMIFS(TablaConsumos[[CANTIDAD ]:[CANTIDAD ]],TablaConsumos[[CÓDIGO]:[CÓDIGO]],'Inventario '!$B332,TablaConsumos[[Planta]:[Planta]],'Inventario '!P$1)</f>
        <v>0</v>
      </c>
      <c r="Q332" s="131">
        <f>SUMIFS(TablaConsumos[[CANTIDAD ]:[CANTIDAD ]],TablaConsumos[[CÓDIGO]:[CÓDIGO]],'Inventario '!$B332,TablaConsumos[[Planta]:[Planta]],'Inventario '!Q$1)</f>
        <v>0</v>
      </c>
      <c r="R332" s="131">
        <f>SUMIFS(TablaConsumos[[CANTIDAD ]:[CANTIDAD ]],TablaConsumos[[CÓDIGO]:[CÓDIGO]],'Inventario '!$B332,TablaConsumos[[Planta]:[Planta]],'Inventario '!R$1)</f>
        <v>0</v>
      </c>
      <c r="S332" s="130">
        <f t="shared" si="365"/>
        <v>0</v>
      </c>
      <c r="T332" s="130">
        <f t="shared" si="366"/>
        <v>0</v>
      </c>
      <c r="U332" s="132"/>
      <c r="V332" s="130"/>
      <c r="W332" s="132">
        <v>1</v>
      </c>
      <c r="X332" s="132">
        <f t="shared" si="367"/>
        <v>0</v>
      </c>
      <c r="Y332" s="130">
        <f t="shared" si="368"/>
        <v>0</v>
      </c>
      <c r="Z332" s="132"/>
      <c r="AA332" s="132">
        <f t="shared" si="338"/>
        <v>0</v>
      </c>
      <c r="AB332" s="132"/>
      <c r="AC332" s="131">
        <f t="shared" si="339"/>
        <v>0</v>
      </c>
      <c r="AD332" s="131"/>
      <c r="AE332" s="130"/>
      <c r="AF332" s="130"/>
      <c r="AG332" s="168"/>
      <c r="AH332" s="134">
        <f t="shared" si="340"/>
        <v>0</v>
      </c>
      <c r="AI332" s="134"/>
      <c r="AJ332" s="134"/>
      <c r="AK332" s="134"/>
      <c r="AL332" s="134"/>
      <c r="AM332" s="134"/>
      <c r="AN332" s="134"/>
      <c r="AO332" s="134"/>
      <c r="AP332" s="134"/>
      <c r="AQ332" s="134"/>
      <c r="AR332" s="134"/>
      <c r="AS332" s="135"/>
      <c r="AT332" s="137"/>
      <c r="AU332" s="137"/>
      <c r="AV332" s="137"/>
      <c r="AW332" s="137"/>
      <c r="AX332" s="137"/>
      <c r="AY332" s="137"/>
      <c r="AZ332" s="137"/>
      <c r="BA332" s="137"/>
      <c r="BB332" s="137"/>
      <c r="BC332" s="137"/>
      <c r="BD332" s="131"/>
    </row>
    <row r="333" spans="1:56" x14ac:dyDescent="0.25">
      <c r="A333" s="167" t="s">
        <v>650</v>
      </c>
      <c r="B333" s="127">
        <v>8204280</v>
      </c>
      <c r="C333" s="128" t="s">
        <v>4</v>
      </c>
      <c r="D333" s="128" t="s">
        <v>801</v>
      </c>
      <c r="E333" s="136" t="s">
        <v>718</v>
      </c>
      <c r="F333" s="274"/>
      <c r="G333" s="130">
        <f>+SUMIFS(TablaIngresos[Cantidad],TablaIngresos[Código],'Inventario '!B333)</f>
        <v>0</v>
      </c>
      <c r="H333" s="130">
        <f t="shared" si="334"/>
        <v>0</v>
      </c>
      <c r="I333" s="131">
        <f>SUMIFS(TablaConsumos[[CANTIDAD ]:[CANTIDAD ]],TablaConsumos[[CÓDIGO]:[CÓDIGO]],'Inventario '!$B333,TablaConsumos[[Planta]:[Planta]],'Inventario '!I$1)</f>
        <v>0</v>
      </c>
      <c r="J333" s="131">
        <f>SUMIFS(TablaConsumos[[CANTIDAD ]:[CANTIDAD ]],TablaConsumos[[CÓDIGO]:[CÓDIGO]],'Inventario '!$B333,TablaConsumos[[Planta]:[Planta]],'Inventario '!J$1)</f>
        <v>0</v>
      </c>
      <c r="K333" s="131">
        <f>SUMIFS(TablaConsumos[[CANTIDAD ]:[CANTIDAD ]],TablaConsumos[[CÓDIGO]:[CÓDIGO]],'Inventario '!$B333,TablaConsumos[[Planta]:[Planta]],'Inventario '!K$1)</f>
        <v>0</v>
      </c>
      <c r="L333" s="131">
        <f>SUMIFS(TablaConsumos[[CANTIDAD ]:[CANTIDAD ]],TablaConsumos[[CÓDIGO]:[CÓDIGO]],'Inventario '!$B333,TablaConsumos[[Planta]:[Planta]],'Inventario '!L$1)</f>
        <v>0</v>
      </c>
      <c r="M333" s="131">
        <f>SUMIFS(TablaConsumos[[CANTIDAD ]:[CANTIDAD ]],TablaConsumos[[CÓDIGO]:[CÓDIGO]],'Inventario '!$B333,TablaConsumos[[Planta]:[Planta]],'Inventario '!M$1)</f>
        <v>0</v>
      </c>
      <c r="N333" s="131">
        <f>SUMIFS(TablaConsumos[[CANTIDAD ]:[CANTIDAD ]],TablaConsumos[[CÓDIGO]:[CÓDIGO]],'Inventario '!$B333,TablaConsumos[[Planta]:[Planta]],'Inventario '!N$1)</f>
        <v>0</v>
      </c>
      <c r="O333" s="131">
        <f>SUMIFS(TablaConsumos[[CANTIDAD ]:[CANTIDAD ]],TablaConsumos[[CÓDIGO]:[CÓDIGO]],'Inventario '!$B333,TablaConsumos[[Planta]:[Planta]],'Inventario '!O$1)</f>
        <v>0</v>
      </c>
      <c r="P333" s="131">
        <f>SUMIFS(TablaConsumos[[CANTIDAD ]:[CANTIDAD ]],TablaConsumos[[CÓDIGO]:[CÓDIGO]],'Inventario '!$B333,TablaConsumos[[Planta]:[Planta]],'Inventario '!P$1)</f>
        <v>0</v>
      </c>
      <c r="Q333" s="131">
        <f>SUMIFS(TablaConsumos[[CANTIDAD ]:[CANTIDAD ]],TablaConsumos[[CÓDIGO]:[CÓDIGO]],'Inventario '!$B333,TablaConsumos[[Planta]:[Planta]],'Inventario '!Q$1)</f>
        <v>0</v>
      </c>
      <c r="R333" s="131">
        <f>SUMIFS(TablaConsumos[[CANTIDAD ]:[CANTIDAD ]],TablaConsumos[[CÓDIGO]:[CÓDIGO]],'Inventario '!$B333,TablaConsumos[[Planta]:[Planta]],'Inventario '!R$1)</f>
        <v>0</v>
      </c>
      <c r="S333" s="130">
        <f>+SUM(I333:R333)</f>
        <v>0</v>
      </c>
      <c r="T333" s="130">
        <f t="shared" si="336"/>
        <v>0</v>
      </c>
      <c r="U333" s="132"/>
      <c r="V333" s="130"/>
      <c r="W333" s="132">
        <v>1</v>
      </c>
      <c r="X333" s="132">
        <f t="shared" si="363"/>
        <v>0</v>
      </c>
      <c r="Y333" s="130">
        <f t="shared" si="337"/>
        <v>0</v>
      </c>
      <c r="Z333" s="132"/>
      <c r="AA333" s="132">
        <f t="shared" si="338"/>
        <v>0</v>
      </c>
      <c r="AB333" s="132"/>
      <c r="AC333" s="131">
        <f t="shared" si="339"/>
        <v>0</v>
      </c>
      <c r="AD333" s="131"/>
      <c r="AE333" s="130"/>
      <c r="AF333" s="130"/>
      <c r="AG333" s="168"/>
      <c r="AH333" s="134">
        <f t="shared" si="340"/>
        <v>0</v>
      </c>
      <c r="AI333" s="134">
        <f t="shared" ref="AI333:AR333" si="369">+IF(I333=0,0,I333/$S333)</f>
        <v>0</v>
      </c>
      <c r="AJ333" s="134">
        <f t="shared" si="369"/>
        <v>0</v>
      </c>
      <c r="AK333" s="134">
        <f t="shared" si="369"/>
        <v>0</v>
      </c>
      <c r="AL333" s="134">
        <f t="shared" si="369"/>
        <v>0</v>
      </c>
      <c r="AM333" s="134">
        <f t="shared" si="369"/>
        <v>0</v>
      </c>
      <c r="AN333" s="134">
        <f t="shared" si="369"/>
        <v>0</v>
      </c>
      <c r="AO333" s="134">
        <f t="shared" si="369"/>
        <v>0</v>
      </c>
      <c r="AP333" s="134">
        <f t="shared" si="369"/>
        <v>0</v>
      </c>
      <c r="AQ333" s="134">
        <f t="shared" si="369"/>
        <v>0</v>
      </c>
      <c r="AR333" s="134">
        <f t="shared" si="369"/>
        <v>0</v>
      </c>
      <c r="AS333" s="135">
        <f>+SUM(AI333:AR333)</f>
        <v>0</v>
      </c>
      <c r="AT333" s="137" t="str">
        <f t="shared" ref="AT333:BC333" si="370">+IF(I333=-I333,"0",I333+$Y333*AI333)</f>
        <v>0</v>
      </c>
      <c r="AU333" s="137" t="str">
        <f t="shared" si="370"/>
        <v>0</v>
      </c>
      <c r="AV333" s="137" t="str">
        <f t="shared" si="370"/>
        <v>0</v>
      </c>
      <c r="AW333" s="137" t="str">
        <f t="shared" si="370"/>
        <v>0</v>
      </c>
      <c r="AX333" s="137" t="str">
        <f t="shared" si="370"/>
        <v>0</v>
      </c>
      <c r="AY333" s="137" t="str">
        <f t="shared" si="370"/>
        <v>0</v>
      </c>
      <c r="AZ333" s="137" t="str">
        <f t="shared" si="370"/>
        <v>0</v>
      </c>
      <c r="BA333" s="137" t="str">
        <f t="shared" si="370"/>
        <v>0</v>
      </c>
      <c r="BB333" s="137" t="str">
        <f t="shared" si="370"/>
        <v>0</v>
      </c>
      <c r="BC333" s="137" t="str">
        <f t="shared" si="370"/>
        <v>0</v>
      </c>
      <c r="BD333" s="131">
        <f>+SUM(AT333:BC333)</f>
        <v>0</v>
      </c>
    </row>
    <row r="334" spans="1:56" x14ac:dyDescent="0.25">
      <c r="U334" s="132"/>
    </row>
    <row r="337" spans="2:56" ht="27.75" hidden="1" customHeight="1" x14ac:dyDescent="0.25">
      <c r="B337" s="356" t="s">
        <v>813</v>
      </c>
      <c r="C337" s="356"/>
      <c r="D337" s="356"/>
      <c r="E337" s="356"/>
      <c r="F337" s="174"/>
      <c r="G337" s="121"/>
      <c r="H337" s="121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1"/>
      <c r="T337" s="121"/>
      <c r="U337" s="174"/>
      <c r="V337" s="121"/>
      <c r="W337" s="121"/>
      <c r="X337" s="121"/>
      <c r="Y337" s="121"/>
      <c r="Z337" s="121"/>
      <c r="AA337" s="121"/>
      <c r="AB337" s="121"/>
      <c r="AC337" s="121"/>
      <c r="AD337" s="181"/>
      <c r="AE337" s="123"/>
      <c r="AF337" s="123"/>
      <c r="AG337" s="123"/>
      <c r="AH337" s="123"/>
      <c r="AI337" s="123"/>
      <c r="AJ337" s="123"/>
      <c r="AK337" s="123"/>
      <c r="AL337" s="123"/>
      <c r="AM337" s="123"/>
      <c r="AN337" s="123"/>
      <c r="AO337" s="123"/>
      <c r="AP337" s="124"/>
      <c r="AQ337" s="125"/>
      <c r="AR337" s="125"/>
      <c r="AS337" s="125"/>
      <c r="AT337" s="125"/>
      <c r="AU337" s="125"/>
      <c r="AV337" s="125"/>
      <c r="AW337" s="125"/>
      <c r="AX337" s="125"/>
      <c r="AY337" s="125"/>
      <c r="AZ337" s="125"/>
      <c r="BA337" s="122"/>
      <c r="BD337"/>
    </row>
    <row r="338" spans="2:56" ht="15" hidden="1" customHeight="1" x14ac:dyDescent="0.25">
      <c r="B338" s="223">
        <v>2406440</v>
      </c>
      <c r="C338" s="151" t="s">
        <v>17</v>
      </c>
      <c r="D338" s="151" t="s">
        <v>407</v>
      </c>
      <c r="E338" s="152" t="s">
        <v>375</v>
      </c>
      <c r="F338" s="132"/>
      <c r="G338" s="153"/>
      <c r="H338" s="153"/>
      <c r="I338" s="157"/>
      <c r="J338" s="157"/>
      <c r="K338" s="157"/>
      <c r="L338" s="157"/>
      <c r="M338" s="157"/>
      <c r="N338" s="157"/>
      <c r="O338" s="157"/>
      <c r="P338" s="157"/>
      <c r="Q338" s="157"/>
      <c r="R338" s="157"/>
      <c r="S338" s="153"/>
      <c r="T338" s="153"/>
      <c r="U338" s="132"/>
      <c r="V338" s="153"/>
      <c r="W338" s="198"/>
      <c r="X338" s="132"/>
      <c r="Y338" s="130"/>
      <c r="Z338" s="132"/>
      <c r="AA338" s="132"/>
      <c r="AB338" s="132"/>
      <c r="AC338" s="131"/>
      <c r="AD338" s="131"/>
      <c r="AE338" s="130"/>
      <c r="AF338" s="130"/>
      <c r="AG338" s="168"/>
      <c r="AH338" s="134">
        <f t="shared" ref="AH338:AH357" si="371">+IF(S338=0,0,AF338/S338)</f>
        <v>0</v>
      </c>
      <c r="AI338" s="134">
        <f t="shared" ref="AI338:AI357" si="372">+IF(I338=0,0,I338/$S338)</f>
        <v>0</v>
      </c>
      <c r="AJ338" s="134">
        <f t="shared" ref="AJ338:AJ357" si="373">+IF(J338=0,0,J338/$S338)</f>
        <v>0</v>
      </c>
      <c r="AK338" s="134">
        <f t="shared" ref="AK338:AK357" si="374">+IF(K338=0,0,K338/$S338)</f>
        <v>0</v>
      </c>
      <c r="AL338" s="134">
        <f t="shared" ref="AL338:AL357" si="375">+IF(L338=0,0,L338/$S338)</f>
        <v>0</v>
      </c>
      <c r="AM338" s="134">
        <f t="shared" ref="AM338:AM357" si="376">+IF(M338=0,0,M338/$S338)</f>
        <v>0</v>
      </c>
      <c r="AN338" s="134">
        <f t="shared" ref="AN338:AN357" si="377">+IF(N338=0,0,N338/$S338)</f>
        <v>0</v>
      </c>
      <c r="AO338" s="134">
        <f t="shared" ref="AO338:AO357" si="378">+IF(O338=0,0,O338/$S338)</f>
        <v>0</v>
      </c>
      <c r="AP338" s="134">
        <f t="shared" ref="AP338:AP357" si="379">+IF(P338=0,0,P338/$S338)</f>
        <v>0</v>
      </c>
      <c r="AQ338" s="134">
        <f t="shared" ref="AQ338:AQ357" si="380">+IF(Q338=0,0,Q338/$S338)</f>
        <v>0</v>
      </c>
      <c r="AR338" s="134">
        <f t="shared" ref="AR338:AR357" si="381">+IF(R338=0,0,R338/$S338)</f>
        <v>0</v>
      </c>
      <c r="AS338" s="135">
        <f t="shared" ref="AS338:AS357" si="382">+SUM(AI338:AR338)</f>
        <v>0</v>
      </c>
      <c r="AT338" s="137" t="str">
        <f t="shared" ref="AT338:AT357" si="383">+IF(I338=-I338,"0",I338+$Y338*AI338)</f>
        <v>0</v>
      </c>
      <c r="AU338" s="137" t="str">
        <f t="shared" ref="AU338:AU357" si="384">+IF(J338=-J338,"0",J338+$Y338*AJ338)</f>
        <v>0</v>
      </c>
      <c r="AV338" s="137" t="str">
        <f t="shared" ref="AV338:AV357" si="385">+IF(K338=-K338,"0",K338+$Y338*AK338)</f>
        <v>0</v>
      </c>
      <c r="AW338" s="137" t="str">
        <f t="shared" ref="AW338:AW357" si="386">+IF(L338=-L338,"0",L338+$Y338*AL338)</f>
        <v>0</v>
      </c>
      <c r="AX338" s="137" t="str">
        <f t="shared" ref="AX338:AX357" si="387">+IF(M338=-M338,"0",M338+$Y338*AM338)</f>
        <v>0</v>
      </c>
      <c r="AY338" s="137" t="str">
        <f t="shared" ref="AY338:AY357" si="388">+IF(N338=-N338,"0",N338+$Y338*AN338)</f>
        <v>0</v>
      </c>
      <c r="AZ338" s="137" t="str">
        <f t="shared" ref="AZ338:AZ357" si="389">+IF(O338=-O338,"0",O338+$Y338*AO338)</f>
        <v>0</v>
      </c>
      <c r="BA338" s="137" t="str">
        <f t="shared" ref="BA338:BA357" si="390">+IF(P338=-P338,"0",P338+$Y338*AP338)</f>
        <v>0</v>
      </c>
      <c r="BB338" s="137" t="str">
        <f t="shared" ref="BB338:BB357" si="391">+IF(Q338=-Q338,"0",Q338+$Y338*AQ338)</f>
        <v>0</v>
      </c>
      <c r="BC338" s="137" t="str">
        <f t="shared" ref="BC338:BC357" si="392">+IF(R338=-R338,"0",R338+$Y338*AR338)</f>
        <v>0</v>
      </c>
      <c r="BD338" s="131">
        <f t="shared" ref="BD338:BD357" si="393">+SUM(AT338:BC338)</f>
        <v>0</v>
      </c>
    </row>
    <row r="339" spans="2:56" ht="15" hidden="1" customHeight="1" x14ac:dyDescent="0.25">
      <c r="B339" s="223">
        <v>2806031</v>
      </c>
      <c r="C339" s="151" t="s">
        <v>316</v>
      </c>
      <c r="D339" s="151" t="s">
        <v>407</v>
      </c>
      <c r="E339" s="152" t="s">
        <v>378</v>
      </c>
      <c r="F339" s="132"/>
      <c r="G339" s="153"/>
      <c r="H339" s="153"/>
      <c r="I339" s="157"/>
      <c r="J339" s="157"/>
      <c r="K339" s="157"/>
      <c r="L339" s="157"/>
      <c r="M339" s="157"/>
      <c r="N339" s="157"/>
      <c r="O339" s="157"/>
      <c r="P339" s="157"/>
      <c r="Q339" s="157"/>
      <c r="R339" s="157"/>
      <c r="S339" s="153"/>
      <c r="T339" s="153"/>
      <c r="U339" s="132"/>
      <c r="V339" s="153"/>
      <c r="W339" s="198"/>
      <c r="X339" s="132"/>
      <c r="Y339" s="130"/>
      <c r="Z339" s="132"/>
      <c r="AA339" s="132"/>
      <c r="AB339" s="132"/>
      <c r="AC339" s="131"/>
      <c r="AD339" s="131"/>
      <c r="AE339" s="130"/>
      <c r="AF339" s="130"/>
      <c r="AG339" s="168"/>
      <c r="AH339" s="134">
        <f t="shared" si="371"/>
        <v>0</v>
      </c>
      <c r="AI339" s="134">
        <f t="shared" si="372"/>
        <v>0</v>
      </c>
      <c r="AJ339" s="134">
        <f t="shared" si="373"/>
        <v>0</v>
      </c>
      <c r="AK339" s="134">
        <f t="shared" si="374"/>
        <v>0</v>
      </c>
      <c r="AL339" s="134">
        <f t="shared" si="375"/>
        <v>0</v>
      </c>
      <c r="AM339" s="134">
        <f t="shared" si="376"/>
        <v>0</v>
      </c>
      <c r="AN339" s="134">
        <f t="shared" si="377"/>
        <v>0</v>
      </c>
      <c r="AO339" s="134">
        <f t="shared" si="378"/>
        <v>0</v>
      </c>
      <c r="AP339" s="134">
        <f t="shared" si="379"/>
        <v>0</v>
      </c>
      <c r="AQ339" s="134">
        <f t="shared" si="380"/>
        <v>0</v>
      </c>
      <c r="AR339" s="134">
        <f t="shared" si="381"/>
        <v>0</v>
      </c>
      <c r="AS339" s="135">
        <f t="shared" si="382"/>
        <v>0</v>
      </c>
      <c r="AT339" s="137" t="str">
        <f t="shared" si="383"/>
        <v>0</v>
      </c>
      <c r="AU339" s="137" t="str">
        <f t="shared" si="384"/>
        <v>0</v>
      </c>
      <c r="AV339" s="137" t="str">
        <f t="shared" si="385"/>
        <v>0</v>
      </c>
      <c r="AW339" s="137" t="str">
        <f t="shared" si="386"/>
        <v>0</v>
      </c>
      <c r="AX339" s="137" t="str">
        <f t="shared" si="387"/>
        <v>0</v>
      </c>
      <c r="AY339" s="137" t="str">
        <f t="shared" si="388"/>
        <v>0</v>
      </c>
      <c r="AZ339" s="137" t="str">
        <f t="shared" si="389"/>
        <v>0</v>
      </c>
      <c r="BA339" s="137" t="str">
        <f t="shared" si="390"/>
        <v>0</v>
      </c>
      <c r="BB339" s="137" t="str">
        <f t="shared" si="391"/>
        <v>0</v>
      </c>
      <c r="BC339" s="137" t="str">
        <f t="shared" si="392"/>
        <v>0</v>
      </c>
      <c r="BD339" s="131">
        <f t="shared" si="393"/>
        <v>0</v>
      </c>
    </row>
    <row r="340" spans="2:56" ht="15" hidden="1" customHeight="1" x14ac:dyDescent="0.25">
      <c r="B340" s="223">
        <v>8203480</v>
      </c>
      <c r="C340" s="151" t="s">
        <v>316</v>
      </c>
      <c r="D340" s="151" t="s">
        <v>407</v>
      </c>
      <c r="E340" s="155" t="s">
        <v>701</v>
      </c>
      <c r="F340" s="132"/>
      <c r="G340" s="153"/>
      <c r="H340" s="153"/>
      <c r="I340" s="157"/>
      <c r="J340" s="157"/>
      <c r="K340" s="157"/>
      <c r="L340" s="157"/>
      <c r="M340" s="157"/>
      <c r="N340" s="157"/>
      <c r="O340" s="157"/>
      <c r="P340" s="157"/>
      <c r="Q340" s="157"/>
      <c r="R340" s="157"/>
      <c r="S340" s="153"/>
      <c r="T340" s="153"/>
      <c r="U340" s="132"/>
      <c r="V340" s="153"/>
      <c r="W340" s="198"/>
      <c r="X340" s="132"/>
      <c r="Y340" s="130"/>
      <c r="Z340" s="132"/>
      <c r="AA340" s="132"/>
      <c r="AB340" s="132"/>
      <c r="AC340" s="131"/>
      <c r="AD340" s="131"/>
      <c r="AE340" s="130"/>
      <c r="AF340" s="130"/>
      <c r="AG340" s="168"/>
      <c r="AH340" s="134">
        <f t="shared" si="371"/>
        <v>0</v>
      </c>
      <c r="AI340" s="134">
        <f t="shared" si="372"/>
        <v>0</v>
      </c>
      <c r="AJ340" s="134">
        <f t="shared" si="373"/>
        <v>0</v>
      </c>
      <c r="AK340" s="134">
        <f t="shared" si="374"/>
        <v>0</v>
      </c>
      <c r="AL340" s="134">
        <f t="shared" si="375"/>
        <v>0</v>
      </c>
      <c r="AM340" s="134">
        <f t="shared" si="376"/>
        <v>0</v>
      </c>
      <c r="AN340" s="134">
        <f t="shared" si="377"/>
        <v>0</v>
      </c>
      <c r="AO340" s="134">
        <f t="shared" si="378"/>
        <v>0</v>
      </c>
      <c r="AP340" s="134">
        <f t="shared" si="379"/>
        <v>0</v>
      </c>
      <c r="AQ340" s="134">
        <f t="shared" si="380"/>
        <v>0</v>
      </c>
      <c r="AR340" s="134">
        <f t="shared" si="381"/>
        <v>0</v>
      </c>
      <c r="AS340" s="135">
        <f t="shared" si="382"/>
        <v>0</v>
      </c>
      <c r="AT340" s="137" t="str">
        <f t="shared" si="383"/>
        <v>0</v>
      </c>
      <c r="AU340" s="137" t="str">
        <f t="shared" si="384"/>
        <v>0</v>
      </c>
      <c r="AV340" s="137" t="str">
        <f t="shared" si="385"/>
        <v>0</v>
      </c>
      <c r="AW340" s="137" t="str">
        <f t="shared" si="386"/>
        <v>0</v>
      </c>
      <c r="AX340" s="137" t="str">
        <f t="shared" si="387"/>
        <v>0</v>
      </c>
      <c r="AY340" s="137" t="str">
        <f t="shared" si="388"/>
        <v>0</v>
      </c>
      <c r="AZ340" s="137" t="str">
        <f t="shared" si="389"/>
        <v>0</v>
      </c>
      <c r="BA340" s="137" t="str">
        <f t="shared" si="390"/>
        <v>0</v>
      </c>
      <c r="BB340" s="137" t="str">
        <f t="shared" si="391"/>
        <v>0</v>
      </c>
      <c r="BC340" s="137" t="str">
        <f t="shared" si="392"/>
        <v>0</v>
      </c>
      <c r="BD340" s="131">
        <f t="shared" si="393"/>
        <v>0</v>
      </c>
    </row>
    <row r="341" spans="2:56" ht="15" hidden="1" customHeight="1" x14ac:dyDescent="0.25">
      <c r="B341" s="223">
        <v>8203251</v>
      </c>
      <c r="C341" s="151" t="s">
        <v>384</v>
      </c>
      <c r="D341" s="151" t="s">
        <v>407</v>
      </c>
      <c r="E341" s="152" t="s">
        <v>702</v>
      </c>
      <c r="F341" s="132"/>
      <c r="G341" s="153"/>
      <c r="H341" s="153"/>
      <c r="I341" s="157"/>
      <c r="J341" s="157"/>
      <c r="K341" s="157"/>
      <c r="L341" s="157"/>
      <c r="M341" s="157"/>
      <c r="N341" s="157"/>
      <c r="O341" s="157"/>
      <c r="P341" s="157"/>
      <c r="Q341" s="157"/>
      <c r="R341" s="157"/>
      <c r="S341" s="153"/>
      <c r="T341" s="153"/>
      <c r="U341" s="132"/>
      <c r="V341" s="153"/>
      <c r="W341" s="198"/>
      <c r="X341" s="132"/>
      <c r="Y341" s="130"/>
      <c r="Z341" s="132"/>
      <c r="AA341" s="132"/>
      <c r="AB341" s="132"/>
      <c r="AC341" s="131"/>
      <c r="AD341" s="131"/>
      <c r="AE341" s="130"/>
      <c r="AF341" s="130"/>
      <c r="AG341" s="168"/>
      <c r="AH341" s="134">
        <f t="shared" si="371"/>
        <v>0</v>
      </c>
      <c r="AI341" s="134">
        <f t="shared" si="372"/>
        <v>0</v>
      </c>
      <c r="AJ341" s="134">
        <f t="shared" si="373"/>
        <v>0</v>
      </c>
      <c r="AK341" s="134">
        <f t="shared" si="374"/>
        <v>0</v>
      </c>
      <c r="AL341" s="134">
        <f t="shared" si="375"/>
        <v>0</v>
      </c>
      <c r="AM341" s="134">
        <f t="shared" si="376"/>
        <v>0</v>
      </c>
      <c r="AN341" s="134">
        <f t="shared" si="377"/>
        <v>0</v>
      </c>
      <c r="AO341" s="134">
        <f t="shared" si="378"/>
        <v>0</v>
      </c>
      <c r="AP341" s="134">
        <f t="shared" si="379"/>
        <v>0</v>
      </c>
      <c r="AQ341" s="134">
        <f t="shared" si="380"/>
        <v>0</v>
      </c>
      <c r="AR341" s="134">
        <f t="shared" si="381"/>
        <v>0</v>
      </c>
      <c r="AS341" s="135">
        <f t="shared" si="382"/>
        <v>0</v>
      </c>
      <c r="AT341" s="137" t="str">
        <f t="shared" si="383"/>
        <v>0</v>
      </c>
      <c r="AU341" s="137" t="str">
        <f t="shared" si="384"/>
        <v>0</v>
      </c>
      <c r="AV341" s="137" t="str">
        <f t="shared" si="385"/>
        <v>0</v>
      </c>
      <c r="AW341" s="137" t="str">
        <f t="shared" si="386"/>
        <v>0</v>
      </c>
      <c r="AX341" s="137" t="str">
        <f t="shared" si="387"/>
        <v>0</v>
      </c>
      <c r="AY341" s="137" t="str">
        <f t="shared" si="388"/>
        <v>0</v>
      </c>
      <c r="AZ341" s="137" t="str">
        <f t="shared" si="389"/>
        <v>0</v>
      </c>
      <c r="BA341" s="137" t="str">
        <f t="shared" si="390"/>
        <v>0</v>
      </c>
      <c r="BB341" s="137" t="str">
        <f t="shared" si="391"/>
        <v>0</v>
      </c>
      <c r="BC341" s="137" t="str">
        <f t="shared" si="392"/>
        <v>0</v>
      </c>
      <c r="BD341" s="131">
        <f t="shared" si="393"/>
        <v>0</v>
      </c>
    </row>
    <row r="342" spans="2:56" ht="15" hidden="1" customHeight="1" x14ac:dyDescent="0.25">
      <c r="B342" s="223">
        <v>3414920</v>
      </c>
      <c r="C342" s="151"/>
      <c r="D342" s="151" t="s">
        <v>407</v>
      </c>
      <c r="E342" s="152" t="s">
        <v>392</v>
      </c>
      <c r="F342" s="132"/>
      <c r="G342" s="153"/>
      <c r="H342" s="153"/>
      <c r="I342" s="157"/>
      <c r="J342" s="157"/>
      <c r="K342" s="157"/>
      <c r="L342" s="157"/>
      <c r="M342" s="157"/>
      <c r="N342" s="157"/>
      <c r="O342" s="157"/>
      <c r="P342" s="157"/>
      <c r="Q342" s="157"/>
      <c r="R342" s="157"/>
      <c r="S342" s="153"/>
      <c r="T342" s="153"/>
      <c r="U342" s="132"/>
      <c r="V342" s="153"/>
      <c r="W342" s="198"/>
      <c r="X342" s="132"/>
      <c r="Y342" s="130"/>
      <c r="Z342" s="132"/>
      <c r="AA342" s="132"/>
      <c r="AB342" s="132"/>
      <c r="AC342" s="131"/>
      <c r="AD342" s="131"/>
      <c r="AE342" s="130"/>
      <c r="AF342" s="130"/>
      <c r="AG342" s="168"/>
      <c r="AH342" s="134">
        <f t="shared" si="371"/>
        <v>0</v>
      </c>
      <c r="AI342" s="134">
        <f t="shared" si="372"/>
        <v>0</v>
      </c>
      <c r="AJ342" s="134">
        <f t="shared" si="373"/>
        <v>0</v>
      </c>
      <c r="AK342" s="134">
        <f t="shared" si="374"/>
        <v>0</v>
      </c>
      <c r="AL342" s="134">
        <f t="shared" si="375"/>
        <v>0</v>
      </c>
      <c r="AM342" s="134">
        <f t="shared" si="376"/>
        <v>0</v>
      </c>
      <c r="AN342" s="134">
        <f t="shared" si="377"/>
        <v>0</v>
      </c>
      <c r="AO342" s="134">
        <f t="shared" si="378"/>
        <v>0</v>
      </c>
      <c r="AP342" s="134">
        <f t="shared" si="379"/>
        <v>0</v>
      </c>
      <c r="AQ342" s="134">
        <f t="shared" si="380"/>
        <v>0</v>
      </c>
      <c r="AR342" s="134">
        <f t="shared" si="381"/>
        <v>0</v>
      </c>
      <c r="AS342" s="135">
        <f t="shared" si="382"/>
        <v>0</v>
      </c>
      <c r="AT342" s="137" t="str">
        <f t="shared" si="383"/>
        <v>0</v>
      </c>
      <c r="AU342" s="137" t="str">
        <f t="shared" si="384"/>
        <v>0</v>
      </c>
      <c r="AV342" s="137" t="str">
        <f t="shared" si="385"/>
        <v>0</v>
      </c>
      <c r="AW342" s="137" t="str">
        <f t="shared" si="386"/>
        <v>0</v>
      </c>
      <c r="AX342" s="137" t="str">
        <f t="shared" si="387"/>
        <v>0</v>
      </c>
      <c r="AY342" s="137" t="str">
        <f t="shared" si="388"/>
        <v>0</v>
      </c>
      <c r="AZ342" s="137" t="str">
        <f t="shared" si="389"/>
        <v>0</v>
      </c>
      <c r="BA342" s="137" t="str">
        <f t="shared" si="390"/>
        <v>0</v>
      </c>
      <c r="BB342" s="137" t="str">
        <f t="shared" si="391"/>
        <v>0</v>
      </c>
      <c r="BC342" s="137" t="str">
        <f t="shared" si="392"/>
        <v>0</v>
      </c>
      <c r="BD342" s="131">
        <f t="shared" si="393"/>
        <v>0</v>
      </c>
    </row>
    <row r="343" spans="2:56" ht="15" hidden="1" customHeight="1" x14ac:dyDescent="0.25">
      <c r="B343" s="223">
        <v>8200194</v>
      </c>
      <c r="C343" s="151" t="s">
        <v>316</v>
      </c>
      <c r="D343" s="151" t="s">
        <v>407</v>
      </c>
      <c r="E343" s="155" t="s">
        <v>410</v>
      </c>
      <c r="F343" s="132"/>
      <c r="G343" s="153"/>
      <c r="H343" s="153"/>
      <c r="I343" s="157"/>
      <c r="J343" s="157"/>
      <c r="K343" s="157"/>
      <c r="L343" s="157"/>
      <c r="M343" s="157"/>
      <c r="N343" s="157"/>
      <c r="O343" s="157"/>
      <c r="P343" s="157"/>
      <c r="Q343" s="157"/>
      <c r="R343" s="157"/>
      <c r="S343" s="153"/>
      <c r="T343" s="153"/>
      <c r="U343" s="132"/>
      <c r="V343" s="153"/>
      <c r="W343" s="198"/>
      <c r="X343" s="132"/>
      <c r="Y343" s="130"/>
      <c r="Z343" s="132"/>
      <c r="AA343" s="132"/>
      <c r="AB343" s="132"/>
      <c r="AC343" s="131"/>
      <c r="AD343" s="131"/>
      <c r="AE343" s="130"/>
      <c r="AF343" s="130"/>
      <c r="AG343" s="168"/>
      <c r="AH343" s="134">
        <f t="shared" si="371"/>
        <v>0</v>
      </c>
      <c r="AI343" s="134">
        <f t="shared" si="372"/>
        <v>0</v>
      </c>
      <c r="AJ343" s="134">
        <f t="shared" si="373"/>
        <v>0</v>
      </c>
      <c r="AK343" s="134">
        <f t="shared" si="374"/>
        <v>0</v>
      </c>
      <c r="AL343" s="134">
        <f t="shared" si="375"/>
        <v>0</v>
      </c>
      <c r="AM343" s="134">
        <f t="shared" si="376"/>
        <v>0</v>
      </c>
      <c r="AN343" s="134">
        <f t="shared" si="377"/>
        <v>0</v>
      </c>
      <c r="AO343" s="134">
        <f t="shared" si="378"/>
        <v>0</v>
      </c>
      <c r="AP343" s="134">
        <f t="shared" si="379"/>
        <v>0</v>
      </c>
      <c r="AQ343" s="134">
        <f t="shared" si="380"/>
        <v>0</v>
      </c>
      <c r="AR343" s="134">
        <f t="shared" si="381"/>
        <v>0</v>
      </c>
      <c r="AS343" s="135">
        <f t="shared" si="382"/>
        <v>0</v>
      </c>
      <c r="AT343" s="137" t="str">
        <f t="shared" si="383"/>
        <v>0</v>
      </c>
      <c r="AU343" s="137" t="str">
        <f t="shared" si="384"/>
        <v>0</v>
      </c>
      <c r="AV343" s="137" t="str">
        <f t="shared" si="385"/>
        <v>0</v>
      </c>
      <c r="AW343" s="137" t="str">
        <f t="shared" si="386"/>
        <v>0</v>
      </c>
      <c r="AX343" s="137" t="str">
        <f t="shared" si="387"/>
        <v>0</v>
      </c>
      <c r="AY343" s="137" t="str">
        <f t="shared" si="388"/>
        <v>0</v>
      </c>
      <c r="AZ343" s="137" t="str">
        <f t="shared" si="389"/>
        <v>0</v>
      </c>
      <c r="BA343" s="137" t="str">
        <f t="shared" si="390"/>
        <v>0</v>
      </c>
      <c r="BB343" s="137" t="str">
        <f t="shared" si="391"/>
        <v>0</v>
      </c>
      <c r="BC343" s="137" t="str">
        <f t="shared" si="392"/>
        <v>0</v>
      </c>
      <c r="BD343" s="131">
        <f t="shared" si="393"/>
        <v>0</v>
      </c>
    </row>
    <row r="344" spans="2:56" ht="15" hidden="1" customHeight="1" x14ac:dyDescent="0.25">
      <c r="B344" s="223">
        <v>8200480</v>
      </c>
      <c r="C344" s="151" t="s">
        <v>417</v>
      </c>
      <c r="D344" s="151" t="s">
        <v>407</v>
      </c>
      <c r="E344" s="155" t="s">
        <v>419</v>
      </c>
      <c r="F344" s="132"/>
      <c r="G344" s="153"/>
      <c r="H344" s="153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3"/>
      <c r="T344" s="153"/>
      <c r="U344" s="132"/>
      <c r="V344" s="153"/>
      <c r="W344" s="198"/>
      <c r="X344" s="132"/>
      <c r="Y344" s="130"/>
      <c r="Z344" s="132"/>
      <c r="AA344" s="132"/>
      <c r="AB344" s="132"/>
      <c r="AC344" s="131"/>
      <c r="AD344" s="131"/>
      <c r="AE344" s="130"/>
      <c r="AF344" s="130"/>
      <c r="AG344" s="168"/>
      <c r="AH344" s="134">
        <f t="shared" si="371"/>
        <v>0</v>
      </c>
      <c r="AI344" s="134">
        <f t="shared" si="372"/>
        <v>0</v>
      </c>
      <c r="AJ344" s="134">
        <f t="shared" si="373"/>
        <v>0</v>
      </c>
      <c r="AK344" s="134">
        <f t="shared" si="374"/>
        <v>0</v>
      </c>
      <c r="AL344" s="134">
        <f t="shared" si="375"/>
        <v>0</v>
      </c>
      <c r="AM344" s="134">
        <f t="shared" si="376"/>
        <v>0</v>
      </c>
      <c r="AN344" s="134">
        <f t="shared" si="377"/>
        <v>0</v>
      </c>
      <c r="AO344" s="134">
        <f t="shared" si="378"/>
        <v>0</v>
      </c>
      <c r="AP344" s="134">
        <f t="shared" si="379"/>
        <v>0</v>
      </c>
      <c r="AQ344" s="134">
        <f t="shared" si="380"/>
        <v>0</v>
      </c>
      <c r="AR344" s="134">
        <f t="shared" si="381"/>
        <v>0</v>
      </c>
      <c r="AS344" s="135">
        <f t="shared" si="382"/>
        <v>0</v>
      </c>
      <c r="AT344" s="137" t="str">
        <f t="shared" si="383"/>
        <v>0</v>
      </c>
      <c r="AU344" s="137" t="str">
        <f t="shared" si="384"/>
        <v>0</v>
      </c>
      <c r="AV344" s="137" t="str">
        <f t="shared" si="385"/>
        <v>0</v>
      </c>
      <c r="AW344" s="137" t="str">
        <f t="shared" si="386"/>
        <v>0</v>
      </c>
      <c r="AX344" s="137" t="str">
        <f t="shared" si="387"/>
        <v>0</v>
      </c>
      <c r="AY344" s="137" t="str">
        <f t="shared" si="388"/>
        <v>0</v>
      </c>
      <c r="AZ344" s="137" t="str">
        <f t="shared" si="389"/>
        <v>0</v>
      </c>
      <c r="BA344" s="137" t="str">
        <f t="shared" si="390"/>
        <v>0</v>
      </c>
      <c r="BB344" s="137" t="str">
        <f t="shared" si="391"/>
        <v>0</v>
      </c>
      <c r="BC344" s="137" t="str">
        <f t="shared" si="392"/>
        <v>0</v>
      </c>
      <c r="BD344" s="131">
        <f t="shared" si="393"/>
        <v>0</v>
      </c>
    </row>
    <row r="345" spans="2:56" ht="15" hidden="1" customHeight="1" x14ac:dyDescent="0.25">
      <c r="B345" s="224">
        <v>8200833</v>
      </c>
      <c r="C345" s="158" t="s">
        <v>316</v>
      </c>
      <c r="D345" s="158" t="s">
        <v>407</v>
      </c>
      <c r="E345" s="152" t="s">
        <v>427</v>
      </c>
      <c r="F345" s="132"/>
      <c r="G345" s="153"/>
      <c r="H345" s="153"/>
      <c r="I345" s="157"/>
      <c r="J345" s="157"/>
      <c r="K345" s="157"/>
      <c r="L345" s="157"/>
      <c r="M345" s="157"/>
      <c r="N345" s="157"/>
      <c r="O345" s="157"/>
      <c r="P345" s="157"/>
      <c r="Q345" s="157"/>
      <c r="R345" s="157"/>
      <c r="S345" s="153"/>
      <c r="T345" s="153"/>
      <c r="U345" s="132"/>
      <c r="V345" s="153"/>
      <c r="W345" s="198"/>
      <c r="X345" s="132"/>
      <c r="Y345" s="130"/>
      <c r="Z345" s="132"/>
      <c r="AA345" s="132"/>
      <c r="AB345" s="132"/>
      <c r="AC345" s="131"/>
      <c r="AD345" s="131"/>
      <c r="AE345" s="130"/>
      <c r="AF345" s="130"/>
      <c r="AG345" s="168"/>
      <c r="AH345" s="134">
        <f t="shared" si="371"/>
        <v>0</v>
      </c>
      <c r="AI345" s="134">
        <f t="shared" si="372"/>
        <v>0</v>
      </c>
      <c r="AJ345" s="134">
        <f t="shared" si="373"/>
        <v>0</v>
      </c>
      <c r="AK345" s="134">
        <f t="shared" si="374"/>
        <v>0</v>
      </c>
      <c r="AL345" s="134">
        <f t="shared" si="375"/>
        <v>0</v>
      </c>
      <c r="AM345" s="134">
        <f t="shared" si="376"/>
        <v>0</v>
      </c>
      <c r="AN345" s="134">
        <f t="shared" si="377"/>
        <v>0</v>
      </c>
      <c r="AO345" s="134">
        <f t="shared" si="378"/>
        <v>0</v>
      </c>
      <c r="AP345" s="134">
        <f t="shared" si="379"/>
        <v>0</v>
      </c>
      <c r="AQ345" s="134">
        <f t="shared" si="380"/>
        <v>0</v>
      </c>
      <c r="AR345" s="134">
        <f t="shared" si="381"/>
        <v>0</v>
      </c>
      <c r="AS345" s="135">
        <f t="shared" si="382"/>
        <v>0</v>
      </c>
      <c r="AT345" s="137" t="str">
        <f t="shared" si="383"/>
        <v>0</v>
      </c>
      <c r="AU345" s="137" t="str">
        <f t="shared" si="384"/>
        <v>0</v>
      </c>
      <c r="AV345" s="137" t="str">
        <f t="shared" si="385"/>
        <v>0</v>
      </c>
      <c r="AW345" s="137" t="str">
        <f t="shared" si="386"/>
        <v>0</v>
      </c>
      <c r="AX345" s="137" t="str">
        <f t="shared" si="387"/>
        <v>0</v>
      </c>
      <c r="AY345" s="137" t="str">
        <f t="shared" si="388"/>
        <v>0</v>
      </c>
      <c r="AZ345" s="137" t="str">
        <f t="shared" si="389"/>
        <v>0</v>
      </c>
      <c r="BA345" s="137" t="str">
        <f t="shared" si="390"/>
        <v>0</v>
      </c>
      <c r="BB345" s="137" t="str">
        <f t="shared" si="391"/>
        <v>0</v>
      </c>
      <c r="BC345" s="137" t="str">
        <f t="shared" si="392"/>
        <v>0</v>
      </c>
      <c r="BD345" s="131">
        <f t="shared" si="393"/>
        <v>0</v>
      </c>
    </row>
    <row r="346" spans="2:56" ht="15" hidden="1" customHeight="1" x14ac:dyDescent="0.25">
      <c r="B346" s="223">
        <v>8200862</v>
      </c>
      <c r="C346" s="151" t="s">
        <v>316</v>
      </c>
      <c r="D346" s="151" t="s">
        <v>407</v>
      </c>
      <c r="E346" s="152" t="s">
        <v>792</v>
      </c>
      <c r="F346" s="132"/>
      <c r="G346" s="153"/>
      <c r="H346" s="153"/>
      <c r="I346" s="157"/>
      <c r="J346" s="157"/>
      <c r="K346" s="157"/>
      <c r="L346" s="157"/>
      <c r="M346" s="157"/>
      <c r="N346" s="157"/>
      <c r="O346" s="157"/>
      <c r="P346" s="157"/>
      <c r="Q346" s="157"/>
      <c r="R346" s="157"/>
      <c r="S346" s="153"/>
      <c r="T346" s="153"/>
      <c r="U346" s="132"/>
      <c r="V346" s="153"/>
      <c r="W346" s="198"/>
      <c r="X346" s="132"/>
      <c r="Y346" s="130"/>
      <c r="Z346" s="132"/>
      <c r="AA346" s="132"/>
      <c r="AB346" s="132"/>
      <c r="AC346" s="131"/>
      <c r="AD346" s="131"/>
      <c r="AE346" s="130"/>
      <c r="AF346" s="130"/>
      <c r="AG346" s="168"/>
      <c r="AH346" s="134">
        <f t="shared" si="371"/>
        <v>0</v>
      </c>
      <c r="AI346" s="134">
        <f t="shared" si="372"/>
        <v>0</v>
      </c>
      <c r="AJ346" s="134">
        <f t="shared" si="373"/>
        <v>0</v>
      </c>
      <c r="AK346" s="134">
        <f t="shared" si="374"/>
        <v>0</v>
      </c>
      <c r="AL346" s="134">
        <f t="shared" si="375"/>
        <v>0</v>
      </c>
      <c r="AM346" s="134">
        <f t="shared" si="376"/>
        <v>0</v>
      </c>
      <c r="AN346" s="134">
        <f t="shared" si="377"/>
        <v>0</v>
      </c>
      <c r="AO346" s="134">
        <f t="shared" si="378"/>
        <v>0</v>
      </c>
      <c r="AP346" s="134">
        <f t="shared" si="379"/>
        <v>0</v>
      </c>
      <c r="AQ346" s="134">
        <f t="shared" si="380"/>
        <v>0</v>
      </c>
      <c r="AR346" s="134">
        <f t="shared" si="381"/>
        <v>0</v>
      </c>
      <c r="AS346" s="135">
        <f t="shared" si="382"/>
        <v>0</v>
      </c>
      <c r="AT346" s="137" t="str">
        <f t="shared" si="383"/>
        <v>0</v>
      </c>
      <c r="AU346" s="137" t="str">
        <f t="shared" si="384"/>
        <v>0</v>
      </c>
      <c r="AV346" s="137" t="str">
        <f t="shared" si="385"/>
        <v>0</v>
      </c>
      <c r="AW346" s="137" t="str">
        <f t="shared" si="386"/>
        <v>0</v>
      </c>
      <c r="AX346" s="137" t="str">
        <f t="shared" si="387"/>
        <v>0</v>
      </c>
      <c r="AY346" s="137" t="str">
        <f t="shared" si="388"/>
        <v>0</v>
      </c>
      <c r="AZ346" s="137" t="str">
        <f t="shared" si="389"/>
        <v>0</v>
      </c>
      <c r="BA346" s="137" t="str">
        <f t="shared" si="390"/>
        <v>0</v>
      </c>
      <c r="BB346" s="137" t="str">
        <f t="shared" si="391"/>
        <v>0</v>
      </c>
      <c r="BC346" s="137" t="str">
        <f t="shared" si="392"/>
        <v>0</v>
      </c>
      <c r="BD346" s="131">
        <f t="shared" si="393"/>
        <v>0</v>
      </c>
    </row>
    <row r="347" spans="2:56" ht="15" hidden="1" customHeight="1" x14ac:dyDescent="0.25">
      <c r="B347" s="223">
        <v>8200931</v>
      </c>
      <c r="C347" s="151" t="s">
        <v>374</v>
      </c>
      <c r="D347" s="151">
        <v>0</v>
      </c>
      <c r="E347" s="152" t="s">
        <v>457</v>
      </c>
      <c r="F347" s="132"/>
      <c r="G347" s="153"/>
      <c r="H347" s="153"/>
      <c r="I347" s="157"/>
      <c r="J347" s="157"/>
      <c r="K347" s="157"/>
      <c r="L347" s="157"/>
      <c r="M347" s="157"/>
      <c r="N347" s="157"/>
      <c r="O347" s="157"/>
      <c r="P347" s="157"/>
      <c r="Q347" s="157"/>
      <c r="R347" s="157"/>
      <c r="S347" s="153"/>
      <c r="T347" s="153"/>
      <c r="U347" s="132"/>
      <c r="V347" s="153"/>
      <c r="W347" s="198"/>
      <c r="X347" s="132"/>
      <c r="Y347" s="130"/>
      <c r="Z347" s="132"/>
      <c r="AA347" s="132"/>
      <c r="AB347" s="132"/>
      <c r="AC347" s="131"/>
      <c r="AD347" s="131"/>
      <c r="AE347" s="130"/>
      <c r="AF347" s="130"/>
      <c r="AG347" s="168"/>
      <c r="AH347" s="134">
        <f t="shared" si="371"/>
        <v>0</v>
      </c>
      <c r="AI347" s="134">
        <f t="shared" si="372"/>
        <v>0</v>
      </c>
      <c r="AJ347" s="134">
        <f t="shared" si="373"/>
        <v>0</v>
      </c>
      <c r="AK347" s="134">
        <f t="shared" si="374"/>
        <v>0</v>
      </c>
      <c r="AL347" s="134">
        <f t="shared" si="375"/>
        <v>0</v>
      </c>
      <c r="AM347" s="134">
        <f t="shared" si="376"/>
        <v>0</v>
      </c>
      <c r="AN347" s="134">
        <f t="shared" si="377"/>
        <v>0</v>
      </c>
      <c r="AO347" s="134">
        <f t="shared" si="378"/>
        <v>0</v>
      </c>
      <c r="AP347" s="134">
        <f t="shared" si="379"/>
        <v>0</v>
      </c>
      <c r="AQ347" s="134">
        <f t="shared" si="380"/>
        <v>0</v>
      </c>
      <c r="AR347" s="134">
        <f t="shared" si="381"/>
        <v>0</v>
      </c>
      <c r="AS347" s="135">
        <f t="shared" si="382"/>
        <v>0</v>
      </c>
      <c r="AT347" s="137" t="str">
        <f t="shared" si="383"/>
        <v>0</v>
      </c>
      <c r="AU347" s="137" t="str">
        <f t="shared" si="384"/>
        <v>0</v>
      </c>
      <c r="AV347" s="137" t="str">
        <f t="shared" si="385"/>
        <v>0</v>
      </c>
      <c r="AW347" s="137" t="str">
        <f t="shared" si="386"/>
        <v>0</v>
      </c>
      <c r="AX347" s="137" t="str">
        <f t="shared" si="387"/>
        <v>0</v>
      </c>
      <c r="AY347" s="137" t="str">
        <f t="shared" si="388"/>
        <v>0</v>
      </c>
      <c r="AZ347" s="137" t="str">
        <f t="shared" si="389"/>
        <v>0</v>
      </c>
      <c r="BA347" s="137" t="str">
        <f t="shared" si="390"/>
        <v>0</v>
      </c>
      <c r="BB347" s="137" t="str">
        <f t="shared" si="391"/>
        <v>0</v>
      </c>
      <c r="BC347" s="137" t="str">
        <f t="shared" si="392"/>
        <v>0</v>
      </c>
      <c r="BD347" s="131">
        <f t="shared" si="393"/>
        <v>0</v>
      </c>
    </row>
    <row r="348" spans="2:56" ht="15" hidden="1" customHeight="1" x14ac:dyDescent="0.25">
      <c r="B348" s="223">
        <v>8200932</v>
      </c>
      <c r="C348" s="151" t="s">
        <v>374</v>
      </c>
      <c r="D348" s="151">
        <v>0</v>
      </c>
      <c r="E348" s="152" t="s">
        <v>458</v>
      </c>
      <c r="F348" s="132"/>
      <c r="G348" s="153"/>
      <c r="H348" s="153"/>
      <c r="I348" s="157"/>
      <c r="J348" s="157"/>
      <c r="K348" s="157"/>
      <c r="L348" s="157"/>
      <c r="M348" s="157"/>
      <c r="N348" s="157"/>
      <c r="O348" s="157"/>
      <c r="P348" s="157"/>
      <c r="Q348" s="157"/>
      <c r="R348" s="157"/>
      <c r="S348" s="153"/>
      <c r="T348" s="153"/>
      <c r="U348" s="132"/>
      <c r="V348" s="153"/>
      <c r="W348" s="198"/>
      <c r="X348" s="132"/>
      <c r="Y348" s="130"/>
      <c r="Z348" s="132"/>
      <c r="AA348" s="132"/>
      <c r="AB348" s="132"/>
      <c r="AC348" s="131"/>
      <c r="AD348" s="131"/>
      <c r="AE348" s="130"/>
      <c r="AF348" s="130"/>
      <c r="AG348" s="168"/>
      <c r="AH348" s="134">
        <f t="shared" si="371"/>
        <v>0</v>
      </c>
      <c r="AI348" s="134">
        <f t="shared" si="372"/>
        <v>0</v>
      </c>
      <c r="AJ348" s="134">
        <f t="shared" si="373"/>
        <v>0</v>
      </c>
      <c r="AK348" s="134">
        <f t="shared" si="374"/>
        <v>0</v>
      </c>
      <c r="AL348" s="134">
        <f t="shared" si="375"/>
        <v>0</v>
      </c>
      <c r="AM348" s="134">
        <f t="shared" si="376"/>
        <v>0</v>
      </c>
      <c r="AN348" s="134">
        <f t="shared" si="377"/>
        <v>0</v>
      </c>
      <c r="AO348" s="134">
        <f t="shared" si="378"/>
        <v>0</v>
      </c>
      <c r="AP348" s="134">
        <f t="shared" si="379"/>
        <v>0</v>
      </c>
      <c r="AQ348" s="134">
        <f t="shared" si="380"/>
        <v>0</v>
      </c>
      <c r="AR348" s="134">
        <f t="shared" si="381"/>
        <v>0</v>
      </c>
      <c r="AS348" s="135">
        <f t="shared" si="382"/>
        <v>0</v>
      </c>
      <c r="AT348" s="137" t="str">
        <f t="shared" si="383"/>
        <v>0</v>
      </c>
      <c r="AU348" s="137" t="str">
        <f t="shared" si="384"/>
        <v>0</v>
      </c>
      <c r="AV348" s="137" t="str">
        <f t="shared" si="385"/>
        <v>0</v>
      </c>
      <c r="AW348" s="137" t="str">
        <f t="shared" si="386"/>
        <v>0</v>
      </c>
      <c r="AX348" s="137" t="str">
        <f t="shared" si="387"/>
        <v>0</v>
      </c>
      <c r="AY348" s="137" t="str">
        <f t="shared" si="388"/>
        <v>0</v>
      </c>
      <c r="AZ348" s="137" t="str">
        <f t="shared" si="389"/>
        <v>0</v>
      </c>
      <c r="BA348" s="137" t="str">
        <f t="shared" si="390"/>
        <v>0</v>
      </c>
      <c r="BB348" s="137" t="str">
        <f t="shared" si="391"/>
        <v>0</v>
      </c>
      <c r="BC348" s="137" t="str">
        <f t="shared" si="392"/>
        <v>0</v>
      </c>
      <c r="BD348" s="131">
        <f t="shared" si="393"/>
        <v>0</v>
      </c>
    </row>
    <row r="349" spans="2:56" ht="15" hidden="1" customHeight="1" x14ac:dyDescent="0.25">
      <c r="B349" s="223">
        <v>8200933</v>
      </c>
      <c r="C349" s="151" t="s">
        <v>374</v>
      </c>
      <c r="D349" s="151">
        <v>0</v>
      </c>
      <c r="E349" s="152" t="s">
        <v>459</v>
      </c>
      <c r="F349" s="132"/>
      <c r="G349" s="153"/>
      <c r="H349" s="153"/>
      <c r="I349" s="157"/>
      <c r="J349" s="157"/>
      <c r="K349" s="157"/>
      <c r="L349" s="157"/>
      <c r="M349" s="157"/>
      <c r="N349" s="157"/>
      <c r="O349" s="157"/>
      <c r="P349" s="157"/>
      <c r="Q349" s="157"/>
      <c r="R349" s="157"/>
      <c r="S349" s="153"/>
      <c r="T349" s="153"/>
      <c r="U349" s="132"/>
      <c r="V349" s="153"/>
      <c r="W349" s="198"/>
      <c r="X349" s="132"/>
      <c r="Y349" s="130"/>
      <c r="Z349" s="132"/>
      <c r="AA349" s="132"/>
      <c r="AB349" s="132"/>
      <c r="AC349" s="131"/>
      <c r="AD349" s="131"/>
      <c r="AE349" s="130"/>
      <c r="AF349" s="130"/>
      <c r="AG349" s="168"/>
      <c r="AH349" s="134">
        <f t="shared" si="371"/>
        <v>0</v>
      </c>
      <c r="AI349" s="134">
        <f t="shared" si="372"/>
        <v>0</v>
      </c>
      <c r="AJ349" s="134">
        <f t="shared" si="373"/>
        <v>0</v>
      </c>
      <c r="AK349" s="134">
        <f t="shared" si="374"/>
        <v>0</v>
      </c>
      <c r="AL349" s="134">
        <f t="shared" si="375"/>
        <v>0</v>
      </c>
      <c r="AM349" s="134">
        <f t="shared" si="376"/>
        <v>0</v>
      </c>
      <c r="AN349" s="134">
        <f t="shared" si="377"/>
        <v>0</v>
      </c>
      <c r="AO349" s="134">
        <f t="shared" si="378"/>
        <v>0</v>
      </c>
      <c r="AP349" s="134">
        <f t="shared" si="379"/>
        <v>0</v>
      </c>
      <c r="AQ349" s="134">
        <f t="shared" si="380"/>
        <v>0</v>
      </c>
      <c r="AR349" s="134">
        <f t="shared" si="381"/>
        <v>0</v>
      </c>
      <c r="AS349" s="135">
        <f t="shared" si="382"/>
        <v>0</v>
      </c>
      <c r="AT349" s="137" t="str">
        <f t="shared" si="383"/>
        <v>0</v>
      </c>
      <c r="AU349" s="137" t="str">
        <f t="shared" si="384"/>
        <v>0</v>
      </c>
      <c r="AV349" s="137" t="str">
        <f t="shared" si="385"/>
        <v>0</v>
      </c>
      <c r="AW349" s="137" t="str">
        <f t="shared" si="386"/>
        <v>0</v>
      </c>
      <c r="AX349" s="137" t="str">
        <f t="shared" si="387"/>
        <v>0</v>
      </c>
      <c r="AY349" s="137" t="str">
        <f t="shared" si="388"/>
        <v>0</v>
      </c>
      <c r="AZ349" s="137" t="str">
        <f t="shared" si="389"/>
        <v>0</v>
      </c>
      <c r="BA349" s="137" t="str">
        <f t="shared" si="390"/>
        <v>0</v>
      </c>
      <c r="BB349" s="137" t="str">
        <f t="shared" si="391"/>
        <v>0</v>
      </c>
      <c r="BC349" s="137" t="str">
        <f t="shared" si="392"/>
        <v>0</v>
      </c>
      <c r="BD349" s="131">
        <f t="shared" si="393"/>
        <v>0</v>
      </c>
    </row>
    <row r="350" spans="2:56" ht="15" hidden="1" customHeight="1" x14ac:dyDescent="0.25">
      <c r="B350" s="223">
        <v>8200937</v>
      </c>
      <c r="C350" s="151" t="s">
        <v>374</v>
      </c>
      <c r="D350" s="151">
        <v>0</v>
      </c>
      <c r="E350" s="152" t="s">
        <v>463</v>
      </c>
      <c r="F350" s="132"/>
      <c r="G350" s="153"/>
      <c r="H350" s="153"/>
      <c r="I350" s="157"/>
      <c r="J350" s="157"/>
      <c r="K350" s="157"/>
      <c r="L350" s="157"/>
      <c r="M350" s="157"/>
      <c r="N350" s="157"/>
      <c r="O350" s="157"/>
      <c r="P350" s="157"/>
      <c r="Q350" s="157"/>
      <c r="R350" s="157"/>
      <c r="S350" s="153"/>
      <c r="T350" s="153"/>
      <c r="U350" s="132"/>
      <c r="V350" s="153"/>
      <c r="W350" s="198"/>
      <c r="X350" s="132"/>
      <c r="Y350" s="130"/>
      <c r="Z350" s="132"/>
      <c r="AA350" s="132"/>
      <c r="AB350" s="132"/>
      <c r="AC350" s="131"/>
      <c r="AD350" s="131"/>
      <c r="AE350" s="130"/>
      <c r="AF350" s="130"/>
      <c r="AG350" s="168"/>
      <c r="AH350" s="134">
        <f t="shared" si="371"/>
        <v>0</v>
      </c>
      <c r="AI350" s="134">
        <f t="shared" si="372"/>
        <v>0</v>
      </c>
      <c r="AJ350" s="134">
        <f t="shared" si="373"/>
        <v>0</v>
      </c>
      <c r="AK350" s="134">
        <f t="shared" si="374"/>
        <v>0</v>
      </c>
      <c r="AL350" s="134">
        <f t="shared" si="375"/>
        <v>0</v>
      </c>
      <c r="AM350" s="134">
        <f t="shared" si="376"/>
        <v>0</v>
      </c>
      <c r="AN350" s="134">
        <f t="shared" si="377"/>
        <v>0</v>
      </c>
      <c r="AO350" s="134">
        <f t="shared" si="378"/>
        <v>0</v>
      </c>
      <c r="AP350" s="134">
        <f t="shared" si="379"/>
        <v>0</v>
      </c>
      <c r="AQ350" s="134">
        <f t="shared" si="380"/>
        <v>0</v>
      </c>
      <c r="AR350" s="134">
        <f t="shared" si="381"/>
        <v>0</v>
      </c>
      <c r="AS350" s="135">
        <f t="shared" si="382"/>
        <v>0</v>
      </c>
      <c r="AT350" s="137" t="str">
        <f t="shared" si="383"/>
        <v>0</v>
      </c>
      <c r="AU350" s="137" t="str">
        <f t="shared" si="384"/>
        <v>0</v>
      </c>
      <c r="AV350" s="137" t="str">
        <f t="shared" si="385"/>
        <v>0</v>
      </c>
      <c r="AW350" s="137" t="str">
        <f t="shared" si="386"/>
        <v>0</v>
      </c>
      <c r="AX350" s="137" t="str">
        <f t="shared" si="387"/>
        <v>0</v>
      </c>
      <c r="AY350" s="137" t="str">
        <f t="shared" si="388"/>
        <v>0</v>
      </c>
      <c r="AZ350" s="137" t="str">
        <f t="shared" si="389"/>
        <v>0</v>
      </c>
      <c r="BA350" s="137" t="str">
        <f t="shared" si="390"/>
        <v>0</v>
      </c>
      <c r="BB350" s="137" t="str">
        <f t="shared" si="391"/>
        <v>0</v>
      </c>
      <c r="BC350" s="137" t="str">
        <f t="shared" si="392"/>
        <v>0</v>
      </c>
      <c r="BD350" s="131">
        <f t="shared" si="393"/>
        <v>0</v>
      </c>
    </row>
    <row r="351" spans="2:56" ht="15" hidden="1" customHeight="1" x14ac:dyDescent="0.25">
      <c r="B351" s="223">
        <v>8200938</v>
      </c>
      <c r="C351" s="151" t="s">
        <v>374</v>
      </c>
      <c r="D351" s="151">
        <v>0</v>
      </c>
      <c r="E351" s="152" t="s">
        <v>464</v>
      </c>
      <c r="F351" s="132"/>
      <c r="G351" s="153"/>
      <c r="H351" s="153"/>
      <c r="I351" s="157"/>
      <c r="J351" s="157"/>
      <c r="K351" s="157"/>
      <c r="L351" s="157"/>
      <c r="M351" s="157"/>
      <c r="N351" s="157"/>
      <c r="O351" s="157"/>
      <c r="P351" s="157"/>
      <c r="Q351" s="157"/>
      <c r="R351" s="157"/>
      <c r="S351" s="153"/>
      <c r="T351" s="153"/>
      <c r="U351" s="132"/>
      <c r="V351" s="153"/>
      <c r="W351" s="198"/>
      <c r="X351" s="132"/>
      <c r="Y351" s="130"/>
      <c r="Z351" s="132"/>
      <c r="AA351" s="132"/>
      <c r="AB351" s="132"/>
      <c r="AC351" s="131"/>
      <c r="AD351" s="131"/>
      <c r="AE351" s="130"/>
      <c r="AF351" s="130"/>
      <c r="AG351" s="168"/>
      <c r="AH351" s="134">
        <f t="shared" si="371"/>
        <v>0</v>
      </c>
      <c r="AI351" s="134">
        <f t="shared" si="372"/>
        <v>0</v>
      </c>
      <c r="AJ351" s="134">
        <f t="shared" si="373"/>
        <v>0</v>
      </c>
      <c r="AK351" s="134">
        <f t="shared" si="374"/>
        <v>0</v>
      </c>
      <c r="AL351" s="134">
        <f t="shared" si="375"/>
        <v>0</v>
      </c>
      <c r="AM351" s="134">
        <f t="shared" si="376"/>
        <v>0</v>
      </c>
      <c r="AN351" s="134">
        <f t="shared" si="377"/>
        <v>0</v>
      </c>
      <c r="AO351" s="134">
        <f t="shared" si="378"/>
        <v>0</v>
      </c>
      <c r="AP351" s="134">
        <f t="shared" si="379"/>
        <v>0</v>
      </c>
      <c r="AQ351" s="134">
        <f t="shared" si="380"/>
        <v>0</v>
      </c>
      <c r="AR351" s="134">
        <f t="shared" si="381"/>
        <v>0</v>
      </c>
      <c r="AS351" s="135">
        <f t="shared" si="382"/>
        <v>0</v>
      </c>
      <c r="AT351" s="137" t="str">
        <f t="shared" si="383"/>
        <v>0</v>
      </c>
      <c r="AU351" s="137" t="str">
        <f t="shared" si="384"/>
        <v>0</v>
      </c>
      <c r="AV351" s="137" t="str">
        <f t="shared" si="385"/>
        <v>0</v>
      </c>
      <c r="AW351" s="137" t="str">
        <f t="shared" si="386"/>
        <v>0</v>
      </c>
      <c r="AX351" s="137" t="str">
        <f t="shared" si="387"/>
        <v>0</v>
      </c>
      <c r="AY351" s="137" t="str">
        <f t="shared" si="388"/>
        <v>0</v>
      </c>
      <c r="AZ351" s="137" t="str">
        <f t="shared" si="389"/>
        <v>0</v>
      </c>
      <c r="BA351" s="137" t="str">
        <f t="shared" si="390"/>
        <v>0</v>
      </c>
      <c r="BB351" s="137" t="str">
        <f t="shared" si="391"/>
        <v>0</v>
      </c>
      <c r="BC351" s="137" t="str">
        <f t="shared" si="392"/>
        <v>0</v>
      </c>
      <c r="BD351" s="131">
        <f t="shared" si="393"/>
        <v>0</v>
      </c>
    </row>
    <row r="352" spans="2:56" ht="15" hidden="1" customHeight="1" x14ac:dyDescent="0.25">
      <c r="B352" s="223">
        <v>8200990</v>
      </c>
      <c r="C352" s="151" t="s">
        <v>316</v>
      </c>
      <c r="D352" s="151" t="s">
        <v>407</v>
      </c>
      <c r="E352" s="152" t="s">
        <v>469</v>
      </c>
      <c r="F352" s="132"/>
      <c r="G352" s="153"/>
      <c r="H352" s="153"/>
      <c r="I352" s="157"/>
      <c r="J352" s="157"/>
      <c r="K352" s="157"/>
      <c r="L352" s="157"/>
      <c r="M352" s="157"/>
      <c r="N352" s="157"/>
      <c r="O352" s="157"/>
      <c r="P352" s="157"/>
      <c r="Q352" s="157"/>
      <c r="R352" s="157"/>
      <c r="S352" s="153"/>
      <c r="T352" s="153"/>
      <c r="U352" s="132"/>
      <c r="V352" s="153"/>
      <c r="W352" s="198"/>
      <c r="X352" s="132"/>
      <c r="Y352" s="130"/>
      <c r="Z352" s="132"/>
      <c r="AA352" s="132"/>
      <c r="AB352" s="132"/>
      <c r="AC352" s="131"/>
      <c r="AD352" s="131"/>
      <c r="AE352" s="130"/>
      <c r="AF352" s="130"/>
      <c r="AG352" s="168"/>
      <c r="AH352" s="134">
        <f t="shared" si="371"/>
        <v>0</v>
      </c>
      <c r="AI352" s="134">
        <f t="shared" si="372"/>
        <v>0</v>
      </c>
      <c r="AJ352" s="134">
        <f t="shared" si="373"/>
        <v>0</v>
      </c>
      <c r="AK352" s="134">
        <f t="shared" si="374"/>
        <v>0</v>
      </c>
      <c r="AL352" s="134">
        <f t="shared" si="375"/>
        <v>0</v>
      </c>
      <c r="AM352" s="134">
        <f t="shared" si="376"/>
        <v>0</v>
      </c>
      <c r="AN352" s="134">
        <f t="shared" si="377"/>
        <v>0</v>
      </c>
      <c r="AO352" s="134">
        <f t="shared" si="378"/>
        <v>0</v>
      </c>
      <c r="AP352" s="134">
        <f t="shared" si="379"/>
        <v>0</v>
      </c>
      <c r="AQ352" s="134">
        <f t="shared" si="380"/>
        <v>0</v>
      </c>
      <c r="AR352" s="134">
        <f t="shared" si="381"/>
        <v>0</v>
      </c>
      <c r="AS352" s="135">
        <f t="shared" si="382"/>
        <v>0</v>
      </c>
      <c r="AT352" s="137" t="str">
        <f t="shared" si="383"/>
        <v>0</v>
      </c>
      <c r="AU352" s="137" t="str">
        <f t="shared" si="384"/>
        <v>0</v>
      </c>
      <c r="AV352" s="137" t="str">
        <f t="shared" si="385"/>
        <v>0</v>
      </c>
      <c r="AW352" s="137" t="str">
        <f t="shared" si="386"/>
        <v>0</v>
      </c>
      <c r="AX352" s="137" t="str">
        <f t="shared" si="387"/>
        <v>0</v>
      </c>
      <c r="AY352" s="137" t="str">
        <f t="shared" si="388"/>
        <v>0</v>
      </c>
      <c r="AZ352" s="137" t="str">
        <f t="shared" si="389"/>
        <v>0</v>
      </c>
      <c r="BA352" s="137" t="str">
        <f t="shared" si="390"/>
        <v>0</v>
      </c>
      <c r="BB352" s="137" t="str">
        <f t="shared" si="391"/>
        <v>0</v>
      </c>
      <c r="BC352" s="137" t="str">
        <f t="shared" si="392"/>
        <v>0</v>
      </c>
      <c r="BD352" s="131">
        <f t="shared" si="393"/>
        <v>0</v>
      </c>
    </row>
    <row r="353" spans="2:56" ht="15" hidden="1" customHeight="1" x14ac:dyDescent="0.25">
      <c r="B353" s="223">
        <v>8201004</v>
      </c>
      <c r="C353" s="151" t="s">
        <v>316</v>
      </c>
      <c r="D353" s="151">
        <v>0</v>
      </c>
      <c r="E353" s="152" t="s">
        <v>470</v>
      </c>
      <c r="F353" s="132"/>
      <c r="G353" s="153"/>
      <c r="H353" s="153"/>
      <c r="I353" s="157"/>
      <c r="J353" s="157"/>
      <c r="K353" s="157"/>
      <c r="L353" s="157"/>
      <c r="M353" s="157"/>
      <c r="N353" s="157"/>
      <c r="O353" s="157"/>
      <c r="P353" s="157"/>
      <c r="Q353" s="157"/>
      <c r="R353" s="157"/>
      <c r="S353" s="153"/>
      <c r="T353" s="153"/>
      <c r="U353" s="132"/>
      <c r="V353" s="153"/>
      <c r="W353" s="198"/>
      <c r="X353" s="132"/>
      <c r="Y353" s="130"/>
      <c r="Z353" s="132"/>
      <c r="AA353" s="132"/>
      <c r="AB353" s="132"/>
      <c r="AC353" s="132"/>
      <c r="AD353" s="131"/>
      <c r="AE353" s="130"/>
      <c r="AF353" s="130"/>
      <c r="AG353" s="168"/>
      <c r="AH353" s="134">
        <f t="shared" si="371"/>
        <v>0</v>
      </c>
      <c r="AI353" s="134">
        <f t="shared" si="372"/>
        <v>0</v>
      </c>
      <c r="AJ353" s="134">
        <f t="shared" si="373"/>
        <v>0</v>
      </c>
      <c r="AK353" s="134">
        <f t="shared" si="374"/>
        <v>0</v>
      </c>
      <c r="AL353" s="134">
        <f t="shared" si="375"/>
        <v>0</v>
      </c>
      <c r="AM353" s="134">
        <f t="shared" si="376"/>
        <v>0</v>
      </c>
      <c r="AN353" s="134">
        <f t="shared" si="377"/>
        <v>0</v>
      </c>
      <c r="AO353" s="134">
        <f t="shared" si="378"/>
        <v>0</v>
      </c>
      <c r="AP353" s="134">
        <f t="shared" si="379"/>
        <v>0</v>
      </c>
      <c r="AQ353" s="134">
        <f t="shared" si="380"/>
        <v>0</v>
      </c>
      <c r="AR353" s="134">
        <f t="shared" si="381"/>
        <v>0</v>
      </c>
      <c r="AS353" s="135">
        <f t="shared" si="382"/>
        <v>0</v>
      </c>
      <c r="AT353" s="137" t="str">
        <f t="shared" si="383"/>
        <v>0</v>
      </c>
      <c r="AU353" s="137" t="str">
        <f t="shared" si="384"/>
        <v>0</v>
      </c>
      <c r="AV353" s="137" t="str">
        <f t="shared" si="385"/>
        <v>0</v>
      </c>
      <c r="AW353" s="137" t="str">
        <f t="shared" si="386"/>
        <v>0</v>
      </c>
      <c r="AX353" s="137" t="str">
        <f t="shared" si="387"/>
        <v>0</v>
      </c>
      <c r="AY353" s="137" t="str">
        <f t="shared" si="388"/>
        <v>0</v>
      </c>
      <c r="AZ353" s="137" t="str">
        <f t="shared" si="389"/>
        <v>0</v>
      </c>
      <c r="BA353" s="137" t="str">
        <f t="shared" si="390"/>
        <v>0</v>
      </c>
      <c r="BB353" s="137" t="str">
        <f t="shared" si="391"/>
        <v>0</v>
      </c>
      <c r="BC353" s="137" t="str">
        <f t="shared" si="392"/>
        <v>0</v>
      </c>
      <c r="BD353" s="131">
        <f t="shared" si="393"/>
        <v>0</v>
      </c>
    </row>
    <row r="354" spans="2:56" ht="15" hidden="1" customHeight="1" x14ac:dyDescent="0.25">
      <c r="B354" s="223">
        <v>8201005</v>
      </c>
      <c r="C354" s="151" t="s">
        <v>316</v>
      </c>
      <c r="D354" s="151" t="s">
        <v>407</v>
      </c>
      <c r="E354" s="152" t="s">
        <v>471</v>
      </c>
      <c r="F354" s="132"/>
      <c r="G354" s="153"/>
      <c r="H354" s="153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3"/>
      <c r="T354" s="153"/>
      <c r="U354" s="132"/>
      <c r="V354" s="153"/>
      <c r="W354" s="198"/>
      <c r="X354" s="132"/>
      <c r="Y354" s="130"/>
      <c r="Z354" s="132"/>
      <c r="AA354" s="132"/>
      <c r="AB354" s="132"/>
      <c r="AC354" s="132"/>
      <c r="AD354" s="131"/>
      <c r="AE354" s="130"/>
      <c r="AF354" s="130"/>
      <c r="AG354" s="168"/>
      <c r="AH354" s="134">
        <f t="shared" si="371"/>
        <v>0</v>
      </c>
      <c r="AI354" s="134">
        <f t="shared" si="372"/>
        <v>0</v>
      </c>
      <c r="AJ354" s="134">
        <f t="shared" si="373"/>
        <v>0</v>
      </c>
      <c r="AK354" s="134">
        <f t="shared" si="374"/>
        <v>0</v>
      </c>
      <c r="AL354" s="134">
        <f t="shared" si="375"/>
        <v>0</v>
      </c>
      <c r="AM354" s="134">
        <f t="shared" si="376"/>
        <v>0</v>
      </c>
      <c r="AN354" s="134">
        <f t="shared" si="377"/>
        <v>0</v>
      </c>
      <c r="AO354" s="134">
        <f t="shared" si="378"/>
        <v>0</v>
      </c>
      <c r="AP354" s="134">
        <f t="shared" si="379"/>
        <v>0</v>
      </c>
      <c r="AQ354" s="134">
        <f t="shared" si="380"/>
        <v>0</v>
      </c>
      <c r="AR354" s="134">
        <f t="shared" si="381"/>
        <v>0</v>
      </c>
      <c r="AS354" s="135">
        <f t="shared" si="382"/>
        <v>0</v>
      </c>
      <c r="AT354" s="137" t="str">
        <f t="shared" si="383"/>
        <v>0</v>
      </c>
      <c r="AU354" s="137" t="str">
        <f t="shared" si="384"/>
        <v>0</v>
      </c>
      <c r="AV354" s="137" t="str">
        <f t="shared" si="385"/>
        <v>0</v>
      </c>
      <c r="AW354" s="137" t="str">
        <f t="shared" si="386"/>
        <v>0</v>
      </c>
      <c r="AX354" s="137" t="str">
        <f t="shared" si="387"/>
        <v>0</v>
      </c>
      <c r="AY354" s="137" t="str">
        <f t="shared" si="388"/>
        <v>0</v>
      </c>
      <c r="AZ354" s="137" t="str">
        <f t="shared" si="389"/>
        <v>0</v>
      </c>
      <c r="BA354" s="137" t="str">
        <f t="shared" si="390"/>
        <v>0</v>
      </c>
      <c r="BB354" s="137" t="str">
        <f t="shared" si="391"/>
        <v>0</v>
      </c>
      <c r="BC354" s="137" t="str">
        <f t="shared" si="392"/>
        <v>0</v>
      </c>
      <c r="BD354" s="131">
        <f t="shared" si="393"/>
        <v>0</v>
      </c>
    </row>
    <row r="355" spans="2:56" ht="15" hidden="1" customHeight="1" x14ac:dyDescent="0.25">
      <c r="B355" s="223">
        <v>8201006</v>
      </c>
      <c r="C355" s="151" t="s">
        <v>316</v>
      </c>
      <c r="D355" s="151" t="s">
        <v>407</v>
      </c>
      <c r="E355" s="152" t="s">
        <v>472</v>
      </c>
      <c r="F355" s="132"/>
      <c r="G355" s="153"/>
      <c r="H355" s="153"/>
      <c r="I355" s="157"/>
      <c r="J355" s="157"/>
      <c r="K355" s="157"/>
      <c r="L355" s="157"/>
      <c r="M355" s="157"/>
      <c r="N355" s="157"/>
      <c r="O355" s="157"/>
      <c r="P355" s="157"/>
      <c r="Q355" s="157"/>
      <c r="R355" s="157"/>
      <c r="S355" s="153"/>
      <c r="T355" s="153"/>
      <c r="U355" s="132"/>
      <c r="V355" s="153"/>
      <c r="W355" s="198"/>
      <c r="X355" s="132"/>
      <c r="Y355" s="130"/>
      <c r="Z355" s="132"/>
      <c r="AA355" s="132"/>
      <c r="AB355" s="132"/>
      <c r="AC355" s="132"/>
      <c r="AD355" s="131"/>
      <c r="AE355" s="130"/>
      <c r="AF355" s="130"/>
      <c r="AG355" s="168"/>
      <c r="AH355" s="134">
        <f t="shared" si="371"/>
        <v>0</v>
      </c>
      <c r="AI355" s="134">
        <f t="shared" si="372"/>
        <v>0</v>
      </c>
      <c r="AJ355" s="134">
        <f t="shared" si="373"/>
        <v>0</v>
      </c>
      <c r="AK355" s="134">
        <f t="shared" si="374"/>
        <v>0</v>
      </c>
      <c r="AL355" s="134">
        <f t="shared" si="375"/>
        <v>0</v>
      </c>
      <c r="AM355" s="134">
        <f t="shared" si="376"/>
        <v>0</v>
      </c>
      <c r="AN355" s="134">
        <f t="shared" si="377"/>
        <v>0</v>
      </c>
      <c r="AO355" s="134">
        <f t="shared" si="378"/>
        <v>0</v>
      </c>
      <c r="AP355" s="134">
        <f t="shared" si="379"/>
        <v>0</v>
      </c>
      <c r="AQ355" s="134">
        <f t="shared" si="380"/>
        <v>0</v>
      </c>
      <c r="AR355" s="134">
        <f t="shared" si="381"/>
        <v>0</v>
      </c>
      <c r="AS355" s="135">
        <f t="shared" si="382"/>
        <v>0</v>
      </c>
      <c r="AT355" s="137" t="str">
        <f t="shared" si="383"/>
        <v>0</v>
      </c>
      <c r="AU355" s="137" t="str">
        <f t="shared" si="384"/>
        <v>0</v>
      </c>
      <c r="AV355" s="137" t="str">
        <f t="shared" si="385"/>
        <v>0</v>
      </c>
      <c r="AW355" s="137" t="str">
        <f t="shared" si="386"/>
        <v>0</v>
      </c>
      <c r="AX355" s="137" t="str">
        <f t="shared" si="387"/>
        <v>0</v>
      </c>
      <c r="AY355" s="137" t="str">
        <f t="shared" si="388"/>
        <v>0</v>
      </c>
      <c r="AZ355" s="137" t="str">
        <f t="shared" si="389"/>
        <v>0</v>
      </c>
      <c r="BA355" s="137" t="str">
        <f t="shared" si="390"/>
        <v>0</v>
      </c>
      <c r="BB355" s="137" t="str">
        <f t="shared" si="391"/>
        <v>0</v>
      </c>
      <c r="BC355" s="137" t="str">
        <f t="shared" si="392"/>
        <v>0</v>
      </c>
      <c r="BD355" s="131">
        <f t="shared" si="393"/>
        <v>0</v>
      </c>
    </row>
    <row r="356" spans="2:56" ht="15" hidden="1" customHeight="1" x14ac:dyDescent="0.25">
      <c r="B356" s="223">
        <v>8201170</v>
      </c>
      <c r="C356" s="151" t="s">
        <v>374</v>
      </c>
      <c r="D356" s="151" t="s">
        <v>407</v>
      </c>
      <c r="E356" s="152" t="s">
        <v>482</v>
      </c>
      <c r="F356" s="132"/>
      <c r="G356" s="153"/>
      <c r="H356" s="153"/>
      <c r="I356" s="157"/>
      <c r="J356" s="157"/>
      <c r="K356" s="157"/>
      <c r="L356" s="157"/>
      <c r="M356" s="157"/>
      <c r="N356" s="157"/>
      <c r="O356" s="157"/>
      <c r="P356" s="157"/>
      <c r="Q356" s="157"/>
      <c r="R356" s="157"/>
      <c r="S356" s="153"/>
      <c r="T356" s="153"/>
      <c r="U356" s="132"/>
      <c r="V356" s="153"/>
      <c r="W356" s="198"/>
      <c r="X356" s="132"/>
      <c r="Y356" s="130"/>
      <c r="Z356" s="132"/>
      <c r="AA356" s="132"/>
      <c r="AB356" s="132"/>
      <c r="AC356" s="132"/>
      <c r="AD356" s="131"/>
      <c r="AE356" s="130"/>
      <c r="AF356" s="130"/>
      <c r="AG356" s="168"/>
      <c r="AH356" s="134">
        <f t="shared" si="371"/>
        <v>0</v>
      </c>
      <c r="AI356" s="134">
        <f t="shared" si="372"/>
        <v>0</v>
      </c>
      <c r="AJ356" s="134">
        <f t="shared" si="373"/>
        <v>0</v>
      </c>
      <c r="AK356" s="134">
        <f t="shared" si="374"/>
        <v>0</v>
      </c>
      <c r="AL356" s="134">
        <f t="shared" si="375"/>
        <v>0</v>
      </c>
      <c r="AM356" s="134">
        <f t="shared" si="376"/>
        <v>0</v>
      </c>
      <c r="AN356" s="134">
        <f t="shared" si="377"/>
        <v>0</v>
      </c>
      <c r="AO356" s="134">
        <f t="shared" si="378"/>
        <v>0</v>
      </c>
      <c r="AP356" s="134">
        <f t="shared" si="379"/>
        <v>0</v>
      </c>
      <c r="AQ356" s="134">
        <f t="shared" si="380"/>
        <v>0</v>
      </c>
      <c r="AR356" s="134">
        <f t="shared" si="381"/>
        <v>0</v>
      </c>
      <c r="AS356" s="135">
        <f t="shared" si="382"/>
        <v>0</v>
      </c>
      <c r="AT356" s="137" t="str">
        <f t="shared" si="383"/>
        <v>0</v>
      </c>
      <c r="AU356" s="137" t="str">
        <f t="shared" si="384"/>
        <v>0</v>
      </c>
      <c r="AV356" s="137" t="str">
        <f t="shared" si="385"/>
        <v>0</v>
      </c>
      <c r="AW356" s="137" t="str">
        <f t="shared" si="386"/>
        <v>0</v>
      </c>
      <c r="AX356" s="137" t="str">
        <f t="shared" si="387"/>
        <v>0</v>
      </c>
      <c r="AY356" s="137" t="str">
        <f t="shared" si="388"/>
        <v>0</v>
      </c>
      <c r="AZ356" s="137" t="str">
        <f t="shared" si="389"/>
        <v>0</v>
      </c>
      <c r="BA356" s="137" t="str">
        <f t="shared" si="390"/>
        <v>0</v>
      </c>
      <c r="BB356" s="137" t="str">
        <f t="shared" si="391"/>
        <v>0</v>
      </c>
      <c r="BC356" s="137" t="str">
        <f t="shared" si="392"/>
        <v>0</v>
      </c>
      <c r="BD356" s="131">
        <f t="shared" si="393"/>
        <v>0</v>
      </c>
    </row>
    <row r="357" spans="2:56" ht="15" hidden="1" customHeight="1" x14ac:dyDescent="0.25">
      <c r="B357" s="223">
        <v>3432911</v>
      </c>
      <c r="C357" s="151" t="s">
        <v>17</v>
      </c>
      <c r="D357" s="151" t="s">
        <v>407</v>
      </c>
      <c r="E357" s="152" t="s">
        <v>518</v>
      </c>
      <c r="F357" s="132"/>
      <c r="G357" s="153"/>
      <c r="H357" s="153"/>
      <c r="I357" s="157"/>
      <c r="J357" s="157"/>
      <c r="K357" s="157"/>
      <c r="L357" s="157"/>
      <c r="M357" s="157"/>
      <c r="N357" s="157"/>
      <c r="O357" s="157"/>
      <c r="P357" s="157"/>
      <c r="Q357" s="157"/>
      <c r="R357" s="157"/>
      <c r="S357" s="153"/>
      <c r="T357" s="153"/>
      <c r="U357" s="132"/>
      <c r="V357" s="153"/>
      <c r="W357" s="198"/>
      <c r="X357" s="132"/>
      <c r="Y357" s="130"/>
      <c r="Z357" s="132"/>
      <c r="AA357" s="132"/>
      <c r="AB357" s="132"/>
      <c r="AC357" s="131"/>
      <c r="AD357" s="131"/>
      <c r="AE357" s="130"/>
      <c r="AF357" s="130"/>
      <c r="AG357" s="168"/>
      <c r="AH357" s="134">
        <f t="shared" si="371"/>
        <v>0</v>
      </c>
      <c r="AI357" s="134">
        <f t="shared" si="372"/>
        <v>0</v>
      </c>
      <c r="AJ357" s="134">
        <f t="shared" si="373"/>
        <v>0</v>
      </c>
      <c r="AK357" s="134">
        <f t="shared" si="374"/>
        <v>0</v>
      </c>
      <c r="AL357" s="134">
        <f t="shared" si="375"/>
        <v>0</v>
      </c>
      <c r="AM357" s="134">
        <f t="shared" si="376"/>
        <v>0</v>
      </c>
      <c r="AN357" s="134">
        <f t="shared" si="377"/>
        <v>0</v>
      </c>
      <c r="AO357" s="134">
        <f t="shared" si="378"/>
        <v>0</v>
      </c>
      <c r="AP357" s="134">
        <f t="shared" si="379"/>
        <v>0</v>
      </c>
      <c r="AQ357" s="134">
        <f t="shared" si="380"/>
        <v>0</v>
      </c>
      <c r="AR357" s="134">
        <f t="shared" si="381"/>
        <v>0</v>
      </c>
      <c r="AS357" s="135">
        <f t="shared" si="382"/>
        <v>0</v>
      </c>
      <c r="AT357" s="137" t="str">
        <f t="shared" si="383"/>
        <v>0</v>
      </c>
      <c r="AU357" s="137" t="str">
        <f t="shared" si="384"/>
        <v>0</v>
      </c>
      <c r="AV357" s="137" t="str">
        <f t="shared" si="385"/>
        <v>0</v>
      </c>
      <c r="AW357" s="137" t="str">
        <f t="shared" si="386"/>
        <v>0</v>
      </c>
      <c r="AX357" s="137" t="str">
        <f t="shared" si="387"/>
        <v>0</v>
      </c>
      <c r="AY357" s="137" t="str">
        <f t="shared" si="388"/>
        <v>0</v>
      </c>
      <c r="AZ357" s="137" t="str">
        <f t="shared" si="389"/>
        <v>0</v>
      </c>
      <c r="BA357" s="137" t="str">
        <f t="shared" si="390"/>
        <v>0</v>
      </c>
      <c r="BB357" s="137" t="str">
        <f t="shared" si="391"/>
        <v>0</v>
      </c>
      <c r="BC357" s="137" t="str">
        <f t="shared" si="392"/>
        <v>0</v>
      </c>
      <c r="BD357" s="131">
        <f t="shared" si="393"/>
        <v>0</v>
      </c>
    </row>
    <row r="358" spans="2:56" hidden="1" x14ac:dyDescent="0.25"/>
    <row r="360" spans="2:56" hidden="1" x14ac:dyDescent="0.25"/>
    <row r="361" spans="2:56" ht="24" hidden="1" customHeight="1" x14ac:dyDescent="0.25">
      <c r="B361" s="72">
        <v>8200330</v>
      </c>
      <c r="C361" s="44" t="s">
        <v>17</v>
      </c>
      <c r="D361" s="44" t="s">
        <v>803</v>
      </c>
      <c r="E361" s="47" t="s">
        <v>716</v>
      </c>
      <c r="F361" s="73" t="s">
        <v>814</v>
      </c>
      <c r="G361" s="225">
        <v>10</v>
      </c>
      <c r="H361" s="220">
        <v>15</v>
      </c>
    </row>
    <row r="362" spans="2:56" ht="24" hidden="1" customHeight="1" x14ac:dyDescent="0.25">
      <c r="B362" s="72">
        <v>8201110</v>
      </c>
      <c r="C362" s="44" t="s">
        <v>717</v>
      </c>
      <c r="D362" s="44" t="s">
        <v>804</v>
      </c>
      <c r="E362" s="47" t="s">
        <v>582</v>
      </c>
      <c r="F362" s="73" t="s">
        <v>815</v>
      </c>
      <c r="G362" s="225">
        <v>12</v>
      </c>
      <c r="H362" s="220">
        <v>13</v>
      </c>
    </row>
    <row r="363" spans="2:56" ht="24" hidden="1" customHeight="1" x14ac:dyDescent="0.25">
      <c r="B363" s="72">
        <v>8201030</v>
      </c>
      <c r="C363" s="44" t="s">
        <v>17</v>
      </c>
      <c r="D363" s="44" t="s">
        <v>803</v>
      </c>
      <c r="E363" s="47" t="s">
        <v>794</v>
      </c>
      <c r="F363" s="73" t="s">
        <v>816</v>
      </c>
      <c r="G363" s="225">
        <v>27</v>
      </c>
      <c r="H363" s="220" t="s">
        <v>817</v>
      </c>
    </row>
    <row r="364" spans="2:56" hidden="1" x14ac:dyDescent="0.25"/>
    <row r="365" spans="2:56" hidden="1" x14ac:dyDescent="0.25"/>
    <row r="366" spans="2:56" ht="38.25" hidden="1" x14ac:dyDescent="0.25">
      <c r="B366" s="226" t="s">
        <v>818</v>
      </c>
      <c r="C366" s="227"/>
      <c r="D366" s="227"/>
      <c r="E366" s="228" t="s">
        <v>819</v>
      </c>
    </row>
    <row r="367" spans="2:56" hidden="1" x14ac:dyDescent="0.25">
      <c r="B367" s="226">
        <v>7807741</v>
      </c>
      <c r="C367" s="227" t="s">
        <v>820</v>
      </c>
      <c r="D367" s="227"/>
      <c r="E367" s="227"/>
      <c r="G367" s="23" t="s">
        <v>821</v>
      </c>
      <c r="U367" s="229">
        <v>2000</v>
      </c>
    </row>
    <row r="368" spans="2:56" hidden="1" x14ac:dyDescent="0.25">
      <c r="B368" s="222" t="s">
        <v>822</v>
      </c>
      <c r="C368" s="221"/>
      <c r="D368" s="221"/>
      <c r="E368" s="221"/>
      <c r="F368" s="276" t="s">
        <v>823</v>
      </c>
    </row>
    <row r="369" hidden="1" x14ac:dyDescent="0.25"/>
    <row r="370" hidden="1" x14ac:dyDescent="0.25"/>
  </sheetData>
  <sheetProtection sheet="1" objects="1" scenarios="1"/>
  <autoFilter ref="A1:BD333" xr:uid="{00000000-0009-0000-0000-000006000000}"/>
  <mergeCells count="2">
    <mergeCell ref="B315:E315"/>
    <mergeCell ref="B337:E337"/>
  </mergeCells>
  <phoneticPr fontId="40" type="noConversion"/>
  <conditionalFormatting sqref="U315:X315 W19:X19 T222:X222 T187:X187 Y222:Y333 Y3:Y168 Y170:Y215 Y217:Y220 AA315:AB315">
    <cfRule type="cellIs" dxfId="84" priority="28" operator="greaterThan">
      <formula>$AF3</formula>
    </cfRule>
  </conditionalFormatting>
  <conditionalFormatting sqref="AA19:AB19">
    <cfRule type="cellIs" dxfId="83" priority="26" operator="greaterThan">
      <formula>$AF19</formula>
    </cfRule>
  </conditionalFormatting>
  <conditionalFormatting sqref="AA187:AB187">
    <cfRule type="cellIs" dxfId="82" priority="25" operator="greaterThan">
      <formula>$AF187</formula>
    </cfRule>
  </conditionalFormatting>
  <conditionalFormatting sqref="AA212:AB212">
    <cfRule type="cellIs" dxfId="81" priority="24" operator="greaterThan">
      <formula>$AF212</formula>
    </cfRule>
  </conditionalFormatting>
  <conditionalFormatting sqref="AA222:AB222">
    <cfRule type="cellIs" dxfId="80" priority="23" operator="greaterThan">
      <formula>$AF222</formula>
    </cfRule>
  </conditionalFormatting>
  <conditionalFormatting sqref="AC19:AD19">
    <cfRule type="cellIs" dxfId="79" priority="21" operator="greaterThan">
      <formula>$AF19</formula>
    </cfRule>
  </conditionalFormatting>
  <conditionalFormatting sqref="AD187">
    <cfRule type="cellIs" dxfId="78" priority="20" operator="greaterThan">
      <formula>$AF187</formula>
    </cfRule>
  </conditionalFormatting>
  <conditionalFormatting sqref="AC212:AD212">
    <cfRule type="cellIs" dxfId="77" priority="19" operator="greaterThan">
      <formula>$AF212</formula>
    </cfRule>
  </conditionalFormatting>
  <conditionalFormatting sqref="AC222:AD222">
    <cfRule type="cellIs" dxfId="76" priority="18" operator="greaterThan">
      <formula>$AF222</formula>
    </cfRule>
  </conditionalFormatting>
  <conditionalFormatting sqref="AC315:AD315">
    <cfRule type="cellIs" dxfId="75" priority="17" operator="greaterThan">
      <formula>$AF315</formula>
    </cfRule>
  </conditionalFormatting>
  <conditionalFormatting sqref="AC187">
    <cfRule type="cellIs" dxfId="74" priority="16" operator="greaterThan">
      <formula>$AF187</formula>
    </cfRule>
  </conditionalFormatting>
  <conditionalFormatting sqref="Y338:Y357">
    <cfRule type="cellIs" dxfId="73" priority="15" operator="greaterThan">
      <formula>$AF338</formula>
    </cfRule>
  </conditionalFormatting>
  <conditionalFormatting sqref="U337:Y337">
    <cfRule type="cellIs" dxfId="72" priority="14" operator="greaterThan">
      <formula>$AC337</formula>
    </cfRule>
  </conditionalFormatting>
  <conditionalFormatting sqref="AA337">
    <cfRule type="cellIs" dxfId="71" priority="13" operator="greaterThan">
      <formula>$AC337</formula>
    </cfRule>
  </conditionalFormatting>
  <conditionalFormatting sqref="Z337">
    <cfRule type="cellIs" dxfId="70" priority="12" operator="greaterThan">
      <formula>$AC337</formula>
    </cfRule>
  </conditionalFormatting>
  <conditionalFormatting sqref="Y221">
    <cfRule type="cellIs" dxfId="69" priority="6" operator="greaterThan">
      <formula>$AF221</formula>
    </cfRule>
  </conditionalFormatting>
  <conditionalFormatting sqref="Z19">
    <cfRule type="cellIs" dxfId="68" priority="5" operator="greaterThan">
      <formula>$AF19</formula>
    </cfRule>
  </conditionalFormatting>
  <conditionalFormatting sqref="Z187">
    <cfRule type="cellIs" dxfId="67" priority="4" operator="greaterThan">
      <formula>$AF187</formula>
    </cfRule>
  </conditionalFormatting>
  <conditionalFormatting sqref="Z212">
    <cfRule type="cellIs" dxfId="66" priority="3" operator="greaterThan">
      <formula>$AF212</formula>
    </cfRule>
  </conditionalFormatting>
  <conditionalFormatting sqref="Z222">
    <cfRule type="cellIs" dxfId="65" priority="2" operator="greaterThan">
      <formula>$AF222</formula>
    </cfRule>
  </conditionalFormatting>
  <conditionalFormatting sqref="Z315">
    <cfRule type="cellIs" dxfId="64" priority="1" operator="greaterThan">
      <formula>$AF315</formula>
    </cfRule>
  </conditionalFormatting>
  <pageMargins left="0.39370078740157483" right="0.39370078740157483" top="0.39370078740157483" bottom="0.39370078740157483" header="0" footer="0"/>
  <pageSetup scale="36" fitToHeight="0" orientation="landscape" r:id="rId1"/>
  <ignoredErrors>
    <ignoredError sqref="AA7 AA15" 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B2:R37"/>
  <sheetViews>
    <sheetView showGridLines="0" zoomScaleNormal="100" workbookViewId="0">
      <selection activeCell="F9" sqref="F9"/>
    </sheetView>
  </sheetViews>
  <sheetFormatPr baseColWidth="10" defaultRowHeight="15" x14ac:dyDescent="0.25"/>
  <cols>
    <col min="2" max="2" width="24.42578125" customWidth="1"/>
    <col min="3" max="3" width="17.85546875" customWidth="1"/>
    <col min="4" max="4" width="18" customWidth="1"/>
    <col min="5" max="5" width="15.28515625" customWidth="1"/>
    <col min="6" max="6" width="16" customWidth="1"/>
    <col min="7" max="7" width="14.85546875" customWidth="1"/>
    <col min="8" max="8" width="10.7109375" customWidth="1"/>
    <col min="9" max="9" width="2.28515625" customWidth="1"/>
    <col min="10" max="10" width="23.85546875" bestFit="1" customWidth="1"/>
    <col min="11" max="11" width="2.28515625" customWidth="1"/>
    <col min="12" max="12" width="10.7109375" customWidth="1"/>
    <col min="13" max="13" width="2.28515625" customWidth="1"/>
    <col min="14" max="14" width="10.7109375" customWidth="1"/>
    <col min="15" max="15" width="2.28515625" customWidth="1"/>
    <col min="17" max="17" width="18.7109375" customWidth="1"/>
    <col min="18" max="18" width="22.5703125" bestFit="1" customWidth="1"/>
  </cols>
  <sheetData>
    <row r="2" spans="2:18" ht="15.75" thickBot="1" x14ac:dyDescent="0.3"/>
    <row r="3" spans="2:18" ht="32.25" customHeight="1" x14ac:dyDescent="0.25">
      <c r="B3" s="5" t="s">
        <v>752</v>
      </c>
      <c r="C3" s="5" t="s">
        <v>757</v>
      </c>
      <c r="D3" s="5" t="s">
        <v>758</v>
      </c>
      <c r="E3" s="5" t="s">
        <v>759</v>
      </c>
      <c r="F3" s="5" t="s">
        <v>760</v>
      </c>
      <c r="G3" s="5" t="s">
        <v>761</v>
      </c>
      <c r="I3" s="77" t="s">
        <v>765</v>
      </c>
      <c r="J3" s="78"/>
      <c r="K3" s="78"/>
      <c r="L3" s="78"/>
      <c r="M3" s="78"/>
      <c r="N3" s="78"/>
      <c r="O3" s="79"/>
      <c r="Q3" s="102" t="s">
        <v>764</v>
      </c>
      <c r="R3" t="s">
        <v>778</v>
      </c>
    </row>
    <row r="4" spans="2:18" ht="15.75" x14ac:dyDescent="0.25">
      <c r="B4" s="67" t="s">
        <v>606</v>
      </c>
      <c r="C4" s="1">
        <f>+SUMIFS(Tablageneral[Total Dib/Cal],Tablageneral[Planta],Resumen!B4)</f>
        <v>0</v>
      </c>
      <c r="D4" s="1">
        <f>+SUMIFS(Tablageneral[Total Enc/Eng],Tablageneral[Planta],Resumen!B4)</f>
        <v>0</v>
      </c>
      <c r="E4" s="39">
        <f>IFERROR(AVERAGEIFS(Tablageneral[Días de entrega],Tablageneral[Planta],Resumen!B4),0)</f>
        <v>0</v>
      </c>
      <c r="F4" s="1">
        <f>+COUNTIFS(Tablageneral[Planta],Resumen!B4)</f>
        <v>0</v>
      </c>
      <c r="G4" s="73">
        <f>+SUMIFS(Tablageneral[Total Cuchi/Esc (cm)],Tablageneral[Planta],Resumen!B4)</f>
        <v>0</v>
      </c>
      <c r="I4" s="363" t="s">
        <v>772</v>
      </c>
      <c r="J4" s="364"/>
      <c r="K4" s="364"/>
      <c r="L4" s="364"/>
      <c r="M4" s="364"/>
      <c r="N4" s="364"/>
      <c r="O4" s="365"/>
    </row>
    <row r="5" spans="2:18" x14ac:dyDescent="0.25">
      <c r="B5" s="40" t="s">
        <v>884</v>
      </c>
      <c r="C5" s="1">
        <f>+SUMIFS(Tablageneral[Total Dib/Cal],Tablageneral[Planta],Resumen!B5)</f>
        <v>0</v>
      </c>
      <c r="D5" s="1">
        <f>+SUMIFS(Tablageneral[Total Enc/Eng],Tablageneral[Planta],Resumen!B5)</f>
        <v>0</v>
      </c>
      <c r="E5" s="39">
        <f>IFERROR(AVERAGEIFS(Tablageneral[Días de entrega],Tablageneral[Planta],Resumen!B5),0)</f>
        <v>0</v>
      </c>
      <c r="F5" s="1">
        <f>+COUNTIFS(Tablageneral[Planta],Resumen!B5)</f>
        <v>0</v>
      </c>
      <c r="G5" s="73">
        <f>+SUMIFS(Tablageneral[Total Cuchi/Esc (cm)],Tablageneral[Planta],Resumen!B5)</f>
        <v>0</v>
      </c>
      <c r="I5" s="366" t="s">
        <v>773</v>
      </c>
      <c r="J5" s="367"/>
      <c r="K5" s="367"/>
      <c r="L5" s="367"/>
      <c r="M5" s="367"/>
      <c r="N5" s="367"/>
      <c r="O5" s="368"/>
      <c r="Q5" s="102" t="s">
        <v>776</v>
      </c>
      <c r="R5" t="s">
        <v>779</v>
      </c>
    </row>
    <row r="6" spans="2:18" x14ac:dyDescent="0.25">
      <c r="B6" s="67" t="s">
        <v>602</v>
      </c>
      <c r="C6" s="1">
        <f>+SUMIFS(Tablageneral[Total Dib/Cal],Tablageneral[Planta],Resumen!B6)</f>
        <v>0</v>
      </c>
      <c r="D6" s="1">
        <f>+SUMIFS(Tablageneral[Total Enc/Eng],Tablageneral[Planta],Resumen!B6)</f>
        <v>0</v>
      </c>
      <c r="E6" s="39">
        <f>IFERROR(AVERAGEIFS(Tablageneral[Días de entrega],Tablageneral[Planta],Resumen!B6),0)</f>
        <v>0</v>
      </c>
      <c r="F6" s="1">
        <f>+COUNTIFS(Tablageneral[Planta],Resumen!B6)</f>
        <v>0</v>
      </c>
      <c r="G6" s="73">
        <f>+SUMIFS(Tablageneral[Total Cuchi/Esc (cm)],Tablageneral[Planta],Resumen!B6)</f>
        <v>0</v>
      </c>
      <c r="I6" s="80"/>
      <c r="J6" s="58"/>
      <c r="K6" s="58"/>
      <c r="L6" s="58"/>
      <c r="M6" s="58"/>
      <c r="N6" s="58"/>
      <c r="O6" s="82"/>
      <c r="Q6" s="7" t="s">
        <v>636</v>
      </c>
      <c r="R6">
        <v>4</v>
      </c>
    </row>
    <row r="7" spans="2:18" ht="15.75" x14ac:dyDescent="0.25">
      <c r="B7" s="40" t="s">
        <v>604</v>
      </c>
      <c r="C7" s="1">
        <f>+SUMIFS(Tablageneral[Total Dib/Cal],Tablageneral[Planta],Resumen!B7)</f>
        <v>0</v>
      </c>
      <c r="D7" s="1">
        <f>+SUMIFS(Tablageneral[Total Enc/Eng],Tablageneral[Planta],Resumen!B7)</f>
        <v>0</v>
      </c>
      <c r="E7" s="39">
        <f>IFERROR(AVERAGEIFS(Tablageneral[Días de entrega],Tablageneral[Planta],Resumen!B7),0)</f>
        <v>0</v>
      </c>
      <c r="F7" s="1">
        <f>+COUNTIFS(Tablageneral[Planta],Resumen!B7)</f>
        <v>0</v>
      </c>
      <c r="G7" s="73">
        <f>+SUMIFS(Tablageneral[Total Cuchi/Esc (cm)],Tablageneral[Planta],Resumen!B7)</f>
        <v>0</v>
      </c>
      <c r="I7" s="80"/>
      <c r="J7" s="100" t="s">
        <v>888</v>
      </c>
      <c r="K7" s="58"/>
      <c r="L7" s="58"/>
      <c r="M7" s="58"/>
      <c r="N7" s="58"/>
      <c r="O7" s="82"/>
      <c r="Q7" s="7" t="s">
        <v>637</v>
      </c>
      <c r="R7" s="103">
        <v>5</v>
      </c>
    </row>
    <row r="8" spans="2:18" x14ac:dyDescent="0.25">
      <c r="B8" s="67" t="s">
        <v>885</v>
      </c>
      <c r="C8" s="1">
        <f>+SUMIFS(Tablageneral[Total Dib/Cal],Tablageneral[Planta],Resumen!B8)</f>
        <v>0</v>
      </c>
      <c r="D8" s="1">
        <f>+SUMIFS(Tablageneral[Total Enc/Eng],Tablageneral[Planta],Resumen!B8)</f>
        <v>0</v>
      </c>
      <c r="E8" s="39">
        <f>IFERROR(AVERAGEIFS(Tablageneral[Días de entrega],Tablageneral[Planta],Resumen!B8),0)</f>
        <v>0</v>
      </c>
      <c r="F8" s="1">
        <f>+COUNTIFS(Tablageneral[Planta],Resumen!B8)</f>
        <v>0</v>
      </c>
      <c r="G8" s="73">
        <f>+SUMIFS(Tablageneral[Total Cuchi/Esc (cm)],Tablageneral[Planta],Resumen!B8)</f>
        <v>0</v>
      </c>
      <c r="I8" s="80"/>
      <c r="J8" s="58"/>
      <c r="K8" s="58"/>
      <c r="L8" s="58"/>
      <c r="M8" s="58"/>
      <c r="N8" s="58"/>
      <c r="O8" s="82"/>
      <c r="Q8" s="7" t="s">
        <v>638</v>
      </c>
      <c r="R8">
        <v>5</v>
      </c>
    </row>
    <row r="9" spans="2:18" ht="18.75" x14ac:dyDescent="0.3">
      <c r="B9" s="40" t="s">
        <v>605</v>
      </c>
      <c r="C9" s="1">
        <f>+SUMIFS(Tablageneral[Total Dib/Cal],Tablageneral[Planta],Resumen!B9)</f>
        <v>0</v>
      </c>
      <c r="D9" s="1">
        <f>+SUMIFS(Tablageneral[Total Enc/Eng],Tablageneral[Planta],Resumen!B9)</f>
        <v>0</v>
      </c>
      <c r="E9" s="39">
        <f>IFERROR(AVERAGEIFS(Tablageneral[Días de entrega],Tablageneral[Planta],Resumen!B9),0)</f>
        <v>0</v>
      </c>
      <c r="F9" s="1">
        <f>+COUNTIFS(Tablageneral[Planta],Resumen!B9)</f>
        <v>0</v>
      </c>
      <c r="G9" s="73">
        <f>+SUMIFS(Tablageneral[Total Cuchi/Esc (cm)],Tablageneral[Planta],Resumen!B9)</f>
        <v>0</v>
      </c>
      <c r="I9" s="80"/>
      <c r="J9" s="58"/>
      <c r="K9" s="58"/>
      <c r="L9" s="99" t="s">
        <v>775</v>
      </c>
      <c r="M9" s="58"/>
      <c r="N9" s="91" t="s">
        <v>774</v>
      </c>
      <c r="O9" s="82"/>
      <c r="Q9" s="7" t="s">
        <v>640</v>
      </c>
      <c r="R9">
        <v>6</v>
      </c>
    </row>
    <row r="10" spans="2:18" x14ac:dyDescent="0.25">
      <c r="B10" s="67" t="s">
        <v>607</v>
      </c>
      <c r="C10" s="1">
        <f>+SUMIFS(Tablageneral[Total Dib/Cal],Tablageneral[Planta],Resumen!B10)</f>
        <v>0</v>
      </c>
      <c r="D10" s="1">
        <f>+SUMIFS(Tablageneral[Total Enc/Eng],Tablageneral[Planta],Resumen!B10)</f>
        <v>0</v>
      </c>
      <c r="E10" s="39">
        <f>IFERROR(AVERAGEIFS(Tablageneral[Días de entrega],Tablageneral[Planta],Resumen!B10),0)</f>
        <v>0</v>
      </c>
      <c r="F10" s="1">
        <f>+COUNTIFS(Tablageneral[Planta],Resumen!B10)</f>
        <v>0</v>
      </c>
      <c r="G10" s="73">
        <f>+SUMIFS(Tablageneral[Total Cuchi/Esc (cm)],Tablageneral[Planta],Resumen!B10)</f>
        <v>0</v>
      </c>
      <c r="I10" s="80"/>
      <c r="J10" s="58"/>
      <c r="K10" s="58"/>
      <c r="L10" s="58"/>
      <c r="M10" s="58"/>
      <c r="N10" s="58"/>
      <c r="O10" s="82"/>
      <c r="Q10" s="7" t="s">
        <v>635</v>
      </c>
      <c r="R10" s="103">
        <v>5</v>
      </c>
    </row>
    <row r="11" spans="2:18" x14ac:dyDescent="0.25">
      <c r="B11" s="40" t="s">
        <v>608</v>
      </c>
      <c r="C11" s="1">
        <f>+SUMIFS(Tablageneral[Total Dib/Cal],Tablageneral[Planta],Resumen!B11)</f>
        <v>0</v>
      </c>
      <c r="D11" s="1">
        <f>+SUMIFS(Tablageneral[Total Enc/Eng],Tablageneral[Planta],Resumen!B11)</f>
        <v>0</v>
      </c>
      <c r="E11" s="39">
        <f>IFERROR(AVERAGEIFS(Tablageneral[Días de entrega],Tablageneral[Planta],Resumen!B11),0)</f>
        <v>0</v>
      </c>
      <c r="F11" s="1">
        <f>+COUNTIFS(Tablageneral[Planta],Resumen!B11)</f>
        <v>0</v>
      </c>
      <c r="G11" s="73">
        <f>+SUMIFS(Tablageneral[Total Cuchi/Esc (cm)],Tablageneral[Planta],Resumen!B11)</f>
        <v>0</v>
      </c>
      <c r="I11" s="80"/>
      <c r="J11" s="81" t="s">
        <v>602</v>
      </c>
      <c r="K11" s="58"/>
      <c r="L11" s="92">
        <f>+Resumen!C6+Resumen!D6</f>
        <v>0</v>
      </c>
      <c r="M11" s="89"/>
      <c r="N11" s="96" t="e">
        <f>+L11/$L$31</f>
        <v>#DIV/0!</v>
      </c>
      <c r="O11" s="95"/>
      <c r="Q11" s="7" t="s">
        <v>632</v>
      </c>
      <c r="R11">
        <v>1</v>
      </c>
    </row>
    <row r="12" spans="2:18" x14ac:dyDescent="0.25">
      <c r="B12" s="67" t="s">
        <v>609</v>
      </c>
      <c r="C12" s="1">
        <f>+SUMIFS(Tablageneral[Total Dib/Cal],Tablageneral[Planta],Resumen!B12)</f>
        <v>0</v>
      </c>
      <c r="D12" s="1">
        <f>+SUMIFS(Tablageneral[Total Enc/Eng],Tablageneral[Planta],Resumen!B12)</f>
        <v>0</v>
      </c>
      <c r="E12" s="39">
        <f>IFERROR(AVERAGEIFS(Tablageneral[Días de entrega],Tablageneral[Planta],Resumen!B12),0)</f>
        <v>0</v>
      </c>
      <c r="F12" s="1">
        <f>+COUNTIFS(Tablageneral[Planta],Resumen!B12)</f>
        <v>0</v>
      </c>
      <c r="G12" s="73">
        <f>+SUMIFS(Tablageneral[Total Cuchi/Esc (cm)],Tablageneral[Planta],Resumen!B12)</f>
        <v>0</v>
      </c>
      <c r="I12" s="80"/>
      <c r="J12" s="81"/>
      <c r="K12" s="58"/>
      <c r="L12" s="58"/>
      <c r="M12" s="89"/>
      <c r="N12" s="58"/>
      <c r="O12" s="82"/>
      <c r="Q12" s="7" t="s">
        <v>797</v>
      </c>
      <c r="R12">
        <v>6</v>
      </c>
    </row>
    <row r="13" spans="2:18" x14ac:dyDescent="0.25">
      <c r="B13" s="41" t="s">
        <v>610</v>
      </c>
      <c r="C13" s="30">
        <f>+SUMIFS(Tablageneral[Total Dib/Cal],Tablageneral[Planta],Resumen!B13)</f>
        <v>0</v>
      </c>
      <c r="D13" s="30">
        <f>+SUMIFS(Tablageneral[Total Enc/Eng],Tablageneral[Planta],Resumen!B13)</f>
        <v>0</v>
      </c>
      <c r="E13" s="42">
        <f>IFERROR(AVERAGEIFS(Tablageneral[Días de entrega],Tablageneral[Planta],Resumen!B13),0)</f>
        <v>0</v>
      </c>
      <c r="F13" s="30">
        <f>+COUNTIFS(Tablageneral[Planta],Resumen!B13)</f>
        <v>0</v>
      </c>
      <c r="G13" s="74">
        <f>+SUMIFS(Tablageneral[Total Cuchi/Esc (cm)],Tablageneral[Planta],Resumen!B13)</f>
        <v>0</v>
      </c>
      <c r="I13" s="80"/>
      <c r="J13" s="81" t="s">
        <v>603</v>
      </c>
      <c r="K13" s="58"/>
      <c r="L13" s="92">
        <f>+Resumen!C8+Resumen!D8</f>
        <v>0</v>
      </c>
      <c r="M13" s="89"/>
      <c r="N13" s="96" t="e">
        <f>+L13/$L$31</f>
        <v>#DIV/0!</v>
      </c>
      <c r="O13" s="95"/>
      <c r="Q13" s="7" t="s">
        <v>777</v>
      </c>
      <c r="R13" s="103">
        <v>32</v>
      </c>
    </row>
    <row r="14" spans="2:18" x14ac:dyDescent="0.25">
      <c r="I14" s="80"/>
      <c r="J14" s="81"/>
      <c r="K14" s="58"/>
      <c r="L14" s="84"/>
      <c r="M14" s="89"/>
      <c r="N14" s="58"/>
      <c r="O14" s="82"/>
    </row>
    <row r="15" spans="2:18" x14ac:dyDescent="0.25">
      <c r="B15" s="75" t="s">
        <v>763</v>
      </c>
      <c r="C15" s="110">
        <f>+SUM(ResumenPlantas[Dibujo-Calado (Hrs)])</f>
        <v>0</v>
      </c>
      <c r="D15" s="76">
        <f>+SUM(ResumenPlantas[Encuchillado-Engomado (Hrs)])</f>
        <v>0</v>
      </c>
      <c r="E15" s="110">
        <f>+SUM(ResumenPlantas[Dias de entrega (Prom)])</f>
        <v>0</v>
      </c>
      <c r="F15" s="76">
        <f>+SUM(ResumenPlantas[Cantidad de troqueles])</f>
        <v>0</v>
      </c>
      <c r="G15" s="76">
        <f>+SUM(ResumenPlantas[Score-Cuchilla (cm)])</f>
        <v>0</v>
      </c>
      <c r="I15" s="80"/>
      <c r="J15" s="81" t="s">
        <v>601</v>
      </c>
      <c r="K15" s="58"/>
      <c r="L15" s="92">
        <f>+Resumen!C5+Resumen!D5</f>
        <v>0</v>
      </c>
      <c r="M15" s="89"/>
      <c r="N15" s="96" t="e">
        <f>+L15/$L$31</f>
        <v>#DIV/0!</v>
      </c>
      <c r="O15" s="95"/>
    </row>
    <row r="16" spans="2:18" x14ac:dyDescent="0.25">
      <c r="I16" s="80"/>
      <c r="J16" s="81"/>
      <c r="K16" s="58"/>
      <c r="L16" s="84"/>
      <c r="M16" s="89"/>
      <c r="N16" s="58"/>
      <c r="O16" s="82"/>
    </row>
    <row r="17" spans="2:15" x14ac:dyDescent="0.25">
      <c r="G17" s="103"/>
      <c r="I17" s="80"/>
      <c r="J17" s="81" t="s">
        <v>766</v>
      </c>
      <c r="K17" s="58"/>
      <c r="L17" s="92">
        <f>+Resumen!C4+Resumen!D4</f>
        <v>0</v>
      </c>
      <c r="M17" s="89"/>
      <c r="N17" s="96" t="e">
        <f>+L17/$L$31</f>
        <v>#DIV/0!</v>
      </c>
      <c r="O17" s="95"/>
    </row>
    <row r="18" spans="2:15" x14ac:dyDescent="0.25">
      <c r="I18" s="80"/>
      <c r="J18" s="81"/>
      <c r="K18" s="58"/>
      <c r="L18" s="93"/>
      <c r="M18" s="89"/>
      <c r="N18" s="58"/>
      <c r="O18" s="82"/>
    </row>
    <row r="19" spans="2:15" ht="21" x14ac:dyDescent="0.35">
      <c r="B19" s="357" t="s">
        <v>781</v>
      </c>
      <c r="C19" s="358"/>
      <c r="D19" s="359"/>
      <c r="I19" s="80"/>
      <c r="J19" s="81" t="s">
        <v>604</v>
      </c>
      <c r="K19" s="58"/>
      <c r="L19" s="92">
        <f>+Resumen!C7+Resumen!D7</f>
        <v>0</v>
      </c>
      <c r="M19" s="89"/>
      <c r="N19" s="96" t="e">
        <f>+L19/$L$31</f>
        <v>#DIV/0!</v>
      </c>
      <c r="O19" s="95"/>
    </row>
    <row r="20" spans="2:15" x14ac:dyDescent="0.25">
      <c r="I20" s="80"/>
      <c r="J20" s="58"/>
      <c r="K20" s="58"/>
      <c r="L20" s="93"/>
      <c r="M20" s="89"/>
      <c r="N20" s="58"/>
      <c r="O20" s="82"/>
    </row>
    <row r="21" spans="2:15" x14ac:dyDescent="0.25">
      <c r="B21" s="104" t="s">
        <v>782</v>
      </c>
      <c r="C21" s="277" t="e">
        <f>+GETPIVOTDATA("Suma de Tiempo (HRs)",Resumen!$Q$5)</f>
        <v>#REF!</v>
      </c>
      <c r="I21" s="80"/>
      <c r="J21" s="81" t="s">
        <v>605</v>
      </c>
      <c r="K21" s="58"/>
      <c r="L21" s="92">
        <f>+Resumen!C9+Resumen!D9</f>
        <v>0</v>
      </c>
      <c r="M21" s="89"/>
      <c r="N21" s="96" t="e">
        <f>+L21/$L$31</f>
        <v>#DIV/0!</v>
      </c>
      <c r="O21" s="95"/>
    </row>
    <row r="22" spans="2:15" x14ac:dyDescent="0.25">
      <c r="B22" s="8" t="s">
        <v>783</v>
      </c>
      <c r="C22" s="107" t="e">
        <f>+C21/7.3</f>
        <v>#REF!</v>
      </c>
      <c r="I22" s="80"/>
      <c r="J22" s="81"/>
      <c r="K22" s="58"/>
      <c r="L22" s="93"/>
      <c r="M22" s="89"/>
      <c r="N22" s="83"/>
      <c r="O22" s="82"/>
    </row>
    <row r="23" spans="2:15" x14ac:dyDescent="0.25">
      <c r="B23" s="8" t="s">
        <v>811</v>
      </c>
      <c r="C23" s="197"/>
      <c r="I23" s="80"/>
      <c r="J23" s="81" t="s">
        <v>767</v>
      </c>
      <c r="K23" s="58"/>
      <c r="L23" s="92">
        <f>+Resumen!C10+Resumen!D10</f>
        <v>0</v>
      </c>
      <c r="M23" s="89"/>
      <c r="N23" s="96" t="e">
        <f>+L23/$L$31</f>
        <v>#DIV/0!</v>
      </c>
      <c r="O23" s="82"/>
    </row>
    <row r="24" spans="2:15" ht="15.75" thickBot="1" x14ac:dyDescent="0.3">
      <c r="C24" s="101"/>
      <c r="I24" s="80"/>
      <c r="J24" s="81"/>
      <c r="K24" s="58"/>
      <c r="L24" s="93"/>
      <c r="M24" s="89"/>
      <c r="N24" s="83"/>
      <c r="O24" s="82"/>
    </row>
    <row r="25" spans="2:15" ht="20.25" customHeight="1" thickBot="1" x14ac:dyDescent="0.3">
      <c r="B25" s="108" t="s">
        <v>784</v>
      </c>
      <c r="C25" s="182" t="e">
        <f>+G15/C21</f>
        <v>#REF!</v>
      </c>
      <c r="D25" s="109" t="e">
        <f>(G15-C23)/C21</f>
        <v>#REF!</v>
      </c>
      <c r="E25" t="s">
        <v>808</v>
      </c>
      <c r="I25" s="80"/>
      <c r="J25" s="81" t="s">
        <v>768</v>
      </c>
      <c r="K25" s="58"/>
      <c r="L25" s="92">
        <f>+Resumen!C11+Resumen!D11</f>
        <v>0</v>
      </c>
      <c r="M25" s="89"/>
      <c r="N25" s="96" t="e">
        <f>+L25/$L$31</f>
        <v>#DIV/0!</v>
      </c>
      <c r="O25" s="82"/>
    </row>
    <row r="26" spans="2:15" x14ac:dyDescent="0.25">
      <c r="I26" s="80"/>
      <c r="J26" s="58"/>
      <c r="K26" s="58"/>
      <c r="L26" s="93"/>
      <c r="M26" s="89"/>
      <c r="N26" s="58"/>
      <c r="O26" s="82"/>
    </row>
    <row r="27" spans="2:15" x14ac:dyDescent="0.25">
      <c r="I27" s="80"/>
      <c r="J27" s="81" t="s">
        <v>769</v>
      </c>
      <c r="K27" s="58"/>
      <c r="L27" s="92">
        <f>+Resumen!C12+Resumen!D12</f>
        <v>0</v>
      </c>
      <c r="M27" s="89"/>
      <c r="N27" s="96" t="e">
        <f>+L27/$L$31</f>
        <v>#DIV/0!</v>
      </c>
      <c r="O27" s="82"/>
    </row>
    <row r="28" spans="2:15" x14ac:dyDescent="0.25">
      <c r="I28" s="80"/>
      <c r="J28" s="81"/>
      <c r="K28" s="58"/>
      <c r="L28" s="93"/>
      <c r="M28" s="90"/>
      <c r="N28" s="83"/>
      <c r="O28" s="82"/>
    </row>
    <row r="29" spans="2:15" ht="20.25" customHeight="1" x14ac:dyDescent="0.35">
      <c r="B29" s="360" t="s">
        <v>780</v>
      </c>
      <c r="C29" s="361"/>
      <c r="D29" s="362"/>
      <c r="I29" s="80"/>
      <c r="J29" s="81" t="s">
        <v>770</v>
      </c>
      <c r="K29" s="58"/>
      <c r="L29" s="92">
        <f>+Resumen!C13+Resumen!D13</f>
        <v>0</v>
      </c>
      <c r="M29" s="89"/>
      <c r="N29" s="96" t="e">
        <f>+L29/$L$31</f>
        <v>#DIV/0!</v>
      </c>
      <c r="O29" s="82"/>
    </row>
    <row r="30" spans="2:15" x14ac:dyDescent="0.25">
      <c r="C30" s="105"/>
      <c r="D30" s="105"/>
      <c r="I30" s="80"/>
      <c r="J30" s="58"/>
      <c r="K30" s="58"/>
      <c r="L30" s="93"/>
      <c r="M30" s="58"/>
      <c r="N30" s="58"/>
      <c r="O30" s="82"/>
    </row>
    <row r="31" spans="2:15" x14ac:dyDescent="0.25">
      <c r="B31" s="111" t="s">
        <v>785</v>
      </c>
      <c r="C31" s="112" t="e">
        <f>+C15/F15</f>
        <v>#DIV/0!</v>
      </c>
      <c r="D31" s="36" t="s">
        <v>775</v>
      </c>
      <c r="I31" s="80"/>
      <c r="J31" s="81" t="s">
        <v>763</v>
      </c>
      <c r="K31" s="58"/>
      <c r="L31" s="94">
        <f>+SUM(L11:L29)</f>
        <v>0</v>
      </c>
      <c r="M31" s="89"/>
      <c r="N31" s="97" t="e">
        <f>+SUM(N11:N29)</f>
        <v>#DIV/0!</v>
      </c>
      <c r="O31" s="82"/>
    </row>
    <row r="32" spans="2:15" x14ac:dyDescent="0.25">
      <c r="B32" s="113" t="s">
        <v>788</v>
      </c>
      <c r="C32" s="114" t="e">
        <f>+D15/F15</f>
        <v>#DIV/0!</v>
      </c>
      <c r="D32" s="115" t="s">
        <v>775</v>
      </c>
      <c r="I32" s="80"/>
      <c r="J32" s="58"/>
      <c r="K32" s="58"/>
      <c r="L32" s="58"/>
      <c r="M32" s="58"/>
      <c r="N32" s="58"/>
      <c r="O32" s="82"/>
    </row>
    <row r="33" spans="2:15" x14ac:dyDescent="0.25">
      <c r="B33" s="116" t="s">
        <v>786</v>
      </c>
      <c r="C33" s="117" t="e">
        <f>+G15/F15</f>
        <v>#DIV/0!</v>
      </c>
      <c r="D33" s="118" t="s">
        <v>787</v>
      </c>
      <c r="I33" s="80"/>
      <c r="J33" s="58"/>
      <c r="K33" s="58"/>
      <c r="L33" s="58"/>
      <c r="M33" s="58"/>
      <c r="N33" s="58"/>
      <c r="O33" s="82"/>
    </row>
    <row r="34" spans="2:15" x14ac:dyDescent="0.25">
      <c r="C34" s="105"/>
      <c r="D34" s="106"/>
      <c r="I34" s="80"/>
      <c r="J34" s="81" t="s">
        <v>771</v>
      </c>
      <c r="K34" s="58"/>
      <c r="L34" s="85"/>
      <c r="M34" s="85"/>
      <c r="N34" s="85"/>
      <c r="O34" s="82"/>
    </row>
    <row r="35" spans="2:15" x14ac:dyDescent="0.25">
      <c r="D35" s="103"/>
      <c r="I35" s="80"/>
      <c r="J35" s="58"/>
      <c r="K35" s="58"/>
      <c r="L35" s="98" t="s">
        <v>807</v>
      </c>
      <c r="M35" s="58"/>
      <c r="N35" s="58"/>
      <c r="O35" s="82"/>
    </row>
    <row r="36" spans="2:15" x14ac:dyDescent="0.25">
      <c r="I36" s="80"/>
      <c r="J36" s="58"/>
      <c r="K36" s="58"/>
      <c r="L36" s="58"/>
      <c r="M36" s="58"/>
      <c r="N36" s="58"/>
      <c r="O36" s="82"/>
    </row>
    <row r="37" spans="2:15" ht="15.75" thickBot="1" x14ac:dyDescent="0.3">
      <c r="I37" s="86"/>
      <c r="J37" s="87"/>
      <c r="K37" s="87"/>
      <c r="L37" s="87"/>
      <c r="M37" s="87"/>
      <c r="N37" s="87"/>
      <c r="O37" s="88"/>
    </row>
  </sheetData>
  <mergeCells count="4">
    <mergeCell ref="B19:D19"/>
    <mergeCell ref="B29:D29"/>
    <mergeCell ref="I4:O4"/>
    <mergeCell ref="I5:O5"/>
  </mergeCells>
  <pageMargins left="0.70866141732283472" right="0.70866141732283472" top="0.74803149606299213" bottom="0.74803149606299213" header="0.31496062992125984" footer="0.31496062992125984"/>
  <pageSetup scale="35" orientation="portrait" r:id="rId2"/>
  <legacy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tabColor rgb="FF92D050"/>
    <pageSetUpPr fitToPage="1"/>
  </sheetPr>
  <dimension ref="A1:S72"/>
  <sheetViews>
    <sheetView showGridLines="0" zoomScale="85" zoomScaleNormal="85" workbookViewId="0">
      <selection activeCell="T24" sqref="T24"/>
    </sheetView>
  </sheetViews>
  <sheetFormatPr baseColWidth="10" defaultRowHeight="15" x14ac:dyDescent="0.25"/>
  <cols>
    <col min="1" max="1" width="14.7109375" bestFit="1" customWidth="1"/>
    <col min="2" max="2" width="31.28515625" bestFit="1" customWidth="1"/>
    <col min="3" max="3" width="11.140625" bestFit="1" customWidth="1"/>
    <col min="4" max="4" width="11.7109375" bestFit="1" customWidth="1"/>
    <col min="5" max="5" width="9.85546875" bestFit="1" customWidth="1"/>
    <col min="6" max="6" width="23.85546875" bestFit="1" customWidth="1"/>
    <col min="7" max="7" width="9.7109375" style="2" customWidth="1"/>
    <col min="8" max="8" width="14.28515625" style="2" bestFit="1" customWidth="1"/>
    <col min="9" max="9" width="8.7109375" style="2" bestFit="1" customWidth="1"/>
    <col min="10" max="10" width="10.28515625" customWidth="1"/>
    <col min="11" max="11" width="9.28515625" bestFit="1" customWidth="1"/>
    <col min="12" max="12" width="9.42578125" bestFit="1" customWidth="1"/>
    <col min="13" max="13" width="13.85546875" customWidth="1"/>
    <col min="14" max="14" width="12.5703125" bestFit="1" customWidth="1"/>
    <col min="15" max="15" width="10.5703125" bestFit="1" customWidth="1"/>
    <col min="16" max="16" width="11.140625" bestFit="1" customWidth="1"/>
    <col min="17" max="17" width="10.28515625" bestFit="1" customWidth="1"/>
    <col min="18" max="18" width="16.7109375" bestFit="1" customWidth="1"/>
  </cols>
  <sheetData>
    <row r="1" spans="1:19" ht="44.25" customHeight="1" x14ac:dyDescent="0.25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ht="39" customHeight="1" x14ac:dyDescent="0.25">
      <c r="A2" s="259" t="s">
        <v>752</v>
      </c>
      <c r="B2" s="259" t="s">
        <v>627</v>
      </c>
      <c r="C2" s="259" t="s">
        <v>623</v>
      </c>
      <c r="D2" s="259" t="s">
        <v>624</v>
      </c>
      <c r="E2" s="259" t="s">
        <v>625</v>
      </c>
      <c r="F2" s="259" t="s">
        <v>719</v>
      </c>
      <c r="G2" s="259" t="s">
        <v>626</v>
      </c>
      <c r="H2" s="259" t="s">
        <v>889</v>
      </c>
      <c r="I2" s="261" t="s">
        <v>900</v>
      </c>
      <c r="J2" s="261" t="s">
        <v>901</v>
      </c>
      <c r="K2" s="261" t="s">
        <v>902</v>
      </c>
      <c r="L2" s="261" t="s">
        <v>755</v>
      </c>
      <c r="M2" s="261" t="s">
        <v>749</v>
      </c>
      <c r="N2" s="261" t="s">
        <v>903</v>
      </c>
      <c r="O2" s="262" t="s">
        <v>756</v>
      </c>
      <c r="P2" s="262" t="s">
        <v>753</v>
      </c>
      <c r="Q2" s="262" t="s">
        <v>754</v>
      </c>
      <c r="R2" s="262" t="s">
        <v>904</v>
      </c>
    </row>
    <row r="3" spans="1:19" ht="15" customHeight="1" x14ac:dyDescent="0.25">
      <c r="A3" s="30" t="s">
        <v>884</v>
      </c>
      <c r="B3" s="36" t="s">
        <v>1107</v>
      </c>
      <c r="C3" s="37">
        <v>45383</v>
      </c>
      <c r="D3" s="37">
        <v>45392</v>
      </c>
      <c r="E3" s="33">
        <f>Tablageneral14[[#This Row],[Fecha de despacho]]-Tablageneral14[[#This Row],[Fecha de recibo]]</f>
        <v>9</v>
      </c>
      <c r="F3" s="284" t="s">
        <v>1156</v>
      </c>
      <c r="G3" s="38" t="s">
        <v>890</v>
      </c>
      <c r="H3" s="119" t="e">
        <f>INDEX(#REF!,MATCH(Tablageneral14[[#This Row],[Tipo de trabajo]],TablaTipoTrabajo[especifíco],0))</f>
        <v>#REF!</v>
      </c>
      <c r="I3" s="34">
        <f>+SUMIFS(TablaTiempos[Tiempo (hr)],TablaTiempos[N° de troquel],Tablageneral14[[#This Row],[N° de Troquel Orden]],TablaTiempos[Actividad],"Dibujo")</f>
        <v>0</v>
      </c>
      <c r="J3" s="34">
        <f>+SUMIFS(TablaTiempos[Tiempo (hr)],TablaTiempos[N° de troquel],Tablageneral14[[#This Row],[N° de Troquel Orden]],TablaTiempos[Actividad],"Puenteado")</f>
        <v>0</v>
      </c>
      <c r="K3" s="34">
        <f>+SUMIFS(TablaTiempos[Tiempo (hr)],TablaTiempos[N° de troquel],Tablageneral14[[#This Row],[N° de Troquel Orden]],TablaTiempos[Actividad],"Calado")</f>
        <v>0</v>
      </c>
      <c r="L3" s="62">
        <f>+SUM(Tablageneral14[[#This Row],[Dibujo (hr)]:[Calado (hr)]])</f>
        <v>0</v>
      </c>
      <c r="M3" s="34">
        <f>+SUMIFS(TablaTiempos[Tiempo (hr)],TablaTiempos[N° de troquel],Tablageneral14[[#This Row],[N° de Troquel Orden]],TablaTiempos[Actividad],"Encuchillado")</f>
        <v>0</v>
      </c>
      <c r="N3" s="34">
        <f>+SUMIFS(TablaTiempos[Tiempo (hr)],TablaTiempos[N° de troquel],Tablageneral14[[#This Row],[N° de Troquel Orden]],TablaTiempos[Actividad],"Engomado")</f>
        <v>0</v>
      </c>
      <c r="O3" s="63">
        <f>+Tablageneral14[[#This Row],[Engomado (hr)]]+Tablageneral14[[#This Row],[Encuchillado]]</f>
        <v>0</v>
      </c>
      <c r="P3" s="61">
        <f>+SUMIFS(TablaConsumos[[CANTIDAD ]],TablaConsumos[N° DE TROQUEL],Tablageneral14[[#This Row],[N° de Troquel Orden]],TablaConsumos[TIPO],"Cuchilla")</f>
        <v>0</v>
      </c>
      <c r="Q3" s="61">
        <f>+SUMIFS(TablaConsumos[[CANTIDAD ]],TablaConsumos[N° DE TROQUEL],Tablageneral14[[#This Row],[N° de Troquel Orden]],TablaConsumos[TIPO],"Score")</f>
        <v>0</v>
      </c>
      <c r="R3" s="63">
        <f>+Tablageneral14[[#This Row],[Escores]]+Tablageneral14[[#This Row],[Cuchillas]]</f>
        <v>0</v>
      </c>
    </row>
    <row r="4" spans="1:19" x14ac:dyDescent="0.25">
      <c r="A4" s="1" t="s">
        <v>884</v>
      </c>
      <c r="B4" s="43" t="s">
        <v>1107</v>
      </c>
      <c r="C4" s="32">
        <v>45383</v>
      </c>
      <c r="D4" s="32">
        <v>45393</v>
      </c>
      <c r="E4" s="33">
        <f>Tablageneral14[[#This Row],[Fecha de despacho]]-Tablageneral14[[#This Row],[Fecha de recibo]]</f>
        <v>10</v>
      </c>
      <c r="F4" s="283" t="s">
        <v>1157</v>
      </c>
      <c r="G4" s="34" t="s">
        <v>890</v>
      </c>
      <c r="H4" s="35" t="e">
        <f>INDEX(#REF!,MATCH(Tablageneral14[[#This Row],[Tipo de trabajo]],TablaTipoTrabajo[especifíco],0))</f>
        <v>#REF!</v>
      </c>
      <c r="I4" s="34">
        <f>+SUMIFS(TablaTiempos[Tiempo (hr)],TablaTiempos[N° de troquel],Tablageneral14[[#This Row],[N° de Troquel Orden]],TablaTiempos[Actividad],"Dibujo")</f>
        <v>0</v>
      </c>
      <c r="J4" s="34">
        <f>+SUMIFS(TablaTiempos[Tiempo (hr)],TablaTiempos[N° de troquel],Tablageneral14[[#This Row],[N° de Troquel Orden]],TablaTiempos[Actividad],"Puenteado")</f>
        <v>0</v>
      </c>
      <c r="K4" s="34">
        <f>+SUMIFS(TablaTiempos[Tiempo (hr)],TablaTiempos[N° de troquel],Tablageneral14[[#This Row],[N° de Troquel Orden]],TablaTiempos[Actividad],"Calado")</f>
        <v>0</v>
      </c>
      <c r="L4" s="62">
        <f>+SUM(Tablageneral14[[#This Row],[Dibujo (hr)]:[Calado (hr)]])</f>
        <v>0</v>
      </c>
      <c r="M4" s="34">
        <f>+SUMIFS(TablaTiempos[Tiempo (hr)],TablaTiempos[N° de troquel],Tablageneral14[[#This Row],[N° de Troquel Orden]],TablaTiempos[Actividad],"Encuchillado")</f>
        <v>0</v>
      </c>
      <c r="N4" s="34">
        <f>+SUMIFS(TablaTiempos[Tiempo (hr)],TablaTiempos[N° de troquel],Tablageneral14[[#This Row],[N° de Troquel Orden]],TablaTiempos[Actividad],"Engomado")</f>
        <v>0</v>
      </c>
      <c r="O4" s="63">
        <f>+Tablageneral14[[#This Row],[Engomado (hr)]]+Tablageneral14[[#This Row],[Encuchillado]]</f>
        <v>0</v>
      </c>
      <c r="P4" s="61">
        <f>+SUMIFS(TablaConsumos[[CANTIDAD ]],TablaConsumos[N° DE TROQUEL],Tablageneral14[[#This Row],[N° de Troquel Orden]],TablaConsumos[TIPO],"Cuchilla")</f>
        <v>0</v>
      </c>
      <c r="Q4" s="61">
        <f>+SUMIFS(TablaConsumos[[CANTIDAD ]],TablaConsumos[N° DE TROQUEL],Tablageneral14[[#This Row],[N° de Troquel Orden]],TablaConsumos[TIPO],"Score")</f>
        <v>0</v>
      </c>
      <c r="R4" s="63">
        <f>+Tablageneral14[[#This Row],[Escores]]+Tablageneral14[[#This Row],[Cuchillas]]</f>
        <v>0</v>
      </c>
    </row>
    <row r="5" spans="1:19" x14ac:dyDescent="0.25">
      <c r="A5" s="1" t="s">
        <v>602</v>
      </c>
      <c r="B5" s="43" t="s">
        <v>862</v>
      </c>
      <c r="C5" s="32">
        <v>45372</v>
      </c>
      <c r="D5" s="32">
        <v>45381</v>
      </c>
      <c r="E5" s="33">
        <f>Tablageneral14[[#This Row],[Fecha de despacho]]-Tablageneral14[[#This Row],[Fecha de recibo]]</f>
        <v>9</v>
      </c>
      <c r="F5" s="283" t="s">
        <v>1158</v>
      </c>
      <c r="G5" s="34" t="s">
        <v>891</v>
      </c>
      <c r="H5" s="35" t="e">
        <f>INDEX(#REF!,MATCH(Tablageneral14[[#This Row],[Tipo de trabajo]],TablaTipoTrabajo[especifíco],0))</f>
        <v>#REF!</v>
      </c>
      <c r="I5" s="34">
        <f>+SUMIFS(TablaTiempos[Tiempo (hr)],TablaTiempos[N° de troquel],Tablageneral14[[#This Row],[N° de Troquel Orden]],TablaTiempos[Actividad],"Dibujo")</f>
        <v>0</v>
      </c>
      <c r="J5" s="34">
        <f>+SUMIFS(TablaTiempos[Tiempo (hr)],TablaTiempos[N° de troquel],Tablageneral14[[#This Row],[N° de Troquel Orden]],TablaTiempos[Actividad],"Puenteado")</f>
        <v>0</v>
      </c>
      <c r="K5" s="34">
        <f>+SUMIFS(TablaTiempos[Tiempo (hr)],TablaTiempos[N° de troquel],Tablageneral14[[#This Row],[N° de Troquel Orden]],TablaTiempos[Actividad],"Calado")</f>
        <v>0</v>
      </c>
      <c r="L5" s="62">
        <f>+SUM(Tablageneral14[[#This Row],[Dibujo (hr)]:[Calado (hr)]])</f>
        <v>0</v>
      </c>
      <c r="M5" s="34">
        <f>+SUMIFS(TablaTiempos[Tiempo (hr)],TablaTiempos[N° de troquel],Tablageneral14[[#This Row],[N° de Troquel Orden]],TablaTiempos[Actividad],"Encuchillado")</f>
        <v>0</v>
      </c>
      <c r="N5" s="34">
        <f>+SUMIFS(TablaTiempos[Tiempo (hr)],TablaTiempos[N° de troquel],Tablageneral14[[#This Row],[N° de Troquel Orden]],TablaTiempos[Actividad],"Engomado")</f>
        <v>0</v>
      </c>
      <c r="O5" s="63">
        <f>+Tablageneral14[[#This Row],[Engomado (hr)]]+Tablageneral14[[#This Row],[Encuchillado]]</f>
        <v>0</v>
      </c>
      <c r="P5" s="61">
        <f>+SUMIFS(TablaConsumos[[CANTIDAD ]],TablaConsumos[N° DE TROQUEL],Tablageneral14[[#This Row],[N° de Troquel Orden]],TablaConsumos[TIPO],"Cuchilla")</f>
        <v>0</v>
      </c>
      <c r="Q5" s="61">
        <f>+SUMIFS(TablaConsumos[[CANTIDAD ]],TablaConsumos[N° DE TROQUEL],Tablageneral14[[#This Row],[N° de Troquel Orden]],TablaConsumos[TIPO],"Score")</f>
        <v>0</v>
      </c>
      <c r="R5" s="63">
        <f>+Tablageneral14[[#This Row],[Escores]]+Tablageneral14[[#This Row],[Cuchillas]]</f>
        <v>0</v>
      </c>
    </row>
    <row r="6" spans="1:19" x14ac:dyDescent="0.25">
      <c r="A6" s="1" t="s">
        <v>602</v>
      </c>
      <c r="B6" s="72" t="s">
        <v>916</v>
      </c>
      <c r="C6" s="32">
        <v>45383</v>
      </c>
      <c r="D6" s="32">
        <v>45384</v>
      </c>
      <c r="E6" s="33">
        <f>Tablageneral14[[#This Row],[Fecha de despacho]]-Tablageneral14[[#This Row],[Fecha de recibo]]</f>
        <v>1</v>
      </c>
      <c r="F6" s="283" t="s">
        <v>1159</v>
      </c>
      <c r="G6" s="34" t="s">
        <v>890</v>
      </c>
      <c r="H6" s="35" t="e">
        <f>INDEX(#REF!,MATCH(Tablageneral14[[#This Row],[Tipo de trabajo]],TablaTipoTrabajo[especifíco],0))</f>
        <v>#REF!</v>
      </c>
      <c r="I6" s="34">
        <f>+SUMIFS(TablaTiempos[Tiempo (hr)],TablaTiempos[N° de troquel],Tablageneral14[[#This Row],[N° de Troquel Orden]],TablaTiempos[Actividad],"Dibujo")</f>
        <v>0</v>
      </c>
      <c r="J6" s="34">
        <f>+SUMIFS(TablaTiempos[Tiempo (hr)],TablaTiempos[N° de troquel],Tablageneral14[[#This Row],[N° de Troquel Orden]],TablaTiempos[Actividad],"Puenteado")</f>
        <v>0</v>
      </c>
      <c r="K6" s="34">
        <f>+SUMIFS(TablaTiempos[Tiempo (hr)],TablaTiempos[N° de troquel],Tablageneral14[[#This Row],[N° de Troquel Orden]],TablaTiempos[Actividad],"Calado")</f>
        <v>0</v>
      </c>
      <c r="L6" s="62">
        <f>+SUM(Tablageneral14[[#This Row],[Dibujo (hr)]:[Calado (hr)]])</f>
        <v>0</v>
      </c>
      <c r="M6" s="34">
        <f>+SUMIFS(TablaTiempos[Tiempo (hr)],TablaTiempos[N° de troquel],Tablageneral14[[#This Row],[N° de Troquel Orden]],TablaTiempos[Actividad],"Encuchillado")</f>
        <v>0</v>
      </c>
      <c r="N6" s="34">
        <f>+SUMIFS(TablaTiempos[Tiempo (hr)],TablaTiempos[N° de troquel],Tablageneral14[[#This Row],[N° de Troquel Orden]],TablaTiempos[Actividad],"Engomado")</f>
        <v>0</v>
      </c>
      <c r="O6" s="63">
        <f>+Tablageneral14[[#This Row],[Engomado (hr)]]+Tablageneral14[[#This Row],[Encuchillado]]</f>
        <v>0</v>
      </c>
      <c r="P6" s="61">
        <f>+SUMIFS(TablaConsumos[[CANTIDAD ]],TablaConsumos[N° DE TROQUEL],Tablageneral14[[#This Row],[N° de Troquel Orden]],TablaConsumos[TIPO],"Cuchilla")</f>
        <v>0</v>
      </c>
      <c r="Q6" s="61">
        <f>+SUMIFS(TablaConsumos[[CANTIDAD ]],TablaConsumos[N° DE TROQUEL],Tablageneral14[[#This Row],[N° de Troquel Orden]],TablaConsumos[TIPO],"Score")</f>
        <v>0</v>
      </c>
      <c r="R6" s="63">
        <f>+Tablageneral14[[#This Row],[Escores]]+Tablageneral14[[#This Row],[Cuchillas]]</f>
        <v>0</v>
      </c>
    </row>
    <row r="7" spans="1:19" x14ac:dyDescent="0.25">
      <c r="A7" s="1" t="s">
        <v>602</v>
      </c>
      <c r="B7" s="43" t="s">
        <v>1076</v>
      </c>
      <c r="C7" s="32">
        <v>45377</v>
      </c>
      <c r="D7" s="32">
        <v>45378</v>
      </c>
      <c r="E7" s="33">
        <f>Tablageneral14[[#This Row],[Fecha de despacho]]-Tablageneral14[[#This Row],[Fecha de recibo]]</f>
        <v>1</v>
      </c>
      <c r="F7" s="283" t="s">
        <v>1160</v>
      </c>
      <c r="G7" s="34" t="s">
        <v>890</v>
      </c>
      <c r="H7" s="35" t="e">
        <f>INDEX(#REF!,MATCH(Tablageneral14[[#This Row],[Tipo de trabajo]],TablaTipoTrabajo[especifíco],0))</f>
        <v>#REF!</v>
      </c>
      <c r="I7" s="34">
        <f>+SUMIFS(TablaTiempos[Tiempo (hr)],TablaTiempos[N° de troquel],Tablageneral14[[#This Row],[N° de Troquel Orden]],TablaTiempos[Actividad],"Dibujo")</f>
        <v>0</v>
      </c>
      <c r="J7" s="34">
        <f>+SUMIFS(TablaTiempos[Tiempo (hr)],TablaTiempos[N° de troquel],Tablageneral14[[#This Row],[N° de Troquel Orden]],TablaTiempos[Actividad],"Puenteado")</f>
        <v>0</v>
      </c>
      <c r="K7" s="34">
        <f>+SUMIFS(TablaTiempos[Tiempo (hr)],TablaTiempos[N° de troquel],Tablageneral14[[#This Row],[N° de Troquel Orden]],TablaTiempos[Actividad],"Calado")</f>
        <v>0</v>
      </c>
      <c r="L7" s="62">
        <f>+SUM(Tablageneral14[[#This Row],[Dibujo (hr)]:[Calado (hr)]])</f>
        <v>0</v>
      </c>
      <c r="M7" s="34">
        <f>+SUMIFS(TablaTiempos[Tiempo (hr)],TablaTiempos[N° de troquel],Tablageneral14[[#This Row],[N° de Troquel Orden]],TablaTiempos[Actividad],"Encuchillado")</f>
        <v>0</v>
      </c>
      <c r="N7" s="34">
        <f>+SUMIFS(TablaTiempos[Tiempo (hr)],TablaTiempos[N° de troquel],Tablageneral14[[#This Row],[N° de Troquel Orden]],TablaTiempos[Actividad],"Engomado")</f>
        <v>0</v>
      </c>
      <c r="O7" s="63">
        <f>+Tablageneral14[[#This Row],[Engomado (hr)]]+Tablageneral14[[#This Row],[Encuchillado]]</f>
        <v>0</v>
      </c>
      <c r="P7" s="61">
        <f>+SUMIFS(TablaConsumos[[CANTIDAD ]],TablaConsumos[N° DE TROQUEL],Tablageneral14[[#This Row],[N° de Troquel Orden]],TablaConsumos[TIPO],"Cuchilla")</f>
        <v>0</v>
      </c>
      <c r="Q7" s="61">
        <f>+SUMIFS(TablaConsumos[[CANTIDAD ]],TablaConsumos[N° DE TROQUEL],Tablageneral14[[#This Row],[N° de Troquel Orden]],TablaConsumos[TIPO],"Score")</f>
        <v>0</v>
      </c>
      <c r="R7" s="63">
        <f>+Tablageneral14[[#This Row],[Escores]]+Tablageneral14[[#This Row],[Cuchillas]]</f>
        <v>0</v>
      </c>
    </row>
    <row r="8" spans="1:19" x14ac:dyDescent="0.25">
      <c r="A8" s="1" t="s">
        <v>602</v>
      </c>
      <c r="B8" s="43" t="s">
        <v>919</v>
      </c>
      <c r="C8" s="32">
        <v>45383</v>
      </c>
      <c r="D8" s="32">
        <v>45384</v>
      </c>
      <c r="E8" s="33">
        <f>Tablageneral14[[#This Row],[Fecha de despacho]]-Tablageneral14[[#This Row],[Fecha de recibo]]</f>
        <v>1</v>
      </c>
      <c r="F8" s="283" t="s">
        <v>1161</v>
      </c>
      <c r="G8" s="34" t="s">
        <v>891</v>
      </c>
      <c r="H8" s="35" t="e">
        <f>INDEX(#REF!,MATCH(Tablageneral14[[#This Row],[Tipo de trabajo]],TablaTipoTrabajo[especifíco],0))</f>
        <v>#REF!</v>
      </c>
      <c r="I8" s="34">
        <f>+SUMIFS(TablaTiempos[Tiempo (hr)],TablaTiempos[N° de troquel],Tablageneral14[[#This Row],[N° de Troquel Orden]],TablaTiempos[Actividad],"Dibujo")</f>
        <v>0</v>
      </c>
      <c r="J8" s="34">
        <f>+SUMIFS(TablaTiempos[Tiempo (hr)],TablaTiempos[N° de troquel],Tablageneral14[[#This Row],[N° de Troquel Orden]],TablaTiempos[Actividad],"Puenteado")</f>
        <v>0</v>
      </c>
      <c r="K8" s="34">
        <f>+SUMIFS(TablaTiempos[Tiempo (hr)],TablaTiempos[N° de troquel],Tablageneral14[[#This Row],[N° de Troquel Orden]],TablaTiempos[Actividad],"Calado")</f>
        <v>0</v>
      </c>
      <c r="L8" s="62">
        <f>+SUM(Tablageneral14[[#This Row],[Dibujo (hr)]:[Calado (hr)]])</f>
        <v>0</v>
      </c>
      <c r="M8" s="34">
        <f>+SUMIFS(TablaTiempos[Tiempo (hr)],TablaTiempos[N° de troquel],Tablageneral14[[#This Row],[N° de Troquel Orden]],TablaTiempos[Actividad],"Encuchillado")</f>
        <v>0</v>
      </c>
      <c r="N8" s="34">
        <f>+SUMIFS(TablaTiempos[Tiempo (hr)],TablaTiempos[N° de troquel],Tablageneral14[[#This Row],[N° de Troquel Orden]],TablaTiempos[Actividad],"Engomado")</f>
        <v>0</v>
      </c>
      <c r="O8" s="63">
        <f>+Tablageneral14[[#This Row],[Engomado (hr)]]+Tablageneral14[[#This Row],[Encuchillado]]</f>
        <v>0</v>
      </c>
      <c r="P8" s="61">
        <f>+SUMIFS(TablaConsumos[[CANTIDAD ]],TablaConsumos[N° DE TROQUEL],Tablageneral14[[#This Row],[N° de Troquel Orden]],TablaConsumos[TIPO],"Cuchilla")</f>
        <v>0</v>
      </c>
      <c r="Q8" s="61">
        <f>+SUMIFS(TablaConsumos[[CANTIDAD ]],TablaConsumos[N° DE TROQUEL],Tablageneral14[[#This Row],[N° de Troquel Orden]],TablaConsumos[TIPO],"Score")</f>
        <v>0</v>
      </c>
      <c r="R8" s="63">
        <f>+Tablageneral14[[#This Row],[Escores]]+Tablageneral14[[#This Row],[Cuchillas]]</f>
        <v>0</v>
      </c>
    </row>
    <row r="9" spans="1:19" x14ac:dyDescent="0.25">
      <c r="A9" s="1" t="s">
        <v>602</v>
      </c>
      <c r="B9" s="31" t="s">
        <v>993</v>
      </c>
      <c r="C9" s="32">
        <v>45384</v>
      </c>
      <c r="D9" s="32">
        <v>45386</v>
      </c>
      <c r="E9" s="33">
        <f>Tablageneral14[[#This Row],[Fecha de despacho]]-Tablageneral14[[#This Row],[Fecha de recibo]]</f>
        <v>2</v>
      </c>
      <c r="F9" s="283">
        <v>2567</v>
      </c>
      <c r="G9" s="34" t="s">
        <v>891</v>
      </c>
      <c r="H9" s="35" t="e">
        <f>INDEX(#REF!,MATCH(Tablageneral14[[#This Row],[Tipo de trabajo]],TablaTipoTrabajo[especifíco],0))</f>
        <v>#REF!</v>
      </c>
      <c r="I9" s="34">
        <f>+SUMIFS(TablaTiempos[Tiempo (hr)],TablaTiempos[N° de troquel],Tablageneral14[[#This Row],[N° de Troquel Orden]],TablaTiempos[Actividad],"Dibujo")</f>
        <v>0</v>
      </c>
      <c r="J9" s="34">
        <f>+SUMIFS(TablaTiempos[Tiempo (hr)],TablaTiempos[N° de troquel],Tablageneral14[[#This Row],[N° de Troquel Orden]],TablaTiempos[Actividad],"Puenteado")</f>
        <v>0</v>
      </c>
      <c r="K9" s="34">
        <f>+SUMIFS(TablaTiempos[Tiempo (hr)],TablaTiempos[N° de troquel],Tablageneral14[[#This Row],[N° de Troquel Orden]],TablaTiempos[Actividad],"Calado")</f>
        <v>0</v>
      </c>
      <c r="L9" s="62">
        <f>+SUM(Tablageneral14[[#This Row],[Dibujo (hr)]:[Calado (hr)]])</f>
        <v>0</v>
      </c>
      <c r="M9" s="34">
        <f>+SUMIFS(TablaTiempos[Tiempo (hr)],TablaTiempos[N° de troquel],Tablageneral14[[#This Row],[N° de Troquel Orden]],TablaTiempos[Actividad],"Encuchillado")</f>
        <v>0</v>
      </c>
      <c r="N9" s="34">
        <f>+SUMIFS(TablaTiempos[Tiempo (hr)],TablaTiempos[N° de troquel],Tablageneral14[[#This Row],[N° de Troquel Orden]],TablaTiempos[Actividad],"Engomado")</f>
        <v>0</v>
      </c>
      <c r="O9" s="63">
        <f>+Tablageneral14[[#This Row],[Engomado (hr)]]+Tablageneral14[[#This Row],[Encuchillado]]</f>
        <v>0</v>
      </c>
      <c r="P9" s="61">
        <f>+SUMIFS(TablaConsumos[[CANTIDAD ]],TablaConsumos[N° DE TROQUEL],Tablageneral14[[#This Row],[N° de Troquel Orden]],TablaConsumos[TIPO],"Cuchilla")</f>
        <v>0</v>
      </c>
      <c r="Q9" s="61">
        <f>+SUMIFS(TablaConsumos[[CANTIDAD ]],TablaConsumos[N° DE TROQUEL],Tablageneral14[[#This Row],[N° de Troquel Orden]],TablaConsumos[TIPO],"Score")</f>
        <v>0</v>
      </c>
      <c r="R9" s="63">
        <f>+Tablageneral14[[#This Row],[Escores]]+Tablageneral14[[#This Row],[Cuchillas]]</f>
        <v>0</v>
      </c>
    </row>
    <row r="10" spans="1:19" x14ac:dyDescent="0.25">
      <c r="A10" s="1" t="s">
        <v>602</v>
      </c>
      <c r="B10" s="31" t="s">
        <v>950</v>
      </c>
      <c r="C10" s="32">
        <v>45372</v>
      </c>
      <c r="D10" s="32">
        <v>45383</v>
      </c>
      <c r="E10" s="33">
        <f>Tablageneral14[[#This Row],[Fecha de despacho]]-Tablageneral14[[#This Row],[Fecha de recibo]]</f>
        <v>11</v>
      </c>
      <c r="F10" s="283">
        <v>3534</v>
      </c>
      <c r="G10" s="34" t="s">
        <v>894</v>
      </c>
      <c r="H10" s="35" t="e">
        <f>INDEX(#REF!,MATCH(Tablageneral14[[#This Row],[Tipo de trabajo]],TablaTipoTrabajo[especifíco],0))</f>
        <v>#REF!</v>
      </c>
      <c r="I10" s="34">
        <f>+SUMIFS(TablaTiempos[Tiempo (hr)],TablaTiempos[N° de troquel],Tablageneral14[[#This Row],[N° de Troquel Orden]],TablaTiempos[Actividad],"Dibujo")</f>
        <v>0</v>
      </c>
      <c r="J10" s="34">
        <f>+SUMIFS(TablaTiempos[Tiempo (hr)],TablaTiempos[N° de troquel],Tablageneral14[[#This Row],[N° de Troquel Orden]],TablaTiempos[Actividad],"Puenteado")</f>
        <v>0</v>
      </c>
      <c r="K10" s="34">
        <f>+SUMIFS(TablaTiempos[Tiempo (hr)],TablaTiempos[N° de troquel],Tablageneral14[[#This Row],[N° de Troquel Orden]],TablaTiempos[Actividad],"Calado")</f>
        <v>0</v>
      </c>
      <c r="L10" s="62">
        <f>+SUM(Tablageneral14[[#This Row],[Dibujo (hr)]:[Calado (hr)]])</f>
        <v>0</v>
      </c>
      <c r="M10" s="34">
        <f>+SUMIFS(TablaTiempos[Tiempo (hr)],TablaTiempos[N° de troquel],Tablageneral14[[#This Row],[N° de Troquel Orden]],TablaTiempos[Actividad],"Encuchillado")</f>
        <v>0</v>
      </c>
      <c r="N10" s="34">
        <f>+SUMIFS(TablaTiempos[Tiempo (hr)],TablaTiempos[N° de troquel],Tablageneral14[[#This Row],[N° de Troquel Orden]],TablaTiempos[Actividad],"Engomado")</f>
        <v>0</v>
      </c>
      <c r="O10" s="63">
        <f>+Tablageneral14[[#This Row],[Engomado (hr)]]+Tablageneral14[[#This Row],[Encuchillado]]</f>
        <v>0</v>
      </c>
      <c r="P10" s="61">
        <f>+SUMIFS(TablaConsumos[[CANTIDAD ]],TablaConsumos[N° DE TROQUEL],Tablageneral14[[#This Row],[N° de Troquel Orden]],TablaConsumos[TIPO],"Cuchilla")</f>
        <v>0</v>
      </c>
      <c r="Q10" s="61">
        <f>+SUMIFS(TablaConsumos[[CANTIDAD ]],TablaConsumos[N° DE TROQUEL],Tablageneral14[[#This Row],[N° de Troquel Orden]],TablaConsumos[TIPO],"Score")</f>
        <v>0</v>
      </c>
      <c r="R10" s="63">
        <f>+Tablageneral14[[#This Row],[Escores]]+Tablageneral14[[#This Row],[Cuchillas]]</f>
        <v>0</v>
      </c>
    </row>
    <row r="11" spans="1:19" x14ac:dyDescent="0.25">
      <c r="A11" s="1" t="s">
        <v>885</v>
      </c>
      <c r="B11" s="31" t="s">
        <v>1162</v>
      </c>
      <c r="C11" s="32">
        <v>45374</v>
      </c>
      <c r="D11" s="32">
        <v>45383</v>
      </c>
      <c r="E11" s="33">
        <f>Tablageneral14[[#This Row],[Fecha de despacho]]-Tablageneral14[[#This Row],[Fecha de recibo]]</f>
        <v>9</v>
      </c>
      <c r="F11" s="283" t="s">
        <v>1163</v>
      </c>
      <c r="G11" s="34" t="s">
        <v>905</v>
      </c>
      <c r="H11" s="35" t="e">
        <f ca="1">INDEX(#REF!,MATCH(Tablageneral14[[#This Row],[Tipo de trabajo]],TablaTipoTrabajo[especifíco],0))</f>
        <v>#REF!</v>
      </c>
      <c r="I11" s="34">
        <f>+SUMIFS(TablaTiempos[Tiempo (hr)],TablaTiempos[N° de troquel],Tablageneral14[[#This Row],[N° de Troquel Orden]],TablaTiempos[Actividad],"Dibujo")</f>
        <v>0</v>
      </c>
      <c r="J11" s="34">
        <f>+SUMIFS(TablaTiempos[Tiempo (hr)],TablaTiempos[N° de troquel],Tablageneral14[[#This Row],[N° de Troquel Orden]],TablaTiempos[Actividad],"Puenteado")</f>
        <v>0</v>
      </c>
      <c r="K11" s="34">
        <f>+SUMIFS(TablaTiempos[Tiempo (hr)],TablaTiempos[N° de troquel],Tablageneral14[[#This Row],[N° de Troquel Orden]],TablaTiempos[Actividad],"Calado")</f>
        <v>0</v>
      </c>
      <c r="L11" s="62">
        <f>+SUM(Tablageneral14[[#This Row],[Dibujo (hr)]:[Calado (hr)]])</f>
        <v>0</v>
      </c>
      <c r="M11" s="34">
        <f>+SUMIFS(TablaTiempos[Tiempo (hr)],TablaTiempos[N° de troquel],Tablageneral14[[#This Row],[N° de Troquel Orden]],TablaTiempos[Actividad],"Encuchillado")</f>
        <v>0</v>
      </c>
      <c r="N11" s="34">
        <f>+SUMIFS(TablaTiempos[Tiempo (hr)],TablaTiempos[N° de troquel],Tablageneral14[[#This Row],[N° de Troquel Orden]],TablaTiempos[Actividad],"Engomado")</f>
        <v>0</v>
      </c>
      <c r="O11" s="63">
        <f>+Tablageneral14[[#This Row],[Engomado (hr)]]+Tablageneral14[[#This Row],[Encuchillado]]</f>
        <v>0</v>
      </c>
      <c r="P11" s="61">
        <f>+SUMIFS(TablaConsumos[[CANTIDAD ]],TablaConsumos[N° DE TROQUEL],Tablageneral14[[#This Row],[N° de Troquel Orden]],TablaConsumos[TIPO],"Cuchilla")</f>
        <v>0</v>
      </c>
      <c r="Q11" s="61">
        <f>+SUMIFS(TablaConsumos[[CANTIDAD ]],TablaConsumos[N° DE TROQUEL],Tablageneral14[[#This Row],[N° de Troquel Orden]],TablaConsumos[TIPO],"Score")</f>
        <v>0</v>
      </c>
      <c r="R11" s="63">
        <f>+Tablageneral14[[#This Row],[Escores]]+Tablageneral14[[#This Row],[Cuchillas]]</f>
        <v>0</v>
      </c>
    </row>
    <row r="12" spans="1:19" x14ac:dyDescent="0.25">
      <c r="A12" s="1" t="s">
        <v>602</v>
      </c>
      <c r="B12" s="36" t="s">
        <v>862</v>
      </c>
      <c r="C12" s="37">
        <v>45373</v>
      </c>
      <c r="D12" s="37">
        <v>45381</v>
      </c>
      <c r="E12" s="33">
        <f>Tablageneral14[[#This Row],[Fecha de despacho]]-Tablageneral14[[#This Row],[Fecha de recibo]]</f>
        <v>8</v>
      </c>
      <c r="F12" s="284" t="s">
        <v>1164</v>
      </c>
      <c r="G12" s="38" t="s">
        <v>897</v>
      </c>
      <c r="H12" s="119" t="e">
        <f>INDEX(#REF!,MATCH(Tablageneral14[[#This Row],[Tipo de trabajo]],TablaTipoTrabajo[especifíco],0))</f>
        <v>#REF!</v>
      </c>
      <c r="I12" s="34">
        <f>+SUMIFS(TablaTiempos[Tiempo (hr)],TablaTiempos[N° de troquel],Tablageneral14[[#This Row],[N° de Troquel Orden]],TablaTiempos[Actividad],"Dibujo")</f>
        <v>0</v>
      </c>
      <c r="J12" s="34">
        <f>+SUMIFS(TablaTiempos[Tiempo (hr)],TablaTiempos[N° de troquel],Tablageneral14[[#This Row],[N° de Troquel Orden]],TablaTiempos[Actividad],"Puenteado")</f>
        <v>0</v>
      </c>
      <c r="K12" s="34">
        <f>+SUMIFS(TablaTiempos[Tiempo (hr)],TablaTiempos[N° de troquel],Tablageneral14[[#This Row],[N° de Troquel Orden]],TablaTiempos[Actividad],"Calado")</f>
        <v>0</v>
      </c>
      <c r="L12" s="62">
        <f>+SUM(Tablageneral14[[#This Row],[Dibujo (hr)]:[Calado (hr)]])</f>
        <v>0</v>
      </c>
      <c r="M12" s="34">
        <f>+SUMIFS(TablaTiempos[Tiempo (hr)],TablaTiempos[N° de troquel],Tablageneral14[[#This Row],[N° de Troquel Orden]],TablaTiempos[Actividad],"Encuchillado")</f>
        <v>0</v>
      </c>
      <c r="N12" s="34">
        <f>+SUMIFS(TablaTiempos[Tiempo (hr)],TablaTiempos[N° de troquel],Tablageneral14[[#This Row],[N° de Troquel Orden]],TablaTiempos[Actividad],"Engomado")</f>
        <v>0</v>
      </c>
      <c r="O12" s="63">
        <f>+Tablageneral14[[#This Row],[Engomado (hr)]]+Tablageneral14[[#This Row],[Encuchillado]]</f>
        <v>0</v>
      </c>
      <c r="P12" s="61">
        <f>+SUMIFS(TablaConsumos[[CANTIDAD ]],TablaConsumos[N° DE TROQUEL],Tablageneral14[[#This Row],[N° de Troquel Orden]],TablaConsumos[TIPO],"Cuchilla")</f>
        <v>0</v>
      </c>
      <c r="Q12" s="61">
        <f>+SUMIFS(TablaConsumos[[CANTIDAD ]],TablaConsumos[N° DE TROQUEL],Tablageneral14[[#This Row],[N° de Troquel Orden]],TablaConsumos[TIPO],"Score")</f>
        <v>0</v>
      </c>
      <c r="R12" s="63">
        <f>+Tablageneral14[[#This Row],[Escores]]+Tablageneral14[[#This Row],[Cuchillas]]</f>
        <v>0</v>
      </c>
    </row>
    <row r="13" spans="1:19" x14ac:dyDescent="0.25">
      <c r="A13" s="1" t="s">
        <v>606</v>
      </c>
      <c r="B13" s="43" t="s">
        <v>1165</v>
      </c>
      <c r="C13" s="32">
        <v>45378</v>
      </c>
      <c r="D13" s="32">
        <v>45387</v>
      </c>
      <c r="E13" s="33">
        <f>Tablageneral14[[#This Row],[Fecha de despacho]]-Tablageneral14[[#This Row],[Fecha de recibo]]</f>
        <v>9</v>
      </c>
      <c r="F13" s="283" t="s">
        <v>1166</v>
      </c>
      <c r="G13" s="34" t="s">
        <v>890</v>
      </c>
      <c r="H13" s="35" t="e">
        <f>INDEX(#REF!,MATCH(Tablageneral14[[#This Row],[Tipo de trabajo]],TablaTipoTrabajo[especifíco],0))</f>
        <v>#REF!</v>
      </c>
      <c r="I13" s="34">
        <f>+SUMIFS(TablaTiempos[Tiempo (hr)],TablaTiempos[N° de troquel],Tablageneral14[[#This Row],[N° de Troquel Orden]],TablaTiempos[Actividad],"Dibujo")</f>
        <v>0</v>
      </c>
      <c r="J13" s="34">
        <f>+SUMIFS(TablaTiempos[Tiempo (hr)],TablaTiempos[N° de troquel],Tablageneral14[[#This Row],[N° de Troquel Orden]],TablaTiempos[Actividad],"Puenteado")</f>
        <v>0</v>
      </c>
      <c r="K13" s="34">
        <f>+SUMIFS(TablaTiempos[Tiempo (hr)],TablaTiempos[N° de troquel],Tablageneral14[[#This Row],[N° de Troquel Orden]],TablaTiempos[Actividad],"Calado")</f>
        <v>0</v>
      </c>
      <c r="L13" s="62">
        <f>+SUM(Tablageneral14[[#This Row],[Dibujo (hr)]:[Calado (hr)]])</f>
        <v>0</v>
      </c>
      <c r="M13" s="34">
        <f>+SUMIFS(TablaTiempos[Tiempo (hr)],TablaTiempos[N° de troquel],Tablageneral14[[#This Row],[N° de Troquel Orden]],TablaTiempos[Actividad],"Encuchillado")</f>
        <v>0</v>
      </c>
      <c r="N13" s="34">
        <f>+SUMIFS(TablaTiempos[Tiempo (hr)],TablaTiempos[N° de troquel],Tablageneral14[[#This Row],[N° de Troquel Orden]],TablaTiempos[Actividad],"Engomado")</f>
        <v>0</v>
      </c>
      <c r="O13" s="63">
        <f>+Tablageneral14[[#This Row],[Engomado (hr)]]+Tablageneral14[[#This Row],[Encuchillado]]</f>
        <v>0</v>
      </c>
      <c r="P13" s="61">
        <f>+SUMIFS(TablaConsumos[[CANTIDAD ]],TablaConsumos[N° DE TROQUEL],Tablageneral14[[#This Row],[N° de Troquel Orden]],TablaConsumos[TIPO],"Cuchilla")</f>
        <v>0</v>
      </c>
      <c r="Q13" s="61">
        <f>+SUMIFS(TablaConsumos[[CANTIDAD ]],TablaConsumos[N° DE TROQUEL],Tablageneral14[[#This Row],[N° de Troquel Orden]],TablaConsumos[TIPO],"Score")</f>
        <v>0</v>
      </c>
      <c r="R13" s="63">
        <f>+Tablageneral14[[#This Row],[Escores]]+Tablageneral14[[#This Row],[Cuchillas]]</f>
        <v>0</v>
      </c>
    </row>
    <row r="14" spans="1:19" x14ac:dyDescent="0.25">
      <c r="A14" s="1" t="s">
        <v>884</v>
      </c>
      <c r="B14" s="31" t="s">
        <v>1107</v>
      </c>
      <c r="C14" s="32">
        <v>45383</v>
      </c>
      <c r="D14" s="32">
        <v>45391</v>
      </c>
      <c r="E14" s="33">
        <f>Tablageneral14[[#This Row],[Fecha de despacho]]-Tablageneral14[[#This Row],[Fecha de recibo]]</f>
        <v>8</v>
      </c>
      <c r="F14" s="283" t="s">
        <v>1167</v>
      </c>
      <c r="G14" s="34" t="s">
        <v>890</v>
      </c>
      <c r="H14" s="35" t="e">
        <f>INDEX(#REF!,MATCH(Tablageneral14[[#This Row],[Tipo de trabajo]],TablaTipoTrabajo[especifíco],0))</f>
        <v>#REF!</v>
      </c>
      <c r="I14" s="34">
        <f>+SUMIFS(TablaTiempos[Tiempo (hr)],TablaTiempos[N° de troquel],Tablageneral14[[#This Row],[N° de Troquel Orden]],TablaTiempos[Actividad],"Dibujo")</f>
        <v>0</v>
      </c>
      <c r="J14" s="34">
        <f>+SUMIFS(TablaTiempos[Tiempo (hr)],TablaTiempos[N° de troquel],Tablageneral14[[#This Row],[N° de Troquel Orden]],TablaTiempos[Actividad],"Puenteado")</f>
        <v>0</v>
      </c>
      <c r="K14" s="34">
        <f>+SUMIFS(TablaTiempos[Tiempo (hr)],TablaTiempos[N° de troquel],Tablageneral14[[#This Row],[N° de Troquel Orden]],TablaTiempos[Actividad],"Calado")</f>
        <v>0</v>
      </c>
      <c r="L14" s="62">
        <f>+SUM(Tablageneral14[[#This Row],[Dibujo (hr)]:[Calado (hr)]])</f>
        <v>0</v>
      </c>
      <c r="M14" s="34">
        <f>+SUMIFS(TablaTiempos[Tiempo (hr)],TablaTiempos[N° de troquel],Tablageneral14[[#This Row],[N° de Troquel Orden]],TablaTiempos[Actividad],"Encuchillado")</f>
        <v>0</v>
      </c>
      <c r="N14" s="34">
        <f>+SUMIFS(TablaTiempos[Tiempo (hr)],TablaTiempos[N° de troquel],Tablageneral14[[#This Row],[N° de Troquel Orden]],TablaTiempos[Actividad],"Engomado")</f>
        <v>0</v>
      </c>
      <c r="O14" s="63">
        <f>+Tablageneral14[[#This Row],[Engomado (hr)]]+Tablageneral14[[#This Row],[Encuchillado]]</f>
        <v>0</v>
      </c>
      <c r="P14" s="61">
        <f>+SUMIFS(TablaConsumos[[CANTIDAD ]],TablaConsumos[N° DE TROQUEL],Tablageneral14[[#This Row],[N° de Troquel Orden]],TablaConsumos[TIPO],"Cuchilla")</f>
        <v>0</v>
      </c>
      <c r="Q14" s="61">
        <f>+SUMIFS(TablaConsumos[[CANTIDAD ]],TablaConsumos[N° DE TROQUEL],Tablageneral14[[#This Row],[N° de Troquel Orden]],TablaConsumos[TIPO],"Score")</f>
        <v>0</v>
      </c>
      <c r="R14" s="63">
        <f>+Tablageneral14[[#This Row],[Escores]]+Tablageneral14[[#This Row],[Cuchillas]]</f>
        <v>0</v>
      </c>
    </row>
    <row r="15" spans="1:19" x14ac:dyDescent="0.25">
      <c r="A15" s="1" t="s">
        <v>606</v>
      </c>
      <c r="B15" s="31" t="s">
        <v>1168</v>
      </c>
      <c r="C15" s="32">
        <v>45383</v>
      </c>
      <c r="D15" s="32">
        <v>45386</v>
      </c>
      <c r="E15" s="33">
        <f>Tablageneral14[[#This Row],[Fecha de despacho]]-Tablageneral14[[#This Row],[Fecha de recibo]]</f>
        <v>3</v>
      </c>
      <c r="F15" s="283">
        <v>3778</v>
      </c>
      <c r="G15" s="1" t="s">
        <v>905</v>
      </c>
      <c r="H15" s="35" t="e">
        <f ca="1">INDEX(#REF!,MATCH(Tablageneral14[[#This Row],[Tipo de trabajo]],TablaTipoTrabajo[especifíco],0))</f>
        <v>#REF!</v>
      </c>
      <c r="I15" s="34">
        <f>+SUMIFS(TablaTiempos[Tiempo (hr)],TablaTiempos[N° de troquel],Tablageneral14[[#This Row],[N° de Troquel Orden]],TablaTiempos[Actividad],"Dibujo")</f>
        <v>0</v>
      </c>
      <c r="J15" s="34">
        <f>+SUMIFS(TablaTiempos[Tiempo (hr)],TablaTiempos[N° de troquel],Tablageneral14[[#This Row],[N° de Troquel Orden]],TablaTiempos[Actividad],"Puenteado")</f>
        <v>0</v>
      </c>
      <c r="K15" s="34">
        <f>+SUMIFS(TablaTiempos[Tiempo (hr)],TablaTiempos[N° de troquel],Tablageneral14[[#This Row],[N° de Troquel Orden]],TablaTiempos[Actividad],"Calado")</f>
        <v>0</v>
      </c>
      <c r="L15" s="62">
        <f>+SUM(Tablageneral14[[#This Row],[Dibujo (hr)]:[Calado (hr)]])</f>
        <v>0</v>
      </c>
      <c r="M15" s="34">
        <f>+SUMIFS(TablaTiempos[Tiempo (hr)],TablaTiempos[N° de troquel],Tablageneral14[[#This Row],[N° de Troquel Orden]],TablaTiempos[Actividad],"Encuchillado")</f>
        <v>0</v>
      </c>
      <c r="N15" s="34">
        <f>+SUMIFS(TablaTiempos[Tiempo (hr)],TablaTiempos[N° de troquel],Tablageneral14[[#This Row],[N° de Troquel Orden]],TablaTiempos[Actividad],"Engomado")</f>
        <v>0</v>
      </c>
      <c r="O15" s="63">
        <f>+Tablageneral14[[#This Row],[Engomado (hr)]]+Tablageneral14[[#This Row],[Encuchillado]]</f>
        <v>0</v>
      </c>
      <c r="P15" s="61">
        <f>+SUMIFS(TablaConsumos[[CANTIDAD ]],TablaConsumos[N° DE TROQUEL],Tablageneral14[[#This Row],[N° de Troquel Orden]],TablaConsumos[TIPO],"Cuchilla")</f>
        <v>0</v>
      </c>
      <c r="Q15" s="61">
        <f>+SUMIFS(TablaConsumos[[CANTIDAD ]],TablaConsumos[N° DE TROQUEL],Tablageneral14[[#This Row],[N° de Troquel Orden]],TablaConsumos[TIPO],"Score")</f>
        <v>0</v>
      </c>
      <c r="R15" s="63">
        <f>+Tablageneral14[[#This Row],[Escores]]+Tablageneral14[[#This Row],[Cuchillas]]</f>
        <v>0</v>
      </c>
    </row>
    <row r="16" spans="1:19" x14ac:dyDescent="0.25">
      <c r="A16" s="1" t="s">
        <v>602</v>
      </c>
      <c r="B16" s="173" t="s">
        <v>919</v>
      </c>
      <c r="C16" s="170">
        <v>45383</v>
      </c>
      <c r="D16" s="170">
        <v>45387</v>
      </c>
      <c r="E16" s="33">
        <f>Tablageneral14[[#This Row],[Fecha de despacho]]-Tablageneral14[[#This Row],[Fecha de recibo]]</f>
        <v>4</v>
      </c>
      <c r="F16" s="283">
        <v>3535</v>
      </c>
      <c r="G16" s="171" t="s">
        <v>891</v>
      </c>
      <c r="H16" s="35" t="e">
        <f>INDEX(#REF!,MATCH(Tablageneral14[[#This Row],[Tipo de trabajo]],TablaTipoTrabajo[especifíco],0))</f>
        <v>#REF!</v>
      </c>
      <c r="I16" s="34">
        <f>+SUMIFS(TablaTiempos[Tiempo (hr)],TablaTiempos[N° de troquel],Tablageneral14[[#This Row],[N° de Troquel Orden]],TablaTiempos[Actividad],"Dibujo")</f>
        <v>0</v>
      </c>
      <c r="J16" s="34">
        <f>+SUMIFS(TablaTiempos[Tiempo (hr)],TablaTiempos[N° de troquel],Tablageneral14[[#This Row],[N° de Troquel Orden]],TablaTiempos[Actividad],"Puenteado")</f>
        <v>0</v>
      </c>
      <c r="K16" s="34">
        <f>+SUMIFS(TablaTiempos[Tiempo (hr)],TablaTiempos[N° de troquel],Tablageneral14[[#This Row],[N° de Troquel Orden]],TablaTiempos[Actividad],"Calado")</f>
        <v>0</v>
      </c>
      <c r="L16" s="62">
        <f>+SUM(Tablageneral14[[#This Row],[Dibujo (hr)]:[Calado (hr)]])</f>
        <v>0</v>
      </c>
      <c r="M16" s="34">
        <f>+SUMIFS(TablaTiempos[Tiempo (hr)],TablaTiempos[N° de troquel],Tablageneral14[[#This Row],[N° de Troquel Orden]],TablaTiempos[Actividad],"Encuchillado")</f>
        <v>0</v>
      </c>
      <c r="N16" s="34">
        <f>+SUMIFS(TablaTiempos[Tiempo (hr)],TablaTiempos[N° de troquel],Tablageneral14[[#This Row],[N° de Troquel Orden]],TablaTiempos[Actividad],"Engomado")</f>
        <v>0</v>
      </c>
      <c r="O16" s="63">
        <f>+Tablageneral14[[#This Row],[Engomado (hr)]]+Tablageneral14[[#This Row],[Encuchillado]]</f>
        <v>0</v>
      </c>
      <c r="P16" s="61">
        <f>+SUMIFS(TablaConsumos[[CANTIDAD ]],TablaConsumos[N° DE TROQUEL],Tablageneral14[[#This Row],[N° de Troquel Orden]],TablaConsumos[TIPO],"Cuchilla")</f>
        <v>0</v>
      </c>
      <c r="Q16" s="61">
        <f>+SUMIFS(TablaConsumos[[CANTIDAD ]],TablaConsumos[N° DE TROQUEL],Tablageneral14[[#This Row],[N° de Troquel Orden]],TablaConsumos[TIPO],"Score")</f>
        <v>0</v>
      </c>
      <c r="R16" s="63">
        <f>+Tablageneral14[[#This Row],[Escores]]+Tablageneral14[[#This Row],[Cuchillas]]</f>
        <v>0</v>
      </c>
    </row>
    <row r="17" spans="1:18" x14ac:dyDescent="0.25">
      <c r="A17" s="1" t="s">
        <v>884</v>
      </c>
      <c r="B17" s="31" t="s">
        <v>1051</v>
      </c>
      <c r="C17" s="32">
        <v>45383</v>
      </c>
      <c r="D17" s="32">
        <v>45391</v>
      </c>
      <c r="E17" s="33">
        <f>Tablageneral14[[#This Row],[Fecha de despacho]]-Tablageneral14[[#This Row],[Fecha de recibo]]</f>
        <v>8</v>
      </c>
      <c r="F17" s="283" t="s">
        <v>1169</v>
      </c>
      <c r="G17" s="34" t="s">
        <v>890</v>
      </c>
      <c r="H17" s="35" t="e">
        <f>INDEX(#REF!,MATCH(Tablageneral14[[#This Row],[Tipo de trabajo]],TablaTipoTrabajo[especifíco],0))</f>
        <v>#REF!</v>
      </c>
      <c r="I17" s="34">
        <f>+SUMIFS(TablaTiempos[Tiempo (hr)],TablaTiempos[N° de troquel],Tablageneral14[[#This Row],[N° de Troquel Orden]],TablaTiempos[Actividad],"Dibujo")</f>
        <v>0</v>
      </c>
      <c r="J17" s="34">
        <f>+SUMIFS(TablaTiempos[Tiempo (hr)],TablaTiempos[N° de troquel],Tablageneral14[[#This Row],[N° de Troquel Orden]],TablaTiempos[Actividad],"Puenteado")</f>
        <v>0</v>
      </c>
      <c r="K17" s="34">
        <f>+SUMIFS(TablaTiempos[Tiempo (hr)],TablaTiempos[N° de troquel],Tablageneral14[[#This Row],[N° de Troquel Orden]],TablaTiempos[Actividad],"Calado")</f>
        <v>0</v>
      </c>
      <c r="L17" s="62">
        <f>+SUM(Tablageneral14[[#This Row],[Dibujo (hr)]:[Calado (hr)]])</f>
        <v>0</v>
      </c>
      <c r="M17" s="34">
        <f>+SUMIFS(TablaTiempos[Tiempo (hr)],TablaTiempos[N° de troquel],Tablageneral14[[#This Row],[N° de Troquel Orden]],TablaTiempos[Actividad],"Encuchillado")</f>
        <v>0</v>
      </c>
      <c r="N17" s="34">
        <f>+SUMIFS(TablaTiempos[Tiempo (hr)],TablaTiempos[N° de troquel],Tablageneral14[[#This Row],[N° de Troquel Orden]],TablaTiempos[Actividad],"Engomado")</f>
        <v>0</v>
      </c>
      <c r="O17" s="63">
        <f>+Tablageneral14[[#This Row],[Engomado (hr)]]+Tablageneral14[[#This Row],[Encuchillado]]</f>
        <v>0</v>
      </c>
      <c r="P17" s="61">
        <f>+SUMIFS(TablaConsumos[[CANTIDAD ]],TablaConsumos[N° DE TROQUEL],Tablageneral14[[#This Row],[N° de Troquel Orden]],TablaConsumos[TIPO],"Cuchilla")</f>
        <v>0</v>
      </c>
      <c r="Q17" s="61">
        <f>+SUMIFS(TablaConsumos[[CANTIDAD ]],TablaConsumos[N° DE TROQUEL],Tablageneral14[[#This Row],[N° de Troquel Orden]],TablaConsumos[TIPO],"Score")</f>
        <v>0</v>
      </c>
      <c r="R17" s="63">
        <f>+Tablageneral14[[#This Row],[Escores]]+Tablageneral14[[#This Row],[Cuchillas]]</f>
        <v>0</v>
      </c>
    </row>
    <row r="18" spans="1:18" x14ac:dyDescent="0.25">
      <c r="A18" s="1" t="s">
        <v>602</v>
      </c>
      <c r="B18" s="173" t="s">
        <v>914</v>
      </c>
      <c r="C18" s="170">
        <v>45385</v>
      </c>
      <c r="D18" s="170">
        <v>45387</v>
      </c>
      <c r="E18" s="33">
        <f>Tablageneral14[[#This Row],[Fecha de despacho]]-Tablageneral14[[#This Row],[Fecha de recibo]]</f>
        <v>2</v>
      </c>
      <c r="F18" s="283">
        <v>3539</v>
      </c>
      <c r="G18" s="171" t="s">
        <v>895</v>
      </c>
      <c r="H18" s="172" t="e">
        <f>INDEX(#REF!,MATCH(Tablageneral14[[#This Row],[Tipo de trabajo]],TablaTipoTrabajo[especifíco],0))</f>
        <v>#REF!</v>
      </c>
      <c r="I18" s="34">
        <f>+SUMIFS(TablaTiempos[Tiempo (hr)],TablaTiempos[N° de troquel],Tablageneral14[[#This Row],[N° de Troquel Orden]],TablaTiempos[Actividad],"Dibujo")</f>
        <v>0</v>
      </c>
      <c r="J18" s="34">
        <f>+SUMIFS(TablaTiempos[Tiempo (hr)],TablaTiempos[N° de troquel],Tablageneral14[[#This Row],[N° de Troquel Orden]],TablaTiempos[Actividad],"Puenteado")</f>
        <v>0</v>
      </c>
      <c r="K18" s="34">
        <f>+SUMIFS(TablaTiempos[Tiempo (hr)],TablaTiempos[N° de troquel],Tablageneral14[[#This Row],[N° de Troquel Orden]],TablaTiempos[Actividad],"Calado")</f>
        <v>0</v>
      </c>
      <c r="L18" s="62">
        <f>+SUM(Tablageneral14[[#This Row],[Dibujo (hr)]:[Calado (hr)]])</f>
        <v>0</v>
      </c>
      <c r="M18" s="34">
        <f>+SUMIFS(TablaTiempos[Tiempo (hr)],TablaTiempos[N° de troquel],Tablageneral14[[#This Row],[N° de Troquel Orden]],TablaTiempos[Actividad],"Encuchillado")</f>
        <v>0</v>
      </c>
      <c r="N18" s="34">
        <f>+SUMIFS(TablaTiempos[Tiempo (hr)],TablaTiempos[N° de troquel],Tablageneral14[[#This Row],[N° de Troquel Orden]],TablaTiempos[Actividad],"Engomado")</f>
        <v>0</v>
      </c>
      <c r="O18" s="63">
        <f>+Tablageneral14[[#This Row],[Engomado (hr)]]+Tablageneral14[[#This Row],[Encuchillado]]</f>
        <v>0</v>
      </c>
      <c r="P18" s="61">
        <f>+SUMIFS(TablaConsumos[[CANTIDAD ]],TablaConsumos[N° DE TROQUEL],Tablageneral14[[#This Row],[N° de Troquel Orden]],TablaConsumos[TIPO],"Cuchilla")</f>
        <v>0</v>
      </c>
      <c r="Q18" s="61">
        <f>+SUMIFS(TablaConsumos[[CANTIDAD ]],TablaConsumos[N° DE TROQUEL],Tablageneral14[[#This Row],[N° de Troquel Orden]],TablaConsumos[TIPO],"Score")</f>
        <v>0</v>
      </c>
      <c r="R18" s="63">
        <f>+Tablageneral14[[#This Row],[Escores]]+Tablageneral14[[#This Row],[Cuchillas]]</f>
        <v>0</v>
      </c>
    </row>
    <row r="19" spans="1:18" x14ac:dyDescent="0.25">
      <c r="A19" s="1" t="s">
        <v>602</v>
      </c>
      <c r="B19" s="31" t="s">
        <v>914</v>
      </c>
      <c r="C19" s="32">
        <v>45384</v>
      </c>
      <c r="D19" s="32">
        <v>45388</v>
      </c>
      <c r="E19" s="33">
        <f>Tablageneral14[[#This Row],[Fecha de despacho]]-Tablageneral14[[#This Row],[Fecha de recibo]]</f>
        <v>4</v>
      </c>
      <c r="F19" s="283">
        <v>3541</v>
      </c>
      <c r="G19" s="34" t="s">
        <v>895</v>
      </c>
      <c r="H19" s="35" t="e">
        <f>INDEX(#REF!,MATCH(Tablageneral14[[#This Row],[Tipo de trabajo]],TablaTipoTrabajo[especifíco],0))</f>
        <v>#REF!</v>
      </c>
      <c r="I19" s="34">
        <f>+SUMIFS(TablaTiempos[Tiempo (hr)],TablaTiempos[N° de troquel],Tablageneral14[[#This Row],[N° de Troquel Orden]],TablaTiempos[Actividad],"Dibujo")</f>
        <v>0</v>
      </c>
      <c r="J19" s="34">
        <f>+SUMIFS(TablaTiempos[Tiempo (hr)],TablaTiempos[N° de troquel],Tablageneral14[[#This Row],[N° de Troquel Orden]],TablaTiempos[Actividad],"Puenteado")</f>
        <v>0</v>
      </c>
      <c r="K19" s="34">
        <f>+SUMIFS(TablaTiempos[Tiempo (hr)],TablaTiempos[N° de troquel],Tablageneral14[[#This Row],[N° de Troquel Orden]],TablaTiempos[Actividad],"Calado")</f>
        <v>0</v>
      </c>
      <c r="L19" s="62">
        <f>+SUM(Tablageneral14[[#This Row],[Dibujo (hr)]:[Calado (hr)]])</f>
        <v>0</v>
      </c>
      <c r="M19" s="34">
        <f>+SUMIFS(TablaTiempos[Tiempo (hr)],TablaTiempos[N° de troquel],Tablageneral14[[#This Row],[N° de Troquel Orden]],TablaTiempos[Actividad],"Encuchillado")</f>
        <v>0</v>
      </c>
      <c r="N19" s="34">
        <f>+SUMIFS(TablaTiempos[Tiempo (hr)],TablaTiempos[N° de troquel],Tablageneral14[[#This Row],[N° de Troquel Orden]],TablaTiempos[Actividad],"Engomado")</f>
        <v>0</v>
      </c>
      <c r="O19" s="63">
        <f>+Tablageneral14[[#This Row],[Engomado (hr)]]+Tablageneral14[[#This Row],[Encuchillado]]</f>
        <v>0</v>
      </c>
      <c r="P19" s="61">
        <f>+SUMIFS(TablaConsumos[[CANTIDAD ]],TablaConsumos[N° DE TROQUEL],Tablageneral14[[#This Row],[N° de Troquel Orden]],TablaConsumos[TIPO],"Cuchilla")</f>
        <v>0</v>
      </c>
      <c r="Q19" s="61">
        <f>+SUMIFS(TablaConsumos[[CANTIDAD ]],TablaConsumos[N° DE TROQUEL],Tablageneral14[[#This Row],[N° de Troquel Orden]],TablaConsumos[TIPO],"Score")</f>
        <v>0</v>
      </c>
      <c r="R19" s="63">
        <f>+Tablageneral14[[#This Row],[Escores]]+Tablageneral14[[#This Row],[Cuchillas]]</f>
        <v>0</v>
      </c>
    </row>
    <row r="20" spans="1:18" x14ac:dyDescent="0.25">
      <c r="A20" s="1" t="s">
        <v>884</v>
      </c>
      <c r="B20" s="31" t="s">
        <v>1111</v>
      </c>
      <c r="C20" s="32">
        <v>45385</v>
      </c>
      <c r="D20" s="32">
        <v>45386</v>
      </c>
      <c r="E20" s="33">
        <f>Tablageneral14[[#This Row],[Fecha de despacho]]-Tablageneral14[[#This Row],[Fecha de recibo]]</f>
        <v>1</v>
      </c>
      <c r="F20" s="283" t="s">
        <v>1170</v>
      </c>
      <c r="G20" s="34" t="s">
        <v>890</v>
      </c>
      <c r="H20" s="35" t="e">
        <f>INDEX(#REF!,MATCH(Tablageneral14[[#This Row],[Tipo de trabajo]],TablaTipoTrabajo[especifíco],0))</f>
        <v>#REF!</v>
      </c>
      <c r="I20" s="34">
        <f>+SUMIFS(TablaTiempos[Tiempo (hr)],TablaTiempos[N° de troquel],Tablageneral14[[#This Row],[N° de Troquel Orden]],TablaTiempos[Actividad],"Dibujo")</f>
        <v>0</v>
      </c>
      <c r="J20" s="34">
        <f>+SUMIFS(TablaTiempos[Tiempo (hr)],TablaTiempos[N° de troquel],Tablageneral14[[#This Row],[N° de Troquel Orden]],TablaTiempos[Actividad],"Puenteado")</f>
        <v>0</v>
      </c>
      <c r="K20" s="34">
        <f>+SUMIFS(TablaTiempos[Tiempo (hr)],TablaTiempos[N° de troquel],Tablageneral14[[#This Row],[N° de Troquel Orden]],TablaTiempos[Actividad],"Calado")</f>
        <v>0</v>
      </c>
      <c r="L20" s="62">
        <f>+SUM(Tablageneral14[[#This Row],[Dibujo (hr)]:[Calado (hr)]])</f>
        <v>0</v>
      </c>
      <c r="M20" s="34">
        <f>+SUMIFS(TablaTiempos[Tiempo (hr)],TablaTiempos[N° de troquel],Tablageneral14[[#This Row],[N° de Troquel Orden]],TablaTiempos[Actividad],"Encuchillado")</f>
        <v>0</v>
      </c>
      <c r="N20" s="34">
        <f>+SUMIFS(TablaTiempos[Tiempo (hr)],TablaTiempos[N° de troquel],Tablageneral14[[#This Row],[N° de Troquel Orden]],TablaTiempos[Actividad],"Engomado")</f>
        <v>0</v>
      </c>
      <c r="O20" s="63">
        <f>+Tablageneral14[[#This Row],[Engomado (hr)]]+Tablageneral14[[#This Row],[Encuchillado]]</f>
        <v>0</v>
      </c>
      <c r="P20" s="61">
        <f>+SUMIFS(TablaConsumos[[CANTIDAD ]],TablaConsumos[N° DE TROQUEL],Tablageneral14[[#This Row],[N° de Troquel Orden]],TablaConsumos[TIPO],"Cuchilla")</f>
        <v>0</v>
      </c>
      <c r="Q20" s="61">
        <f>+SUMIFS(TablaConsumos[[CANTIDAD ]],TablaConsumos[N° DE TROQUEL],Tablageneral14[[#This Row],[N° de Troquel Orden]],TablaConsumos[TIPO],"Score")</f>
        <v>0</v>
      </c>
      <c r="R20" s="63">
        <f>+Tablageneral14[[#This Row],[Escores]]+Tablageneral14[[#This Row],[Cuchillas]]</f>
        <v>0</v>
      </c>
    </row>
    <row r="21" spans="1:18" x14ac:dyDescent="0.25">
      <c r="A21" s="1" t="s">
        <v>602</v>
      </c>
      <c r="B21" s="31" t="s">
        <v>914</v>
      </c>
      <c r="C21" s="32">
        <v>45384</v>
      </c>
      <c r="D21" s="32">
        <v>45388</v>
      </c>
      <c r="E21" s="33">
        <f>Tablageneral14[[#This Row],[Fecha de despacho]]-Tablageneral14[[#This Row],[Fecha de recibo]]</f>
        <v>4</v>
      </c>
      <c r="F21" s="283">
        <v>3537</v>
      </c>
      <c r="G21" s="34" t="s">
        <v>895</v>
      </c>
      <c r="H21" s="35" t="e">
        <f>INDEX(#REF!,MATCH(Tablageneral14[[#This Row],[Tipo de trabajo]],TablaTipoTrabajo[especifíco],0))</f>
        <v>#REF!</v>
      </c>
      <c r="I21" s="34">
        <f>+SUMIFS(TablaTiempos[Tiempo (hr)],TablaTiempos[N° de troquel],Tablageneral14[[#This Row],[N° de Troquel Orden]],TablaTiempos[Actividad],"Dibujo")</f>
        <v>0</v>
      </c>
      <c r="J21" s="34">
        <f>+SUMIFS(TablaTiempos[Tiempo (hr)],TablaTiempos[N° de troquel],Tablageneral14[[#This Row],[N° de Troquel Orden]],TablaTiempos[Actividad],"Puenteado")</f>
        <v>0</v>
      </c>
      <c r="K21" s="34">
        <f>+SUMIFS(TablaTiempos[Tiempo (hr)],TablaTiempos[N° de troquel],Tablageneral14[[#This Row],[N° de Troquel Orden]],TablaTiempos[Actividad],"Calado")</f>
        <v>0</v>
      </c>
      <c r="L21" s="62">
        <f>+SUM(Tablageneral14[[#This Row],[Dibujo (hr)]:[Calado (hr)]])</f>
        <v>0</v>
      </c>
      <c r="M21" s="34">
        <f>+SUMIFS(TablaTiempos[Tiempo (hr)],TablaTiempos[N° de troquel],Tablageneral14[[#This Row],[N° de Troquel Orden]],TablaTiempos[Actividad],"Encuchillado")</f>
        <v>0</v>
      </c>
      <c r="N21" s="34">
        <f>+SUMIFS(TablaTiempos[Tiempo (hr)],TablaTiempos[N° de troquel],Tablageneral14[[#This Row],[N° de Troquel Orden]],TablaTiempos[Actividad],"Engomado")</f>
        <v>0</v>
      </c>
      <c r="O21" s="63">
        <f>+Tablageneral14[[#This Row],[Engomado (hr)]]+Tablageneral14[[#This Row],[Encuchillado]]</f>
        <v>0</v>
      </c>
      <c r="P21" s="61">
        <f>+SUMIFS(TablaConsumos[[CANTIDAD ]],TablaConsumos[N° DE TROQUEL],Tablageneral14[[#This Row],[N° de Troquel Orden]],TablaConsumos[TIPO],"Cuchilla")</f>
        <v>0</v>
      </c>
      <c r="Q21" s="61">
        <f>+SUMIFS(TablaConsumos[[CANTIDAD ]],TablaConsumos[N° DE TROQUEL],Tablageneral14[[#This Row],[N° de Troquel Orden]],TablaConsumos[TIPO],"Score")</f>
        <v>0</v>
      </c>
      <c r="R21" s="63">
        <f>+Tablageneral14[[#This Row],[Escores]]+Tablageneral14[[#This Row],[Cuchillas]]</f>
        <v>0</v>
      </c>
    </row>
    <row r="22" spans="1:18" x14ac:dyDescent="0.25">
      <c r="A22" s="30" t="s">
        <v>602</v>
      </c>
      <c r="B22" s="36" t="s">
        <v>914</v>
      </c>
      <c r="C22" s="37">
        <v>45384</v>
      </c>
      <c r="D22" s="37">
        <v>45390</v>
      </c>
      <c r="E22" s="33">
        <f>Tablageneral14[[#This Row],[Fecha de despacho]]-Tablageneral14[[#This Row],[Fecha de recibo]]</f>
        <v>6</v>
      </c>
      <c r="F22" s="284">
        <v>3536</v>
      </c>
      <c r="G22" s="38" t="s">
        <v>895</v>
      </c>
      <c r="H22" s="119" t="e">
        <f>INDEX(#REF!,MATCH(Tablageneral14[[#This Row],[Tipo de trabajo]],TablaTipoTrabajo[especifíco],0))</f>
        <v>#REF!</v>
      </c>
      <c r="I22" s="34">
        <f>+SUMIFS(TablaTiempos[Tiempo (hr)],TablaTiempos[N° de troquel],Tablageneral14[[#This Row],[N° de Troquel Orden]],TablaTiempos[Actividad],"Dibujo")</f>
        <v>0</v>
      </c>
      <c r="J22" s="34">
        <f>+SUMIFS(TablaTiempos[Tiempo (hr)],TablaTiempos[N° de troquel],Tablageneral14[[#This Row],[N° de Troquel Orden]],TablaTiempos[Actividad],"Puenteado")</f>
        <v>0</v>
      </c>
      <c r="K22" s="34">
        <f>+SUMIFS(TablaTiempos[Tiempo (hr)],TablaTiempos[N° de troquel],Tablageneral14[[#This Row],[N° de Troquel Orden]],TablaTiempos[Actividad],"Calado")</f>
        <v>0</v>
      </c>
      <c r="L22" s="62">
        <f>+SUM(Tablageneral14[[#This Row],[Dibujo (hr)]:[Calado (hr)]])</f>
        <v>0</v>
      </c>
      <c r="M22" s="34">
        <f>+SUMIFS(TablaTiempos[Tiempo (hr)],TablaTiempos[N° de troquel],Tablageneral14[[#This Row],[N° de Troquel Orden]],TablaTiempos[Actividad],"Encuchillado")</f>
        <v>0</v>
      </c>
      <c r="N22" s="34">
        <f>+SUMIFS(TablaTiempos[Tiempo (hr)],TablaTiempos[N° de troquel],Tablageneral14[[#This Row],[N° de Troquel Orden]],TablaTiempos[Actividad],"Engomado")</f>
        <v>0</v>
      </c>
      <c r="O22" s="63">
        <f>+Tablageneral14[[#This Row],[Engomado (hr)]]+Tablageneral14[[#This Row],[Encuchillado]]</f>
        <v>0</v>
      </c>
      <c r="P22" s="61">
        <f>+SUMIFS(TablaConsumos[[CANTIDAD ]],TablaConsumos[N° DE TROQUEL],Tablageneral14[[#This Row],[N° de Troquel Orden]],TablaConsumos[TIPO],"Cuchilla")</f>
        <v>0</v>
      </c>
      <c r="Q22" s="61">
        <f>+SUMIFS(TablaConsumos[[CANTIDAD ]],TablaConsumos[N° DE TROQUEL],Tablageneral14[[#This Row],[N° de Troquel Orden]],TablaConsumos[TIPO],"Score")</f>
        <v>0</v>
      </c>
      <c r="R22" s="63">
        <f>+Tablageneral14[[#This Row],[Escores]]+Tablageneral14[[#This Row],[Cuchillas]]</f>
        <v>0</v>
      </c>
    </row>
    <row r="23" spans="1:18" x14ac:dyDescent="0.25">
      <c r="A23" s="1" t="s">
        <v>602</v>
      </c>
      <c r="B23" s="173" t="s">
        <v>909</v>
      </c>
      <c r="C23" s="170">
        <v>45386</v>
      </c>
      <c r="D23" s="170">
        <v>45388</v>
      </c>
      <c r="E23" s="33">
        <f>Tablageneral14[[#This Row],[Fecha de despacho]]-Tablageneral14[[#This Row],[Fecha de recibo]]</f>
        <v>2</v>
      </c>
      <c r="F23" s="283">
        <v>3553</v>
      </c>
      <c r="G23" s="171" t="s">
        <v>890</v>
      </c>
      <c r="H23" s="172" t="e">
        <f>INDEX(#REF!,MATCH(Tablageneral14[[#This Row],[Tipo de trabajo]],TablaTipoTrabajo[especifíco],0))</f>
        <v>#REF!</v>
      </c>
      <c r="I23" s="34">
        <f>+SUMIFS(TablaTiempos[Tiempo (hr)],TablaTiempos[N° de troquel],Tablageneral14[[#This Row],[N° de Troquel Orden]],TablaTiempos[Actividad],"Dibujo")</f>
        <v>0</v>
      </c>
      <c r="J23" s="34">
        <f>+SUMIFS(TablaTiempos[Tiempo (hr)],TablaTiempos[N° de troquel],Tablageneral14[[#This Row],[N° de Troquel Orden]],TablaTiempos[Actividad],"Puenteado")</f>
        <v>0</v>
      </c>
      <c r="K23" s="34">
        <f>+SUMIFS(TablaTiempos[Tiempo (hr)],TablaTiempos[N° de troquel],Tablageneral14[[#This Row],[N° de Troquel Orden]],TablaTiempos[Actividad],"Calado")</f>
        <v>0</v>
      </c>
      <c r="L23" s="62">
        <f>+SUM(Tablageneral14[[#This Row],[Dibujo (hr)]:[Calado (hr)]])</f>
        <v>0</v>
      </c>
      <c r="M23" s="34">
        <f>+SUMIFS(TablaTiempos[Tiempo (hr)],TablaTiempos[N° de troquel],Tablageneral14[[#This Row],[N° de Troquel Orden]],TablaTiempos[Actividad],"Encuchillado")</f>
        <v>0</v>
      </c>
      <c r="N23" s="34">
        <f>+SUMIFS(TablaTiempos[Tiempo (hr)],TablaTiempos[N° de troquel],Tablageneral14[[#This Row],[N° de Troquel Orden]],TablaTiempos[Actividad],"Engomado")</f>
        <v>0</v>
      </c>
      <c r="O23" s="63">
        <f>+Tablageneral14[[#This Row],[Engomado (hr)]]+Tablageneral14[[#This Row],[Encuchillado]]</f>
        <v>0</v>
      </c>
      <c r="P23" s="61">
        <f>+SUMIFS(TablaConsumos[[CANTIDAD ]],TablaConsumos[N° DE TROQUEL],Tablageneral14[[#This Row],[N° de Troquel Orden]],TablaConsumos[TIPO],"Cuchilla")</f>
        <v>0</v>
      </c>
      <c r="Q23" s="61">
        <f>+SUMIFS(TablaConsumos[[CANTIDAD ]],TablaConsumos[N° DE TROQUEL],Tablageneral14[[#This Row],[N° de Troquel Orden]],TablaConsumos[TIPO],"Score")</f>
        <v>0</v>
      </c>
      <c r="R23" s="63">
        <f>+Tablageneral14[[#This Row],[Escores]]+Tablageneral14[[#This Row],[Cuchillas]]</f>
        <v>0</v>
      </c>
    </row>
    <row r="24" spans="1:18" x14ac:dyDescent="0.25">
      <c r="A24" s="30" t="s">
        <v>602</v>
      </c>
      <c r="B24" s="69" t="s">
        <v>914</v>
      </c>
      <c r="C24" s="70">
        <v>45384</v>
      </c>
      <c r="D24" s="70">
        <v>45388</v>
      </c>
      <c r="E24" s="33">
        <f>Tablageneral14[[#This Row],[Fecha de despacho]]-Tablageneral14[[#This Row],[Fecha de recibo]]</f>
        <v>4</v>
      </c>
      <c r="F24" s="284">
        <v>3542</v>
      </c>
      <c r="G24" s="68" t="s">
        <v>895</v>
      </c>
      <c r="H24" s="71" t="e">
        <f>INDEX(#REF!,MATCH(Tablageneral14[[#This Row],[Tipo de trabajo]],TablaTipoTrabajo[especifíco],0))</f>
        <v>#REF!</v>
      </c>
      <c r="I24" s="34">
        <f>+SUMIFS(TablaTiempos[Tiempo (hr)],TablaTiempos[N° de troquel],Tablageneral14[[#This Row],[N° de Troquel Orden]],TablaTiempos[Actividad],"Dibujo")</f>
        <v>0</v>
      </c>
      <c r="J24" s="34">
        <f>+SUMIFS(TablaTiempos[Tiempo (hr)],TablaTiempos[N° de troquel],Tablageneral14[[#This Row],[N° de Troquel Orden]],TablaTiempos[Actividad],"Puenteado")</f>
        <v>0</v>
      </c>
      <c r="K24" s="34">
        <f>+SUMIFS(TablaTiempos[Tiempo (hr)],TablaTiempos[N° de troquel],Tablageneral14[[#This Row],[N° de Troquel Orden]],TablaTiempos[Actividad],"Calado")</f>
        <v>0</v>
      </c>
      <c r="L24" s="62">
        <f>+SUM(Tablageneral14[[#This Row],[Dibujo (hr)]:[Calado (hr)]])</f>
        <v>0</v>
      </c>
      <c r="M24" s="34">
        <f>+SUMIFS(TablaTiempos[Tiempo (hr)],TablaTiempos[N° de troquel],Tablageneral14[[#This Row],[N° de Troquel Orden]],TablaTiempos[Actividad],"Encuchillado")</f>
        <v>0</v>
      </c>
      <c r="N24" s="34">
        <f>+SUMIFS(TablaTiempos[Tiempo (hr)],TablaTiempos[N° de troquel],Tablageneral14[[#This Row],[N° de Troquel Orden]],TablaTiempos[Actividad],"Engomado")</f>
        <v>0</v>
      </c>
      <c r="O24" s="63">
        <f>+Tablageneral14[[#This Row],[Engomado (hr)]]+Tablageneral14[[#This Row],[Encuchillado]]</f>
        <v>0</v>
      </c>
      <c r="P24" s="61">
        <f>+SUMIFS(TablaConsumos[[CANTIDAD ]],TablaConsumos[N° DE TROQUEL],Tablageneral14[[#This Row],[N° de Troquel Orden]],TablaConsumos[TIPO],"Cuchilla")</f>
        <v>0</v>
      </c>
      <c r="Q24" s="61">
        <f>+SUMIFS(TablaConsumos[[CANTIDAD ]],TablaConsumos[N° DE TROQUEL],Tablageneral14[[#This Row],[N° de Troquel Orden]],TablaConsumos[TIPO],"Score")</f>
        <v>0</v>
      </c>
      <c r="R24" s="63">
        <f>+Tablageneral14[[#This Row],[Escores]]+Tablageneral14[[#This Row],[Cuchillas]]</f>
        <v>0</v>
      </c>
    </row>
    <row r="25" spans="1:18" x14ac:dyDescent="0.25">
      <c r="A25" s="1" t="s">
        <v>602</v>
      </c>
      <c r="B25" s="69" t="s">
        <v>914</v>
      </c>
      <c r="C25" s="70">
        <v>45384</v>
      </c>
      <c r="D25" s="70">
        <v>45390</v>
      </c>
      <c r="E25" s="33">
        <f>Tablageneral14[[#This Row],[Fecha de despacho]]-Tablageneral14[[#This Row],[Fecha de recibo]]</f>
        <v>6</v>
      </c>
      <c r="F25" s="282">
        <v>3543</v>
      </c>
      <c r="G25" s="68" t="s">
        <v>895</v>
      </c>
      <c r="H25" s="71" t="e">
        <f>INDEX(#REF!,MATCH(Tablageneral14[[#This Row],[Tipo de trabajo]],TablaTipoTrabajo[especifíco],0))</f>
        <v>#REF!</v>
      </c>
      <c r="I25" s="34">
        <f>+SUMIFS(TablaTiempos[Tiempo (hr)],TablaTiempos[N° de troquel],Tablageneral14[[#This Row],[N° de Troquel Orden]],TablaTiempos[Actividad],"Dibujo")</f>
        <v>0</v>
      </c>
      <c r="J25" s="34">
        <f>+SUMIFS(TablaTiempos[Tiempo (hr)],TablaTiempos[N° de troquel],Tablageneral14[[#This Row],[N° de Troquel Orden]],TablaTiempos[Actividad],"Puenteado")</f>
        <v>0</v>
      </c>
      <c r="K25" s="34">
        <f>+SUMIFS(TablaTiempos[Tiempo (hr)],TablaTiempos[N° de troquel],Tablageneral14[[#This Row],[N° de Troquel Orden]],TablaTiempos[Actividad],"Calado")</f>
        <v>0</v>
      </c>
      <c r="L25" s="62">
        <f>+SUM(Tablageneral14[[#This Row],[Dibujo (hr)]:[Calado (hr)]])</f>
        <v>0</v>
      </c>
      <c r="M25" s="34">
        <f>+SUMIFS(TablaTiempos[Tiempo (hr)],TablaTiempos[N° de troquel],Tablageneral14[[#This Row],[N° de Troquel Orden]],TablaTiempos[Actividad],"Encuchillado")</f>
        <v>0</v>
      </c>
      <c r="N25" s="34">
        <f>+SUMIFS(TablaTiempos[Tiempo (hr)],TablaTiempos[N° de troquel],Tablageneral14[[#This Row],[N° de Troquel Orden]],TablaTiempos[Actividad],"Engomado")</f>
        <v>0</v>
      </c>
      <c r="O25" s="63">
        <f>+Tablageneral14[[#This Row],[Engomado (hr)]]+Tablageneral14[[#This Row],[Encuchillado]]</f>
        <v>0</v>
      </c>
      <c r="P25" s="61">
        <f>+SUMIFS(TablaConsumos[[CANTIDAD ]],TablaConsumos[N° DE TROQUEL],Tablageneral14[[#This Row],[N° de Troquel Orden]],TablaConsumos[TIPO],"Cuchilla")</f>
        <v>0</v>
      </c>
      <c r="Q25" s="61">
        <f>+SUMIFS(TablaConsumos[[CANTIDAD ]],TablaConsumos[N° DE TROQUEL],Tablageneral14[[#This Row],[N° de Troquel Orden]],TablaConsumos[TIPO],"Score")</f>
        <v>0</v>
      </c>
      <c r="R25" s="63">
        <f>+Tablageneral14[[#This Row],[Escores]]+Tablageneral14[[#This Row],[Cuchillas]]</f>
        <v>0</v>
      </c>
    </row>
    <row r="26" spans="1:18" x14ac:dyDescent="0.25">
      <c r="A26" s="1" t="s">
        <v>884</v>
      </c>
      <c r="B26" s="69" t="s">
        <v>969</v>
      </c>
      <c r="C26" s="70">
        <v>45385</v>
      </c>
      <c r="D26" s="70">
        <v>45391</v>
      </c>
      <c r="E26" s="33">
        <f>Tablageneral14[[#This Row],[Fecha de despacho]]-Tablageneral14[[#This Row],[Fecha de recibo]]</f>
        <v>6</v>
      </c>
      <c r="F26" s="282" t="s">
        <v>1171</v>
      </c>
      <c r="G26" s="38" t="s">
        <v>890</v>
      </c>
      <c r="H26" s="71" t="e">
        <f>INDEX(#REF!,MATCH(Tablageneral14[[#This Row],[Tipo de trabajo]],TablaTipoTrabajo[especifíco],0))</f>
        <v>#REF!</v>
      </c>
      <c r="I26" s="34">
        <f>+SUMIFS(TablaTiempos[Tiempo (hr)],TablaTiempos[N° de troquel],Tablageneral14[[#This Row],[N° de Troquel Orden]],TablaTiempos[Actividad],"Dibujo")</f>
        <v>0</v>
      </c>
      <c r="J26" s="34">
        <f>+SUMIFS(TablaTiempos[Tiempo (hr)],TablaTiempos[N° de troquel],Tablageneral14[[#This Row],[N° de Troquel Orden]],TablaTiempos[Actividad],"Puenteado")</f>
        <v>0</v>
      </c>
      <c r="K26" s="34">
        <f>+SUMIFS(TablaTiempos[Tiempo (hr)],TablaTiempos[N° de troquel],Tablageneral14[[#This Row],[N° de Troquel Orden]],TablaTiempos[Actividad],"Calado")</f>
        <v>0</v>
      </c>
      <c r="L26" s="62">
        <f>+SUM(Tablageneral14[[#This Row],[Dibujo (hr)]:[Calado (hr)]])</f>
        <v>0</v>
      </c>
      <c r="M26" s="34">
        <f>+SUMIFS(TablaTiempos[Tiempo (hr)],TablaTiempos[N° de troquel],Tablageneral14[[#This Row],[N° de Troquel Orden]],TablaTiempos[Actividad],"Encuchillado")</f>
        <v>0</v>
      </c>
      <c r="N26" s="34">
        <f>+SUMIFS(TablaTiempos[Tiempo (hr)],TablaTiempos[N° de troquel],Tablageneral14[[#This Row],[N° de Troquel Orden]],TablaTiempos[Actividad],"Engomado")</f>
        <v>0</v>
      </c>
      <c r="O26" s="63">
        <f>+Tablageneral14[[#This Row],[Engomado (hr)]]+Tablageneral14[[#This Row],[Encuchillado]]</f>
        <v>0</v>
      </c>
      <c r="P26" s="61">
        <f>+SUMIFS(TablaConsumos[[CANTIDAD ]],TablaConsumos[N° DE TROQUEL],Tablageneral14[[#This Row],[N° de Troquel Orden]],TablaConsumos[TIPO],"Cuchilla")</f>
        <v>0</v>
      </c>
      <c r="Q26" s="61">
        <f>+SUMIFS(TablaConsumos[[CANTIDAD ]],TablaConsumos[N° DE TROQUEL],Tablageneral14[[#This Row],[N° de Troquel Orden]],TablaConsumos[TIPO],"Score")</f>
        <v>0</v>
      </c>
      <c r="R26" s="63">
        <f>+Tablageneral14[[#This Row],[Escores]]+Tablageneral14[[#This Row],[Cuchillas]]</f>
        <v>0</v>
      </c>
    </row>
    <row r="27" spans="1:18" x14ac:dyDescent="0.25">
      <c r="A27" s="1" t="s">
        <v>884</v>
      </c>
      <c r="B27" s="69" t="s">
        <v>1172</v>
      </c>
      <c r="C27" s="70">
        <v>45385</v>
      </c>
      <c r="D27" s="70">
        <v>45392</v>
      </c>
      <c r="E27" s="33">
        <f>Tablageneral14[[#This Row],[Fecha de despacho]]-Tablageneral14[[#This Row],[Fecha de recibo]]</f>
        <v>7</v>
      </c>
      <c r="F27" s="282" t="s">
        <v>1173</v>
      </c>
      <c r="G27" s="68" t="s">
        <v>896</v>
      </c>
      <c r="H27" s="71" t="e">
        <f ca="1">INDEX(#REF!,MATCH(Tablageneral14[[#This Row],[Tipo de trabajo]],TablaTipoTrabajo[especifíco],0))</f>
        <v>#REF!</v>
      </c>
      <c r="I27" s="34">
        <f>+SUMIFS(TablaTiempos[Tiempo (hr)],TablaTiempos[N° de troquel],Tablageneral14[[#This Row],[N° de Troquel Orden]],TablaTiempos[Actividad],"Dibujo")</f>
        <v>0</v>
      </c>
      <c r="J27" s="34">
        <f>+SUMIFS(TablaTiempos[Tiempo (hr)],TablaTiempos[N° de troquel],Tablageneral14[[#This Row],[N° de Troquel Orden]],TablaTiempos[Actividad],"Puenteado")</f>
        <v>0</v>
      </c>
      <c r="K27" s="34">
        <f>+SUMIFS(TablaTiempos[Tiempo (hr)],TablaTiempos[N° de troquel],Tablageneral14[[#This Row],[N° de Troquel Orden]],TablaTiempos[Actividad],"Calado")</f>
        <v>0</v>
      </c>
      <c r="L27" s="62">
        <f>+SUM(Tablageneral14[[#This Row],[Dibujo (hr)]:[Calado (hr)]])</f>
        <v>0</v>
      </c>
      <c r="M27" s="34">
        <f>+SUMIFS(TablaTiempos[Tiempo (hr)],TablaTiempos[N° de troquel],Tablageneral14[[#This Row],[N° de Troquel Orden]],TablaTiempos[Actividad],"Encuchillado")</f>
        <v>0</v>
      </c>
      <c r="N27" s="34">
        <f>+SUMIFS(TablaTiempos[Tiempo (hr)],TablaTiempos[N° de troquel],Tablageneral14[[#This Row],[N° de Troquel Orden]],TablaTiempos[Actividad],"Engomado")</f>
        <v>0</v>
      </c>
      <c r="O27" s="63">
        <f>+Tablageneral14[[#This Row],[Engomado (hr)]]+Tablageneral14[[#This Row],[Encuchillado]]</f>
        <v>0</v>
      </c>
      <c r="P27" s="61">
        <f>+SUMIFS(TablaConsumos[[CANTIDAD ]],TablaConsumos[N° DE TROQUEL],Tablageneral14[[#This Row],[N° de Troquel Orden]],TablaConsumos[TIPO],"Cuchilla")</f>
        <v>0</v>
      </c>
      <c r="Q27" s="61">
        <f>+SUMIFS(TablaConsumos[[CANTIDAD ]],TablaConsumos[N° DE TROQUEL],Tablageneral14[[#This Row],[N° de Troquel Orden]],TablaConsumos[TIPO],"Score")</f>
        <v>0</v>
      </c>
      <c r="R27" s="63">
        <f>+Tablageneral14[[#This Row],[Escores]]+Tablageneral14[[#This Row],[Cuchillas]]</f>
        <v>0</v>
      </c>
    </row>
    <row r="28" spans="1:18" x14ac:dyDescent="0.25">
      <c r="A28" s="30" t="s">
        <v>602</v>
      </c>
      <c r="B28" s="69" t="s">
        <v>927</v>
      </c>
      <c r="C28" s="70">
        <v>45386</v>
      </c>
      <c r="D28" s="70">
        <v>45393</v>
      </c>
      <c r="E28" s="33">
        <f>Tablageneral14[[#This Row],[Fecha de despacho]]-Tablageneral14[[#This Row],[Fecha de recibo]]</f>
        <v>7</v>
      </c>
      <c r="F28" s="282">
        <v>3552</v>
      </c>
      <c r="G28" s="68" t="s">
        <v>897</v>
      </c>
      <c r="H28" s="71" t="e">
        <f>INDEX(#REF!,MATCH(Tablageneral14[[#This Row],[Tipo de trabajo]],TablaTipoTrabajo[especifíco],0))</f>
        <v>#REF!</v>
      </c>
      <c r="I28" s="34">
        <f>+SUMIFS(TablaTiempos[Tiempo (hr)],TablaTiempos[N° de troquel],Tablageneral14[[#This Row],[N° de Troquel Orden]],TablaTiempos[Actividad],"Dibujo")</f>
        <v>0</v>
      </c>
      <c r="J28" s="34">
        <f>+SUMIFS(TablaTiempos[Tiempo (hr)],TablaTiempos[N° de troquel],Tablageneral14[[#This Row],[N° de Troquel Orden]],TablaTiempos[Actividad],"Puenteado")</f>
        <v>0</v>
      </c>
      <c r="K28" s="34">
        <f>+SUMIFS(TablaTiempos[Tiempo (hr)],TablaTiempos[N° de troquel],Tablageneral14[[#This Row],[N° de Troquel Orden]],TablaTiempos[Actividad],"Calado")</f>
        <v>0</v>
      </c>
      <c r="L28" s="62">
        <f>+SUM(Tablageneral14[[#This Row],[Dibujo (hr)]:[Calado (hr)]])</f>
        <v>0</v>
      </c>
      <c r="M28" s="34">
        <f>+SUMIFS(TablaTiempos[Tiempo (hr)],TablaTiempos[N° de troquel],Tablageneral14[[#This Row],[N° de Troquel Orden]],TablaTiempos[Actividad],"Encuchillado")</f>
        <v>0</v>
      </c>
      <c r="N28" s="34">
        <f>+SUMIFS(TablaTiempos[Tiempo (hr)],TablaTiempos[N° de troquel],Tablageneral14[[#This Row],[N° de Troquel Orden]],TablaTiempos[Actividad],"Engomado")</f>
        <v>0</v>
      </c>
      <c r="O28" s="63">
        <f>+Tablageneral14[[#This Row],[Engomado (hr)]]+Tablageneral14[[#This Row],[Encuchillado]]</f>
        <v>0</v>
      </c>
      <c r="P28" s="61">
        <f>+SUMIFS(TablaConsumos[[CANTIDAD ]],TablaConsumos[N° DE TROQUEL],Tablageneral14[[#This Row],[N° de Troquel Orden]],TablaConsumos[TIPO],"Cuchilla")</f>
        <v>0</v>
      </c>
      <c r="Q28" s="61">
        <f>+SUMIFS(TablaConsumos[[CANTIDAD ]],TablaConsumos[N° DE TROQUEL],Tablageneral14[[#This Row],[N° de Troquel Orden]],TablaConsumos[TIPO],"Score")</f>
        <v>0</v>
      </c>
      <c r="R28" s="63">
        <f>+Tablageneral14[[#This Row],[Escores]]+Tablageneral14[[#This Row],[Cuchillas]]</f>
        <v>0</v>
      </c>
    </row>
    <row r="29" spans="1:18" x14ac:dyDescent="0.25">
      <c r="A29" s="1" t="s">
        <v>602</v>
      </c>
      <c r="B29" s="169" t="s">
        <v>855</v>
      </c>
      <c r="C29" s="170">
        <v>45386</v>
      </c>
      <c r="D29" s="170">
        <v>45394</v>
      </c>
      <c r="E29" s="33">
        <f>Tablageneral14[[#This Row],[Fecha de despacho]]-Tablageneral14[[#This Row],[Fecha de recibo]]</f>
        <v>8</v>
      </c>
      <c r="F29" s="283">
        <v>3554</v>
      </c>
      <c r="G29" s="171" t="s">
        <v>897</v>
      </c>
      <c r="H29" s="172" t="e">
        <f>INDEX(#REF!,MATCH(Tablageneral14[[#This Row],[Tipo de trabajo]],TablaTipoTrabajo[especifíco],0))</f>
        <v>#REF!</v>
      </c>
      <c r="I29" s="34">
        <f>+SUMIFS(TablaTiempos[Tiempo (hr)],TablaTiempos[N° de troquel],Tablageneral14[[#This Row],[N° de Troquel Orden]],TablaTiempos[Actividad],"Dibujo")</f>
        <v>0</v>
      </c>
      <c r="J29" s="34">
        <f>+SUMIFS(TablaTiempos[Tiempo (hr)],TablaTiempos[N° de troquel],Tablageneral14[[#This Row],[N° de Troquel Orden]],TablaTiempos[Actividad],"Puenteado")</f>
        <v>0</v>
      </c>
      <c r="K29" s="34">
        <f>+SUMIFS(TablaTiempos[Tiempo (hr)],TablaTiempos[N° de troquel],Tablageneral14[[#This Row],[N° de Troquel Orden]],TablaTiempos[Actividad],"Calado")</f>
        <v>0</v>
      </c>
      <c r="L29" s="62">
        <f>+SUM(Tablageneral14[[#This Row],[Dibujo (hr)]:[Calado (hr)]])</f>
        <v>0</v>
      </c>
      <c r="M29" s="34">
        <f>+SUMIFS(TablaTiempos[Tiempo (hr)],TablaTiempos[N° de troquel],Tablageneral14[[#This Row],[N° de Troquel Orden]],TablaTiempos[Actividad],"Encuchillado")</f>
        <v>0</v>
      </c>
      <c r="N29" s="34">
        <f>+SUMIFS(TablaTiempos[Tiempo (hr)],TablaTiempos[N° de troquel],Tablageneral14[[#This Row],[N° de Troquel Orden]],TablaTiempos[Actividad],"Engomado")</f>
        <v>0</v>
      </c>
      <c r="O29" s="63">
        <f>+Tablageneral14[[#This Row],[Engomado (hr)]]+Tablageneral14[[#This Row],[Encuchillado]]</f>
        <v>0</v>
      </c>
      <c r="P29" s="61">
        <f>+SUMIFS(TablaConsumos[[CANTIDAD ]],TablaConsumos[N° DE TROQUEL],Tablageneral14[[#This Row],[N° de Troquel Orden]],TablaConsumos[TIPO],"Cuchilla")</f>
        <v>0</v>
      </c>
      <c r="Q29" s="61">
        <f>+SUMIFS(TablaConsumos[[CANTIDAD ]],TablaConsumos[N° DE TROQUEL],Tablageneral14[[#This Row],[N° de Troquel Orden]],TablaConsumos[TIPO],"Score")</f>
        <v>0</v>
      </c>
      <c r="R29" s="63">
        <f>+Tablageneral14[[#This Row],[Escores]]+Tablageneral14[[#This Row],[Cuchillas]]</f>
        <v>0</v>
      </c>
    </row>
    <row r="30" spans="1:18" x14ac:dyDescent="0.25">
      <c r="A30" s="30" t="s">
        <v>606</v>
      </c>
      <c r="B30" s="69" t="s">
        <v>1174</v>
      </c>
      <c r="C30" s="70">
        <v>45386</v>
      </c>
      <c r="D30" s="70">
        <v>45394</v>
      </c>
      <c r="E30" s="33">
        <f>Tablageneral14[[#This Row],[Fecha de despacho]]-Tablageneral14[[#This Row],[Fecha de recibo]]</f>
        <v>8</v>
      </c>
      <c r="F30" s="282">
        <v>3779</v>
      </c>
      <c r="G30" s="68" t="s">
        <v>905</v>
      </c>
      <c r="H30" s="71" t="e">
        <f ca="1">INDEX(#REF!,MATCH(Tablageneral14[[#This Row],[Tipo de trabajo]],TablaTipoTrabajo[especifíco],0))</f>
        <v>#REF!</v>
      </c>
      <c r="I30" s="34">
        <f>+SUMIFS(TablaTiempos[Tiempo (hr)],TablaTiempos[N° de troquel],Tablageneral14[[#This Row],[N° de Troquel Orden]],TablaTiempos[Actividad],"Dibujo")</f>
        <v>0</v>
      </c>
      <c r="J30" s="34">
        <f>+SUMIFS(TablaTiempos[Tiempo (hr)],TablaTiempos[N° de troquel],Tablageneral14[[#This Row],[N° de Troquel Orden]],TablaTiempos[Actividad],"Puenteado")</f>
        <v>0</v>
      </c>
      <c r="K30" s="34">
        <f>+SUMIFS(TablaTiempos[Tiempo (hr)],TablaTiempos[N° de troquel],Tablageneral14[[#This Row],[N° de Troquel Orden]],TablaTiempos[Actividad],"Calado")</f>
        <v>0</v>
      </c>
      <c r="L30" s="62">
        <f>+SUM(Tablageneral14[[#This Row],[Dibujo (hr)]:[Calado (hr)]])</f>
        <v>0</v>
      </c>
      <c r="M30" s="34">
        <f>+SUMIFS(TablaTiempos[Tiempo (hr)],TablaTiempos[N° de troquel],Tablageneral14[[#This Row],[N° de Troquel Orden]],TablaTiempos[Actividad],"Encuchillado")</f>
        <v>0</v>
      </c>
      <c r="N30" s="34">
        <f>+SUMIFS(TablaTiempos[Tiempo (hr)],TablaTiempos[N° de troquel],Tablageneral14[[#This Row],[N° de Troquel Orden]],TablaTiempos[Actividad],"Engomado")</f>
        <v>0</v>
      </c>
      <c r="O30" s="63">
        <f>+Tablageneral14[[#This Row],[Engomado (hr)]]+Tablageneral14[[#This Row],[Encuchillado]]</f>
        <v>0</v>
      </c>
      <c r="P30" s="61">
        <f>+SUMIFS(TablaConsumos[[CANTIDAD ]],TablaConsumos[N° DE TROQUEL],Tablageneral14[[#This Row],[N° de Troquel Orden]],TablaConsumos[TIPO],"Cuchilla")</f>
        <v>0</v>
      </c>
      <c r="Q30" s="61">
        <f>+SUMIFS(TablaConsumos[[CANTIDAD ]],TablaConsumos[N° DE TROQUEL],Tablageneral14[[#This Row],[N° de Troquel Orden]],TablaConsumos[TIPO],"Score")</f>
        <v>0</v>
      </c>
      <c r="R30" s="63">
        <f>+Tablageneral14[[#This Row],[Escores]]+Tablageneral14[[#This Row],[Cuchillas]]</f>
        <v>0</v>
      </c>
    </row>
    <row r="31" spans="1:18" x14ac:dyDescent="0.25">
      <c r="A31" s="30" t="s">
        <v>884</v>
      </c>
      <c r="B31" s="69" t="s">
        <v>1175</v>
      </c>
      <c r="C31" s="70">
        <v>45383</v>
      </c>
      <c r="D31" s="70">
        <v>45394</v>
      </c>
      <c r="E31" s="33">
        <f>Tablageneral14[[#This Row],[Fecha de despacho]]-Tablageneral14[[#This Row],[Fecha de recibo]]</f>
        <v>11</v>
      </c>
      <c r="F31" s="284" t="s">
        <v>1176</v>
      </c>
      <c r="G31" s="68" t="s">
        <v>890</v>
      </c>
      <c r="H31" s="71" t="e">
        <f>INDEX(#REF!,MATCH(Tablageneral14[[#This Row],[Tipo de trabajo]],TablaTipoTrabajo[especifíco],0))</f>
        <v>#REF!</v>
      </c>
      <c r="I31" s="34">
        <f>+SUMIFS(TablaTiempos[Tiempo (hr)],TablaTiempos[N° de troquel],Tablageneral14[[#This Row],[N° de Troquel Orden]],TablaTiempos[Actividad],"Dibujo")</f>
        <v>0</v>
      </c>
      <c r="J31" s="34">
        <f>+SUMIFS(TablaTiempos[Tiempo (hr)],TablaTiempos[N° de troquel],Tablageneral14[[#This Row],[N° de Troquel Orden]],TablaTiempos[Actividad],"Puenteado")</f>
        <v>0</v>
      </c>
      <c r="K31" s="34">
        <f>+SUMIFS(TablaTiempos[Tiempo (hr)],TablaTiempos[N° de troquel],Tablageneral14[[#This Row],[N° de Troquel Orden]],TablaTiempos[Actividad],"Calado")</f>
        <v>0</v>
      </c>
      <c r="L31" s="62">
        <f>+SUM(Tablageneral14[[#This Row],[Dibujo (hr)]:[Calado (hr)]])</f>
        <v>0</v>
      </c>
      <c r="M31" s="34">
        <f>+SUMIFS(TablaTiempos[Tiempo (hr)],TablaTiempos[N° de troquel],Tablageneral14[[#This Row],[N° de Troquel Orden]],TablaTiempos[Actividad],"Encuchillado")</f>
        <v>0</v>
      </c>
      <c r="N31" s="34">
        <f>+SUMIFS(TablaTiempos[Tiempo (hr)],TablaTiempos[N° de troquel],Tablageneral14[[#This Row],[N° de Troquel Orden]],TablaTiempos[Actividad],"Engomado")</f>
        <v>0</v>
      </c>
      <c r="O31" s="63">
        <f>+Tablageneral14[[#This Row],[Engomado (hr)]]+Tablageneral14[[#This Row],[Encuchillado]]</f>
        <v>0</v>
      </c>
      <c r="P31" s="61">
        <f>+SUMIFS(TablaConsumos[[CANTIDAD ]],TablaConsumos[N° DE TROQUEL],Tablageneral14[[#This Row],[N° de Troquel Orden]],TablaConsumos[TIPO],"Cuchilla")</f>
        <v>0</v>
      </c>
      <c r="Q31" s="61">
        <f>+SUMIFS(TablaConsumos[[CANTIDAD ]],TablaConsumos[N° DE TROQUEL],Tablageneral14[[#This Row],[N° de Troquel Orden]],TablaConsumos[TIPO],"Score")</f>
        <v>0</v>
      </c>
      <c r="R31" s="63">
        <f>+Tablageneral14[[#This Row],[Escores]]+Tablageneral14[[#This Row],[Cuchillas]]</f>
        <v>0</v>
      </c>
    </row>
    <row r="32" spans="1:18" x14ac:dyDescent="0.25">
      <c r="A32" s="1" t="s">
        <v>884</v>
      </c>
      <c r="B32" s="169" t="s">
        <v>1107</v>
      </c>
      <c r="C32" s="170">
        <v>45383</v>
      </c>
      <c r="D32" s="170">
        <v>45393</v>
      </c>
      <c r="E32" s="33">
        <f>Tablageneral14[[#This Row],[Fecha de despacho]]-Tablageneral14[[#This Row],[Fecha de recibo]]</f>
        <v>10</v>
      </c>
      <c r="F32" s="283" t="s">
        <v>1177</v>
      </c>
      <c r="G32" s="171" t="s">
        <v>890</v>
      </c>
      <c r="H32" s="172" t="e">
        <f>INDEX(#REF!,MATCH(Tablageneral14[[#This Row],[Tipo de trabajo]],TablaTipoTrabajo[especifíco],0))</f>
        <v>#REF!</v>
      </c>
      <c r="I32" s="34">
        <f>+SUMIFS(TablaTiempos[Tiempo (hr)],TablaTiempos[N° de troquel],Tablageneral14[[#This Row],[N° de Troquel Orden]],TablaTiempos[Actividad],"Dibujo")</f>
        <v>0</v>
      </c>
      <c r="J32" s="34">
        <f>+SUMIFS(TablaTiempos[Tiempo (hr)],TablaTiempos[N° de troquel],Tablageneral14[[#This Row],[N° de Troquel Orden]],TablaTiempos[Actividad],"Puenteado")</f>
        <v>0</v>
      </c>
      <c r="K32" s="34">
        <f>+SUMIFS(TablaTiempos[Tiempo (hr)],TablaTiempos[N° de troquel],Tablageneral14[[#This Row],[N° de Troquel Orden]],TablaTiempos[Actividad],"Calado")</f>
        <v>0</v>
      </c>
      <c r="L32" s="62">
        <f>+SUM(Tablageneral14[[#This Row],[Dibujo (hr)]:[Calado (hr)]])</f>
        <v>0</v>
      </c>
      <c r="M32" s="34">
        <f>+SUMIFS(TablaTiempos[Tiempo (hr)],TablaTiempos[N° de troquel],Tablageneral14[[#This Row],[N° de Troquel Orden]],TablaTiempos[Actividad],"Encuchillado")</f>
        <v>0</v>
      </c>
      <c r="N32" s="34">
        <f>+SUMIFS(TablaTiempos[Tiempo (hr)],TablaTiempos[N° de troquel],Tablageneral14[[#This Row],[N° de Troquel Orden]],TablaTiempos[Actividad],"Engomado")</f>
        <v>0</v>
      </c>
      <c r="O32" s="63">
        <f>+Tablageneral14[[#This Row],[Engomado (hr)]]+Tablageneral14[[#This Row],[Encuchillado]]</f>
        <v>0</v>
      </c>
      <c r="P32" s="61">
        <f>+SUMIFS(TablaConsumos[[CANTIDAD ]],TablaConsumos[N° DE TROQUEL],Tablageneral14[[#This Row],[N° de Troquel Orden]],TablaConsumos[TIPO],"Cuchilla")</f>
        <v>0</v>
      </c>
      <c r="Q32" s="61">
        <f>+SUMIFS(TablaConsumos[[CANTIDAD ]],TablaConsumos[N° DE TROQUEL],Tablageneral14[[#This Row],[N° de Troquel Orden]],TablaConsumos[TIPO],"Score")</f>
        <v>0</v>
      </c>
      <c r="R32" s="63">
        <f>+Tablageneral14[[#This Row],[Escores]]+Tablageneral14[[#This Row],[Cuchillas]]</f>
        <v>0</v>
      </c>
    </row>
    <row r="33" spans="1:18" x14ac:dyDescent="0.25">
      <c r="A33" s="30" t="s">
        <v>606</v>
      </c>
      <c r="B33" s="69" t="s">
        <v>1165</v>
      </c>
      <c r="C33" s="70">
        <v>45390</v>
      </c>
      <c r="D33" s="70">
        <v>45396</v>
      </c>
      <c r="E33" s="33">
        <f>Tablageneral14[[#This Row],[Fecha de despacho]]-Tablageneral14[[#This Row],[Fecha de recibo]]</f>
        <v>6</v>
      </c>
      <c r="F33" s="284">
        <v>3787</v>
      </c>
      <c r="G33" s="68" t="s">
        <v>891</v>
      </c>
      <c r="H33" s="71" t="e">
        <f>INDEX(#REF!,MATCH(Tablageneral14[[#This Row],[Tipo de trabajo]],TablaTipoTrabajo[especifíco],0))</f>
        <v>#REF!</v>
      </c>
      <c r="I33" s="34">
        <f>+SUMIFS(TablaTiempos[Tiempo (hr)],TablaTiempos[N° de troquel],Tablageneral14[[#This Row],[N° de Troquel Orden]],TablaTiempos[Actividad],"Dibujo")</f>
        <v>0</v>
      </c>
      <c r="J33" s="34">
        <f>+SUMIFS(TablaTiempos[Tiempo (hr)],TablaTiempos[N° de troquel],Tablageneral14[[#This Row],[N° de Troquel Orden]],TablaTiempos[Actividad],"Puenteado")</f>
        <v>0</v>
      </c>
      <c r="K33" s="34">
        <f>+SUMIFS(TablaTiempos[Tiempo (hr)],TablaTiempos[N° de troquel],Tablageneral14[[#This Row],[N° de Troquel Orden]],TablaTiempos[Actividad],"Calado")</f>
        <v>0</v>
      </c>
      <c r="L33" s="62">
        <f>+SUM(Tablageneral14[[#This Row],[Dibujo (hr)]:[Calado (hr)]])</f>
        <v>0</v>
      </c>
      <c r="M33" s="34">
        <f>+SUMIFS(TablaTiempos[Tiempo (hr)],TablaTiempos[N° de troquel],Tablageneral14[[#This Row],[N° de Troquel Orden]],TablaTiempos[Actividad],"Encuchillado")</f>
        <v>0</v>
      </c>
      <c r="N33" s="34">
        <f>+SUMIFS(TablaTiempos[Tiempo (hr)],TablaTiempos[N° de troquel],Tablageneral14[[#This Row],[N° de Troquel Orden]],TablaTiempos[Actividad],"Engomado")</f>
        <v>0</v>
      </c>
      <c r="O33" s="63">
        <f>+Tablageneral14[[#This Row],[Engomado (hr)]]+Tablageneral14[[#This Row],[Encuchillado]]</f>
        <v>0</v>
      </c>
      <c r="P33" s="61">
        <f>+SUMIFS(TablaConsumos[[CANTIDAD ]],TablaConsumos[N° DE TROQUEL],Tablageneral14[[#This Row],[N° de Troquel Orden]],TablaConsumos[TIPO],"Cuchilla")</f>
        <v>0</v>
      </c>
      <c r="Q33" s="61">
        <f>+SUMIFS(TablaConsumos[[CANTIDAD ]],TablaConsumos[N° DE TROQUEL],Tablageneral14[[#This Row],[N° de Troquel Orden]],TablaConsumos[TIPO],"Score")</f>
        <v>0</v>
      </c>
      <c r="R33" s="63">
        <f>+Tablageneral14[[#This Row],[Escores]]+Tablageneral14[[#This Row],[Cuchillas]]</f>
        <v>0</v>
      </c>
    </row>
    <row r="34" spans="1:18" x14ac:dyDescent="0.25">
      <c r="A34" s="30" t="s">
        <v>885</v>
      </c>
      <c r="B34" s="69" t="s">
        <v>1178</v>
      </c>
      <c r="C34" s="70">
        <v>45387</v>
      </c>
      <c r="D34" s="70">
        <v>45395</v>
      </c>
      <c r="E34" s="33">
        <f>Tablageneral14[[#This Row],[Fecha de despacho]]-Tablageneral14[[#This Row],[Fecha de recibo]]</f>
        <v>8</v>
      </c>
      <c r="F34" s="284" t="s">
        <v>1179</v>
      </c>
      <c r="G34" s="68" t="s">
        <v>905</v>
      </c>
      <c r="H34" s="71" t="e">
        <f ca="1">INDEX(#REF!,MATCH(Tablageneral14[[#This Row],[Tipo de trabajo]],TablaTipoTrabajo[especifíco],0))</f>
        <v>#REF!</v>
      </c>
      <c r="I34" s="34">
        <f>+SUMIFS(TablaTiempos[Tiempo (hr)],TablaTiempos[N° de troquel],Tablageneral14[[#This Row],[N° de Troquel Orden]],TablaTiempos[Actividad],"Dibujo")</f>
        <v>0</v>
      </c>
      <c r="J34" s="34">
        <f>+SUMIFS(TablaTiempos[Tiempo (hr)],TablaTiempos[N° de troquel],Tablageneral14[[#This Row],[N° de Troquel Orden]],TablaTiempos[Actividad],"Puenteado")</f>
        <v>0</v>
      </c>
      <c r="K34" s="34">
        <f>+SUMIFS(TablaTiempos[Tiempo (hr)],TablaTiempos[N° de troquel],Tablageneral14[[#This Row],[N° de Troquel Orden]],TablaTiempos[Actividad],"Calado")</f>
        <v>0</v>
      </c>
      <c r="L34" s="62">
        <f>+SUM(Tablageneral14[[#This Row],[Dibujo (hr)]:[Calado (hr)]])</f>
        <v>0</v>
      </c>
      <c r="M34" s="34">
        <f>+SUMIFS(TablaTiempos[Tiempo (hr)],TablaTiempos[N° de troquel],Tablageneral14[[#This Row],[N° de Troquel Orden]],TablaTiempos[Actividad],"Encuchillado")</f>
        <v>0</v>
      </c>
      <c r="N34" s="34">
        <f>+SUMIFS(TablaTiempos[Tiempo (hr)],TablaTiempos[N° de troquel],Tablageneral14[[#This Row],[N° de Troquel Orden]],TablaTiempos[Actividad],"Engomado")</f>
        <v>0</v>
      </c>
      <c r="O34" s="63">
        <f>+Tablageneral14[[#This Row],[Engomado (hr)]]+Tablageneral14[[#This Row],[Encuchillado]]</f>
        <v>0</v>
      </c>
      <c r="P34" s="61">
        <f>+SUMIFS(TablaConsumos[[CANTIDAD ]],TablaConsumos[N° DE TROQUEL],Tablageneral14[[#This Row],[N° de Troquel Orden]],TablaConsumos[TIPO],"Cuchilla")</f>
        <v>0</v>
      </c>
      <c r="Q34" s="61">
        <f>+SUMIFS(TablaConsumos[[CANTIDAD ]],TablaConsumos[N° DE TROQUEL],Tablageneral14[[#This Row],[N° de Troquel Orden]],TablaConsumos[TIPO],"Score")</f>
        <v>0</v>
      </c>
      <c r="R34" s="63">
        <f>+Tablageneral14[[#This Row],[Escores]]+Tablageneral14[[#This Row],[Cuchillas]]</f>
        <v>0</v>
      </c>
    </row>
    <row r="35" spans="1:18" x14ac:dyDescent="0.25">
      <c r="A35" s="1" t="s">
        <v>885</v>
      </c>
      <c r="B35" s="169" t="s">
        <v>1180</v>
      </c>
      <c r="C35" s="170">
        <v>45387</v>
      </c>
      <c r="D35" s="170">
        <v>45396</v>
      </c>
      <c r="E35" s="33">
        <f>Tablageneral14[[#This Row],[Fecha de despacho]]-Tablageneral14[[#This Row],[Fecha de recibo]]</f>
        <v>9</v>
      </c>
      <c r="F35" s="283" t="s">
        <v>1181</v>
      </c>
      <c r="G35" s="171" t="s">
        <v>905</v>
      </c>
      <c r="H35" s="172" t="e">
        <f ca="1">INDEX(#REF!,MATCH(Tablageneral14[[#This Row],[Tipo de trabajo]],TablaTipoTrabajo[especifíco],0))</f>
        <v>#REF!</v>
      </c>
      <c r="I35" s="34">
        <f>+SUMIFS(TablaTiempos[Tiempo (hr)],TablaTiempos[N° de troquel],Tablageneral14[[#This Row],[N° de Troquel Orden]],TablaTiempos[Actividad],"Dibujo")</f>
        <v>0</v>
      </c>
      <c r="J35" s="34">
        <f>+SUMIFS(TablaTiempos[Tiempo (hr)],TablaTiempos[N° de troquel],Tablageneral14[[#This Row],[N° de Troquel Orden]],TablaTiempos[Actividad],"Puenteado")</f>
        <v>0</v>
      </c>
      <c r="K35" s="34">
        <f>+SUMIFS(TablaTiempos[Tiempo (hr)],TablaTiempos[N° de troquel],Tablageneral14[[#This Row],[N° de Troquel Orden]],TablaTiempos[Actividad],"Calado")</f>
        <v>0</v>
      </c>
      <c r="L35" s="62">
        <f>+SUM(Tablageneral14[[#This Row],[Dibujo (hr)]:[Calado (hr)]])</f>
        <v>0</v>
      </c>
      <c r="M35" s="34">
        <f>+SUMIFS(TablaTiempos[Tiempo (hr)],TablaTiempos[N° de troquel],Tablageneral14[[#This Row],[N° de Troquel Orden]],TablaTiempos[Actividad],"Encuchillado")</f>
        <v>0</v>
      </c>
      <c r="N35" s="34">
        <f>+SUMIFS(TablaTiempos[Tiempo (hr)],TablaTiempos[N° de troquel],Tablageneral14[[#This Row],[N° de Troquel Orden]],TablaTiempos[Actividad],"Engomado")</f>
        <v>0</v>
      </c>
      <c r="O35" s="63">
        <f>+Tablageneral14[[#This Row],[Engomado (hr)]]+Tablageneral14[[#This Row],[Encuchillado]]</f>
        <v>0</v>
      </c>
      <c r="P35" s="61">
        <f>+SUMIFS(TablaConsumos[[CANTIDAD ]],TablaConsumos[N° DE TROQUEL],Tablageneral14[[#This Row],[N° de Troquel Orden]],TablaConsumos[TIPO],"Cuchilla")</f>
        <v>0</v>
      </c>
      <c r="Q35" s="61">
        <f>+SUMIFS(TablaConsumos[[CANTIDAD ]],TablaConsumos[N° DE TROQUEL],Tablageneral14[[#This Row],[N° de Troquel Orden]],TablaConsumos[TIPO],"Score")</f>
        <v>0</v>
      </c>
      <c r="R35" s="63">
        <f>+Tablageneral14[[#This Row],[Escores]]+Tablageneral14[[#This Row],[Cuchillas]]</f>
        <v>0</v>
      </c>
    </row>
    <row r="36" spans="1:18" x14ac:dyDescent="0.25">
      <c r="A36" s="1" t="s">
        <v>606</v>
      </c>
      <c r="B36" s="43" t="s">
        <v>1165</v>
      </c>
      <c r="C36" s="32">
        <v>45390</v>
      </c>
      <c r="D36" s="32">
        <v>45396</v>
      </c>
      <c r="E36" s="33">
        <f>Tablageneral14[[#This Row],[Fecha de despacho]]-Tablageneral14[[#This Row],[Fecha de recibo]]</f>
        <v>6</v>
      </c>
      <c r="F36" s="283">
        <v>3788</v>
      </c>
      <c r="G36" s="34" t="s">
        <v>891</v>
      </c>
      <c r="H36" s="35" t="e">
        <f>INDEX(#REF!,MATCH(Tablageneral14[[#This Row],[Tipo de trabajo]],TablaTipoTrabajo[especifíco],0))</f>
        <v>#REF!</v>
      </c>
      <c r="I36" s="34">
        <f>+SUMIFS(TablaTiempos[Tiempo (hr)],TablaTiempos[N° de troquel],Tablageneral14[[#This Row],[N° de Troquel Orden]],TablaTiempos[Actividad],"Dibujo")</f>
        <v>0</v>
      </c>
      <c r="J36" s="34">
        <f>+SUMIFS(TablaTiempos[Tiempo (hr)],TablaTiempos[N° de troquel],Tablageneral14[[#This Row],[N° de Troquel Orden]],TablaTiempos[Actividad],"Puenteado")</f>
        <v>0</v>
      </c>
      <c r="K36" s="34">
        <f>+SUMIFS(TablaTiempos[Tiempo (hr)],TablaTiempos[N° de troquel],Tablageneral14[[#This Row],[N° de Troquel Orden]],TablaTiempos[Actividad],"Calado")</f>
        <v>0</v>
      </c>
      <c r="L36" s="62">
        <f>+SUM(Tablageneral14[[#This Row],[Dibujo (hr)]:[Calado (hr)]])</f>
        <v>0</v>
      </c>
      <c r="M36" s="34">
        <f>+SUMIFS(TablaTiempos[Tiempo (hr)],TablaTiempos[N° de troquel],Tablageneral14[[#This Row],[N° de Troquel Orden]],TablaTiempos[Actividad],"Encuchillado")</f>
        <v>0</v>
      </c>
      <c r="N36" s="34">
        <f>+SUMIFS(TablaTiempos[Tiempo (hr)],TablaTiempos[N° de troquel],Tablageneral14[[#This Row],[N° de Troquel Orden]],TablaTiempos[Actividad],"Engomado")</f>
        <v>0</v>
      </c>
      <c r="O36" s="63">
        <f>+Tablageneral14[[#This Row],[Engomado (hr)]]+Tablageneral14[[#This Row],[Encuchillado]]</f>
        <v>0</v>
      </c>
      <c r="P36" s="61">
        <f>+SUMIFS(TablaConsumos[[CANTIDAD ]],TablaConsumos[N° DE TROQUEL],Tablageneral14[[#This Row],[N° de Troquel Orden]],TablaConsumos[TIPO],"Cuchilla")</f>
        <v>0</v>
      </c>
      <c r="Q36" s="61">
        <f>+SUMIFS(TablaConsumos[[CANTIDAD ]],TablaConsumos[N° DE TROQUEL],Tablageneral14[[#This Row],[N° de Troquel Orden]],TablaConsumos[TIPO],"Score")</f>
        <v>0</v>
      </c>
      <c r="R36" s="63">
        <f>+Tablageneral14[[#This Row],[Escores]]+Tablageneral14[[#This Row],[Cuchillas]]</f>
        <v>0</v>
      </c>
    </row>
    <row r="37" spans="1:18" x14ac:dyDescent="0.25">
      <c r="A37" s="30" t="s">
        <v>606</v>
      </c>
      <c r="B37" s="36" t="s">
        <v>1165</v>
      </c>
      <c r="C37" s="70">
        <v>45390</v>
      </c>
      <c r="D37" s="70">
        <v>45395</v>
      </c>
      <c r="E37" s="33">
        <f>Tablageneral14[[#This Row],[Fecha de despacho]]-Tablageneral14[[#This Row],[Fecha de recibo]]</f>
        <v>5</v>
      </c>
      <c r="F37" s="284">
        <v>3785</v>
      </c>
      <c r="G37" s="68" t="s">
        <v>891</v>
      </c>
      <c r="H37" s="35" t="e">
        <f>INDEX(#REF!,MATCH(Tablageneral14[[#This Row],[Tipo de trabajo]],TablaTipoTrabajo[especifíco],0))</f>
        <v>#REF!</v>
      </c>
      <c r="I37" s="34">
        <f>+SUMIFS(TablaTiempos[Tiempo (hr)],TablaTiempos[N° de troquel],Tablageneral14[[#This Row],[N° de Troquel Orden]],TablaTiempos[Actividad],"Dibujo")</f>
        <v>0</v>
      </c>
      <c r="J37" s="34">
        <f>+SUMIFS(TablaTiempos[Tiempo (hr)],TablaTiempos[N° de troquel],Tablageneral14[[#This Row],[N° de Troquel Orden]],TablaTiempos[Actividad],"Puenteado")</f>
        <v>0</v>
      </c>
      <c r="K37" s="34">
        <f>+SUMIFS(TablaTiempos[Tiempo (hr)],TablaTiempos[N° de troquel],Tablageneral14[[#This Row],[N° de Troquel Orden]],TablaTiempos[Actividad],"Calado")</f>
        <v>0</v>
      </c>
      <c r="L37" s="62">
        <f>+SUM(Tablageneral14[[#This Row],[Dibujo (hr)]:[Calado (hr)]])</f>
        <v>0</v>
      </c>
      <c r="M37" s="34">
        <f>+SUMIFS(TablaTiempos[Tiempo (hr)],TablaTiempos[N° de troquel],Tablageneral14[[#This Row],[N° de Troquel Orden]],TablaTiempos[Actividad],"Encuchillado")</f>
        <v>0</v>
      </c>
      <c r="N37" s="34">
        <f>+SUMIFS(TablaTiempos[Tiempo (hr)],TablaTiempos[N° de troquel],Tablageneral14[[#This Row],[N° de Troquel Orden]],TablaTiempos[Actividad],"Engomado")</f>
        <v>0</v>
      </c>
      <c r="O37" s="63">
        <f>+Tablageneral14[[#This Row],[Engomado (hr)]]+Tablageneral14[[#This Row],[Encuchillado]]</f>
        <v>0</v>
      </c>
      <c r="P37" s="61">
        <f>+SUMIFS(TablaConsumos[[CANTIDAD ]],TablaConsumos[N° DE TROQUEL],Tablageneral14[[#This Row],[N° de Troquel Orden]],TablaConsumos[TIPO],"Cuchilla")</f>
        <v>0</v>
      </c>
      <c r="Q37" s="61">
        <f>+SUMIFS(TablaConsumos[[CANTIDAD ]],TablaConsumos[N° DE TROQUEL],Tablageneral14[[#This Row],[N° de Troquel Orden]],TablaConsumos[TIPO],"Score")</f>
        <v>0</v>
      </c>
      <c r="R37" s="63">
        <f>+Tablageneral14[[#This Row],[Escores]]+Tablageneral14[[#This Row],[Cuchillas]]</f>
        <v>0</v>
      </c>
    </row>
    <row r="38" spans="1:18" x14ac:dyDescent="0.25">
      <c r="A38" s="30" t="s">
        <v>602</v>
      </c>
      <c r="B38" s="69" t="s">
        <v>1182</v>
      </c>
      <c r="C38" s="70">
        <v>45390</v>
      </c>
      <c r="D38" s="70">
        <v>45397</v>
      </c>
      <c r="E38" s="33">
        <f>Tablageneral14[[#This Row],[Fecha de despacho]]-Tablageneral14[[#This Row],[Fecha de recibo]]</f>
        <v>7</v>
      </c>
      <c r="F38" s="284">
        <v>3556</v>
      </c>
      <c r="G38" s="68" t="s">
        <v>890</v>
      </c>
      <c r="H38" s="35" t="e">
        <f>INDEX(#REF!,MATCH(Tablageneral14[[#This Row],[Tipo de trabajo]],TablaTipoTrabajo[especifíco],0))</f>
        <v>#REF!</v>
      </c>
      <c r="I38" s="34">
        <f>+SUMIFS(TablaTiempos[Tiempo (hr)],TablaTiempos[N° de troquel],Tablageneral14[[#This Row],[N° de Troquel Orden]],TablaTiempos[Actividad],"Dibujo")</f>
        <v>0</v>
      </c>
      <c r="J38" s="34">
        <f>+SUMIFS(TablaTiempos[Tiempo (hr)],TablaTiempos[N° de troquel],Tablageneral14[[#This Row],[N° de Troquel Orden]],TablaTiempos[Actividad],"Puenteado")</f>
        <v>0</v>
      </c>
      <c r="K38" s="34">
        <f>+SUMIFS(TablaTiempos[Tiempo (hr)],TablaTiempos[N° de troquel],Tablageneral14[[#This Row],[N° de Troquel Orden]],TablaTiempos[Actividad],"Calado")</f>
        <v>0</v>
      </c>
      <c r="L38" s="62">
        <f>+SUM(Tablageneral14[[#This Row],[Dibujo (hr)]:[Calado (hr)]])</f>
        <v>0</v>
      </c>
      <c r="M38" s="34">
        <f>+SUMIFS(TablaTiempos[Tiempo (hr)],TablaTiempos[N° de troquel],Tablageneral14[[#This Row],[N° de Troquel Orden]],TablaTiempos[Actividad],"Encuchillado")</f>
        <v>0</v>
      </c>
      <c r="N38" s="34">
        <f>+SUMIFS(TablaTiempos[Tiempo (hr)],TablaTiempos[N° de troquel],Tablageneral14[[#This Row],[N° de Troquel Orden]],TablaTiempos[Actividad],"Engomado")</f>
        <v>0</v>
      </c>
      <c r="O38" s="63">
        <f>+Tablageneral14[[#This Row],[Engomado (hr)]]+Tablageneral14[[#This Row],[Encuchillado]]</f>
        <v>0</v>
      </c>
      <c r="P38" s="61">
        <f>+SUMIFS(TablaConsumos[[CANTIDAD ]],TablaConsumos[N° DE TROQUEL],Tablageneral14[[#This Row],[N° de Troquel Orden]],TablaConsumos[TIPO],"Cuchilla")</f>
        <v>0</v>
      </c>
      <c r="Q38" s="61">
        <f>+SUMIFS(TablaConsumos[[CANTIDAD ]],TablaConsumos[N° DE TROQUEL],Tablageneral14[[#This Row],[N° de Troquel Orden]],TablaConsumos[TIPO],"Score")</f>
        <v>0</v>
      </c>
      <c r="R38" s="63">
        <f>+Tablageneral14[[#This Row],[Escores]]+Tablageneral14[[#This Row],[Cuchillas]]</f>
        <v>0</v>
      </c>
    </row>
    <row r="39" spans="1:18" x14ac:dyDescent="0.25">
      <c r="A39" s="30" t="s">
        <v>602</v>
      </c>
      <c r="B39" s="69" t="s">
        <v>963</v>
      </c>
      <c r="C39" s="70">
        <v>45390</v>
      </c>
      <c r="D39" s="70">
        <v>45397</v>
      </c>
      <c r="E39" s="33">
        <f>Tablageneral14[[#This Row],[Fecha de despacho]]-Tablageneral14[[#This Row],[Fecha de recibo]]</f>
        <v>7</v>
      </c>
      <c r="F39" s="284">
        <v>3557</v>
      </c>
      <c r="G39" s="68" t="s">
        <v>890</v>
      </c>
      <c r="H39" s="35" t="e">
        <f>INDEX(#REF!,MATCH(Tablageneral14[[#This Row],[Tipo de trabajo]],TablaTipoTrabajo[especifíco],0))</f>
        <v>#REF!</v>
      </c>
      <c r="I39" s="34">
        <f>+SUMIFS(TablaTiempos[Tiempo (hr)],TablaTiempos[N° de troquel],Tablageneral14[[#This Row],[N° de Troquel Orden]],TablaTiempos[Actividad],"Dibujo")</f>
        <v>0</v>
      </c>
      <c r="J39" s="34">
        <f>+SUMIFS(TablaTiempos[Tiempo (hr)],TablaTiempos[N° de troquel],Tablageneral14[[#This Row],[N° de Troquel Orden]],TablaTiempos[Actividad],"Puenteado")</f>
        <v>0</v>
      </c>
      <c r="K39" s="34">
        <f>+SUMIFS(TablaTiempos[Tiempo (hr)],TablaTiempos[N° de troquel],Tablageneral14[[#This Row],[N° de Troquel Orden]],TablaTiempos[Actividad],"Calado")</f>
        <v>0</v>
      </c>
      <c r="L39" s="62">
        <f>+SUM(Tablageneral14[[#This Row],[Dibujo (hr)]:[Calado (hr)]])</f>
        <v>0</v>
      </c>
      <c r="M39" s="34">
        <f>+SUMIFS(TablaTiempos[Tiempo (hr)],TablaTiempos[N° de troquel],Tablageneral14[[#This Row],[N° de Troquel Orden]],TablaTiempos[Actividad],"Encuchillado")</f>
        <v>0</v>
      </c>
      <c r="N39" s="34">
        <f>+SUMIFS(TablaTiempos[Tiempo (hr)],TablaTiempos[N° de troquel],Tablageneral14[[#This Row],[N° de Troquel Orden]],TablaTiempos[Actividad],"Engomado")</f>
        <v>0</v>
      </c>
      <c r="O39" s="63">
        <f>+Tablageneral14[[#This Row],[Engomado (hr)]]+Tablageneral14[[#This Row],[Encuchillado]]</f>
        <v>0</v>
      </c>
      <c r="P39" s="61">
        <f>+SUMIFS(TablaConsumos[[CANTIDAD ]],TablaConsumos[N° DE TROQUEL],Tablageneral14[[#This Row],[N° de Troquel Orden]],TablaConsumos[TIPO],"Cuchilla")</f>
        <v>0</v>
      </c>
      <c r="Q39" s="61">
        <f>+SUMIFS(TablaConsumos[[CANTIDAD ]],TablaConsumos[N° DE TROQUEL],Tablageneral14[[#This Row],[N° de Troquel Orden]],TablaConsumos[TIPO],"Score")</f>
        <v>0</v>
      </c>
      <c r="R39" s="63">
        <f>+Tablageneral14[[#This Row],[Escores]]+Tablageneral14[[#This Row],[Cuchillas]]</f>
        <v>0</v>
      </c>
    </row>
    <row r="40" spans="1:18" x14ac:dyDescent="0.25">
      <c r="A40" s="30" t="s">
        <v>885</v>
      </c>
      <c r="B40" s="69" t="s">
        <v>1080</v>
      </c>
      <c r="C40" s="70">
        <v>45390</v>
      </c>
      <c r="D40" s="70">
        <v>45399</v>
      </c>
      <c r="E40" s="33">
        <f>Tablageneral14[[#This Row],[Fecha de despacho]]-Tablageneral14[[#This Row],[Fecha de recibo]]</f>
        <v>9</v>
      </c>
      <c r="F40" s="284" t="s">
        <v>1183</v>
      </c>
      <c r="G40" s="68" t="s">
        <v>890</v>
      </c>
      <c r="H40" s="119" t="e">
        <f>INDEX(#REF!,MATCH(Tablageneral14[[#This Row],[Tipo de trabajo]],TablaTipoTrabajo[especifíco],0))</f>
        <v>#REF!</v>
      </c>
      <c r="I40" s="34">
        <f>+SUMIFS(TablaTiempos[Tiempo (hr)],TablaTiempos[N° de troquel],Tablageneral14[[#This Row],[N° de Troquel Orden]],TablaTiempos[Actividad],"Dibujo")</f>
        <v>0</v>
      </c>
      <c r="J40" s="34">
        <f>+SUMIFS(TablaTiempos[Tiempo (hr)],TablaTiempos[N° de troquel],Tablageneral14[[#This Row],[N° de Troquel Orden]],TablaTiempos[Actividad],"Puenteado")</f>
        <v>0</v>
      </c>
      <c r="K40" s="34">
        <f>+SUMIFS(TablaTiempos[Tiempo (hr)],TablaTiempos[N° de troquel],Tablageneral14[[#This Row],[N° de Troquel Orden]],TablaTiempos[Actividad],"Calado")</f>
        <v>0</v>
      </c>
      <c r="L40" s="62">
        <f>+SUM(Tablageneral14[[#This Row],[Dibujo (hr)]:[Calado (hr)]])</f>
        <v>0</v>
      </c>
      <c r="M40" s="34">
        <f>+SUMIFS(TablaTiempos[Tiempo (hr)],TablaTiempos[N° de troquel],Tablageneral14[[#This Row],[N° de Troquel Orden]],TablaTiempos[Actividad],"Encuchillado")</f>
        <v>0</v>
      </c>
      <c r="N40" s="34">
        <f>+SUMIFS(TablaTiempos[Tiempo (hr)],TablaTiempos[N° de troquel],Tablageneral14[[#This Row],[N° de Troquel Orden]],TablaTiempos[Actividad],"Engomado")</f>
        <v>0</v>
      </c>
      <c r="O40" s="63">
        <f>+Tablageneral14[[#This Row],[Engomado (hr)]]+Tablageneral14[[#This Row],[Encuchillado]]</f>
        <v>0</v>
      </c>
      <c r="P40" s="61">
        <f>+SUMIFS(TablaConsumos[[CANTIDAD ]],TablaConsumos[N° DE TROQUEL],Tablageneral14[[#This Row],[N° de Troquel Orden]],TablaConsumos[TIPO],"Cuchilla")</f>
        <v>0</v>
      </c>
      <c r="Q40" s="61">
        <f>+SUMIFS(TablaConsumos[[CANTIDAD ]],TablaConsumos[N° DE TROQUEL],Tablageneral14[[#This Row],[N° de Troquel Orden]],TablaConsumos[TIPO],"Score")</f>
        <v>0</v>
      </c>
      <c r="R40" s="63">
        <f>+Tablageneral14[[#This Row],[Escores]]+Tablageneral14[[#This Row],[Cuchillas]]</f>
        <v>0</v>
      </c>
    </row>
    <row r="41" spans="1:18" x14ac:dyDescent="0.25">
      <c r="A41" s="30" t="s">
        <v>606</v>
      </c>
      <c r="B41" s="36" t="s">
        <v>1165</v>
      </c>
      <c r="C41" s="37">
        <v>45390</v>
      </c>
      <c r="D41" s="37">
        <v>45398</v>
      </c>
      <c r="E41" s="33">
        <f>Tablageneral14[[#This Row],[Fecha de despacho]]-Tablageneral14[[#This Row],[Fecha de recibo]]</f>
        <v>8</v>
      </c>
      <c r="F41" s="284">
        <v>3786</v>
      </c>
      <c r="G41" s="38" t="s">
        <v>891</v>
      </c>
      <c r="H41" s="119" t="e">
        <f>INDEX(#REF!,MATCH(Tablageneral14[[#This Row],[Tipo de trabajo]],TablaTipoTrabajo[especifíco],0))</f>
        <v>#REF!</v>
      </c>
      <c r="I41" s="34">
        <f>+SUMIFS(TablaTiempos[Tiempo (hr)],TablaTiempos[N° de troquel],Tablageneral14[[#This Row],[N° de Troquel Orden]],TablaTiempos[Actividad],"Dibujo")</f>
        <v>0</v>
      </c>
      <c r="J41" s="34">
        <f>+SUMIFS(TablaTiempos[Tiempo (hr)],TablaTiempos[N° de troquel],Tablageneral14[[#This Row],[N° de Troquel Orden]],TablaTiempos[Actividad],"Puenteado")</f>
        <v>0</v>
      </c>
      <c r="K41" s="34">
        <f>+SUMIFS(TablaTiempos[Tiempo (hr)],TablaTiempos[N° de troquel],Tablageneral14[[#This Row],[N° de Troquel Orden]],TablaTiempos[Actividad],"Calado")</f>
        <v>0</v>
      </c>
      <c r="L41" s="62">
        <f>+SUM(Tablageneral14[[#This Row],[Dibujo (hr)]:[Calado (hr)]])</f>
        <v>0</v>
      </c>
      <c r="M41" s="34">
        <f>+SUMIFS(TablaTiempos[Tiempo (hr)],TablaTiempos[N° de troquel],Tablageneral14[[#This Row],[N° de Troquel Orden]],TablaTiempos[Actividad],"Encuchillado")</f>
        <v>0</v>
      </c>
      <c r="N41" s="34">
        <f>+SUMIFS(TablaTiempos[Tiempo (hr)],TablaTiempos[N° de troquel],Tablageneral14[[#This Row],[N° de Troquel Orden]],TablaTiempos[Actividad],"Engomado")</f>
        <v>0</v>
      </c>
      <c r="O41" s="63">
        <f>+Tablageneral14[[#This Row],[Engomado (hr)]]+Tablageneral14[[#This Row],[Encuchillado]]</f>
        <v>0</v>
      </c>
      <c r="P41" s="61">
        <f>+SUMIFS(TablaConsumos[[CANTIDAD ]],TablaConsumos[N° DE TROQUEL],Tablageneral14[[#This Row],[N° de Troquel Orden]],TablaConsumos[TIPO],"Cuchilla")</f>
        <v>0</v>
      </c>
      <c r="Q41" s="61">
        <f>+SUMIFS(TablaConsumos[[CANTIDAD ]],TablaConsumos[N° DE TROQUEL],Tablageneral14[[#This Row],[N° de Troquel Orden]],TablaConsumos[TIPO],"Score")</f>
        <v>0</v>
      </c>
      <c r="R41" s="63">
        <f>+Tablageneral14[[#This Row],[Escores]]+Tablageneral14[[#This Row],[Cuchillas]]</f>
        <v>0</v>
      </c>
    </row>
    <row r="42" spans="1:18" x14ac:dyDescent="0.25">
      <c r="A42" s="30" t="s">
        <v>606</v>
      </c>
      <c r="B42" s="36" t="s">
        <v>1184</v>
      </c>
      <c r="C42" s="37">
        <v>45390</v>
      </c>
      <c r="D42" s="170">
        <v>45400</v>
      </c>
      <c r="E42" s="33">
        <f>Tablageneral14[[#This Row],[Fecha de despacho]]-Tablageneral14[[#This Row],[Fecha de recibo]]</f>
        <v>10</v>
      </c>
      <c r="F42" s="284">
        <v>3782</v>
      </c>
      <c r="G42" s="38" t="s">
        <v>891</v>
      </c>
      <c r="H42" s="35" t="e">
        <f>INDEX(#REF!,MATCH(Tablageneral14[[#This Row],[Tipo de trabajo]],TablaTipoTrabajo[especifíco],0))</f>
        <v>#REF!</v>
      </c>
      <c r="I42" s="34">
        <f>+SUMIFS(TablaTiempos[Tiempo (hr)],TablaTiempos[N° de troquel],Tablageneral14[[#This Row],[N° de Troquel Orden]],TablaTiempos[Actividad],"Dibujo")</f>
        <v>0</v>
      </c>
      <c r="J42" s="34">
        <f>+SUMIFS(TablaTiempos[Tiempo (hr)],TablaTiempos[N° de troquel],Tablageneral14[[#This Row],[N° de Troquel Orden]],TablaTiempos[Actividad],"Puenteado")</f>
        <v>0</v>
      </c>
      <c r="K42" s="34">
        <f>+SUMIFS(TablaTiempos[Tiempo (hr)],TablaTiempos[N° de troquel],Tablageneral14[[#This Row],[N° de Troquel Orden]],TablaTiempos[Actividad],"Calado")</f>
        <v>0</v>
      </c>
      <c r="L42" s="62">
        <f>+SUM(Tablageneral14[[#This Row],[Dibujo (hr)]:[Calado (hr)]])</f>
        <v>0</v>
      </c>
      <c r="M42" s="34">
        <f>+SUMIFS(TablaTiempos[Tiempo (hr)],TablaTiempos[N° de troquel],Tablageneral14[[#This Row],[N° de Troquel Orden]],TablaTiempos[Actividad],"Encuchillado")</f>
        <v>0</v>
      </c>
      <c r="N42" s="34">
        <f>+SUMIFS(TablaTiempos[Tiempo (hr)],TablaTiempos[N° de troquel],Tablageneral14[[#This Row],[N° de Troquel Orden]],TablaTiempos[Actividad],"Engomado")</f>
        <v>0</v>
      </c>
      <c r="O42" s="63">
        <f>+Tablageneral14[[#This Row],[Engomado (hr)]]+Tablageneral14[[#This Row],[Encuchillado]]</f>
        <v>0</v>
      </c>
      <c r="P42" s="61">
        <f>+SUMIFS(TablaConsumos[[CANTIDAD ]],TablaConsumos[N° DE TROQUEL],Tablageneral14[[#This Row],[N° de Troquel Orden]],TablaConsumos[TIPO],"Cuchilla")</f>
        <v>0</v>
      </c>
      <c r="Q42" s="61">
        <f>+SUMIFS(TablaConsumos[[CANTIDAD ]],TablaConsumos[N° DE TROQUEL],Tablageneral14[[#This Row],[N° de Troquel Orden]],TablaConsumos[TIPO],"Score")</f>
        <v>0</v>
      </c>
      <c r="R42" s="63">
        <f>+Tablageneral14[[#This Row],[Escores]]+Tablageneral14[[#This Row],[Cuchillas]]</f>
        <v>0</v>
      </c>
    </row>
    <row r="43" spans="1:18" x14ac:dyDescent="0.25">
      <c r="A43" s="30" t="s">
        <v>602</v>
      </c>
      <c r="B43" s="36" t="s">
        <v>1185</v>
      </c>
      <c r="C43" s="37">
        <v>45395</v>
      </c>
      <c r="D43" s="37">
        <v>45398</v>
      </c>
      <c r="E43" s="33">
        <f>Tablageneral14[[#This Row],[Fecha de despacho]]-Tablageneral14[[#This Row],[Fecha de recibo]]</f>
        <v>3</v>
      </c>
      <c r="F43" s="284" t="s">
        <v>1186</v>
      </c>
      <c r="G43" s="38" t="s">
        <v>891</v>
      </c>
      <c r="H43" s="35" t="e">
        <f>INDEX(#REF!,MATCH(Tablageneral14[[#This Row],[Tipo de trabajo]],TablaTipoTrabajo[especifíco],0))</f>
        <v>#REF!</v>
      </c>
      <c r="I43" s="34">
        <f>+SUMIFS(TablaTiempos[Tiempo (hr)],TablaTiempos[N° de troquel],Tablageneral14[[#This Row],[N° de Troquel Orden]],TablaTiempos[Actividad],"Dibujo")</f>
        <v>0</v>
      </c>
      <c r="J43" s="34">
        <f>+SUMIFS(TablaTiempos[Tiempo (hr)],TablaTiempos[N° de troquel],Tablageneral14[[#This Row],[N° de Troquel Orden]],TablaTiempos[Actividad],"Puenteado")</f>
        <v>0</v>
      </c>
      <c r="K43" s="34">
        <f>+SUMIFS(TablaTiempos[Tiempo (hr)],TablaTiempos[N° de troquel],Tablageneral14[[#This Row],[N° de Troquel Orden]],TablaTiempos[Actividad],"Calado")</f>
        <v>0</v>
      </c>
      <c r="L43" s="62">
        <f>+SUM(Tablageneral14[[#This Row],[Dibujo (hr)]:[Calado (hr)]])</f>
        <v>0</v>
      </c>
      <c r="M43" s="34">
        <f>+SUMIFS(TablaTiempos[Tiempo (hr)],TablaTiempos[N° de troquel],Tablageneral14[[#This Row],[N° de Troquel Orden]],TablaTiempos[Actividad],"Encuchillado")</f>
        <v>0</v>
      </c>
      <c r="N43" s="34">
        <f>+SUMIFS(TablaTiempos[Tiempo (hr)],TablaTiempos[N° de troquel],Tablageneral14[[#This Row],[N° de Troquel Orden]],TablaTiempos[Actividad],"Engomado")</f>
        <v>0</v>
      </c>
      <c r="O43" s="63">
        <f>+Tablageneral14[[#This Row],[Engomado (hr)]]+Tablageneral14[[#This Row],[Encuchillado]]</f>
        <v>0</v>
      </c>
      <c r="P43" s="61">
        <f>+SUMIFS(TablaConsumos[[CANTIDAD ]],TablaConsumos[N° DE TROQUEL],Tablageneral14[[#This Row],[N° de Troquel Orden]],TablaConsumos[TIPO],"Cuchilla")</f>
        <v>0</v>
      </c>
      <c r="Q43" s="61">
        <f>+SUMIFS(TablaConsumos[[CANTIDAD ]],TablaConsumos[N° DE TROQUEL],Tablageneral14[[#This Row],[N° de Troquel Orden]],TablaConsumos[TIPO],"Score")</f>
        <v>0</v>
      </c>
      <c r="R43" s="63">
        <f>+Tablageneral14[[#This Row],[Escores]]+Tablageneral14[[#This Row],[Cuchillas]]</f>
        <v>0</v>
      </c>
    </row>
    <row r="44" spans="1:18" x14ac:dyDescent="0.25">
      <c r="A44" s="30" t="s">
        <v>885</v>
      </c>
      <c r="B44" s="36" t="s">
        <v>1019</v>
      </c>
      <c r="C44" s="37">
        <v>45394</v>
      </c>
      <c r="D44" s="37">
        <v>45398</v>
      </c>
      <c r="E44" s="33">
        <f>Tablageneral14[[#This Row],[Fecha de despacho]]-Tablageneral14[[#This Row],[Fecha de recibo]]</f>
        <v>4</v>
      </c>
      <c r="F44" s="284" t="s">
        <v>1187</v>
      </c>
      <c r="G44" s="38" t="s">
        <v>890</v>
      </c>
      <c r="H44" s="35" t="e">
        <f>INDEX(#REF!,MATCH(Tablageneral14[[#This Row],[Tipo de trabajo]],TablaTipoTrabajo[especifíco],0))</f>
        <v>#REF!</v>
      </c>
      <c r="I44" s="34">
        <f>+SUMIFS(TablaTiempos[Tiempo (hr)],TablaTiempos[N° de troquel],Tablageneral14[[#This Row],[N° de Troquel Orden]],TablaTiempos[Actividad],"Dibujo")</f>
        <v>0</v>
      </c>
      <c r="J44" s="34">
        <f>+SUMIFS(TablaTiempos[Tiempo (hr)],TablaTiempos[N° de troquel],Tablageneral14[[#This Row],[N° de Troquel Orden]],TablaTiempos[Actividad],"Puenteado")</f>
        <v>0</v>
      </c>
      <c r="K44" s="34">
        <f>+SUMIFS(TablaTiempos[Tiempo (hr)],TablaTiempos[N° de troquel],Tablageneral14[[#This Row],[N° de Troquel Orden]],TablaTiempos[Actividad],"Calado")</f>
        <v>0</v>
      </c>
      <c r="L44" s="62">
        <f>+SUM(Tablageneral14[[#This Row],[Dibujo (hr)]:[Calado (hr)]])</f>
        <v>0</v>
      </c>
      <c r="M44" s="34">
        <f>+SUMIFS(TablaTiempos[Tiempo (hr)],TablaTiempos[N° de troquel],Tablageneral14[[#This Row],[N° de Troquel Orden]],TablaTiempos[Actividad],"Encuchillado")</f>
        <v>0</v>
      </c>
      <c r="N44" s="34">
        <f>+SUMIFS(TablaTiempos[Tiempo (hr)],TablaTiempos[N° de troquel],Tablageneral14[[#This Row],[N° de Troquel Orden]],TablaTiempos[Actividad],"Engomado")</f>
        <v>0</v>
      </c>
      <c r="O44" s="63">
        <f>+Tablageneral14[[#This Row],[Engomado (hr)]]+Tablageneral14[[#This Row],[Encuchillado]]</f>
        <v>0</v>
      </c>
      <c r="P44" s="61">
        <f>+SUMIFS(TablaConsumos[[CANTIDAD ]],TablaConsumos[N° DE TROQUEL],Tablageneral14[[#This Row],[N° de Troquel Orden]],TablaConsumos[TIPO],"Cuchilla")</f>
        <v>0</v>
      </c>
      <c r="Q44" s="61">
        <f>+SUMIFS(TablaConsumos[[CANTIDAD ]],TablaConsumos[N° DE TROQUEL],Tablageneral14[[#This Row],[N° de Troquel Orden]],TablaConsumos[TIPO],"Score")</f>
        <v>0</v>
      </c>
      <c r="R44" s="63">
        <f>+Tablageneral14[[#This Row],[Escores]]+Tablageneral14[[#This Row],[Cuchillas]]</f>
        <v>0</v>
      </c>
    </row>
    <row r="45" spans="1:18" x14ac:dyDescent="0.25">
      <c r="A45" s="30" t="s">
        <v>602</v>
      </c>
      <c r="B45" s="69" t="s">
        <v>963</v>
      </c>
      <c r="C45" s="70">
        <v>45390</v>
      </c>
      <c r="D45" s="170">
        <v>45396</v>
      </c>
      <c r="E45" s="33">
        <f>Tablageneral14[[#This Row],[Fecha de despacho]]-Tablageneral14[[#This Row],[Fecha de recibo]]</f>
        <v>6</v>
      </c>
      <c r="F45" s="284">
        <v>3555</v>
      </c>
      <c r="G45" s="68" t="s">
        <v>897</v>
      </c>
      <c r="H45" s="35" t="e">
        <f>INDEX(#REF!,MATCH(Tablageneral14[[#This Row],[Tipo de trabajo]],TablaTipoTrabajo[especifíco],0))</f>
        <v>#REF!</v>
      </c>
      <c r="I45" s="34">
        <f>+SUMIFS(TablaTiempos[Tiempo (hr)],TablaTiempos[N° de troquel],Tablageneral14[[#This Row],[N° de Troquel Orden]],TablaTiempos[Actividad],"Dibujo")</f>
        <v>0</v>
      </c>
      <c r="J45" s="34">
        <f>+SUMIFS(TablaTiempos[Tiempo (hr)],TablaTiempos[N° de troquel],Tablageneral14[[#This Row],[N° de Troquel Orden]],TablaTiempos[Actividad],"Puenteado")</f>
        <v>0</v>
      </c>
      <c r="K45" s="34">
        <f>+SUMIFS(TablaTiempos[Tiempo (hr)],TablaTiempos[N° de troquel],Tablageneral14[[#This Row],[N° de Troquel Orden]],TablaTiempos[Actividad],"Calado")</f>
        <v>0</v>
      </c>
      <c r="L45" s="62">
        <f>+SUM(Tablageneral14[[#This Row],[Dibujo (hr)]:[Calado (hr)]])</f>
        <v>0</v>
      </c>
      <c r="M45" s="34">
        <f>+SUMIFS(TablaTiempos[Tiempo (hr)],TablaTiempos[N° de troquel],Tablageneral14[[#This Row],[N° de Troquel Orden]],TablaTiempos[Actividad],"Encuchillado")</f>
        <v>0</v>
      </c>
      <c r="N45" s="34">
        <f>+SUMIFS(TablaTiempos[Tiempo (hr)],TablaTiempos[N° de troquel],Tablageneral14[[#This Row],[N° de Troquel Orden]],TablaTiempos[Actividad],"Engomado")</f>
        <v>0</v>
      </c>
      <c r="O45" s="63">
        <f>+Tablageneral14[[#This Row],[Engomado (hr)]]+Tablageneral14[[#This Row],[Encuchillado]]</f>
        <v>0</v>
      </c>
      <c r="P45" s="61">
        <f>+SUMIFS(TablaConsumos[[CANTIDAD ]],TablaConsumos[N° DE TROQUEL],Tablageneral14[[#This Row],[N° de Troquel Orden]],TablaConsumos[TIPO],"Cuchilla")</f>
        <v>0</v>
      </c>
      <c r="Q45" s="61">
        <f>+SUMIFS(TablaConsumos[[CANTIDAD ]],TablaConsumos[N° DE TROQUEL],Tablageneral14[[#This Row],[N° de Troquel Orden]],TablaConsumos[TIPO],"Score")</f>
        <v>0</v>
      </c>
      <c r="R45" s="63">
        <f>+Tablageneral14[[#This Row],[Escores]]+Tablageneral14[[#This Row],[Cuchillas]]</f>
        <v>0</v>
      </c>
    </row>
    <row r="46" spans="1:18" x14ac:dyDescent="0.25">
      <c r="A46" s="30" t="s">
        <v>885</v>
      </c>
      <c r="B46" s="69" t="s">
        <v>936</v>
      </c>
      <c r="C46" s="70">
        <v>45390</v>
      </c>
      <c r="D46" s="70">
        <v>45399</v>
      </c>
      <c r="E46" s="33">
        <f>Tablageneral14[[#This Row],[Fecha de despacho]]-Tablageneral14[[#This Row],[Fecha de recibo]]</f>
        <v>9</v>
      </c>
      <c r="F46" s="284" t="s">
        <v>1188</v>
      </c>
      <c r="G46" s="68" t="s">
        <v>890</v>
      </c>
      <c r="H46" s="71" t="e">
        <f>INDEX(#REF!,MATCH(Tablageneral14[[#This Row],[Tipo de trabajo]],TablaTipoTrabajo[especifíco],0))</f>
        <v>#REF!</v>
      </c>
      <c r="I46" s="34">
        <f>+SUMIFS(TablaTiempos[Tiempo (hr)],TablaTiempos[N° de troquel],Tablageneral14[[#This Row],[N° de Troquel Orden]],TablaTiempos[Actividad],"Dibujo")</f>
        <v>0</v>
      </c>
      <c r="J46" s="34">
        <f>+SUMIFS(TablaTiempos[Tiempo (hr)],TablaTiempos[N° de troquel],Tablageneral14[[#This Row],[N° de Troquel Orden]],TablaTiempos[Actividad],"Puenteado")</f>
        <v>0</v>
      </c>
      <c r="K46" s="34">
        <f>+SUMIFS(TablaTiempos[Tiempo (hr)],TablaTiempos[N° de troquel],Tablageneral14[[#This Row],[N° de Troquel Orden]],TablaTiempos[Actividad],"Calado")</f>
        <v>0</v>
      </c>
      <c r="L46" s="62">
        <f>+SUM(Tablageneral14[[#This Row],[Dibujo (hr)]:[Calado (hr)]])</f>
        <v>0</v>
      </c>
      <c r="M46" s="34">
        <f>+SUMIFS(TablaTiempos[Tiempo (hr)],TablaTiempos[N° de troquel],Tablageneral14[[#This Row],[N° de Troquel Orden]],TablaTiempos[Actividad],"Encuchillado")</f>
        <v>0</v>
      </c>
      <c r="N46" s="34">
        <f>+SUMIFS(TablaTiempos[Tiempo (hr)],TablaTiempos[N° de troquel],Tablageneral14[[#This Row],[N° de Troquel Orden]],TablaTiempos[Actividad],"Engomado")</f>
        <v>0</v>
      </c>
      <c r="O46" s="63">
        <f>+Tablageneral14[[#This Row],[Engomado (hr)]]+Tablageneral14[[#This Row],[Encuchillado]]</f>
        <v>0</v>
      </c>
      <c r="P46" s="61">
        <f>+SUMIFS(TablaConsumos[[CANTIDAD ]],TablaConsumos[N° DE TROQUEL],Tablageneral14[[#This Row],[N° de Troquel Orden]],TablaConsumos[TIPO],"Cuchilla")</f>
        <v>0</v>
      </c>
      <c r="Q46" s="61">
        <f>+SUMIFS(TablaConsumos[[CANTIDAD ]],TablaConsumos[N° DE TROQUEL],Tablageneral14[[#This Row],[N° de Troquel Orden]],TablaConsumos[TIPO],"Score")</f>
        <v>0</v>
      </c>
      <c r="R46" s="63">
        <f>+Tablageneral14[[#This Row],[Escores]]+Tablageneral14[[#This Row],[Cuchillas]]</f>
        <v>0</v>
      </c>
    </row>
    <row r="47" spans="1:18" x14ac:dyDescent="0.25">
      <c r="A47" s="30" t="s">
        <v>606</v>
      </c>
      <c r="B47" s="69" t="s">
        <v>1165</v>
      </c>
      <c r="C47" s="70">
        <v>45390</v>
      </c>
      <c r="D47" s="70">
        <v>45399</v>
      </c>
      <c r="E47" s="33">
        <f>Tablageneral14[[#This Row],[Fecha de despacho]]-Tablageneral14[[#This Row],[Fecha de recibo]]</f>
        <v>9</v>
      </c>
      <c r="F47" s="284">
        <v>3784</v>
      </c>
      <c r="G47" s="68" t="s">
        <v>891</v>
      </c>
      <c r="H47" s="71" t="e">
        <f>INDEX(#REF!,MATCH(Tablageneral14[[#This Row],[Tipo de trabajo]],TablaTipoTrabajo[especifíco],0))</f>
        <v>#REF!</v>
      </c>
      <c r="I47" s="34">
        <f>+SUMIFS(TablaTiempos[Tiempo (hr)],TablaTiempos[N° de troquel],Tablageneral14[[#This Row],[N° de Troquel Orden]],TablaTiempos[Actividad],"Dibujo")</f>
        <v>0</v>
      </c>
      <c r="J47" s="34">
        <f>+SUMIFS(TablaTiempos[Tiempo (hr)],TablaTiempos[N° de troquel],Tablageneral14[[#This Row],[N° de Troquel Orden]],TablaTiempos[Actividad],"Puenteado")</f>
        <v>0</v>
      </c>
      <c r="K47" s="34">
        <f>+SUMIFS(TablaTiempos[Tiempo (hr)],TablaTiempos[N° de troquel],Tablageneral14[[#This Row],[N° de Troquel Orden]],TablaTiempos[Actividad],"Calado")</f>
        <v>0</v>
      </c>
      <c r="L47" s="62">
        <f>+SUM(Tablageneral14[[#This Row],[Dibujo (hr)]:[Calado (hr)]])</f>
        <v>0</v>
      </c>
      <c r="M47" s="34">
        <f>+SUMIFS(TablaTiempos[Tiempo (hr)],TablaTiempos[N° de troquel],Tablageneral14[[#This Row],[N° de Troquel Orden]],TablaTiempos[Actividad],"Encuchillado")</f>
        <v>0</v>
      </c>
      <c r="N47" s="34">
        <f>+SUMIFS(TablaTiempos[Tiempo (hr)],TablaTiempos[N° de troquel],Tablageneral14[[#This Row],[N° de Troquel Orden]],TablaTiempos[Actividad],"Engomado")</f>
        <v>0</v>
      </c>
      <c r="O47" s="63">
        <f>+Tablageneral14[[#This Row],[Engomado (hr)]]+Tablageneral14[[#This Row],[Encuchillado]]</f>
        <v>0</v>
      </c>
      <c r="P47" s="61">
        <f>+SUMIFS(TablaConsumos[[CANTIDAD ]],TablaConsumos[N° DE TROQUEL],Tablageneral14[[#This Row],[N° de Troquel Orden]],TablaConsumos[TIPO],"Cuchilla")</f>
        <v>0</v>
      </c>
      <c r="Q47" s="61">
        <f>+SUMIFS(TablaConsumos[[CANTIDAD ]],TablaConsumos[N° DE TROQUEL],Tablageneral14[[#This Row],[N° de Troquel Orden]],TablaConsumos[TIPO],"Score")</f>
        <v>0</v>
      </c>
      <c r="R47" s="63">
        <f>+Tablageneral14[[#This Row],[Escores]]+Tablageneral14[[#This Row],[Cuchillas]]</f>
        <v>0</v>
      </c>
    </row>
    <row r="48" spans="1:18" x14ac:dyDescent="0.25">
      <c r="A48" s="30" t="s">
        <v>606</v>
      </c>
      <c r="B48" s="69" t="s">
        <v>1165</v>
      </c>
      <c r="C48" s="70">
        <v>45390</v>
      </c>
      <c r="D48" s="70">
        <v>45400</v>
      </c>
      <c r="E48" s="33">
        <f>Tablageneral14[[#This Row],[Fecha de despacho]]-Tablageneral14[[#This Row],[Fecha de recibo]]</f>
        <v>10</v>
      </c>
      <c r="F48" s="284">
        <v>3783</v>
      </c>
      <c r="G48" s="68" t="s">
        <v>891</v>
      </c>
      <c r="H48" s="71" t="e">
        <f>INDEX(#REF!,MATCH(Tablageneral14[[#This Row],[Tipo de trabajo]],TablaTipoTrabajo[especifíco],0))</f>
        <v>#REF!</v>
      </c>
      <c r="I48" s="34">
        <f>+SUMIFS(TablaTiempos[Tiempo (hr)],TablaTiempos[N° de troquel],Tablageneral14[[#This Row],[N° de Troquel Orden]],TablaTiempos[Actividad],"Dibujo")</f>
        <v>0</v>
      </c>
      <c r="J48" s="34">
        <f>+SUMIFS(TablaTiempos[Tiempo (hr)],TablaTiempos[N° de troquel],Tablageneral14[[#This Row],[N° de Troquel Orden]],TablaTiempos[Actividad],"Puenteado")</f>
        <v>0</v>
      </c>
      <c r="K48" s="34">
        <f>+SUMIFS(TablaTiempos[Tiempo (hr)],TablaTiempos[N° de troquel],Tablageneral14[[#This Row],[N° de Troquel Orden]],TablaTiempos[Actividad],"Calado")</f>
        <v>0</v>
      </c>
      <c r="L48" s="62">
        <f>+SUM(Tablageneral14[[#This Row],[Dibujo (hr)]:[Calado (hr)]])</f>
        <v>0</v>
      </c>
      <c r="M48" s="34">
        <f>+SUMIFS(TablaTiempos[Tiempo (hr)],TablaTiempos[N° de troquel],Tablageneral14[[#This Row],[N° de Troquel Orden]],TablaTiempos[Actividad],"Encuchillado")</f>
        <v>0</v>
      </c>
      <c r="N48" s="34">
        <f>+SUMIFS(TablaTiempos[Tiempo (hr)],TablaTiempos[N° de troquel],Tablageneral14[[#This Row],[N° de Troquel Orden]],TablaTiempos[Actividad],"Engomado")</f>
        <v>0</v>
      </c>
      <c r="O48" s="63">
        <f>+Tablageneral14[[#This Row],[Engomado (hr)]]+Tablageneral14[[#This Row],[Encuchillado]]</f>
        <v>0</v>
      </c>
      <c r="P48" s="61">
        <f>+SUMIFS(TablaConsumos[[CANTIDAD ]],TablaConsumos[N° DE TROQUEL],Tablageneral14[[#This Row],[N° de Troquel Orden]],TablaConsumos[TIPO],"Cuchilla")</f>
        <v>0</v>
      </c>
      <c r="Q48" s="61">
        <f>+SUMIFS(TablaConsumos[[CANTIDAD ]],TablaConsumos[N° DE TROQUEL],Tablageneral14[[#This Row],[N° de Troquel Orden]],TablaConsumos[TIPO],"Score")</f>
        <v>0</v>
      </c>
      <c r="R48" s="63">
        <f>+Tablageneral14[[#This Row],[Escores]]+Tablageneral14[[#This Row],[Cuchillas]]</f>
        <v>0</v>
      </c>
    </row>
    <row r="49" spans="1:18" x14ac:dyDescent="0.25">
      <c r="A49" s="30" t="s">
        <v>602</v>
      </c>
      <c r="B49" s="69" t="s">
        <v>1189</v>
      </c>
      <c r="C49" s="70">
        <v>45390</v>
      </c>
      <c r="D49" s="70">
        <v>45401</v>
      </c>
      <c r="E49" s="33">
        <f>Tablageneral14[[#This Row],[Fecha de despacho]]-Tablageneral14[[#This Row],[Fecha de recibo]]</f>
        <v>11</v>
      </c>
      <c r="F49" s="284">
        <v>3558</v>
      </c>
      <c r="G49" s="68" t="s">
        <v>897</v>
      </c>
      <c r="H49" s="71" t="e">
        <f>INDEX(#REF!,MATCH(Tablageneral14[[#This Row],[Tipo de trabajo]],TablaTipoTrabajo[especifíco],0))</f>
        <v>#REF!</v>
      </c>
      <c r="I49" s="34">
        <f>+SUMIFS(TablaTiempos[Tiempo (hr)],TablaTiempos[N° de troquel],Tablageneral14[[#This Row],[N° de Troquel Orden]],TablaTiempos[Actividad],"Dibujo")</f>
        <v>0</v>
      </c>
      <c r="J49" s="34">
        <f>+SUMIFS(TablaTiempos[Tiempo (hr)],TablaTiempos[N° de troquel],Tablageneral14[[#This Row],[N° de Troquel Orden]],TablaTiempos[Actividad],"Puenteado")</f>
        <v>0</v>
      </c>
      <c r="K49" s="34">
        <f>+SUMIFS(TablaTiempos[Tiempo (hr)],TablaTiempos[N° de troquel],Tablageneral14[[#This Row],[N° de Troquel Orden]],TablaTiempos[Actividad],"Calado")</f>
        <v>0</v>
      </c>
      <c r="L49" s="62">
        <f>+SUM(Tablageneral14[[#This Row],[Dibujo (hr)]:[Calado (hr)]])</f>
        <v>0</v>
      </c>
      <c r="M49" s="34">
        <f>+SUMIFS(TablaTiempos[Tiempo (hr)],TablaTiempos[N° de troquel],Tablageneral14[[#This Row],[N° de Troquel Orden]],TablaTiempos[Actividad],"Encuchillado")</f>
        <v>0</v>
      </c>
      <c r="N49" s="34">
        <f>+SUMIFS(TablaTiempos[Tiempo (hr)],TablaTiempos[N° de troquel],Tablageneral14[[#This Row],[N° de Troquel Orden]],TablaTiempos[Actividad],"Engomado")</f>
        <v>0</v>
      </c>
      <c r="O49" s="63">
        <f>+Tablageneral14[[#This Row],[Engomado (hr)]]+Tablageneral14[[#This Row],[Encuchillado]]</f>
        <v>0</v>
      </c>
      <c r="P49" s="61">
        <f>+SUMIFS(TablaConsumos[[CANTIDAD ]],TablaConsumos[N° DE TROQUEL],Tablageneral14[[#This Row],[N° de Troquel Orden]],TablaConsumos[TIPO],"Cuchilla")</f>
        <v>0</v>
      </c>
      <c r="Q49" s="61">
        <f>+SUMIFS(TablaConsumos[[CANTIDAD ]],TablaConsumos[N° DE TROQUEL],Tablageneral14[[#This Row],[N° de Troquel Orden]],TablaConsumos[TIPO],"Score")</f>
        <v>0</v>
      </c>
      <c r="R49" s="63">
        <f>+Tablageneral14[[#This Row],[Escores]]+Tablageneral14[[#This Row],[Cuchillas]]</f>
        <v>0</v>
      </c>
    </row>
    <row r="50" spans="1:18" x14ac:dyDescent="0.25">
      <c r="A50" s="30" t="s">
        <v>602</v>
      </c>
      <c r="B50" s="69" t="s">
        <v>950</v>
      </c>
      <c r="C50" s="70">
        <v>45400</v>
      </c>
      <c r="D50" s="70">
        <v>45401</v>
      </c>
      <c r="E50" s="33">
        <f>Tablageneral14[[#This Row],[Fecha de despacho]]-Tablageneral14[[#This Row],[Fecha de recibo]]</f>
        <v>1</v>
      </c>
      <c r="F50" s="284">
        <v>3566</v>
      </c>
      <c r="G50" s="68" t="s">
        <v>890</v>
      </c>
      <c r="H50" s="71" t="e">
        <f>INDEX(#REF!,MATCH(Tablageneral14[[#This Row],[Tipo de trabajo]],TablaTipoTrabajo[especifíco],0))</f>
        <v>#REF!</v>
      </c>
      <c r="I50" s="34">
        <f>+SUMIFS(TablaTiempos[Tiempo (hr)],TablaTiempos[N° de troquel],Tablageneral14[[#This Row],[N° de Troquel Orden]],TablaTiempos[Actividad],"Dibujo")</f>
        <v>0</v>
      </c>
      <c r="J50" s="34">
        <f>+SUMIFS(TablaTiempos[Tiempo (hr)],TablaTiempos[N° de troquel],Tablageneral14[[#This Row],[N° de Troquel Orden]],TablaTiempos[Actividad],"Puenteado")</f>
        <v>0</v>
      </c>
      <c r="K50" s="34">
        <f>+SUMIFS(TablaTiempos[Tiempo (hr)],TablaTiempos[N° de troquel],Tablageneral14[[#This Row],[N° de Troquel Orden]],TablaTiempos[Actividad],"Calado")</f>
        <v>0</v>
      </c>
      <c r="L50" s="62">
        <f>+SUM(Tablageneral14[[#This Row],[Dibujo (hr)]:[Calado (hr)]])</f>
        <v>0</v>
      </c>
      <c r="M50" s="34">
        <f>+SUMIFS(TablaTiempos[Tiempo (hr)],TablaTiempos[N° de troquel],Tablageneral14[[#This Row],[N° de Troquel Orden]],TablaTiempos[Actividad],"Encuchillado")</f>
        <v>0</v>
      </c>
      <c r="N50" s="34">
        <f>+SUMIFS(TablaTiempos[Tiempo (hr)],TablaTiempos[N° de troquel],Tablageneral14[[#This Row],[N° de Troquel Orden]],TablaTiempos[Actividad],"Engomado")</f>
        <v>0</v>
      </c>
      <c r="O50" s="63">
        <f>+Tablageneral14[[#This Row],[Engomado (hr)]]+Tablageneral14[[#This Row],[Encuchillado]]</f>
        <v>0</v>
      </c>
      <c r="P50" s="61">
        <f>+SUMIFS(TablaConsumos[[CANTIDAD ]],TablaConsumos[N° DE TROQUEL],Tablageneral14[[#This Row],[N° de Troquel Orden]],TablaConsumos[TIPO],"Cuchilla")</f>
        <v>0</v>
      </c>
      <c r="Q50" s="61">
        <f>+SUMIFS(TablaConsumos[[CANTIDAD ]],TablaConsumos[N° DE TROQUEL],Tablageneral14[[#This Row],[N° de Troquel Orden]],TablaConsumos[TIPO],"Score")</f>
        <v>0</v>
      </c>
      <c r="R50" s="63">
        <f>+Tablageneral14[[#This Row],[Escores]]+Tablageneral14[[#This Row],[Cuchillas]]</f>
        <v>0</v>
      </c>
    </row>
    <row r="51" spans="1:18" x14ac:dyDescent="0.25">
      <c r="A51" s="30" t="s">
        <v>602</v>
      </c>
      <c r="B51" s="69" t="s">
        <v>950</v>
      </c>
      <c r="C51" s="70">
        <v>45400</v>
      </c>
      <c r="D51" s="70">
        <v>45401</v>
      </c>
      <c r="E51" s="33">
        <f>Tablageneral14[[#This Row],[Fecha de despacho]]-Tablageneral14[[#This Row],[Fecha de recibo]]</f>
        <v>1</v>
      </c>
      <c r="F51" s="284">
        <v>3567</v>
      </c>
      <c r="G51" s="68" t="s">
        <v>897</v>
      </c>
      <c r="H51" s="71" t="e">
        <f>INDEX(#REF!,MATCH(Tablageneral14[[#This Row],[Tipo de trabajo]],TablaTipoTrabajo[especifíco],0))</f>
        <v>#REF!</v>
      </c>
      <c r="I51" s="34">
        <f>+SUMIFS(TablaTiempos[Tiempo (hr)],TablaTiempos[N° de troquel],Tablageneral14[[#This Row],[N° de Troquel Orden]],TablaTiempos[Actividad],"Dibujo")</f>
        <v>0</v>
      </c>
      <c r="J51" s="34">
        <f>+SUMIFS(TablaTiempos[Tiempo (hr)],TablaTiempos[N° de troquel],Tablageneral14[[#This Row],[N° de Troquel Orden]],TablaTiempos[Actividad],"Puenteado")</f>
        <v>0</v>
      </c>
      <c r="K51" s="34">
        <f>+SUMIFS(TablaTiempos[Tiempo (hr)],TablaTiempos[N° de troquel],Tablageneral14[[#This Row],[N° de Troquel Orden]],TablaTiempos[Actividad],"Calado")</f>
        <v>0</v>
      </c>
      <c r="L51" s="62">
        <f>+SUM(Tablageneral14[[#This Row],[Dibujo (hr)]:[Calado (hr)]])</f>
        <v>0</v>
      </c>
      <c r="M51" s="34">
        <f>+SUMIFS(TablaTiempos[Tiempo (hr)],TablaTiempos[N° de troquel],Tablageneral14[[#This Row],[N° de Troquel Orden]],TablaTiempos[Actividad],"Encuchillado")</f>
        <v>0</v>
      </c>
      <c r="N51" s="34">
        <f>+SUMIFS(TablaTiempos[Tiempo (hr)],TablaTiempos[N° de troquel],Tablageneral14[[#This Row],[N° de Troquel Orden]],TablaTiempos[Actividad],"Engomado")</f>
        <v>0</v>
      </c>
      <c r="O51" s="63">
        <f>+Tablageneral14[[#This Row],[Engomado (hr)]]+Tablageneral14[[#This Row],[Encuchillado]]</f>
        <v>0</v>
      </c>
      <c r="P51" s="61">
        <f>+SUMIFS(TablaConsumos[[CANTIDAD ]],TablaConsumos[N° DE TROQUEL],Tablageneral14[[#This Row],[N° de Troquel Orden]],TablaConsumos[TIPO],"Cuchilla")</f>
        <v>0</v>
      </c>
      <c r="Q51" s="61">
        <f>+SUMIFS(TablaConsumos[[CANTIDAD ]],TablaConsumos[N° DE TROQUEL],Tablageneral14[[#This Row],[N° de Troquel Orden]],TablaConsumos[TIPO],"Score")</f>
        <v>0</v>
      </c>
      <c r="R51" s="63">
        <f>+Tablageneral14[[#This Row],[Escores]]+Tablageneral14[[#This Row],[Cuchillas]]</f>
        <v>0</v>
      </c>
    </row>
    <row r="52" spans="1:18" x14ac:dyDescent="0.25">
      <c r="A52" s="30" t="s">
        <v>602</v>
      </c>
      <c r="B52" s="36" t="s">
        <v>862</v>
      </c>
      <c r="C52" s="70">
        <v>45383</v>
      </c>
      <c r="D52" s="70">
        <v>45386</v>
      </c>
      <c r="E52" s="33">
        <f>Tablageneral14[[#This Row],[Fecha de despacho]]-Tablageneral14[[#This Row],[Fecha de recibo]]</f>
        <v>3</v>
      </c>
      <c r="F52" s="284">
        <v>3549</v>
      </c>
      <c r="G52" s="38" t="s">
        <v>897</v>
      </c>
      <c r="H52" s="71" t="e">
        <f>INDEX(#REF!,MATCH(Tablageneral14[[#This Row],[Tipo de trabajo]],TablaTipoTrabajo[especifíco],0))</f>
        <v>#REF!</v>
      </c>
      <c r="I52" s="34">
        <f>+SUMIFS(TablaTiempos[Tiempo (hr)],TablaTiempos[N° de troquel],Tablageneral14[[#This Row],[N° de Troquel Orden]],TablaTiempos[Actividad],"Dibujo")</f>
        <v>0</v>
      </c>
      <c r="J52" s="34">
        <f>+SUMIFS(TablaTiempos[Tiempo (hr)],TablaTiempos[N° de troquel],Tablageneral14[[#This Row],[N° de Troquel Orden]],TablaTiempos[Actividad],"Puenteado")</f>
        <v>0</v>
      </c>
      <c r="K52" s="34">
        <f>+SUMIFS(TablaTiempos[Tiempo (hr)],TablaTiempos[N° de troquel],Tablageneral14[[#This Row],[N° de Troquel Orden]],TablaTiempos[Actividad],"Calado")</f>
        <v>0</v>
      </c>
      <c r="L52" s="62">
        <f>+SUM(Tablageneral14[[#This Row],[Dibujo (hr)]:[Calado (hr)]])</f>
        <v>0</v>
      </c>
      <c r="M52" s="34">
        <f>+SUMIFS(TablaTiempos[Tiempo (hr)],TablaTiempos[N° de troquel],Tablageneral14[[#This Row],[N° de Troquel Orden]],TablaTiempos[Actividad],"Encuchillado")</f>
        <v>0</v>
      </c>
      <c r="N52" s="34">
        <f>+SUMIFS(TablaTiempos[Tiempo (hr)],TablaTiempos[N° de troquel],Tablageneral14[[#This Row],[N° de Troquel Orden]],TablaTiempos[Actividad],"Engomado")</f>
        <v>0</v>
      </c>
      <c r="O52" s="63">
        <f>+Tablageneral14[[#This Row],[Engomado (hr)]]+Tablageneral14[[#This Row],[Encuchillado]]</f>
        <v>0</v>
      </c>
      <c r="P52" s="61">
        <f>+SUMIFS(TablaConsumos[[CANTIDAD ]],TablaConsumos[N° DE TROQUEL],Tablageneral14[[#This Row],[N° de Troquel Orden]],TablaConsumos[TIPO],"Cuchilla")</f>
        <v>0</v>
      </c>
      <c r="Q52" s="61">
        <f>+SUMIFS(TablaConsumos[[CANTIDAD ]],TablaConsumos[N° DE TROQUEL],Tablageneral14[[#This Row],[N° de Troquel Orden]],TablaConsumos[TIPO],"Score")</f>
        <v>0</v>
      </c>
      <c r="R52" s="63">
        <f>+Tablageneral14[[#This Row],[Escores]]+Tablageneral14[[#This Row],[Cuchillas]]</f>
        <v>0</v>
      </c>
    </row>
    <row r="53" spans="1:18" x14ac:dyDescent="0.25">
      <c r="A53" s="30" t="s">
        <v>604</v>
      </c>
      <c r="B53" s="69" t="s">
        <v>1190</v>
      </c>
      <c r="C53" s="70">
        <v>45383</v>
      </c>
      <c r="D53" s="70">
        <v>45398</v>
      </c>
      <c r="E53" s="33">
        <f>Tablageneral14[[#This Row],[Fecha de despacho]]-Tablageneral14[[#This Row],[Fecha de recibo]]</f>
        <v>15</v>
      </c>
      <c r="F53" s="284" t="s">
        <v>1191</v>
      </c>
      <c r="G53" s="68">
        <v>50</v>
      </c>
      <c r="H53" s="71" t="e">
        <f ca="1">INDEX(#REF!,MATCH(Tablageneral14[[#This Row],[Tipo de trabajo]],TablaTipoTrabajo[especifíco],0))</f>
        <v>#REF!</v>
      </c>
      <c r="I53" s="34">
        <f>+SUMIFS(TablaTiempos[Tiempo (hr)],TablaTiempos[N° de troquel],Tablageneral14[[#This Row],[N° de Troquel Orden]],TablaTiempos[Actividad],"Dibujo")</f>
        <v>0</v>
      </c>
      <c r="J53" s="34">
        <f>+SUMIFS(TablaTiempos[Tiempo (hr)],TablaTiempos[N° de troquel],Tablageneral14[[#This Row],[N° de Troquel Orden]],TablaTiempos[Actividad],"Puenteado")</f>
        <v>0</v>
      </c>
      <c r="K53" s="34">
        <f>+SUMIFS(TablaTiempos[Tiempo (hr)],TablaTiempos[N° de troquel],Tablageneral14[[#This Row],[N° de Troquel Orden]],TablaTiempos[Actividad],"Calado")</f>
        <v>0</v>
      </c>
      <c r="L53" s="62">
        <f>+SUM(Tablageneral14[[#This Row],[Dibujo (hr)]:[Calado (hr)]])</f>
        <v>0</v>
      </c>
      <c r="M53" s="34">
        <f>+SUMIFS(TablaTiempos[Tiempo (hr)],TablaTiempos[N° de troquel],Tablageneral14[[#This Row],[N° de Troquel Orden]],TablaTiempos[Actividad],"Encuchillado")</f>
        <v>0</v>
      </c>
      <c r="N53" s="34">
        <f>+SUMIFS(TablaTiempos[Tiempo (hr)],TablaTiempos[N° de troquel],Tablageneral14[[#This Row],[N° de Troquel Orden]],TablaTiempos[Actividad],"Engomado")</f>
        <v>0</v>
      </c>
      <c r="O53" s="63">
        <f>+Tablageneral14[[#This Row],[Engomado (hr)]]+Tablageneral14[[#This Row],[Encuchillado]]</f>
        <v>0</v>
      </c>
      <c r="P53" s="61">
        <f>+SUMIFS(TablaConsumos[[CANTIDAD ]],TablaConsumos[N° DE TROQUEL],Tablageneral14[[#This Row],[N° de Troquel Orden]],TablaConsumos[TIPO],"Cuchilla")</f>
        <v>0</v>
      </c>
      <c r="Q53" s="61">
        <f>+SUMIFS(TablaConsumos[[CANTIDAD ]],TablaConsumos[N° DE TROQUEL],Tablageneral14[[#This Row],[N° de Troquel Orden]],TablaConsumos[TIPO],"Score")</f>
        <v>0</v>
      </c>
      <c r="R53" s="63">
        <f>+Tablageneral14[[#This Row],[Escores]]+Tablageneral14[[#This Row],[Cuchillas]]</f>
        <v>0</v>
      </c>
    </row>
    <row r="54" spans="1:18" x14ac:dyDescent="0.25">
      <c r="A54" s="30" t="s">
        <v>885</v>
      </c>
      <c r="B54" s="69" t="s">
        <v>1192</v>
      </c>
      <c r="C54" s="70">
        <v>45391</v>
      </c>
      <c r="D54" s="70">
        <v>45401</v>
      </c>
      <c r="E54" s="33">
        <f>Tablageneral14[[#This Row],[Fecha de despacho]]-Tablageneral14[[#This Row],[Fecha de recibo]]</f>
        <v>10</v>
      </c>
      <c r="F54" s="284" t="s">
        <v>1193</v>
      </c>
      <c r="G54" s="68" t="s">
        <v>905</v>
      </c>
      <c r="H54" s="71" t="e">
        <f ca="1">INDEX(#REF!,MATCH(Tablageneral14[[#This Row],[Tipo de trabajo]],TablaTipoTrabajo[especifíco],0))</f>
        <v>#REF!</v>
      </c>
      <c r="I54" s="34">
        <f>+SUMIFS(TablaTiempos[Tiempo (hr)],TablaTiempos[N° de troquel],Tablageneral14[[#This Row],[N° de Troquel Orden]],TablaTiempos[Actividad],"Dibujo")</f>
        <v>0</v>
      </c>
      <c r="J54" s="34">
        <f>+SUMIFS(TablaTiempos[Tiempo (hr)],TablaTiempos[N° de troquel],Tablageneral14[[#This Row],[N° de Troquel Orden]],TablaTiempos[Actividad],"Puenteado")</f>
        <v>0</v>
      </c>
      <c r="K54" s="34">
        <f>+SUMIFS(TablaTiempos[Tiempo (hr)],TablaTiempos[N° de troquel],Tablageneral14[[#This Row],[N° de Troquel Orden]],TablaTiempos[Actividad],"Calado")</f>
        <v>0</v>
      </c>
      <c r="L54" s="62">
        <f>+SUM(Tablageneral14[[#This Row],[Dibujo (hr)]:[Calado (hr)]])</f>
        <v>0</v>
      </c>
      <c r="M54" s="34">
        <f>+SUMIFS(TablaTiempos[Tiempo (hr)],TablaTiempos[N° de troquel],Tablageneral14[[#This Row],[N° de Troquel Orden]],TablaTiempos[Actividad],"Encuchillado")</f>
        <v>0</v>
      </c>
      <c r="N54" s="34">
        <f>+SUMIFS(TablaTiempos[Tiempo (hr)],TablaTiempos[N° de troquel],Tablageneral14[[#This Row],[N° de Troquel Orden]],TablaTiempos[Actividad],"Engomado")</f>
        <v>0</v>
      </c>
      <c r="O54" s="63">
        <f>+Tablageneral14[[#This Row],[Engomado (hr)]]+Tablageneral14[[#This Row],[Encuchillado]]</f>
        <v>0</v>
      </c>
      <c r="P54" s="61">
        <f>+SUMIFS(TablaConsumos[[CANTIDAD ]],TablaConsumos[N° DE TROQUEL],Tablageneral14[[#This Row],[N° de Troquel Orden]],TablaConsumos[TIPO],"Cuchilla")</f>
        <v>0</v>
      </c>
      <c r="Q54" s="61">
        <f>+SUMIFS(TablaConsumos[[CANTIDAD ]],TablaConsumos[N° DE TROQUEL],Tablageneral14[[#This Row],[N° de Troquel Orden]],TablaConsumos[TIPO],"Score")</f>
        <v>0</v>
      </c>
      <c r="R54" s="63">
        <f>+Tablageneral14[[#This Row],[Escores]]+Tablageneral14[[#This Row],[Cuchillas]]</f>
        <v>0</v>
      </c>
    </row>
    <row r="55" spans="1:18" x14ac:dyDescent="0.25">
      <c r="A55" s="30" t="s">
        <v>602</v>
      </c>
      <c r="B55" s="69" t="s">
        <v>929</v>
      </c>
      <c r="C55" s="70">
        <v>45391</v>
      </c>
      <c r="D55" s="70">
        <v>45403</v>
      </c>
      <c r="E55" s="33">
        <f>Tablageneral14[[#This Row],[Fecha de despacho]]-Tablageneral14[[#This Row],[Fecha de recibo]]</f>
        <v>12</v>
      </c>
      <c r="F55" s="284">
        <v>3559</v>
      </c>
      <c r="G55" s="68" t="s">
        <v>891</v>
      </c>
      <c r="H55" s="71" t="e">
        <f>INDEX(#REF!,MATCH(Tablageneral14[[#This Row],[Tipo de trabajo]],TablaTipoTrabajo[especifíco],0))</f>
        <v>#REF!</v>
      </c>
      <c r="I55" s="34">
        <f>+SUMIFS(TablaTiempos[Tiempo (hr)],TablaTiempos[N° de troquel],Tablageneral14[[#This Row],[N° de Troquel Orden]],TablaTiempos[Actividad],"Dibujo")</f>
        <v>0</v>
      </c>
      <c r="J55" s="34">
        <f>+SUMIFS(TablaTiempos[Tiempo (hr)],TablaTiempos[N° de troquel],Tablageneral14[[#This Row],[N° de Troquel Orden]],TablaTiempos[Actividad],"Puenteado")</f>
        <v>0</v>
      </c>
      <c r="K55" s="34">
        <f>+SUMIFS(TablaTiempos[Tiempo (hr)],TablaTiempos[N° de troquel],Tablageneral14[[#This Row],[N° de Troquel Orden]],TablaTiempos[Actividad],"Calado")</f>
        <v>0</v>
      </c>
      <c r="L55" s="62">
        <f>+SUM(Tablageneral14[[#This Row],[Dibujo (hr)]:[Calado (hr)]])</f>
        <v>0</v>
      </c>
      <c r="M55" s="34">
        <f>+SUMIFS(TablaTiempos[Tiempo (hr)],TablaTiempos[N° de troquel],Tablageneral14[[#This Row],[N° de Troquel Orden]],TablaTiempos[Actividad],"Encuchillado")</f>
        <v>0</v>
      </c>
      <c r="N55" s="34">
        <f>+SUMIFS(TablaTiempos[Tiempo (hr)],TablaTiempos[N° de troquel],Tablageneral14[[#This Row],[N° de Troquel Orden]],TablaTiempos[Actividad],"Engomado")</f>
        <v>0</v>
      </c>
      <c r="O55" s="63">
        <f>+Tablageneral14[[#This Row],[Engomado (hr)]]+Tablageneral14[[#This Row],[Encuchillado]]</f>
        <v>0</v>
      </c>
      <c r="P55" s="61">
        <f>+SUMIFS(TablaConsumos[[CANTIDAD ]],TablaConsumos[N° DE TROQUEL],Tablageneral14[[#This Row],[N° de Troquel Orden]],TablaConsumos[TIPO],"Cuchilla")</f>
        <v>0</v>
      </c>
      <c r="Q55" s="61">
        <f>+SUMIFS(TablaConsumos[[CANTIDAD ]],TablaConsumos[N° DE TROQUEL],Tablageneral14[[#This Row],[N° de Troquel Orden]],TablaConsumos[TIPO],"Score")</f>
        <v>0</v>
      </c>
      <c r="R55" s="63">
        <f>+Tablageneral14[[#This Row],[Escores]]+Tablageneral14[[#This Row],[Cuchillas]]</f>
        <v>0</v>
      </c>
    </row>
    <row r="56" spans="1:18" x14ac:dyDescent="0.25">
      <c r="A56" s="30" t="s">
        <v>885</v>
      </c>
      <c r="B56" s="69" t="s">
        <v>1068</v>
      </c>
      <c r="C56" s="70">
        <v>45390</v>
      </c>
      <c r="D56" s="70">
        <v>45402</v>
      </c>
      <c r="E56" s="33">
        <f>Tablageneral14[[#This Row],[Fecha de despacho]]-Tablageneral14[[#This Row],[Fecha de recibo]]</f>
        <v>12</v>
      </c>
      <c r="F56" s="284" t="s">
        <v>1194</v>
      </c>
      <c r="G56" s="68" t="s">
        <v>890</v>
      </c>
      <c r="H56" s="71" t="e">
        <f>INDEX(#REF!,MATCH(Tablageneral14[[#This Row],[Tipo de trabajo]],TablaTipoTrabajo[especifíco],0))</f>
        <v>#REF!</v>
      </c>
      <c r="I56" s="34">
        <f>+SUMIFS(TablaTiempos[Tiempo (hr)],TablaTiempos[N° de troquel],Tablageneral14[[#This Row],[N° de Troquel Orden]],TablaTiempos[Actividad],"Dibujo")</f>
        <v>0</v>
      </c>
      <c r="J56" s="34">
        <f>+SUMIFS(TablaTiempos[Tiempo (hr)],TablaTiempos[N° de troquel],Tablageneral14[[#This Row],[N° de Troquel Orden]],TablaTiempos[Actividad],"Puenteado")</f>
        <v>0</v>
      </c>
      <c r="K56" s="34">
        <f>+SUMIFS(TablaTiempos[Tiempo (hr)],TablaTiempos[N° de troquel],Tablageneral14[[#This Row],[N° de Troquel Orden]],TablaTiempos[Actividad],"Calado")</f>
        <v>0</v>
      </c>
      <c r="L56" s="62">
        <f>+SUM(Tablageneral14[[#This Row],[Dibujo (hr)]:[Calado (hr)]])</f>
        <v>0</v>
      </c>
      <c r="M56" s="34">
        <f>+SUMIFS(TablaTiempos[Tiempo (hr)],TablaTiempos[N° de troquel],Tablageneral14[[#This Row],[N° de Troquel Orden]],TablaTiempos[Actividad],"Encuchillado")</f>
        <v>0</v>
      </c>
      <c r="N56" s="34">
        <f>+SUMIFS(TablaTiempos[Tiempo (hr)],TablaTiempos[N° de troquel],Tablageneral14[[#This Row],[N° de Troquel Orden]],TablaTiempos[Actividad],"Engomado")</f>
        <v>0</v>
      </c>
      <c r="O56" s="63">
        <f>+Tablageneral14[[#This Row],[Engomado (hr)]]+Tablageneral14[[#This Row],[Encuchillado]]</f>
        <v>0</v>
      </c>
      <c r="P56" s="61">
        <f>+SUMIFS(TablaConsumos[[CANTIDAD ]],TablaConsumos[N° DE TROQUEL],Tablageneral14[[#This Row],[N° de Troquel Orden]],TablaConsumos[TIPO],"Cuchilla")</f>
        <v>0</v>
      </c>
      <c r="Q56" s="61">
        <f>+SUMIFS(TablaConsumos[[CANTIDAD ]],TablaConsumos[N° DE TROQUEL],Tablageneral14[[#This Row],[N° de Troquel Orden]],TablaConsumos[TIPO],"Score")</f>
        <v>0</v>
      </c>
      <c r="R56" s="63">
        <f>+Tablageneral14[[#This Row],[Escores]]+Tablageneral14[[#This Row],[Cuchillas]]</f>
        <v>0</v>
      </c>
    </row>
    <row r="57" spans="1:18" x14ac:dyDescent="0.25">
      <c r="A57" s="30" t="s">
        <v>885</v>
      </c>
      <c r="B57" s="69" t="s">
        <v>938</v>
      </c>
      <c r="C57" s="70">
        <v>45391</v>
      </c>
      <c r="D57" s="70">
        <v>45404</v>
      </c>
      <c r="E57" s="33">
        <f>Tablageneral14[[#This Row],[Fecha de despacho]]-Tablageneral14[[#This Row],[Fecha de recibo]]</f>
        <v>13</v>
      </c>
      <c r="F57" s="284" t="s">
        <v>1195</v>
      </c>
      <c r="G57" s="68" t="s">
        <v>890</v>
      </c>
      <c r="H57" s="71" t="e">
        <f>INDEX(#REF!,MATCH(Tablageneral14[[#This Row],[Tipo de trabajo]],TablaTipoTrabajo[especifíco],0))</f>
        <v>#REF!</v>
      </c>
      <c r="I57" s="34">
        <f>+SUMIFS(TablaTiempos[Tiempo (hr)],TablaTiempos[N° de troquel],Tablageneral14[[#This Row],[N° de Troquel Orden]],TablaTiempos[Actividad],"Dibujo")</f>
        <v>0</v>
      </c>
      <c r="J57" s="34">
        <f>+SUMIFS(TablaTiempos[Tiempo (hr)],TablaTiempos[N° de troquel],Tablageneral14[[#This Row],[N° de Troquel Orden]],TablaTiempos[Actividad],"Puenteado")</f>
        <v>0</v>
      </c>
      <c r="K57" s="34">
        <f>+SUMIFS(TablaTiempos[Tiempo (hr)],TablaTiempos[N° de troquel],Tablageneral14[[#This Row],[N° de Troquel Orden]],TablaTiempos[Actividad],"Calado")</f>
        <v>0</v>
      </c>
      <c r="L57" s="62">
        <f>+SUM(Tablageneral14[[#This Row],[Dibujo (hr)]:[Calado (hr)]])</f>
        <v>0</v>
      </c>
      <c r="M57" s="34">
        <f>+SUMIFS(TablaTiempos[Tiempo (hr)],TablaTiempos[N° de troquel],Tablageneral14[[#This Row],[N° de Troquel Orden]],TablaTiempos[Actividad],"Encuchillado")</f>
        <v>0</v>
      </c>
      <c r="N57" s="34">
        <f>+SUMIFS(TablaTiempos[Tiempo (hr)],TablaTiempos[N° de troquel],Tablageneral14[[#This Row],[N° de Troquel Orden]],TablaTiempos[Actividad],"Engomado")</f>
        <v>0</v>
      </c>
      <c r="O57" s="63">
        <f>+Tablageneral14[[#This Row],[Engomado (hr)]]+Tablageneral14[[#This Row],[Encuchillado]]</f>
        <v>0</v>
      </c>
      <c r="P57" s="61">
        <f>+SUMIFS(TablaConsumos[[CANTIDAD ]],TablaConsumos[N° DE TROQUEL],Tablageneral14[[#This Row],[N° de Troquel Orden]],TablaConsumos[TIPO],"Cuchilla")</f>
        <v>0</v>
      </c>
      <c r="Q57" s="61">
        <f>+SUMIFS(TablaConsumos[[CANTIDAD ]],TablaConsumos[N° DE TROQUEL],Tablageneral14[[#This Row],[N° de Troquel Orden]],TablaConsumos[TIPO],"Score")</f>
        <v>0</v>
      </c>
      <c r="R57" s="63">
        <f>+Tablageneral14[[#This Row],[Escores]]+Tablageneral14[[#This Row],[Cuchillas]]</f>
        <v>0</v>
      </c>
    </row>
    <row r="58" spans="1:18" x14ac:dyDescent="0.25">
      <c r="A58" s="30" t="s">
        <v>606</v>
      </c>
      <c r="B58" s="69" t="s">
        <v>1196</v>
      </c>
      <c r="C58" s="70">
        <v>45392</v>
      </c>
      <c r="D58" s="70">
        <v>45403</v>
      </c>
      <c r="E58" s="33">
        <f>Tablageneral14[[#This Row],[Fecha de despacho]]-Tablageneral14[[#This Row],[Fecha de recibo]]</f>
        <v>11</v>
      </c>
      <c r="F58" s="284">
        <v>3794</v>
      </c>
      <c r="G58" s="68" t="s">
        <v>891</v>
      </c>
      <c r="H58" s="71" t="e">
        <f>INDEX(#REF!,MATCH(Tablageneral14[[#This Row],[Tipo de trabajo]],TablaTipoTrabajo[especifíco],0))</f>
        <v>#REF!</v>
      </c>
      <c r="I58" s="34">
        <f>+SUMIFS(TablaTiempos[Tiempo (hr)],TablaTiempos[N° de troquel],Tablageneral14[[#This Row],[N° de Troquel Orden]],TablaTiempos[Actividad],"Dibujo")</f>
        <v>0</v>
      </c>
      <c r="J58" s="34">
        <f>+SUMIFS(TablaTiempos[Tiempo (hr)],TablaTiempos[N° de troquel],Tablageneral14[[#This Row],[N° de Troquel Orden]],TablaTiempos[Actividad],"Puenteado")</f>
        <v>0</v>
      </c>
      <c r="K58" s="34">
        <f>+SUMIFS(TablaTiempos[Tiempo (hr)],TablaTiempos[N° de troquel],Tablageneral14[[#This Row],[N° de Troquel Orden]],TablaTiempos[Actividad],"Calado")</f>
        <v>0</v>
      </c>
      <c r="L58" s="62">
        <f>+SUM(Tablageneral14[[#This Row],[Dibujo (hr)]:[Calado (hr)]])</f>
        <v>0</v>
      </c>
      <c r="M58" s="34">
        <f>+SUMIFS(TablaTiempos[Tiempo (hr)],TablaTiempos[N° de troquel],Tablageneral14[[#This Row],[N° de Troquel Orden]],TablaTiempos[Actividad],"Encuchillado")</f>
        <v>0</v>
      </c>
      <c r="N58" s="34">
        <f>+SUMIFS(TablaTiempos[Tiempo (hr)],TablaTiempos[N° de troquel],Tablageneral14[[#This Row],[N° de Troquel Orden]],TablaTiempos[Actividad],"Engomado")</f>
        <v>0</v>
      </c>
      <c r="O58" s="63">
        <f>+Tablageneral14[[#This Row],[Engomado (hr)]]+Tablageneral14[[#This Row],[Encuchillado]]</f>
        <v>0</v>
      </c>
      <c r="P58" s="61">
        <f>+SUMIFS(TablaConsumos[[CANTIDAD ]],TablaConsumos[N° DE TROQUEL],Tablageneral14[[#This Row],[N° de Troquel Orden]],TablaConsumos[TIPO],"Cuchilla")</f>
        <v>0</v>
      </c>
      <c r="Q58" s="61">
        <f>+SUMIFS(TablaConsumos[[CANTIDAD ]],TablaConsumos[N° DE TROQUEL],Tablageneral14[[#This Row],[N° de Troquel Orden]],TablaConsumos[TIPO],"Score")</f>
        <v>0</v>
      </c>
      <c r="R58" s="63">
        <f>+Tablageneral14[[#This Row],[Escores]]+Tablageneral14[[#This Row],[Cuchillas]]</f>
        <v>0</v>
      </c>
    </row>
    <row r="59" spans="1:18" x14ac:dyDescent="0.25">
      <c r="A59" s="30" t="s">
        <v>885</v>
      </c>
      <c r="B59" s="69" t="s">
        <v>1046</v>
      </c>
      <c r="C59" s="70">
        <v>45402</v>
      </c>
      <c r="D59" s="70">
        <v>45404</v>
      </c>
      <c r="E59" s="33">
        <f>Tablageneral14[[#This Row],[Fecha de despacho]]-Tablageneral14[[#This Row],[Fecha de recibo]]</f>
        <v>2</v>
      </c>
      <c r="F59" s="284" t="s">
        <v>1197</v>
      </c>
      <c r="G59" s="68" t="s">
        <v>905</v>
      </c>
      <c r="H59" s="71" t="e">
        <f ca="1">INDEX(#REF!,MATCH(Tablageneral14[[#This Row],[Tipo de trabajo]],TablaTipoTrabajo[especifíco],0))</f>
        <v>#REF!</v>
      </c>
      <c r="I59" s="34">
        <f>+SUMIFS(TablaTiempos[Tiempo (hr)],TablaTiempos[N° de troquel],Tablageneral14[[#This Row],[N° de Troquel Orden]],TablaTiempos[Actividad],"Dibujo")</f>
        <v>0</v>
      </c>
      <c r="J59" s="34">
        <f>+SUMIFS(TablaTiempos[Tiempo (hr)],TablaTiempos[N° de troquel],Tablageneral14[[#This Row],[N° de Troquel Orden]],TablaTiempos[Actividad],"Puenteado")</f>
        <v>0</v>
      </c>
      <c r="K59" s="34">
        <f>+SUMIFS(TablaTiempos[Tiempo (hr)],TablaTiempos[N° de troquel],Tablageneral14[[#This Row],[N° de Troquel Orden]],TablaTiempos[Actividad],"Calado")</f>
        <v>0</v>
      </c>
      <c r="L59" s="62">
        <f>+SUM(Tablageneral14[[#This Row],[Dibujo (hr)]:[Calado (hr)]])</f>
        <v>0</v>
      </c>
      <c r="M59" s="34">
        <f>+SUMIFS(TablaTiempos[Tiempo (hr)],TablaTiempos[N° de troquel],Tablageneral14[[#This Row],[N° de Troquel Orden]],TablaTiempos[Actividad],"Encuchillado")</f>
        <v>0</v>
      </c>
      <c r="N59" s="34">
        <f>+SUMIFS(TablaTiempos[Tiempo (hr)],TablaTiempos[N° de troquel],Tablageneral14[[#This Row],[N° de Troquel Orden]],TablaTiempos[Actividad],"Engomado")</f>
        <v>0</v>
      </c>
      <c r="O59" s="63">
        <f>+Tablageneral14[[#This Row],[Engomado (hr)]]+Tablageneral14[[#This Row],[Encuchillado]]</f>
        <v>0</v>
      </c>
      <c r="P59" s="61">
        <f>+SUMIFS(TablaConsumos[[CANTIDAD ]],TablaConsumos[N° DE TROQUEL],Tablageneral14[[#This Row],[N° de Troquel Orden]],TablaConsumos[TIPO],"Cuchilla")</f>
        <v>0</v>
      </c>
      <c r="Q59" s="61">
        <f>+SUMIFS(TablaConsumos[[CANTIDAD ]],TablaConsumos[N° DE TROQUEL],Tablageneral14[[#This Row],[N° de Troquel Orden]],TablaConsumos[TIPO],"Score")</f>
        <v>0</v>
      </c>
      <c r="R59" s="63">
        <f>+Tablageneral14[[#This Row],[Escores]]+Tablageneral14[[#This Row],[Cuchillas]]</f>
        <v>0</v>
      </c>
    </row>
    <row r="60" spans="1:18" x14ac:dyDescent="0.25">
      <c r="A60" s="30" t="s">
        <v>602</v>
      </c>
      <c r="B60" s="69" t="s">
        <v>1198</v>
      </c>
      <c r="C60" s="70">
        <v>45392</v>
      </c>
      <c r="D60" s="70">
        <v>45405</v>
      </c>
      <c r="E60" s="33">
        <f>Tablageneral14[[#This Row],[Fecha de despacho]]-Tablageneral14[[#This Row],[Fecha de recibo]]</f>
        <v>13</v>
      </c>
      <c r="F60" s="284">
        <v>3561</v>
      </c>
      <c r="G60" s="68" t="s">
        <v>894</v>
      </c>
      <c r="H60" s="71" t="e">
        <f>INDEX(#REF!,MATCH(Tablageneral14[[#This Row],[Tipo de trabajo]],TablaTipoTrabajo[especifíco],0))</f>
        <v>#REF!</v>
      </c>
      <c r="I60" s="34">
        <f>+SUMIFS(TablaTiempos[Tiempo (hr)],TablaTiempos[N° de troquel],Tablageneral14[[#This Row],[N° de Troquel Orden]],TablaTiempos[Actividad],"Dibujo")</f>
        <v>0</v>
      </c>
      <c r="J60" s="34">
        <f>+SUMIFS(TablaTiempos[Tiempo (hr)],TablaTiempos[N° de troquel],Tablageneral14[[#This Row],[N° de Troquel Orden]],TablaTiempos[Actividad],"Puenteado")</f>
        <v>0</v>
      </c>
      <c r="K60" s="34">
        <f>+SUMIFS(TablaTiempos[Tiempo (hr)],TablaTiempos[N° de troquel],Tablageneral14[[#This Row],[N° de Troquel Orden]],TablaTiempos[Actividad],"Calado")</f>
        <v>0</v>
      </c>
      <c r="L60" s="62">
        <f>+SUM(Tablageneral14[[#This Row],[Dibujo (hr)]:[Calado (hr)]])</f>
        <v>0</v>
      </c>
      <c r="M60" s="34">
        <f>+SUMIFS(TablaTiempos[Tiempo (hr)],TablaTiempos[N° de troquel],Tablageneral14[[#This Row],[N° de Troquel Orden]],TablaTiempos[Actividad],"Encuchillado")</f>
        <v>0</v>
      </c>
      <c r="N60" s="34">
        <f>+SUMIFS(TablaTiempos[Tiempo (hr)],TablaTiempos[N° de troquel],Tablageneral14[[#This Row],[N° de Troquel Orden]],TablaTiempos[Actividad],"Engomado")</f>
        <v>0</v>
      </c>
      <c r="O60" s="63">
        <f>+Tablageneral14[[#This Row],[Engomado (hr)]]+Tablageneral14[[#This Row],[Encuchillado]]</f>
        <v>0</v>
      </c>
      <c r="P60" s="61">
        <f>+SUMIFS(TablaConsumos[[CANTIDAD ]],TablaConsumos[N° DE TROQUEL],Tablageneral14[[#This Row],[N° de Troquel Orden]],TablaConsumos[TIPO],"Cuchilla")</f>
        <v>0</v>
      </c>
      <c r="Q60" s="61">
        <f>+SUMIFS(TablaConsumos[[CANTIDAD ]],TablaConsumos[N° DE TROQUEL],Tablageneral14[[#This Row],[N° de Troquel Orden]],TablaConsumos[TIPO],"Score")</f>
        <v>0</v>
      </c>
      <c r="R60" s="63">
        <f>+Tablageneral14[[#This Row],[Escores]]+Tablageneral14[[#This Row],[Cuchillas]]</f>
        <v>0</v>
      </c>
    </row>
    <row r="61" spans="1:18" x14ac:dyDescent="0.25">
      <c r="A61" s="30" t="s">
        <v>604</v>
      </c>
      <c r="B61" s="69" t="s">
        <v>604</v>
      </c>
      <c r="C61" s="70">
        <v>45390</v>
      </c>
      <c r="D61" s="70">
        <v>45405</v>
      </c>
      <c r="E61" s="33">
        <f>Tablageneral14[[#This Row],[Fecha de despacho]]-Tablageneral14[[#This Row],[Fecha de recibo]]</f>
        <v>15</v>
      </c>
      <c r="F61" s="284" t="s">
        <v>1199</v>
      </c>
      <c r="G61" s="38" t="s">
        <v>1200</v>
      </c>
      <c r="H61" s="71" t="e">
        <f ca="1">INDEX(#REF!,MATCH(Tablageneral14[[#This Row],[Tipo de trabajo]],TablaTipoTrabajo[especifíco],0))</f>
        <v>#REF!</v>
      </c>
      <c r="I61" s="34">
        <f>+SUMIFS(TablaTiempos[Tiempo (hr)],TablaTiempos[N° de troquel],Tablageneral14[[#This Row],[N° de Troquel Orden]],TablaTiempos[Actividad],"Dibujo")</f>
        <v>0</v>
      </c>
      <c r="J61" s="34">
        <f>+SUMIFS(TablaTiempos[Tiempo (hr)],TablaTiempos[N° de troquel],Tablageneral14[[#This Row],[N° de Troquel Orden]],TablaTiempos[Actividad],"Puenteado")</f>
        <v>0</v>
      </c>
      <c r="K61" s="34">
        <f>+SUMIFS(TablaTiempos[Tiempo (hr)],TablaTiempos[N° de troquel],Tablageneral14[[#This Row],[N° de Troquel Orden]],TablaTiempos[Actividad],"Calado")</f>
        <v>0</v>
      </c>
      <c r="L61" s="62">
        <f>+SUM(Tablageneral14[[#This Row],[Dibujo (hr)]:[Calado (hr)]])</f>
        <v>0</v>
      </c>
      <c r="M61" s="34">
        <f>+SUMIFS(TablaTiempos[Tiempo (hr)],TablaTiempos[N° de troquel],Tablageneral14[[#This Row],[N° de Troquel Orden]],TablaTiempos[Actividad],"Encuchillado")</f>
        <v>0</v>
      </c>
      <c r="N61" s="34">
        <f>+SUMIFS(TablaTiempos[Tiempo (hr)],TablaTiempos[N° de troquel],Tablageneral14[[#This Row],[N° de Troquel Orden]],TablaTiempos[Actividad],"Engomado")</f>
        <v>0</v>
      </c>
      <c r="O61" s="63">
        <f>+Tablageneral14[[#This Row],[Engomado (hr)]]+Tablageneral14[[#This Row],[Encuchillado]]</f>
        <v>0</v>
      </c>
      <c r="P61" s="61">
        <f>+SUMIFS(TablaConsumos[[CANTIDAD ]],TablaConsumos[N° DE TROQUEL],Tablageneral14[[#This Row],[N° de Troquel Orden]],TablaConsumos[TIPO],"Cuchilla")</f>
        <v>0</v>
      </c>
      <c r="Q61" s="61">
        <f>+SUMIFS(TablaConsumos[[CANTIDAD ]],TablaConsumos[N° DE TROQUEL],Tablageneral14[[#This Row],[N° de Troquel Orden]],TablaConsumos[TIPO],"Score")</f>
        <v>0</v>
      </c>
      <c r="R61" s="63">
        <f>+Tablageneral14[[#This Row],[Escores]]+Tablageneral14[[#This Row],[Cuchillas]]</f>
        <v>0</v>
      </c>
    </row>
    <row r="62" spans="1:18" x14ac:dyDescent="0.25">
      <c r="A62" s="30" t="s">
        <v>602</v>
      </c>
      <c r="B62" s="69" t="s">
        <v>909</v>
      </c>
      <c r="C62" s="70">
        <v>45400</v>
      </c>
      <c r="D62" s="70">
        <v>45406</v>
      </c>
      <c r="E62" s="33">
        <f>Tablageneral14[[#This Row],[Fecha de despacho]]-Tablageneral14[[#This Row],[Fecha de recibo]]</f>
        <v>6</v>
      </c>
      <c r="F62" s="284">
        <v>3565</v>
      </c>
      <c r="G62" s="68" t="s">
        <v>895</v>
      </c>
      <c r="H62" s="71" t="e">
        <f>INDEX(#REF!,MATCH(Tablageneral14[[#This Row],[Tipo de trabajo]],TablaTipoTrabajo[especifíco],0))</f>
        <v>#REF!</v>
      </c>
      <c r="I62" s="34">
        <f>+SUMIFS(TablaTiempos[Tiempo (hr)],TablaTiempos[N° de troquel],Tablageneral14[[#This Row],[N° de Troquel Orden]],TablaTiempos[Actividad],"Dibujo")</f>
        <v>0</v>
      </c>
      <c r="J62" s="34">
        <f>+SUMIFS(TablaTiempos[Tiempo (hr)],TablaTiempos[N° de troquel],Tablageneral14[[#This Row],[N° de Troquel Orden]],TablaTiempos[Actividad],"Puenteado")</f>
        <v>0</v>
      </c>
      <c r="K62" s="34">
        <f>+SUMIFS(TablaTiempos[Tiempo (hr)],TablaTiempos[N° de troquel],Tablageneral14[[#This Row],[N° de Troquel Orden]],TablaTiempos[Actividad],"Calado")</f>
        <v>0</v>
      </c>
      <c r="L62" s="62">
        <f>+SUM(Tablageneral14[[#This Row],[Dibujo (hr)]:[Calado (hr)]])</f>
        <v>0</v>
      </c>
      <c r="M62" s="34">
        <f>+SUMIFS(TablaTiempos[Tiempo (hr)],TablaTiempos[N° de troquel],Tablageneral14[[#This Row],[N° de Troquel Orden]],TablaTiempos[Actividad],"Encuchillado")</f>
        <v>0</v>
      </c>
      <c r="N62" s="34">
        <f>+SUMIFS(TablaTiempos[Tiempo (hr)],TablaTiempos[N° de troquel],Tablageneral14[[#This Row],[N° de Troquel Orden]],TablaTiempos[Actividad],"Engomado")</f>
        <v>0</v>
      </c>
      <c r="O62" s="63">
        <f>+Tablageneral14[[#This Row],[Engomado (hr)]]+Tablageneral14[[#This Row],[Encuchillado]]</f>
        <v>0</v>
      </c>
      <c r="P62" s="61">
        <f>+SUMIFS(TablaConsumos[[CANTIDAD ]],TablaConsumos[N° DE TROQUEL],Tablageneral14[[#This Row],[N° de Troquel Orden]],TablaConsumos[TIPO],"Cuchilla")</f>
        <v>0</v>
      </c>
      <c r="Q62" s="61">
        <f>+SUMIFS(TablaConsumos[[CANTIDAD ]],TablaConsumos[N° DE TROQUEL],Tablageneral14[[#This Row],[N° de Troquel Orden]],TablaConsumos[TIPO],"Score")</f>
        <v>0</v>
      </c>
      <c r="R62" s="63">
        <f>+Tablageneral14[[#This Row],[Escores]]+Tablageneral14[[#This Row],[Cuchillas]]</f>
        <v>0</v>
      </c>
    </row>
    <row r="63" spans="1:18" x14ac:dyDescent="0.25">
      <c r="A63" s="30" t="s">
        <v>884</v>
      </c>
      <c r="B63" s="69" t="s">
        <v>1150</v>
      </c>
      <c r="C63" s="70">
        <v>45405</v>
      </c>
      <c r="D63" s="70">
        <v>45405</v>
      </c>
      <c r="E63" s="33">
        <f>Tablageneral14[[#This Row],[Fecha de despacho]]-Tablageneral14[[#This Row],[Fecha de recibo]]</f>
        <v>0</v>
      </c>
      <c r="F63" s="284" t="s">
        <v>1201</v>
      </c>
      <c r="G63" s="68" t="s">
        <v>896</v>
      </c>
      <c r="H63" s="71" t="e">
        <f ca="1">INDEX(#REF!,MATCH(Tablageneral14[[#This Row],[Tipo de trabajo]],TablaTipoTrabajo[especifíco],0))</f>
        <v>#REF!</v>
      </c>
      <c r="I63" s="34">
        <f>+SUMIFS(TablaTiempos[Tiempo (hr)],TablaTiempos[N° de troquel],Tablageneral14[[#This Row],[N° de Troquel Orden]],TablaTiempos[Actividad],"Dibujo")</f>
        <v>0</v>
      </c>
      <c r="J63" s="34">
        <f>+SUMIFS(TablaTiempos[Tiempo (hr)],TablaTiempos[N° de troquel],Tablageneral14[[#This Row],[N° de Troquel Orden]],TablaTiempos[Actividad],"Puenteado")</f>
        <v>0</v>
      </c>
      <c r="K63" s="34">
        <f>+SUMIFS(TablaTiempos[Tiempo (hr)],TablaTiempos[N° de troquel],Tablageneral14[[#This Row],[N° de Troquel Orden]],TablaTiempos[Actividad],"Calado")</f>
        <v>0</v>
      </c>
      <c r="L63" s="62">
        <f>+SUM(Tablageneral14[[#This Row],[Dibujo (hr)]:[Calado (hr)]])</f>
        <v>0</v>
      </c>
      <c r="M63" s="34">
        <f>+SUMIFS(TablaTiempos[Tiempo (hr)],TablaTiempos[N° de troquel],Tablageneral14[[#This Row],[N° de Troquel Orden]],TablaTiempos[Actividad],"Encuchillado")</f>
        <v>0</v>
      </c>
      <c r="N63" s="34">
        <f>+SUMIFS(TablaTiempos[Tiempo (hr)],TablaTiempos[N° de troquel],Tablageneral14[[#This Row],[N° de Troquel Orden]],TablaTiempos[Actividad],"Engomado")</f>
        <v>0</v>
      </c>
      <c r="O63" s="63">
        <f>+Tablageneral14[[#This Row],[Engomado (hr)]]+Tablageneral14[[#This Row],[Encuchillado]]</f>
        <v>0</v>
      </c>
      <c r="P63" s="61">
        <f>+SUMIFS(TablaConsumos[[CANTIDAD ]],TablaConsumos[N° DE TROQUEL],Tablageneral14[[#This Row],[N° de Troquel Orden]],TablaConsumos[TIPO],"Cuchilla")</f>
        <v>0</v>
      </c>
      <c r="Q63" s="61">
        <f>+SUMIFS(TablaConsumos[[CANTIDAD ]],TablaConsumos[N° DE TROQUEL],Tablageneral14[[#This Row],[N° de Troquel Orden]],TablaConsumos[TIPO],"Score")</f>
        <v>0</v>
      </c>
      <c r="R63" s="63">
        <f>+Tablageneral14[[#This Row],[Escores]]+Tablageneral14[[#This Row],[Cuchillas]]</f>
        <v>0</v>
      </c>
    </row>
    <row r="64" spans="1:18" x14ac:dyDescent="0.25">
      <c r="A64" s="30" t="s">
        <v>884</v>
      </c>
      <c r="B64" s="69" t="s">
        <v>1150</v>
      </c>
      <c r="C64" s="70">
        <v>45405</v>
      </c>
      <c r="D64" s="70">
        <v>45405</v>
      </c>
      <c r="E64" s="33">
        <f>Tablageneral14[[#This Row],[Fecha de despacho]]-Tablageneral14[[#This Row],[Fecha de recibo]]</f>
        <v>0</v>
      </c>
      <c r="F64" s="284" t="s">
        <v>1202</v>
      </c>
      <c r="G64" s="68" t="s">
        <v>896</v>
      </c>
      <c r="H64" s="71" t="e">
        <f ca="1">INDEX(#REF!,MATCH(Tablageneral14[[#This Row],[Tipo de trabajo]],TablaTipoTrabajo[especifíco],0))</f>
        <v>#REF!</v>
      </c>
      <c r="I64" s="34">
        <f>+SUMIFS(TablaTiempos[Tiempo (hr)],TablaTiempos[N° de troquel],Tablageneral14[[#This Row],[N° de Troquel Orden]],TablaTiempos[Actividad],"Dibujo")</f>
        <v>0</v>
      </c>
      <c r="J64" s="34">
        <f>+SUMIFS(TablaTiempos[Tiempo (hr)],TablaTiempos[N° de troquel],Tablageneral14[[#This Row],[N° de Troquel Orden]],TablaTiempos[Actividad],"Puenteado")</f>
        <v>0</v>
      </c>
      <c r="K64" s="34">
        <f>+SUMIFS(TablaTiempos[Tiempo (hr)],TablaTiempos[N° de troquel],Tablageneral14[[#This Row],[N° de Troquel Orden]],TablaTiempos[Actividad],"Calado")</f>
        <v>0</v>
      </c>
      <c r="L64" s="62">
        <f>+SUM(Tablageneral14[[#This Row],[Dibujo (hr)]:[Calado (hr)]])</f>
        <v>0</v>
      </c>
      <c r="M64" s="34">
        <f>+SUMIFS(TablaTiempos[Tiempo (hr)],TablaTiempos[N° de troquel],Tablageneral14[[#This Row],[N° de Troquel Orden]],TablaTiempos[Actividad],"Encuchillado")</f>
        <v>0</v>
      </c>
      <c r="N64" s="34">
        <f>+SUMIFS(TablaTiempos[Tiempo (hr)],TablaTiempos[N° de troquel],Tablageneral14[[#This Row],[N° de Troquel Orden]],TablaTiempos[Actividad],"Engomado")</f>
        <v>0</v>
      </c>
      <c r="O64" s="63">
        <f>+Tablageneral14[[#This Row],[Engomado (hr)]]+Tablageneral14[[#This Row],[Encuchillado]]</f>
        <v>0</v>
      </c>
      <c r="P64" s="61">
        <f>+SUMIFS(TablaConsumos[[CANTIDAD ]],TablaConsumos[N° DE TROQUEL],Tablageneral14[[#This Row],[N° de Troquel Orden]],TablaConsumos[TIPO],"Cuchilla")</f>
        <v>0</v>
      </c>
      <c r="Q64" s="61">
        <f>+SUMIFS(TablaConsumos[[CANTIDAD ]],TablaConsumos[N° DE TROQUEL],Tablageneral14[[#This Row],[N° de Troquel Orden]],TablaConsumos[TIPO],"Score")</f>
        <v>0</v>
      </c>
      <c r="R64" s="63">
        <f>+Tablageneral14[[#This Row],[Escores]]+Tablageneral14[[#This Row],[Cuchillas]]</f>
        <v>0</v>
      </c>
    </row>
    <row r="65" spans="1:18" x14ac:dyDescent="0.25">
      <c r="A65" s="30" t="s">
        <v>884</v>
      </c>
      <c r="B65" s="69" t="s">
        <v>908</v>
      </c>
      <c r="C65" s="70">
        <v>45405</v>
      </c>
      <c r="D65" s="70">
        <v>45405</v>
      </c>
      <c r="E65" s="33">
        <f>Tablageneral14[[#This Row],[Fecha de despacho]]-Tablageneral14[[#This Row],[Fecha de recibo]]</f>
        <v>0</v>
      </c>
      <c r="F65" s="284" t="s">
        <v>1203</v>
      </c>
      <c r="G65" s="68" t="s">
        <v>896</v>
      </c>
      <c r="H65" s="71" t="e">
        <f ca="1">INDEX(#REF!,MATCH(Tablageneral14[[#This Row],[Tipo de trabajo]],TablaTipoTrabajo[especifíco],0))</f>
        <v>#REF!</v>
      </c>
      <c r="I65" s="34">
        <f>+SUMIFS(TablaTiempos[Tiempo (hr)],TablaTiempos[N° de troquel],Tablageneral14[[#This Row],[N° de Troquel Orden]],TablaTiempos[Actividad],"Dibujo")</f>
        <v>0</v>
      </c>
      <c r="J65" s="34">
        <f>+SUMIFS(TablaTiempos[Tiempo (hr)],TablaTiempos[N° de troquel],Tablageneral14[[#This Row],[N° de Troquel Orden]],TablaTiempos[Actividad],"Puenteado")</f>
        <v>0</v>
      </c>
      <c r="K65" s="34">
        <f>+SUMIFS(TablaTiempos[Tiempo (hr)],TablaTiempos[N° de troquel],Tablageneral14[[#This Row],[N° de Troquel Orden]],TablaTiempos[Actividad],"Calado")</f>
        <v>0</v>
      </c>
      <c r="L65" s="62">
        <f>+SUM(Tablageneral14[[#This Row],[Dibujo (hr)]:[Calado (hr)]])</f>
        <v>0</v>
      </c>
      <c r="M65" s="34">
        <f>+SUMIFS(TablaTiempos[Tiempo (hr)],TablaTiempos[N° de troquel],Tablageneral14[[#This Row],[N° de Troquel Orden]],TablaTiempos[Actividad],"Encuchillado")</f>
        <v>0</v>
      </c>
      <c r="N65" s="34">
        <f>+SUMIFS(TablaTiempos[Tiempo (hr)],TablaTiempos[N° de troquel],Tablageneral14[[#This Row],[N° de Troquel Orden]],TablaTiempos[Actividad],"Engomado")</f>
        <v>0</v>
      </c>
      <c r="O65" s="63">
        <f>+Tablageneral14[[#This Row],[Engomado (hr)]]+Tablageneral14[[#This Row],[Encuchillado]]</f>
        <v>0</v>
      </c>
      <c r="P65" s="61">
        <f>+SUMIFS(TablaConsumos[[CANTIDAD ]],TablaConsumos[N° DE TROQUEL],Tablageneral14[[#This Row],[N° de Troquel Orden]],TablaConsumos[TIPO],"Cuchilla")</f>
        <v>0</v>
      </c>
      <c r="Q65" s="61">
        <f>+SUMIFS(TablaConsumos[[CANTIDAD ]],TablaConsumos[N° DE TROQUEL],Tablageneral14[[#This Row],[N° de Troquel Orden]],TablaConsumos[TIPO],"Score")</f>
        <v>0</v>
      </c>
      <c r="R65" s="63">
        <f>+Tablageneral14[[#This Row],[Escores]]+Tablageneral14[[#This Row],[Cuchillas]]</f>
        <v>0</v>
      </c>
    </row>
    <row r="66" spans="1:18" x14ac:dyDescent="0.25">
      <c r="A66" s="30" t="s">
        <v>884</v>
      </c>
      <c r="B66" s="69" t="s">
        <v>908</v>
      </c>
      <c r="C66" s="70">
        <v>45405</v>
      </c>
      <c r="D66" s="70">
        <v>45405</v>
      </c>
      <c r="E66" s="33">
        <f>Tablageneral14[[#This Row],[Fecha de despacho]]-Tablageneral14[[#This Row],[Fecha de recibo]]</f>
        <v>0</v>
      </c>
      <c r="F66" s="284" t="s">
        <v>1204</v>
      </c>
      <c r="G66" s="68" t="s">
        <v>896</v>
      </c>
      <c r="H66" s="71" t="e">
        <f ca="1">INDEX(#REF!,MATCH(Tablageneral14[[#This Row],[Tipo de trabajo]],TablaTipoTrabajo[especifíco],0))</f>
        <v>#REF!</v>
      </c>
      <c r="I66" s="34">
        <f>+SUMIFS(TablaTiempos[Tiempo (hr)],TablaTiempos[N° de troquel],Tablageneral14[[#This Row],[N° de Troquel Orden]],TablaTiempos[Actividad],"Dibujo")</f>
        <v>0</v>
      </c>
      <c r="J66" s="34">
        <f>+SUMIFS(TablaTiempos[Tiempo (hr)],TablaTiempos[N° de troquel],Tablageneral14[[#This Row],[N° de Troquel Orden]],TablaTiempos[Actividad],"Puenteado")</f>
        <v>0</v>
      </c>
      <c r="K66" s="34">
        <f>+SUMIFS(TablaTiempos[Tiempo (hr)],TablaTiempos[N° de troquel],Tablageneral14[[#This Row],[N° de Troquel Orden]],TablaTiempos[Actividad],"Calado")</f>
        <v>0</v>
      </c>
      <c r="L66" s="62">
        <f>+SUM(Tablageneral14[[#This Row],[Dibujo (hr)]:[Calado (hr)]])</f>
        <v>0</v>
      </c>
      <c r="M66" s="34">
        <f>+SUMIFS(TablaTiempos[Tiempo (hr)],TablaTiempos[N° de troquel],Tablageneral14[[#This Row],[N° de Troquel Orden]],TablaTiempos[Actividad],"Encuchillado")</f>
        <v>0</v>
      </c>
      <c r="N66" s="34">
        <f>+SUMIFS(TablaTiempos[Tiempo (hr)],TablaTiempos[N° de troquel],Tablageneral14[[#This Row],[N° de Troquel Orden]],TablaTiempos[Actividad],"Engomado")</f>
        <v>0</v>
      </c>
      <c r="O66" s="63">
        <f>+Tablageneral14[[#This Row],[Engomado (hr)]]+Tablageneral14[[#This Row],[Encuchillado]]</f>
        <v>0</v>
      </c>
      <c r="P66" s="61">
        <f>+SUMIFS(TablaConsumos[[CANTIDAD ]],TablaConsumos[N° DE TROQUEL],Tablageneral14[[#This Row],[N° de Troquel Orden]],TablaConsumos[TIPO],"Cuchilla")</f>
        <v>0</v>
      </c>
      <c r="Q66" s="61">
        <f>+SUMIFS(TablaConsumos[[CANTIDAD ]],TablaConsumos[N° DE TROQUEL],Tablageneral14[[#This Row],[N° de Troquel Orden]],TablaConsumos[TIPO],"Score")</f>
        <v>0</v>
      </c>
      <c r="R66" s="63">
        <f>+Tablageneral14[[#This Row],[Escores]]+Tablageneral14[[#This Row],[Cuchillas]]</f>
        <v>0</v>
      </c>
    </row>
    <row r="67" spans="1:18" x14ac:dyDescent="0.25">
      <c r="A67" s="30" t="s">
        <v>606</v>
      </c>
      <c r="B67" s="69" t="s">
        <v>1196</v>
      </c>
      <c r="C67" s="70">
        <v>45392</v>
      </c>
      <c r="D67" s="70">
        <v>45406</v>
      </c>
      <c r="E67" s="33">
        <f>Tablageneral14[[#This Row],[Fecha de despacho]]-Tablageneral14[[#This Row],[Fecha de recibo]]</f>
        <v>14</v>
      </c>
      <c r="F67" s="284">
        <v>3793</v>
      </c>
      <c r="G67" s="68" t="s">
        <v>891</v>
      </c>
      <c r="H67" s="71" t="e">
        <f>INDEX(#REF!,MATCH(Tablageneral14[[#This Row],[Tipo de trabajo]],TablaTipoTrabajo[especifíco],0))</f>
        <v>#REF!</v>
      </c>
      <c r="I67" s="34">
        <f>+SUMIFS(TablaTiempos[Tiempo (hr)],TablaTiempos[N° de troquel],Tablageneral14[[#This Row],[N° de Troquel Orden]],TablaTiempos[Actividad],"Dibujo")</f>
        <v>0</v>
      </c>
      <c r="J67" s="34">
        <f>+SUMIFS(TablaTiempos[Tiempo (hr)],TablaTiempos[N° de troquel],Tablageneral14[[#This Row],[N° de Troquel Orden]],TablaTiempos[Actividad],"Puenteado")</f>
        <v>0</v>
      </c>
      <c r="K67" s="34">
        <f>+SUMIFS(TablaTiempos[Tiempo (hr)],TablaTiempos[N° de troquel],Tablageneral14[[#This Row],[N° de Troquel Orden]],TablaTiempos[Actividad],"Calado")</f>
        <v>0</v>
      </c>
      <c r="L67" s="62">
        <f>+SUM(Tablageneral14[[#This Row],[Dibujo (hr)]:[Calado (hr)]])</f>
        <v>0</v>
      </c>
      <c r="M67" s="34">
        <f>+SUMIFS(TablaTiempos[Tiempo (hr)],TablaTiempos[N° de troquel],Tablageneral14[[#This Row],[N° de Troquel Orden]],TablaTiempos[Actividad],"Encuchillado")</f>
        <v>0</v>
      </c>
      <c r="N67" s="34">
        <f>+SUMIFS(TablaTiempos[Tiempo (hr)],TablaTiempos[N° de troquel],Tablageneral14[[#This Row],[N° de Troquel Orden]],TablaTiempos[Actividad],"Engomado")</f>
        <v>0</v>
      </c>
      <c r="O67" s="63">
        <f>+Tablageneral14[[#This Row],[Engomado (hr)]]+Tablageneral14[[#This Row],[Encuchillado]]</f>
        <v>0</v>
      </c>
      <c r="P67" s="61">
        <f>+SUMIFS(TablaConsumos[[CANTIDAD ]],TablaConsumos[N° DE TROQUEL],Tablageneral14[[#This Row],[N° de Troquel Orden]],TablaConsumos[TIPO],"Cuchilla")</f>
        <v>0</v>
      </c>
      <c r="Q67" s="61">
        <f>+SUMIFS(TablaConsumos[[CANTIDAD ]],TablaConsumos[N° DE TROQUEL],Tablageneral14[[#This Row],[N° de Troquel Orden]],TablaConsumos[TIPO],"Score")</f>
        <v>0</v>
      </c>
      <c r="R67" s="63">
        <f>+Tablageneral14[[#This Row],[Escores]]+Tablageneral14[[#This Row],[Cuchillas]]</f>
        <v>0</v>
      </c>
    </row>
    <row r="68" spans="1:18" x14ac:dyDescent="0.25">
      <c r="A68" s="30" t="s">
        <v>884</v>
      </c>
      <c r="B68" s="69" t="s">
        <v>908</v>
      </c>
      <c r="C68" s="70">
        <v>45406</v>
      </c>
      <c r="D68" s="70">
        <v>45407</v>
      </c>
      <c r="E68" s="33">
        <f>Tablageneral14[[#This Row],[Fecha de despacho]]-Tablageneral14[[#This Row],[Fecha de recibo]]</f>
        <v>1</v>
      </c>
      <c r="F68" s="284" t="s">
        <v>1205</v>
      </c>
      <c r="G68" s="68" t="s">
        <v>896</v>
      </c>
      <c r="H68" s="71" t="e">
        <f ca="1">INDEX(#REF!,MATCH(Tablageneral14[[#This Row],[Tipo de trabajo]],TablaTipoTrabajo[especifíco],0))</f>
        <v>#REF!</v>
      </c>
      <c r="I68" s="34">
        <f>+SUMIFS(TablaTiempos[Tiempo (hr)],TablaTiempos[N° de troquel],Tablageneral14[[#This Row],[N° de Troquel Orden]],TablaTiempos[Actividad],"Dibujo")</f>
        <v>0</v>
      </c>
      <c r="J68" s="34">
        <f>+SUMIFS(TablaTiempos[Tiempo (hr)],TablaTiempos[N° de troquel],Tablageneral14[[#This Row],[N° de Troquel Orden]],TablaTiempos[Actividad],"Puenteado")</f>
        <v>0</v>
      </c>
      <c r="K68" s="34">
        <f>+SUMIFS(TablaTiempos[Tiempo (hr)],TablaTiempos[N° de troquel],Tablageneral14[[#This Row],[N° de Troquel Orden]],TablaTiempos[Actividad],"Calado")</f>
        <v>0</v>
      </c>
      <c r="L68" s="62">
        <f>+SUM(Tablageneral14[[#This Row],[Dibujo (hr)]:[Calado (hr)]])</f>
        <v>0</v>
      </c>
      <c r="M68" s="34">
        <f>+SUMIFS(TablaTiempos[Tiempo (hr)],TablaTiempos[N° de troquel],Tablageneral14[[#This Row],[N° de Troquel Orden]],TablaTiempos[Actividad],"Encuchillado")</f>
        <v>0</v>
      </c>
      <c r="N68" s="34">
        <f>+SUMIFS(TablaTiempos[Tiempo (hr)],TablaTiempos[N° de troquel],Tablageneral14[[#This Row],[N° de Troquel Orden]],TablaTiempos[Actividad],"Engomado")</f>
        <v>0</v>
      </c>
      <c r="O68" s="63">
        <f>+Tablageneral14[[#This Row],[Engomado (hr)]]+Tablageneral14[[#This Row],[Encuchillado]]</f>
        <v>0</v>
      </c>
      <c r="P68" s="61">
        <f>+SUMIFS(TablaConsumos[[CANTIDAD ]],TablaConsumos[N° DE TROQUEL],Tablageneral14[[#This Row],[N° de Troquel Orden]],TablaConsumos[TIPO],"Cuchilla")</f>
        <v>0</v>
      </c>
      <c r="Q68" s="61">
        <f>+SUMIFS(TablaConsumos[[CANTIDAD ]],TablaConsumos[N° DE TROQUEL],Tablageneral14[[#This Row],[N° de Troquel Orden]],TablaConsumos[TIPO],"Score")</f>
        <v>0</v>
      </c>
      <c r="R68" s="63">
        <f>+Tablageneral14[[#This Row],[Escores]]+Tablageneral14[[#This Row],[Cuchillas]]</f>
        <v>0</v>
      </c>
    </row>
    <row r="69" spans="1:18" x14ac:dyDescent="0.25">
      <c r="A69" s="30" t="s">
        <v>884</v>
      </c>
      <c r="B69" s="69" t="s">
        <v>1206</v>
      </c>
      <c r="C69" s="70">
        <v>45404</v>
      </c>
      <c r="D69" s="70">
        <v>45406</v>
      </c>
      <c r="E69" s="33">
        <f>Tablageneral14[[#This Row],[Fecha de despacho]]-Tablageneral14[[#This Row],[Fecha de recibo]]</f>
        <v>2</v>
      </c>
      <c r="F69" s="284" t="s">
        <v>1207</v>
      </c>
      <c r="G69" s="68" t="s">
        <v>897</v>
      </c>
      <c r="H69" s="71" t="e">
        <f>INDEX(#REF!,MATCH(Tablageneral14[[#This Row],[Tipo de trabajo]],TablaTipoTrabajo[especifíco],0))</f>
        <v>#REF!</v>
      </c>
      <c r="I69" s="34">
        <f>+SUMIFS(TablaTiempos[Tiempo (hr)],TablaTiempos[N° de troquel],Tablageneral14[[#This Row],[N° de Troquel Orden]],TablaTiempos[Actividad],"Dibujo")</f>
        <v>0</v>
      </c>
      <c r="J69" s="34">
        <f>+SUMIFS(TablaTiempos[Tiempo (hr)],TablaTiempos[N° de troquel],Tablageneral14[[#This Row],[N° de Troquel Orden]],TablaTiempos[Actividad],"Puenteado")</f>
        <v>0</v>
      </c>
      <c r="K69" s="34">
        <f>+SUMIFS(TablaTiempos[Tiempo (hr)],TablaTiempos[N° de troquel],Tablageneral14[[#This Row],[N° de Troquel Orden]],TablaTiempos[Actividad],"Calado")</f>
        <v>0</v>
      </c>
      <c r="L69" s="62">
        <f>+SUM(Tablageneral14[[#This Row],[Dibujo (hr)]:[Calado (hr)]])</f>
        <v>0</v>
      </c>
      <c r="M69" s="34">
        <f>+SUMIFS(TablaTiempos[Tiempo (hr)],TablaTiempos[N° de troquel],Tablageneral14[[#This Row],[N° de Troquel Orden]],TablaTiempos[Actividad],"Encuchillado")</f>
        <v>0</v>
      </c>
      <c r="N69" s="34">
        <f>+SUMIFS(TablaTiempos[Tiempo (hr)],TablaTiempos[N° de troquel],Tablageneral14[[#This Row],[N° de Troquel Orden]],TablaTiempos[Actividad],"Engomado")</f>
        <v>0</v>
      </c>
      <c r="O69" s="63">
        <f>+Tablageneral14[[#This Row],[Engomado (hr)]]+Tablageneral14[[#This Row],[Encuchillado]]</f>
        <v>0</v>
      </c>
      <c r="P69" s="61">
        <f>+SUMIFS(TablaConsumos[[CANTIDAD ]],TablaConsumos[N° DE TROQUEL],Tablageneral14[[#This Row],[N° de Troquel Orden]],TablaConsumos[TIPO],"Cuchilla")</f>
        <v>0</v>
      </c>
      <c r="Q69" s="61">
        <f>+SUMIFS(TablaConsumos[[CANTIDAD ]],TablaConsumos[N° DE TROQUEL],Tablageneral14[[#This Row],[N° de Troquel Orden]],TablaConsumos[TIPO],"Score")</f>
        <v>0</v>
      </c>
      <c r="R69" s="63">
        <f>+Tablageneral14[[#This Row],[Escores]]+Tablageneral14[[#This Row],[Cuchillas]]</f>
        <v>0</v>
      </c>
    </row>
    <row r="70" spans="1:18" x14ac:dyDescent="0.25">
      <c r="A70" s="30" t="s">
        <v>602</v>
      </c>
      <c r="B70" s="69" t="s">
        <v>950</v>
      </c>
      <c r="C70" s="70">
        <v>45400</v>
      </c>
      <c r="D70" s="70">
        <v>45407</v>
      </c>
      <c r="E70" s="33">
        <f>Tablageneral14[[#This Row],[Fecha de despacho]]-Tablageneral14[[#This Row],[Fecha de recibo]]</f>
        <v>7</v>
      </c>
      <c r="F70" s="284">
        <v>3560</v>
      </c>
      <c r="G70" s="68" t="s">
        <v>894</v>
      </c>
      <c r="H70" s="71" t="e">
        <f>INDEX(#REF!,MATCH(Tablageneral14[[#This Row],[Tipo de trabajo]],TablaTipoTrabajo[especifíco],0))</f>
        <v>#REF!</v>
      </c>
      <c r="I70" s="34">
        <f>+SUMIFS(TablaTiempos[Tiempo (hr)],TablaTiempos[N° de troquel],Tablageneral14[[#This Row],[N° de Troquel Orden]],TablaTiempos[Actividad],"Dibujo")</f>
        <v>0</v>
      </c>
      <c r="J70" s="34">
        <f>+SUMIFS(TablaTiempos[Tiempo (hr)],TablaTiempos[N° de troquel],Tablageneral14[[#This Row],[N° de Troquel Orden]],TablaTiempos[Actividad],"Puenteado")</f>
        <v>0</v>
      </c>
      <c r="K70" s="34">
        <f>+SUMIFS(TablaTiempos[Tiempo (hr)],TablaTiempos[N° de troquel],Tablageneral14[[#This Row],[N° de Troquel Orden]],TablaTiempos[Actividad],"Calado")</f>
        <v>0</v>
      </c>
      <c r="L70" s="62">
        <f>+SUM(Tablageneral14[[#This Row],[Dibujo (hr)]:[Calado (hr)]])</f>
        <v>0</v>
      </c>
      <c r="M70" s="34">
        <f>+SUMIFS(TablaTiempos[Tiempo (hr)],TablaTiempos[N° de troquel],Tablageneral14[[#This Row],[N° de Troquel Orden]],TablaTiempos[Actividad],"Encuchillado")</f>
        <v>0</v>
      </c>
      <c r="N70" s="34">
        <f>+SUMIFS(TablaTiempos[Tiempo (hr)],TablaTiempos[N° de troquel],Tablageneral14[[#This Row],[N° de Troquel Orden]],TablaTiempos[Actividad],"Engomado")</f>
        <v>0</v>
      </c>
      <c r="O70" s="63">
        <f>+Tablageneral14[[#This Row],[Engomado (hr)]]+Tablageneral14[[#This Row],[Encuchillado]]</f>
        <v>0</v>
      </c>
      <c r="P70" s="61">
        <f>+SUMIFS(TablaConsumos[[CANTIDAD ]],TablaConsumos[N° DE TROQUEL],Tablageneral14[[#This Row],[N° de Troquel Orden]],TablaConsumos[TIPO],"Cuchilla")</f>
        <v>0</v>
      </c>
      <c r="Q70" s="61">
        <f>+SUMIFS(TablaConsumos[[CANTIDAD ]],TablaConsumos[N° DE TROQUEL],Tablageneral14[[#This Row],[N° de Troquel Orden]],TablaConsumos[TIPO],"Score")</f>
        <v>0</v>
      </c>
      <c r="R70" s="63">
        <f>+Tablageneral14[[#This Row],[Escores]]+Tablageneral14[[#This Row],[Cuchillas]]</f>
        <v>0</v>
      </c>
    </row>
    <row r="71" spans="1:18" x14ac:dyDescent="0.25">
      <c r="A71" s="30" t="s">
        <v>602</v>
      </c>
      <c r="B71" s="286" t="s">
        <v>1212</v>
      </c>
      <c r="C71" s="287" t="s">
        <v>1209</v>
      </c>
      <c r="D71" s="287" t="s">
        <v>1210</v>
      </c>
      <c r="E71" s="33">
        <f>Tablageneral14[[#This Row],[Fecha de despacho]]-Tablageneral14[[#This Row],[Fecha de recibo]]</f>
        <v>14</v>
      </c>
      <c r="F71" s="294" t="s">
        <v>1212</v>
      </c>
      <c r="G71" s="288" t="s">
        <v>1211</v>
      </c>
      <c r="H71" s="289" t="s">
        <v>1213</v>
      </c>
      <c r="I71" s="288">
        <f>+SUMIFS(TablaTiempos[Tiempo (hr)],TablaTiempos[N° de troquel],Tablageneral14[[#This Row],[N° de Troquel Orden]],TablaTiempos[Actividad],"Dibujo")</f>
        <v>0</v>
      </c>
      <c r="J71" s="290">
        <f>+SUMIFS(TablaTiempos[Tiempo (hr)],TablaTiempos[N° de troquel],Tablageneral14[[#This Row],[N° de Troquel Orden]],TablaTiempos[Actividad],"Puenteado")</f>
        <v>0</v>
      </c>
      <c r="K71" s="290">
        <f>+SUMIFS(TablaTiempos[Tiempo (hr)],TablaTiempos[N° de troquel],Tablageneral14[[#This Row],[N° de Troquel Orden]],TablaTiempos[Actividad],"Calado")</f>
        <v>0</v>
      </c>
      <c r="L71" s="291">
        <f>+SUM(Tablageneral14[[#This Row],[Dibujo (hr)]:[Calado (hr)]])</f>
        <v>0</v>
      </c>
      <c r="M71" s="290">
        <f>+SUMIFS(TablaTiempos[Tiempo (hr)],TablaTiempos[N° de troquel],Tablageneral14[[#This Row],[N° de Troquel Orden]],TablaTiempos[Actividad],"Encuchillado")</f>
        <v>0</v>
      </c>
      <c r="N71" s="288">
        <f>+SUMIFS(TablaTiempos[Tiempo (hr)],TablaTiempos[N° de troquel],Tablageneral14[[#This Row],[N° de Troquel Orden]],TablaTiempos[Actividad],"Engomado")</f>
        <v>0</v>
      </c>
      <c r="O71" s="292">
        <f>+Tablageneral14[[#This Row],[Engomado (hr)]]+Tablageneral14[[#This Row],[Encuchillado]]</f>
        <v>0</v>
      </c>
      <c r="P71" s="293">
        <f>+SUMIFS(TablaConsumos[[CANTIDAD ]],TablaConsumos[N° DE TROQUEL],Tablageneral14[[#This Row],[N° de Troquel Orden]],TablaConsumos[TIPO],"Cuchilla")</f>
        <v>0</v>
      </c>
      <c r="Q71" s="290">
        <f>+SUMIFS(TablaConsumos[[CANTIDAD ]],TablaConsumos[N° DE TROQUEL],Tablageneral14[[#This Row],[N° de Troquel Orden]],TablaConsumos[TIPO],"Score")</f>
        <v>0</v>
      </c>
      <c r="R71" s="291">
        <f>+Tablageneral14[[#This Row],[Escores]]+Tablageneral14[[#This Row],[Cuchillas]]</f>
        <v>0</v>
      </c>
    </row>
    <row r="72" spans="1:18" x14ac:dyDescent="0.25">
      <c r="A72" s="1" t="s">
        <v>884</v>
      </c>
      <c r="B72" s="237" t="s">
        <v>908</v>
      </c>
      <c r="C72" s="238">
        <v>45404</v>
      </c>
      <c r="D72" s="238">
        <v>45408</v>
      </c>
      <c r="E72" s="239">
        <f>Tablageneral14[[#This Row],[Fecha de despacho]]-Tablageneral14[[#This Row],[Fecha de recibo]]</f>
        <v>4</v>
      </c>
      <c r="F72" s="285" t="s">
        <v>1208</v>
      </c>
      <c r="G72" s="240" t="s">
        <v>896</v>
      </c>
      <c r="H72" s="241" t="e">
        <f ca="1">INDEX(#REF!,MATCH(Tablageneral14[[#This Row],[Tipo de trabajo]],TablaTipoTrabajo[especifíco],0))</f>
        <v>#REF!</v>
      </c>
      <c r="I72" s="34">
        <f>+SUMIFS(TablaTiempos[Tiempo (hr)],TablaTiempos[N° de troquel],Tablageneral14[[#This Row],[N° de Troquel Orden]],TablaTiempos[Actividad],"Dibujo")</f>
        <v>0</v>
      </c>
      <c r="J72" s="34">
        <f>+SUMIFS(TablaTiempos[Tiempo (hr)],TablaTiempos[N° de troquel],Tablageneral14[[#This Row],[N° de Troquel Orden]],TablaTiempos[Actividad],"Puenteado")</f>
        <v>0</v>
      </c>
      <c r="K72" s="34">
        <f>+SUMIFS(TablaTiempos[Tiempo (hr)],TablaTiempos[N° de troquel],Tablageneral14[[#This Row],[N° de Troquel Orden]],TablaTiempos[Actividad],"Calado")</f>
        <v>0</v>
      </c>
      <c r="L72" s="62">
        <f>+SUM(Tablageneral14[[#This Row],[Dibujo (hr)]:[Calado (hr)]])</f>
        <v>0</v>
      </c>
      <c r="M72" s="34">
        <f>+SUMIFS(TablaTiempos[Tiempo (hr)],TablaTiempos[N° de troquel],Tablageneral14[[#This Row],[N° de Troquel Orden]],TablaTiempos[Actividad],"Encuchillado")</f>
        <v>0</v>
      </c>
      <c r="N72" s="34">
        <f>+SUMIFS(TablaTiempos[Tiempo (hr)],TablaTiempos[N° de troquel],Tablageneral14[[#This Row],[N° de Troquel Orden]],TablaTiempos[Actividad],"Engomado")</f>
        <v>0</v>
      </c>
      <c r="O72" s="63">
        <f>+Tablageneral14[[#This Row],[Engomado (hr)]]+Tablageneral14[[#This Row],[Encuchillado]]</f>
        <v>0</v>
      </c>
      <c r="P72" s="61">
        <f>+SUMIFS(TablaConsumos[[CANTIDAD ]],TablaConsumos[N° DE TROQUEL],Tablageneral14[[#This Row],[N° de Troquel Orden]],TablaConsumos[TIPO],"Cuchilla")</f>
        <v>0</v>
      </c>
      <c r="Q72" s="61">
        <f>+SUMIFS(TablaConsumos[[CANTIDAD ]],TablaConsumos[N° DE TROQUEL],Tablageneral14[[#This Row],[N° de Troquel Orden]],TablaConsumos[TIPO],"Score")</f>
        <v>0</v>
      </c>
      <c r="R72" s="63">
        <f>+Tablageneral14[[#This Row],[Escores]]+Tablageneral14[[#This Row],[Cuchillas]]</f>
        <v>0</v>
      </c>
    </row>
  </sheetData>
  <mergeCells count="1">
    <mergeCell ref="A1:S1"/>
  </mergeCells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Data!K$2:K$11</xm:f>
          </x14:formula1>
          <xm:sqref>A44:A72 A3:A42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L88"/>
  <sheetViews>
    <sheetView workbookViewId="0">
      <selection sqref="A1:L88"/>
    </sheetView>
  </sheetViews>
  <sheetFormatPr baseColWidth="10" defaultRowHeight="15" x14ac:dyDescent="0.25"/>
  <cols>
    <col min="1" max="1" width="12.85546875" bestFit="1" customWidth="1"/>
    <col min="2" max="2" width="17.42578125" bestFit="1" customWidth="1"/>
    <col min="3" max="3" width="29.140625" bestFit="1" customWidth="1"/>
    <col min="4" max="4" width="15.140625" bestFit="1" customWidth="1"/>
    <col min="5" max="5" width="34.85546875" bestFit="1" customWidth="1"/>
    <col min="6" max="6" width="12.5703125" bestFit="1" customWidth="1"/>
    <col min="7" max="7" width="13.28515625" customWidth="1"/>
    <col min="8" max="8" width="50.28515625" bestFit="1" customWidth="1"/>
    <col min="9" max="9" width="19" bestFit="1" customWidth="1"/>
    <col min="10" max="10" width="20" bestFit="1" customWidth="1"/>
    <col min="11" max="11" width="8.85546875" bestFit="1" customWidth="1"/>
    <col min="12" max="12" width="10" bestFit="1" customWidth="1"/>
  </cols>
  <sheetData>
    <row r="1" spans="1:12" ht="30" x14ac:dyDescent="0.25">
      <c r="A1" t="s">
        <v>1217</v>
      </c>
      <c r="B1" t="s">
        <v>1218</v>
      </c>
      <c r="C1" t="s">
        <v>1219</v>
      </c>
      <c r="D1" t="s">
        <v>1220</v>
      </c>
      <c r="E1" t="s">
        <v>1221</v>
      </c>
      <c r="F1" t="s">
        <v>1222</v>
      </c>
      <c r="G1" t="s">
        <v>1223</v>
      </c>
      <c r="H1" t="s">
        <v>1224</v>
      </c>
      <c r="I1" t="s">
        <v>1225</v>
      </c>
      <c r="J1" t="s">
        <v>1226</v>
      </c>
      <c r="K1" s="307" t="s">
        <v>1227</v>
      </c>
      <c r="L1" t="s">
        <v>1228</v>
      </c>
    </row>
    <row r="2" spans="1:12" x14ac:dyDescent="0.25">
      <c r="A2" t="s">
        <v>1280</v>
      </c>
      <c r="B2" s="29">
        <v>45481</v>
      </c>
      <c r="C2" s="29">
        <v>45502</v>
      </c>
      <c r="D2" t="s">
        <v>601</v>
      </c>
      <c r="E2" t="s">
        <v>922</v>
      </c>
      <c r="F2" t="s">
        <v>896</v>
      </c>
      <c r="G2" t="s">
        <v>1229</v>
      </c>
      <c r="I2">
        <v>21</v>
      </c>
      <c r="J2">
        <v>21</v>
      </c>
      <c r="K2" t="s">
        <v>1230</v>
      </c>
    </row>
    <row r="3" spans="1:12" x14ac:dyDescent="0.25">
      <c r="A3" t="s">
        <v>1284</v>
      </c>
      <c r="B3" s="29">
        <v>45485</v>
      </c>
      <c r="C3" s="29">
        <v>45503</v>
      </c>
      <c r="D3" t="s">
        <v>601</v>
      </c>
      <c r="E3" t="s">
        <v>1111</v>
      </c>
      <c r="F3" t="s">
        <v>897</v>
      </c>
      <c r="G3" t="s">
        <v>1254</v>
      </c>
      <c r="I3">
        <v>18</v>
      </c>
      <c r="J3">
        <v>18</v>
      </c>
      <c r="K3" t="s">
        <v>1230</v>
      </c>
    </row>
    <row r="4" spans="1:12" x14ac:dyDescent="0.25">
      <c r="A4">
        <v>3437</v>
      </c>
      <c r="B4" s="29">
        <v>45488</v>
      </c>
      <c r="C4" s="29">
        <v>45505</v>
      </c>
      <c r="D4" t="s">
        <v>606</v>
      </c>
      <c r="E4" t="s">
        <v>989</v>
      </c>
      <c r="F4" t="s">
        <v>905</v>
      </c>
      <c r="G4" t="s">
        <v>1273</v>
      </c>
      <c r="I4">
        <v>17</v>
      </c>
      <c r="J4">
        <v>17</v>
      </c>
      <c r="K4" t="s">
        <v>1230</v>
      </c>
    </row>
    <row r="5" spans="1:12" x14ac:dyDescent="0.25">
      <c r="A5" t="s">
        <v>1287</v>
      </c>
      <c r="B5" s="29">
        <v>45488</v>
      </c>
      <c r="C5" s="29">
        <v>45507</v>
      </c>
      <c r="D5" t="s">
        <v>606</v>
      </c>
      <c r="E5" t="s">
        <v>990</v>
      </c>
      <c r="F5" t="s">
        <v>905</v>
      </c>
      <c r="G5" t="s">
        <v>1273</v>
      </c>
      <c r="I5">
        <v>19</v>
      </c>
      <c r="J5">
        <v>19</v>
      </c>
      <c r="K5" t="s">
        <v>1230</v>
      </c>
    </row>
    <row r="6" spans="1:12" x14ac:dyDescent="0.25">
      <c r="A6">
        <v>3334</v>
      </c>
      <c r="B6" s="29">
        <v>45488</v>
      </c>
      <c r="C6" s="29">
        <v>45507</v>
      </c>
      <c r="D6" t="s">
        <v>606</v>
      </c>
      <c r="E6" t="s">
        <v>989</v>
      </c>
      <c r="F6" t="s">
        <v>905</v>
      </c>
      <c r="G6" t="s">
        <v>1273</v>
      </c>
      <c r="I6">
        <v>19</v>
      </c>
      <c r="J6">
        <v>19</v>
      </c>
      <c r="K6" t="s">
        <v>1230</v>
      </c>
    </row>
    <row r="7" spans="1:12" x14ac:dyDescent="0.25">
      <c r="A7">
        <v>3673</v>
      </c>
      <c r="B7" s="29">
        <v>45489</v>
      </c>
      <c r="C7" s="29">
        <v>45509</v>
      </c>
      <c r="D7" t="s">
        <v>602</v>
      </c>
      <c r="E7" t="s">
        <v>950</v>
      </c>
      <c r="F7" t="s">
        <v>890</v>
      </c>
      <c r="G7" t="s">
        <v>1267</v>
      </c>
      <c r="I7">
        <v>20</v>
      </c>
      <c r="J7">
        <v>20</v>
      </c>
      <c r="K7" t="s">
        <v>1230</v>
      </c>
    </row>
    <row r="8" spans="1:12" x14ac:dyDescent="0.25">
      <c r="A8" t="s">
        <v>1290</v>
      </c>
      <c r="B8" s="29">
        <v>45489</v>
      </c>
      <c r="C8" s="29">
        <v>45510</v>
      </c>
      <c r="D8" t="s">
        <v>603</v>
      </c>
      <c r="E8" t="s">
        <v>1291</v>
      </c>
      <c r="F8" t="s">
        <v>905</v>
      </c>
      <c r="G8" t="s">
        <v>1279</v>
      </c>
      <c r="I8">
        <v>21</v>
      </c>
      <c r="J8">
        <v>21</v>
      </c>
      <c r="K8" t="s">
        <v>1230</v>
      </c>
    </row>
    <row r="9" spans="1:12" x14ac:dyDescent="0.25">
      <c r="A9" t="s">
        <v>1292</v>
      </c>
      <c r="B9" s="29">
        <v>45489</v>
      </c>
      <c r="C9" s="29">
        <v>45511</v>
      </c>
      <c r="D9" t="s">
        <v>603</v>
      </c>
      <c r="E9" t="s">
        <v>1293</v>
      </c>
      <c r="F9" t="s">
        <v>905</v>
      </c>
      <c r="G9" t="s">
        <v>1294</v>
      </c>
      <c r="I9">
        <v>22</v>
      </c>
      <c r="J9">
        <v>22</v>
      </c>
      <c r="K9" t="s">
        <v>1230</v>
      </c>
    </row>
    <row r="10" spans="1:12" x14ac:dyDescent="0.25">
      <c r="A10" t="s">
        <v>1295</v>
      </c>
      <c r="B10" s="29">
        <v>45489</v>
      </c>
      <c r="C10" s="29">
        <v>45512</v>
      </c>
      <c r="D10" t="s">
        <v>603</v>
      </c>
      <c r="E10" t="s">
        <v>1296</v>
      </c>
      <c r="F10" t="s">
        <v>905</v>
      </c>
      <c r="G10" t="s">
        <v>1294</v>
      </c>
      <c r="I10">
        <v>23</v>
      </c>
      <c r="J10">
        <v>23</v>
      </c>
      <c r="K10" t="s">
        <v>1230</v>
      </c>
    </row>
    <row r="11" spans="1:12" x14ac:dyDescent="0.25">
      <c r="A11" t="s">
        <v>1297</v>
      </c>
      <c r="B11" s="29">
        <v>45490</v>
      </c>
      <c r="C11" s="29">
        <v>45512</v>
      </c>
      <c r="D11" t="s">
        <v>603</v>
      </c>
      <c r="E11" t="s">
        <v>1019</v>
      </c>
      <c r="F11" t="s">
        <v>890</v>
      </c>
      <c r="G11" t="s">
        <v>1283</v>
      </c>
      <c r="I11">
        <v>22</v>
      </c>
      <c r="J11">
        <v>22</v>
      </c>
      <c r="K11" t="s">
        <v>1230</v>
      </c>
    </row>
    <row r="12" spans="1:12" x14ac:dyDescent="0.25">
      <c r="A12">
        <v>3674</v>
      </c>
      <c r="B12" s="29">
        <v>45490</v>
      </c>
      <c r="C12" s="29">
        <v>45513</v>
      </c>
      <c r="D12" t="s">
        <v>602</v>
      </c>
      <c r="E12" t="s">
        <v>1298</v>
      </c>
      <c r="F12" t="s">
        <v>895</v>
      </c>
      <c r="G12" t="s">
        <v>1231</v>
      </c>
      <c r="I12">
        <v>23</v>
      </c>
      <c r="J12">
        <v>23</v>
      </c>
      <c r="K12" t="s">
        <v>1230</v>
      </c>
    </row>
    <row r="13" spans="1:12" x14ac:dyDescent="0.25">
      <c r="A13" t="s">
        <v>1299</v>
      </c>
      <c r="B13" s="29">
        <v>45490</v>
      </c>
      <c r="C13" s="29">
        <v>45514</v>
      </c>
      <c r="D13" t="s">
        <v>603</v>
      </c>
      <c r="E13" t="s">
        <v>856</v>
      </c>
      <c r="F13" t="s">
        <v>905</v>
      </c>
      <c r="G13" t="s">
        <v>1246</v>
      </c>
      <c r="I13">
        <v>24</v>
      </c>
      <c r="J13">
        <v>24</v>
      </c>
      <c r="K13" t="s">
        <v>1230</v>
      </c>
    </row>
    <row r="14" spans="1:12" x14ac:dyDescent="0.25">
      <c r="A14" t="s">
        <v>1300</v>
      </c>
      <c r="B14" s="29">
        <v>45491</v>
      </c>
      <c r="C14" s="29">
        <v>45514</v>
      </c>
      <c r="D14" t="s">
        <v>603</v>
      </c>
      <c r="E14" t="s">
        <v>938</v>
      </c>
      <c r="F14" t="s">
        <v>890</v>
      </c>
      <c r="G14" t="s">
        <v>1236</v>
      </c>
      <c r="I14">
        <v>23</v>
      </c>
      <c r="J14">
        <v>23</v>
      </c>
      <c r="K14" t="s">
        <v>1230</v>
      </c>
    </row>
    <row r="15" spans="1:12" x14ac:dyDescent="0.25">
      <c r="A15" t="s">
        <v>1308</v>
      </c>
      <c r="B15" s="29">
        <v>45491</v>
      </c>
      <c r="C15" s="29"/>
      <c r="D15" t="s">
        <v>603</v>
      </c>
      <c r="E15" t="s">
        <v>1001</v>
      </c>
      <c r="F15" t="s">
        <v>890</v>
      </c>
      <c r="G15" t="s">
        <v>1302</v>
      </c>
      <c r="I15">
        <v>-45491</v>
      </c>
      <c r="J15">
        <v>-45491</v>
      </c>
      <c r="K15" t="s">
        <v>1230</v>
      </c>
    </row>
    <row r="16" spans="1:12" x14ac:dyDescent="0.25">
      <c r="A16" t="s">
        <v>1304</v>
      </c>
      <c r="B16" s="29">
        <v>45492</v>
      </c>
      <c r="C16" s="29"/>
      <c r="D16" t="s">
        <v>601</v>
      </c>
      <c r="E16" t="s">
        <v>922</v>
      </c>
      <c r="F16" t="s">
        <v>890</v>
      </c>
      <c r="G16" t="s">
        <v>1229</v>
      </c>
      <c r="I16">
        <v>-45492</v>
      </c>
      <c r="J16">
        <v>-45492</v>
      </c>
      <c r="K16" t="s">
        <v>1230</v>
      </c>
    </row>
    <row r="17" spans="1:11" x14ac:dyDescent="0.25">
      <c r="A17">
        <v>3676</v>
      </c>
      <c r="B17" s="29">
        <v>45492</v>
      </c>
      <c r="C17" s="29"/>
      <c r="D17" t="s">
        <v>602</v>
      </c>
      <c r="E17" t="s">
        <v>1305</v>
      </c>
      <c r="F17" t="s">
        <v>897</v>
      </c>
      <c r="G17" t="s">
        <v>1255</v>
      </c>
      <c r="I17">
        <v>-45492</v>
      </c>
      <c r="J17">
        <v>-45492</v>
      </c>
      <c r="K17" t="s">
        <v>1230</v>
      </c>
    </row>
    <row r="18" spans="1:11" x14ac:dyDescent="0.25">
      <c r="A18" t="s">
        <v>1306</v>
      </c>
      <c r="B18" s="29">
        <v>45492</v>
      </c>
      <c r="C18" s="29"/>
      <c r="D18" t="s">
        <v>601</v>
      </c>
      <c r="E18" t="s">
        <v>922</v>
      </c>
      <c r="F18" t="s">
        <v>890</v>
      </c>
      <c r="G18" t="s">
        <v>1229</v>
      </c>
      <c r="I18">
        <v>-45492</v>
      </c>
      <c r="J18">
        <v>-45492</v>
      </c>
      <c r="K18" t="s">
        <v>1230</v>
      </c>
    </row>
    <row r="19" spans="1:11" x14ac:dyDescent="0.25">
      <c r="A19" t="s">
        <v>1307</v>
      </c>
      <c r="B19" s="29">
        <v>45492</v>
      </c>
      <c r="C19" s="29"/>
      <c r="D19" t="s">
        <v>601</v>
      </c>
      <c r="E19" t="s">
        <v>1175</v>
      </c>
      <c r="F19" t="s">
        <v>890</v>
      </c>
      <c r="G19" t="s">
        <v>1229</v>
      </c>
      <c r="I19">
        <v>-45492</v>
      </c>
      <c r="J19">
        <v>-45492</v>
      </c>
      <c r="K19" t="s">
        <v>1230</v>
      </c>
    </row>
    <row r="20" spans="1:11" x14ac:dyDescent="0.25">
      <c r="A20">
        <v>3450</v>
      </c>
      <c r="B20" s="29">
        <v>45493</v>
      </c>
      <c r="C20" s="29"/>
      <c r="D20" t="s">
        <v>606</v>
      </c>
      <c r="E20" t="s">
        <v>1309</v>
      </c>
      <c r="F20" t="s">
        <v>905</v>
      </c>
      <c r="G20" t="s">
        <v>1273</v>
      </c>
      <c r="I20">
        <v>-45493</v>
      </c>
      <c r="J20">
        <v>-45493</v>
      </c>
      <c r="K20" t="s">
        <v>1230</v>
      </c>
    </row>
    <row r="21" spans="1:11" x14ac:dyDescent="0.25">
      <c r="A21" t="s">
        <v>1301</v>
      </c>
      <c r="B21" s="29">
        <v>45495</v>
      </c>
      <c r="C21" s="29"/>
      <c r="D21" t="s">
        <v>603</v>
      </c>
      <c r="E21" t="s">
        <v>1002</v>
      </c>
      <c r="F21" t="s">
        <v>890</v>
      </c>
      <c r="G21" t="s">
        <v>1279</v>
      </c>
      <c r="H21" t="s">
        <v>1310</v>
      </c>
      <c r="I21">
        <v>-45495</v>
      </c>
      <c r="J21">
        <v>-45495</v>
      </c>
      <c r="K21" t="s">
        <v>1230</v>
      </c>
    </row>
    <row r="22" spans="1:11" x14ac:dyDescent="0.25">
      <c r="A22" t="s">
        <v>1311</v>
      </c>
      <c r="B22" s="29">
        <v>45495</v>
      </c>
      <c r="C22" s="29"/>
      <c r="D22" t="s">
        <v>603</v>
      </c>
      <c r="E22" t="s">
        <v>856</v>
      </c>
      <c r="F22" t="s">
        <v>905</v>
      </c>
      <c r="G22" t="s">
        <v>1246</v>
      </c>
      <c r="I22">
        <v>-45495</v>
      </c>
      <c r="J22">
        <v>-45495</v>
      </c>
      <c r="K22" t="s">
        <v>1230</v>
      </c>
    </row>
    <row r="23" spans="1:11" x14ac:dyDescent="0.25">
      <c r="A23">
        <v>3677</v>
      </c>
      <c r="B23" s="29">
        <v>45495</v>
      </c>
      <c r="C23" s="29"/>
      <c r="D23" t="s">
        <v>602</v>
      </c>
      <c r="E23" t="s">
        <v>941</v>
      </c>
      <c r="F23" t="s">
        <v>894</v>
      </c>
      <c r="G23" t="s">
        <v>1255</v>
      </c>
      <c r="I23">
        <v>-45495</v>
      </c>
      <c r="J23">
        <v>-45495</v>
      </c>
      <c r="K23" t="s">
        <v>1230</v>
      </c>
    </row>
    <row r="24" spans="1:11" x14ac:dyDescent="0.25">
      <c r="A24">
        <v>3636</v>
      </c>
      <c r="B24" s="29">
        <v>45496</v>
      </c>
      <c r="C24" s="29"/>
      <c r="D24" t="s">
        <v>602</v>
      </c>
      <c r="E24" t="s">
        <v>985</v>
      </c>
      <c r="F24" t="s">
        <v>897</v>
      </c>
      <c r="G24" t="s">
        <v>1231</v>
      </c>
      <c r="I24">
        <v>-45496</v>
      </c>
      <c r="J24">
        <v>-45496</v>
      </c>
      <c r="K24" t="s">
        <v>1230</v>
      </c>
    </row>
    <row r="25" spans="1:11" x14ac:dyDescent="0.25">
      <c r="A25">
        <v>3033</v>
      </c>
      <c r="B25" s="29">
        <v>45497</v>
      </c>
      <c r="C25" s="29"/>
      <c r="D25" t="s">
        <v>606</v>
      </c>
      <c r="E25" t="s">
        <v>1312</v>
      </c>
      <c r="F25" t="s">
        <v>890</v>
      </c>
      <c r="G25" t="s">
        <v>1264</v>
      </c>
      <c r="I25">
        <v>-45497</v>
      </c>
      <c r="J25">
        <v>-45497</v>
      </c>
      <c r="K25" t="s">
        <v>1230</v>
      </c>
    </row>
    <row r="26" spans="1:11" x14ac:dyDescent="0.25">
      <c r="A26">
        <v>3856</v>
      </c>
      <c r="B26" s="29">
        <v>45496</v>
      </c>
      <c r="C26" s="29"/>
      <c r="D26" t="s">
        <v>606</v>
      </c>
      <c r="E26" t="s">
        <v>1262</v>
      </c>
      <c r="F26" t="s">
        <v>1313</v>
      </c>
      <c r="G26" t="s">
        <v>1264</v>
      </c>
      <c r="I26">
        <v>-45496</v>
      </c>
      <c r="J26">
        <v>-45496</v>
      </c>
      <c r="K26" t="s">
        <v>1230</v>
      </c>
    </row>
    <row r="27" spans="1:11" x14ac:dyDescent="0.25">
      <c r="A27">
        <v>3857</v>
      </c>
      <c r="B27" s="29">
        <v>45496</v>
      </c>
      <c r="C27" s="29"/>
      <c r="D27" t="s">
        <v>606</v>
      </c>
      <c r="E27" t="s">
        <v>1262</v>
      </c>
      <c r="F27" t="s">
        <v>1313</v>
      </c>
      <c r="G27" t="s">
        <v>1264</v>
      </c>
      <c r="I27">
        <v>-45496</v>
      </c>
      <c r="J27">
        <v>-45496</v>
      </c>
      <c r="K27" t="s">
        <v>1230</v>
      </c>
    </row>
    <row r="28" spans="1:11" x14ac:dyDescent="0.25">
      <c r="A28">
        <v>3858</v>
      </c>
      <c r="B28" s="29">
        <v>45496</v>
      </c>
      <c r="C28" s="29"/>
      <c r="D28" t="s">
        <v>606</v>
      </c>
      <c r="E28" t="s">
        <v>1262</v>
      </c>
      <c r="F28" t="s">
        <v>1313</v>
      </c>
      <c r="G28" t="s">
        <v>1264</v>
      </c>
      <c r="I28">
        <v>-45496</v>
      </c>
      <c r="J28">
        <v>-45496</v>
      </c>
      <c r="K28" t="s">
        <v>1230</v>
      </c>
    </row>
    <row r="29" spans="1:11" x14ac:dyDescent="0.25">
      <c r="A29">
        <v>3859</v>
      </c>
      <c r="B29" s="29">
        <v>45496</v>
      </c>
      <c r="C29" s="29"/>
      <c r="D29" t="s">
        <v>606</v>
      </c>
      <c r="E29" t="s">
        <v>1262</v>
      </c>
      <c r="F29" t="s">
        <v>1313</v>
      </c>
      <c r="G29" t="s">
        <v>1264</v>
      </c>
      <c r="I29">
        <v>-45496</v>
      </c>
      <c r="J29">
        <v>-45496</v>
      </c>
      <c r="K29" t="s">
        <v>1230</v>
      </c>
    </row>
    <row r="30" spans="1:11" x14ac:dyDescent="0.25">
      <c r="A30" t="s">
        <v>1314</v>
      </c>
      <c r="B30" s="29">
        <v>45496</v>
      </c>
      <c r="C30" s="29"/>
      <c r="D30" t="s">
        <v>603</v>
      </c>
      <c r="E30" t="s">
        <v>1315</v>
      </c>
      <c r="F30" t="s">
        <v>891</v>
      </c>
      <c r="G30" t="s">
        <v>1283</v>
      </c>
      <c r="I30">
        <v>-45496</v>
      </c>
      <c r="J30">
        <v>-45496</v>
      </c>
      <c r="K30" t="s">
        <v>1230</v>
      </c>
    </row>
    <row r="31" spans="1:11" x14ac:dyDescent="0.25">
      <c r="A31">
        <v>3860</v>
      </c>
      <c r="B31" s="29">
        <v>45498</v>
      </c>
      <c r="C31" s="29"/>
      <c r="D31" t="s">
        <v>606</v>
      </c>
      <c r="E31" t="s">
        <v>1282</v>
      </c>
      <c r="F31" t="s">
        <v>1313</v>
      </c>
      <c r="G31" t="s">
        <v>1264</v>
      </c>
      <c r="I31">
        <v>-45498</v>
      </c>
      <c r="J31">
        <v>-45498</v>
      </c>
      <c r="K31" t="s">
        <v>1230</v>
      </c>
    </row>
    <row r="32" spans="1:11" x14ac:dyDescent="0.25">
      <c r="A32" t="s">
        <v>1316</v>
      </c>
      <c r="B32" s="29">
        <v>45498</v>
      </c>
      <c r="C32" s="29"/>
      <c r="D32" t="s">
        <v>603</v>
      </c>
      <c r="E32" t="s">
        <v>856</v>
      </c>
      <c r="F32" t="s">
        <v>905</v>
      </c>
      <c r="G32" t="s">
        <v>1246</v>
      </c>
      <c r="I32">
        <v>-45498</v>
      </c>
      <c r="J32">
        <v>-45498</v>
      </c>
      <c r="K32" t="s">
        <v>1230</v>
      </c>
    </row>
    <row r="33" spans="1:11" x14ac:dyDescent="0.25">
      <c r="A33">
        <v>3678</v>
      </c>
      <c r="B33" s="29">
        <v>45498</v>
      </c>
      <c r="C33" s="29"/>
      <c r="D33" t="s">
        <v>602</v>
      </c>
      <c r="E33" t="s">
        <v>963</v>
      </c>
      <c r="F33" t="s">
        <v>897</v>
      </c>
      <c r="G33" t="s">
        <v>1231</v>
      </c>
      <c r="I33">
        <v>-45498</v>
      </c>
      <c r="J33">
        <v>-45498</v>
      </c>
      <c r="K33" t="s">
        <v>1230</v>
      </c>
    </row>
    <row r="34" spans="1:11" x14ac:dyDescent="0.25">
      <c r="A34">
        <v>3680</v>
      </c>
      <c r="B34" s="29">
        <v>45499</v>
      </c>
      <c r="C34" s="29"/>
      <c r="D34" t="s">
        <v>602</v>
      </c>
      <c r="E34" t="s">
        <v>963</v>
      </c>
      <c r="F34" t="s">
        <v>894</v>
      </c>
      <c r="G34" t="s">
        <v>1231</v>
      </c>
      <c r="I34">
        <v>-45499</v>
      </c>
      <c r="J34">
        <v>-45499</v>
      </c>
      <c r="K34" t="s">
        <v>1230</v>
      </c>
    </row>
    <row r="35" spans="1:11" x14ac:dyDescent="0.25">
      <c r="A35" t="s">
        <v>1179</v>
      </c>
      <c r="B35" s="29">
        <v>45471</v>
      </c>
      <c r="C35" s="29"/>
      <c r="D35" t="s">
        <v>603</v>
      </c>
      <c r="E35" t="s">
        <v>1180</v>
      </c>
      <c r="F35" t="s">
        <v>905</v>
      </c>
      <c r="G35" t="s">
        <v>1236</v>
      </c>
      <c r="I35">
        <v>-45471</v>
      </c>
      <c r="J35">
        <v>-45471</v>
      </c>
      <c r="K35" t="s">
        <v>1230</v>
      </c>
    </row>
    <row r="36" spans="1:11" x14ac:dyDescent="0.25">
      <c r="A36">
        <v>3862</v>
      </c>
      <c r="B36" s="29">
        <v>45502</v>
      </c>
      <c r="C36" s="29"/>
      <c r="D36" t="s">
        <v>606</v>
      </c>
      <c r="E36" t="s">
        <v>1320</v>
      </c>
      <c r="F36" t="s">
        <v>1313</v>
      </c>
      <c r="G36" t="s">
        <v>1273</v>
      </c>
      <c r="I36">
        <v>-45502</v>
      </c>
      <c r="J36">
        <v>-45502</v>
      </c>
      <c r="K36" t="s">
        <v>1230</v>
      </c>
    </row>
    <row r="37" spans="1:11" x14ac:dyDescent="0.25">
      <c r="A37">
        <v>3864</v>
      </c>
      <c r="B37" s="29">
        <v>45502</v>
      </c>
      <c r="C37" s="29"/>
      <c r="D37" t="s">
        <v>606</v>
      </c>
      <c r="E37" t="s">
        <v>989</v>
      </c>
      <c r="F37" t="s">
        <v>1313</v>
      </c>
      <c r="G37" t="s">
        <v>1273</v>
      </c>
      <c r="I37">
        <v>-45502</v>
      </c>
      <c r="J37">
        <v>-45502</v>
      </c>
      <c r="K37" t="s">
        <v>1230</v>
      </c>
    </row>
    <row r="38" spans="1:11" x14ac:dyDescent="0.25">
      <c r="A38">
        <v>3863</v>
      </c>
      <c r="B38" s="29">
        <v>45502</v>
      </c>
      <c r="C38" s="29"/>
      <c r="D38" t="s">
        <v>606</v>
      </c>
      <c r="E38" t="s">
        <v>989</v>
      </c>
      <c r="F38" t="s">
        <v>1313</v>
      </c>
      <c r="G38" t="s">
        <v>1273</v>
      </c>
      <c r="I38">
        <v>-45502</v>
      </c>
      <c r="J38">
        <v>-45502</v>
      </c>
      <c r="K38" t="s">
        <v>1230</v>
      </c>
    </row>
    <row r="39" spans="1:11" x14ac:dyDescent="0.25">
      <c r="A39">
        <v>3681</v>
      </c>
      <c r="B39" s="29">
        <v>45502</v>
      </c>
      <c r="C39" s="29"/>
      <c r="D39" t="s">
        <v>602</v>
      </c>
      <c r="E39" t="s">
        <v>909</v>
      </c>
      <c r="F39" t="s">
        <v>891</v>
      </c>
      <c r="G39" t="s">
        <v>1231</v>
      </c>
      <c r="I39">
        <v>-45502</v>
      </c>
      <c r="J39">
        <v>-45502</v>
      </c>
      <c r="K39" t="s">
        <v>1230</v>
      </c>
    </row>
    <row r="40" spans="1:11" x14ac:dyDescent="0.25">
      <c r="A40">
        <v>3682</v>
      </c>
      <c r="B40" s="29">
        <v>45503</v>
      </c>
      <c r="C40" s="29"/>
      <c r="D40" t="s">
        <v>602</v>
      </c>
      <c r="E40" t="s">
        <v>985</v>
      </c>
      <c r="F40" t="s">
        <v>897</v>
      </c>
      <c r="G40" t="s">
        <v>1253</v>
      </c>
      <c r="I40">
        <v>-45503</v>
      </c>
      <c r="J40">
        <v>-45503</v>
      </c>
      <c r="K40" t="s">
        <v>1230</v>
      </c>
    </row>
    <row r="41" spans="1:11" x14ac:dyDescent="0.25">
      <c r="A41">
        <v>3683</v>
      </c>
      <c r="B41" s="29">
        <v>45503</v>
      </c>
      <c r="C41" s="29"/>
      <c r="D41" t="s">
        <v>602</v>
      </c>
      <c r="E41" t="s">
        <v>916</v>
      </c>
      <c r="F41" t="s">
        <v>891</v>
      </c>
      <c r="G41" t="s">
        <v>1321</v>
      </c>
      <c r="I41">
        <v>-45503</v>
      </c>
      <c r="J41">
        <v>-45503</v>
      </c>
      <c r="K41" t="s">
        <v>1230</v>
      </c>
    </row>
    <row r="42" spans="1:11" x14ac:dyDescent="0.25">
      <c r="A42">
        <v>3868</v>
      </c>
      <c r="B42" s="29">
        <v>45503</v>
      </c>
      <c r="C42" s="29"/>
      <c r="D42" t="s">
        <v>606</v>
      </c>
      <c r="E42" t="s">
        <v>1322</v>
      </c>
      <c r="F42" t="s">
        <v>1313</v>
      </c>
      <c r="G42" t="s">
        <v>1264</v>
      </c>
      <c r="I42">
        <v>-45503</v>
      </c>
      <c r="J42">
        <v>-45503</v>
      </c>
      <c r="K42" t="s">
        <v>1230</v>
      </c>
    </row>
    <row r="43" spans="1:11" x14ac:dyDescent="0.25">
      <c r="A43" t="s">
        <v>1323</v>
      </c>
      <c r="B43" s="29">
        <v>45503</v>
      </c>
      <c r="C43" s="29"/>
      <c r="D43" t="s">
        <v>603</v>
      </c>
      <c r="E43" t="s">
        <v>1002</v>
      </c>
      <c r="F43" t="s">
        <v>890</v>
      </c>
      <c r="G43" t="s">
        <v>1279</v>
      </c>
      <c r="I43">
        <v>-45503</v>
      </c>
      <c r="J43">
        <v>-45503</v>
      </c>
      <c r="K43" t="s">
        <v>1230</v>
      </c>
    </row>
    <row r="44" spans="1:11" x14ac:dyDescent="0.25">
      <c r="A44" t="s">
        <v>1324</v>
      </c>
      <c r="B44" s="29">
        <v>45503</v>
      </c>
      <c r="C44" s="29"/>
      <c r="D44" t="s">
        <v>603</v>
      </c>
      <c r="E44" t="s">
        <v>944</v>
      </c>
      <c r="F44" t="s">
        <v>905</v>
      </c>
      <c r="G44" t="s">
        <v>1246</v>
      </c>
      <c r="I44">
        <v>-45503</v>
      </c>
      <c r="J44">
        <v>-45503</v>
      </c>
      <c r="K44" t="s">
        <v>1230</v>
      </c>
    </row>
    <row r="45" spans="1:11" x14ac:dyDescent="0.25">
      <c r="A45" t="s">
        <v>1325</v>
      </c>
      <c r="B45" s="29">
        <v>45504</v>
      </c>
      <c r="C45" s="29"/>
      <c r="D45" t="s">
        <v>601</v>
      </c>
      <c r="E45" t="s">
        <v>1326</v>
      </c>
      <c r="F45" t="s">
        <v>896</v>
      </c>
      <c r="G45" t="s">
        <v>1229</v>
      </c>
      <c r="I45">
        <v>-45504</v>
      </c>
      <c r="J45">
        <v>-45504</v>
      </c>
      <c r="K45" t="s">
        <v>1230</v>
      </c>
    </row>
    <row r="46" spans="1:11" x14ac:dyDescent="0.25">
      <c r="A46" t="s">
        <v>1327</v>
      </c>
      <c r="B46" s="29">
        <v>45504</v>
      </c>
      <c r="C46" s="29"/>
      <c r="D46" t="s">
        <v>601</v>
      </c>
      <c r="E46" t="s">
        <v>1326</v>
      </c>
      <c r="F46" t="s">
        <v>896</v>
      </c>
      <c r="G46" t="s">
        <v>1229</v>
      </c>
      <c r="I46">
        <v>-45504</v>
      </c>
      <c r="J46">
        <v>-45504</v>
      </c>
      <c r="K46" t="s">
        <v>1230</v>
      </c>
    </row>
    <row r="47" spans="1:11" x14ac:dyDescent="0.25">
      <c r="A47" t="s">
        <v>1328</v>
      </c>
      <c r="B47" s="29">
        <v>45504</v>
      </c>
      <c r="C47" s="29"/>
      <c r="D47" t="s">
        <v>601</v>
      </c>
      <c r="E47" t="s">
        <v>1329</v>
      </c>
      <c r="F47" t="s">
        <v>896</v>
      </c>
      <c r="G47" t="s">
        <v>1281</v>
      </c>
      <c r="I47">
        <v>-45504</v>
      </c>
      <c r="J47">
        <v>-45504</v>
      </c>
      <c r="K47" t="s">
        <v>1230</v>
      </c>
    </row>
    <row r="48" spans="1:11" x14ac:dyDescent="0.25">
      <c r="A48">
        <v>3604</v>
      </c>
      <c r="B48" s="29">
        <v>45441</v>
      </c>
      <c r="C48" s="29"/>
      <c r="D48" t="s">
        <v>602</v>
      </c>
      <c r="E48" t="s">
        <v>909</v>
      </c>
      <c r="F48" t="s">
        <v>1155</v>
      </c>
      <c r="G48" t="s">
        <v>1231</v>
      </c>
      <c r="H48" t="s">
        <v>1257</v>
      </c>
      <c r="J48">
        <v>-45441</v>
      </c>
      <c r="K48" t="s">
        <v>1230</v>
      </c>
    </row>
    <row r="49" spans="1:11" x14ac:dyDescent="0.25">
      <c r="A49">
        <v>3613</v>
      </c>
      <c r="B49" s="29">
        <v>45443</v>
      </c>
      <c r="C49" s="29"/>
      <c r="D49" t="s">
        <v>602</v>
      </c>
      <c r="E49" t="s">
        <v>963</v>
      </c>
      <c r="F49" t="s">
        <v>1155</v>
      </c>
      <c r="G49" t="s">
        <v>1231</v>
      </c>
      <c r="H49" t="s">
        <v>1257</v>
      </c>
      <c r="J49">
        <v>-45443</v>
      </c>
      <c r="K49" t="s">
        <v>1230</v>
      </c>
    </row>
    <row r="50" spans="1:11" x14ac:dyDescent="0.25">
      <c r="A50">
        <v>3615</v>
      </c>
      <c r="B50" s="29">
        <v>45443</v>
      </c>
      <c r="C50" s="29"/>
      <c r="D50" t="s">
        <v>602</v>
      </c>
      <c r="E50" t="s">
        <v>963</v>
      </c>
      <c r="F50" t="s">
        <v>1155</v>
      </c>
      <c r="G50" t="s">
        <v>1231</v>
      </c>
      <c r="H50" t="s">
        <v>1257</v>
      </c>
      <c r="J50">
        <v>-45443</v>
      </c>
      <c r="K50" t="s">
        <v>1230</v>
      </c>
    </row>
    <row r="51" spans="1:11" x14ac:dyDescent="0.25">
      <c r="A51">
        <v>3619</v>
      </c>
      <c r="B51" s="29">
        <v>45448</v>
      </c>
      <c r="C51" s="29"/>
      <c r="D51" t="s">
        <v>602</v>
      </c>
      <c r="E51" t="s">
        <v>1189</v>
      </c>
      <c r="F51" t="s">
        <v>1155</v>
      </c>
      <c r="G51" t="s">
        <v>1253</v>
      </c>
      <c r="H51" t="s">
        <v>1257</v>
      </c>
      <c r="J51">
        <v>-45448</v>
      </c>
      <c r="K51" t="s">
        <v>1230</v>
      </c>
    </row>
    <row r="52" spans="1:11" x14ac:dyDescent="0.25">
      <c r="A52">
        <v>3630</v>
      </c>
      <c r="B52" s="29">
        <v>45460</v>
      </c>
      <c r="C52" s="29"/>
      <c r="D52" t="s">
        <v>602</v>
      </c>
      <c r="E52" t="s">
        <v>909</v>
      </c>
      <c r="F52" t="s">
        <v>1155</v>
      </c>
      <c r="G52" t="s">
        <v>1231</v>
      </c>
      <c r="H52" t="s">
        <v>1257</v>
      </c>
      <c r="I52">
        <v>-45460</v>
      </c>
      <c r="J52">
        <v>-45460</v>
      </c>
      <c r="K52" t="s">
        <v>1230</v>
      </c>
    </row>
    <row r="53" spans="1:11" x14ac:dyDescent="0.25">
      <c r="A53">
        <v>3631</v>
      </c>
      <c r="B53" s="29">
        <v>45460</v>
      </c>
      <c r="C53" s="29"/>
      <c r="D53" t="s">
        <v>602</v>
      </c>
      <c r="E53" t="s">
        <v>909</v>
      </c>
      <c r="F53" t="s">
        <v>1155</v>
      </c>
      <c r="G53" t="s">
        <v>1231</v>
      </c>
      <c r="H53" t="s">
        <v>1257</v>
      </c>
      <c r="I53">
        <v>-45460</v>
      </c>
      <c r="J53">
        <v>-45460</v>
      </c>
      <c r="K53" t="s">
        <v>1230</v>
      </c>
    </row>
    <row r="54" spans="1:11" x14ac:dyDescent="0.25">
      <c r="A54">
        <v>3632</v>
      </c>
      <c r="B54" s="29">
        <v>45460</v>
      </c>
      <c r="C54" s="29"/>
      <c r="D54" t="s">
        <v>602</v>
      </c>
      <c r="E54" t="s">
        <v>909</v>
      </c>
      <c r="F54" t="s">
        <v>1155</v>
      </c>
      <c r="G54" t="s">
        <v>1231</v>
      </c>
      <c r="H54" t="s">
        <v>1257</v>
      </c>
      <c r="I54">
        <v>-45460</v>
      </c>
      <c r="J54">
        <v>-45460</v>
      </c>
      <c r="K54" t="s">
        <v>1230</v>
      </c>
    </row>
    <row r="55" spans="1:11" x14ac:dyDescent="0.25">
      <c r="A55">
        <v>3634</v>
      </c>
      <c r="B55" s="29">
        <v>45460</v>
      </c>
      <c r="C55" s="29"/>
      <c r="D55" t="s">
        <v>602</v>
      </c>
      <c r="E55" t="s">
        <v>927</v>
      </c>
      <c r="F55" t="s">
        <v>1155</v>
      </c>
      <c r="G55" t="s">
        <v>1263</v>
      </c>
      <c r="H55" t="s">
        <v>1257</v>
      </c>
      <c r="I55">
        <v>-45460</v>
      </c>
      <c r="J55">
        <v>-45460</v>
      </c>
      <c r="K55" t="s">
        <v>1230</v>
      </c>
    </row>
    <row r="56" spans="1:11" x14ac:dyDescent="0.25">
      <c r="A56">
        <v>3649</v>
      </c>
      <c r="B56" s="29">
        <v>45468</v>
      </c>
      <c r="C56" s="29"/>
      <c r="D56" t="s">
        <v>602</v>
      </c>
      <c r="E56" t="s">
        <v>963</v>
      </c>
      <c r="F56" t="s">
        <v>1155</v>
      </c>
      <c r="G56" t="s">
        <v>1231</v>
      </c>
      <c r="H56" t="s">
        <v>1257</v>
      </c>
      <c r="I56">
        <v>-45468</v>
      </c>
      <c r="J56">
        <v>-45468</v>
      </c>
      <c r="K56" t="s">
        <v>1230</v>
      </c>
    </row>
    <row r="57" spans="1:11" x14ac:dyDescent="0.25">
      <c r="A57">
        <v>3654</v>
      </c>
      <c r="B57" s="29">
        <v>45469</v>
      </c>
      <c r="C57" s="29"/>
      <c r="D57" t="s">
        <v>602</v>
      </c>
      <c r="E57" t="s">
        <v>1268</v>
      </c>
      <c r="F57" t="s">
        <v>1155</v>
      </c>
      <c r="G57" t="s">
        <v>1255</v>
      </c>
      <c r="H57" t="s">
        <v>1257</v>
      </c>
      <c r="I57">
        <v>-45469</v>
      </c>
      <c r="J57">
        <v>-45469</v>
      </c>
      <c r="K57" t="s">
        <v>1230</v>
      </c>
    </row>
    <row r="58" spans="1:11" x14ac:dyDescent="0.25">
      <c r="A58">
        <v>3661</v>
      </c>
      <c r="B58" s="29">
        <v>45470</v>
      </c>
      <c r="C58" s="29"/>
      <c r="D58" t="s">
        <v>602</v>
      </c>
      <c r="E58" t="s">
        <v>909</v>
      </c>
      <c r="F58" t="s">
        <v>1155</v>
      </c>
      <c r="G58" t="s">
        <v>1231</v>
      </c>
      <c r="H58" t="s">
        <v>1257</v>
      </c>
      <c r="I58">
        <v>-45470</v>
      </c>
      <c r="J58">
        <v>-45470</v>
      </c>
      <c r="K58" t="s">
        <v>1230</v>
      </c>
    </row>
    <row r="59" spans="1:11" x14ac:dyDescent="0.25">
      <c r="A59">
        <v>3666</v>
      </c>
      <c r="B59" s="29">
        <v>45482</v>
      </c>
      <c r="C59" s="29"/>
      <c r="D59" t="s">
        <v>602</v>
      </c>
      <c r="E59" t="s">
        <v>950</v>
      </c>
      <c r="F59" t="s">
        <v>1155</v>
      </c>
      <c r="G59" t="s">
        <v>1267</v>
      </c>
      <c r="H59" t="s">
        <v>1257</v>
      </c>
      <c r="I59">
        <v>-45482</v>
      </c>
      <c r="J59">
        <v>-45482</v>
      </c>
      <c r="K59" t="s">
        <v>1230</v>
      </c>
    </row>
    <row r="60" spans="1:11" x14ac:dyDescent="0.25">
      <c r="A60">
        <v>3669</v>
      </c>
      <c r="B60" s="29">
        <v>45485</v>
      </c>
      <c r="C60" s="29"/>
      <c r="D60" t="s">
        <v>602</v>
      </c>
      <c r="E60" t="s">
        <v>919</v>
      </c>
      <c r="F60" t="s">
        <v>1155</v>
      </c>
      <c r="G60" t="s">
        <v>1263</v>
      </c>
      <c r="H60" t="s">
        <v>1285</v>
      </c>
      <c r="I60">
        <v>-45485</v>
      </c>
      <c r="J60">
        <v>-45485</v>
      </c>
      <c r="K60" t="s">
        <v>1230</v>
      </c>
    </row>
    <row r="61" spans="1:11" x14ac:dyDescent="0.25">
      <c r="A61">
        <v>3807</v>
      </c>
      <c r="B61" s="29">
        <v>45402</v>
      </c>
      <c r="C61" s="29"/>
      <c r="D61" t="s">
        <v>606</v>
      </c>
      <c r="E61" t="s">
        <v>955</v>
      </c>
      <c r="F61" t="s">
        <v>1259</v>
      </c>
      <c r="G61" t="s">
        <v>1233</v>
      </c>
      <c r="H61" t="s">
        <v>1232</v>
      </c>
      <c r="I61">
        <v>-45402</v>
      </c>
      <c r="J61">
        <v>-45402</v>
      </c>
      <c r="K61" t="s">
        <v>1230</v>
      </c>
    </row>
    <row r="62" spans="1:11" x14ac:dyDescent="0.25">
      <c r="A62">
        <v>3809</v>
      </c>
      <c r="B62" s="29">
        <v>45402</v>
      </c>
      <c r="C62" s="29"/>
      <c r="D62" t="s">
        <v>606</v>
      </c>
      <c r="E62" t="s">
        <v>955</v>
      </c>
      <c r="F62" t="s">
        <v>1259</v>
      </c>
      <c r="G62" t="s">
        <v>1233</v>
      </c>
      <c r="H62" t="s">
        <v>1232</v>
      </c>
      <c r="I62">
        <v>-45402</v>
      </c>
      <c r="J62">
        <v>-45402</v>
      </c>
      <c r="K62" t="s">
        <v>1230</v>
      </c>
    </row>
    <row r="63" spans="1:11" x14ac:dyDescent="0.25">
      <c r="A63">
        <v>3810</v>
      </c>
      <c r="B63" s="29">
        <v>45402</v>
      </c>
      <c r="C63" s="29"/>
      <c r="D63" t="s">
        <v>606</v>
      </c>
      <c r="E63" t="s">
        <v>955</v>
      </c>
      <c r="F63" t="s">
        <v>1259</v>
      </c>
      <c r="G63" t="s">
        <v>1233</v>
      </c>
      <c r="H63" t="s">
        <v>1232</v>
      </c>
      <c r="I63">
        <v>-45402</v>
      </c>
      <c r="J63">
        <v>-45402</v>
      </c>
      <c r="K63" t="s">
        <v>1230</v>
      </c>
    </row>
    <row r="64" spans="1:11" x14ac:dyDescent="0.25">
      <c r="A64">
        <v>3832</v>
      </c>
      <c r="B64" s="29">
        <v>45456</v>
      </c>
      <c r="C64" s="29"/>
      <c r="D64" t="s">
        <v>606</v>
      </c>
      <c r="E64" t="s">
        <v>989</v>
      </c>
      <c r="F64" t="s">
        <v>1259</v>
      </c>
      <c r="G64" t="s">
        <v>1233</v>
      </c>
      <c r="H64" t="s">
        <v>1232</v>
      </c>
      <c r="I64">
        <v>-45456</v>
      </c>
      <c r="J64">
        <v>-45456</v>
      </c>
      <c r="K64" t="s">
        <v>1230</v>
      </c>
    </row>
    <row r="65" spans="1:11" x14ac:dyDescent="0.25">
      <c r="A65">
        <v>3833</v>
      </c>
      <c r="B65" s="29">
        <v>45456</v>
      </c>
      <c r="C65" s="29"/>
      <c r="D65" t="s">
        <v>606</v>
      </c>
      <c r="E65" t="s">
        <v>989</v>
      </c>
      <c r="F65" t="s">
        <v>1259</v>
      </c>
      <c r="G65" t="s">
        <v>1233</v>
      </c>
      <c r="H65" t="s">
        <v>1232</v>
      </c>
      <c r="I65">
        <v>-45456</v>
      </c>
      <c r="J65">
        <v>-45456</v>
      </c>
      <c r="K65" t="s">
        <v>1230</v>
      </c>
    </row>
    <row r="66" spans="1:11" x14ac:dyDescent="0.25">
      <c r="A66">
        <v>3838</v>
      </c>
      <c r="B66" s="29">
        <v>45464</v>
      </c>
      <c r="C66" s="29"/>
      <c r="D66" t="s">
        <v>606</v>
      </c>
      <c r="E66" t="s">
        <v>1262</v>
      </c>
      <c r="F66" t="s">
        <v>1259</v>
      </c>
      <c r="G66" t="s">
        <v>1264</v>
      </c>
      <c r="H66" t="s">
        <v>1232</v>
      </c>
      <c r="I66">
        <v>-45464</v>
      </c>
      <c r="J66">
        <v>-45464</v>
      </c>
      <c r="K66" t="s">
        <v>1230</v>
      </c>
    </row>
    <row r="67" spans="1:11" x14ac:dyDescent="0.25">
      <c r="A67">
        <v>3865</v>
      </c>
      <c r="B67" s="29">
        <v>45502</v>
      </c>
      <c r="C67" s="29"/>
      <c r="D67" t="s">
        <v>606</v>
      </c>
      <c r="E67" t="s">
        <v>1032</v>
      </c>
      <c r="F67" t="s">
        <v>1330</v>
      </c>
      <c r="G67" t="s">
        <v>1264</v>
      </c>
      <c r="H67" t="s">
        <v>1331</v>
      </c>
      <c r="I67">
        <v>-45502</v>
      </c>
      <c r="J67">
        <v>-45502</v>
      </c>
      <c r="K67" t="s">
        <v>1230</v>
      </c>
    </row>
    <row r="68" spans="1:11" x14ac:dyDescent="0.25">
      <c r="A68">
        <v>3866</v>
      </c>
      <c r="B68" s="29">
        <v>45503</v>
      </c>
      <c r="C68" s="29"/>
      <c r="D68" t="s">
        <v>606</v>
      </c>
      <c r="E68" t="s">
        <v>1032</v>
      </c>
      <c r="F68" t="s">
        <v>1330</v>
      </c>
      <c r="G68" t="s">
        <v>1264</v>
      </c>
      <c r="H68" t="s">
        <v>1331</v>
      </c>
      <c r="I68">
        <v>-45503</v>
      </c>
      <c r="J68">
        <v>-45503</v>
      </c>
      <c r="K68" t="s">
        <v>1230</v>
      </c>
    </row>
    <row r="69" spans="1:11" x14ac:dyDescent="0.25">
      <c r="A69">
        <v>3867</v>
      </c>
      <c r="B69" s="29">
        <v>45503</v>
      </c>
      <c r="C69" s="29"/>
      <c r="D69" t="s">
        <v>606</v>
      </c>
      <c r="E69" t="s">
        <v>1032</v>
      </c>
      <c r="F69" t="s">
        <v>1330</v>
      </c>
      <c r="G69" t="s">
        <v>1264</v>
      </c>
      <c r="H69" t="s">
        <v>1331</v>
      </c>
      <c r="I69">
        <v>-45503</v>
      </c>
      <c r="J69">
        <v>-45503</v>
      </c>
      <c r="K69" t="s">
        <v>1230</v>
      </c>
    </row>
    <row r="70" spans="1:11" x14ac:dyDescent="0.25">
      <c r="A70">
        <v>3870</v>
      </c>
      <c r="B70" s="29">
        <v>45503</v>
      </c>
      <c r="C70" s="29"/>
      <c r="D70" t="s">
        <v>606</v>
      </c>
      <c r="E70" t="s">
        <v>1322</v>
      </c>
      <c r="F70" t="s">
        <v>1330</v>
      </c>
      <c r="G70" t="s">
        <v>1264</v>
      </c>
      <c r="H70" t="s">
        <v>1331</v>
      </c>
      <c r="I70">
        <v>-45503</v>
      </c>
      <c r="J70">
        <v>-45503</v>
      </c>
      <c r="K70" t="s">
        <v>1230</v>
      </c>
    </row>
    <row r="71" spans="1:11" x14ac:dyDescent="0.25">
      <c r="A71">
        <v>3869</v>
      </c>
      <c r="B71" s="29">
        <v>45503</v>
      </c>
      <c r="C71" s="29"/>
      <c r="D71" t="s">
        <v>1332</v>
      </c>
      <c r="E71" t="s">
        <v>1322</v>
      </c>
      <c r="F71" t="s">
        <v>1330</v>
      </c>
      <c r="G71" t="s">
        <v>1264</v>
      </c>
      <c r="H71" t="s">
        <v>1331</v>
      </c>
      <c r="I71">
        <v>-45503</v>
      </c>
      <c r="J71">
        <v>-45503</v>
      </c>
      <c r="K71" t="s">
        <v>1230</v>
      </c>
    </row>
    <row r="72" spans="1:11" x14ac:dyDescent="0.25">
      <c r="A72" t="s">
        <v>1237</v>
      </c>
      <c r="B72" s="29">
        <v>45399</v>
      </c>
      <c r="C72" s="29"/>
      <c r="D72" t="s">
        <v>602</v>
      </c>
      <c r="E72" t="s">
        <v>1238</v>
      </c>
      <c r="F72" t="s">
        <v>897</v>
      </c>
      <c r="G72" t="s">
        <v>1239</v>
      </c>
      <c r="H72" t="s">
        <v>1240</v>
      </c>
      <c r="K72" t="s">
        <v>1230</v>
      </c>
    </row>
    <row r="73" spans="1:11" x14ac:dyDescent="0.25">
      <c r="A73" t="s">
        <v>1241</v>
      </c>
      <c r="B73" s="29">
        <v>45399</v>
      </c>
      <c r="C73" s="29"/>
      <c r="D73" t="s">
        <v>602</v>
      </c>
      <c r="E73" t="s">
        <v>909</v>
      </c>
      <c r="F73" t="s">
        <v>897</v>
      </c>
      <c r="G73" t="s">
        <v>1239</v>
      </c>
      <c r="H73" t="s">
        <v>1240</v>
      </c>
      <c r="K73" t="s">
        <v>1230</v>
      </c>
    </row>
    <row r="74" spans="1:11" x14ac:dyDescent="0.25">
      <c r="A74" t="s">
        <v>1242</v>
      </c>
      <c r="B74" s="29">
        <v>45412</v>
      </c>
      <c r="C74" s="29"/>
      <c r="D74" t="s">
        <v>602</v>
      </c>
      <c r="E74" t="s">
        <v>909</v>
      </c>
      <c r="F74" t="s">
        <v>897</v>
      </c>
      <c r="G74" t="s">
        <v>1239</v>
      </c>
      <c r="H74" t="s">
        <v>1243</v>
      </c>
      <c r="K74" t="s">
        <v>1230</v>
      </c>
    </row>
    <row r="75" spans="1:11" x14ac:dyDescent="0.25">
      <c r="A75" t="s">
        <v>1244</v>
      </c>
      <c r="B75" s="29">
        <v>45113</v>
      </c>
      <c r="C75" s="29"/>
      <c r="D75" t="s">
        <v>602</v>
      </c>
      <c r="E75" t="s">
        <v>916</v>
      </c>
      <c r="F75" t="s">
        <v>894</v>
      </c>
      <c r="G75" t="s">
        <v>1239</v>
      </c>
      <c r="K75" t="s">
        <v>1230</v>
      </c>
    </row>
    <row r="76" spans="1:11" x14ac:dyDescent="0.25">
      <c r="A76" t="s">
        <v>1318</v>
      </c>
      <c r="B76" s="29">
        <v>45502</v>
      </c>
      <c r="C76" s="29"/>
      <c r="D76" t="s">
        <v>603</v>
      </c>
      <c r="E76" t="s">
        <v>1319</v>
      </c>
      <c r="F76" t="s">
        <v>905</v>
      </c>
      <c r="G76" t="s">
        <v>1246</v>
      </c>
      <c r="H76" t="s">
        <v>1256</v>
      </c>
      <c r="I76">
        <v>-45502</v>
      </c>
      <c r="J76">
        <v>-45502</v>
      </c>
      <c r="K76" t="s">
        <v>1230</v>
      </c>
    </row>
    <row r="77" spans="1:11" x14ac:dyDescent="0.25">
      <c r="A77" t="s">
        <v>1303</v>
      </c>
      <c r="B77" s="29">
        <v>45492</v>
      </c>
      <c r="C77" s="29"/>
      <c r="D77" t="s">
        <v>603</v>
      </c>
      <c r="E77" t="s">
        <v>856</v>
      </c>
      <c r="F77" t="s">
        <v>905</v>
      </c>
      <c r="G77" t="s">
        <v>1246</v>
      </c>
      <c r="H77" t="s">
        <v>1256</v>
      </c>
      <c r="I77">
        <v>-45492</v>
      </c>
      <c r="J77">
        <v>-45492</v>
      </c>
      <c r="K77" t="s">
        <v>1230</v>
      </c>
    </row>
    <row r="78" spans="1:11" x14ac:dyDescent="0.25">
      <c r="A78" t="s">
        <v>1317</v>
      </c>
      <c r="B78" s="29">
        <v>45498</v>
      </c>
      <c r="C78" s="29"/>
      <c r="D78" t="s">
        <v>603</v>
      </c>
      <c r="E78" t="s">
        <v>856</v>
      </c>
      <c r="F78" t="s">
        <v>905</v>
      </c>
      <c r="G78" t="s">
        <v>1246</v>
      </c>
      <c r="H78" t="s">
        <v>1256</v>
      </c>
      <c r="I78">
        <v>-45498</v>
      </c>
      <c r="J78">
        <v>-45498</v>
      </c>
      <c r="K78" t="s">
        <v>1230</v>
      </c>
    </row>
    <row r="79" spans="1:11" x14ac:dyDescent="0.25">
      <c r="A79">
        <v>50005814</v>
      </c>
      <c r="B79" s="29">
        <v>45478</v>
      </c>
      <c r="C79" s="29"/>
      <c r="D79" t="s">
        <v>607</v>
      </c>
      <c r="E79" t="s">
        <v>859</v>
      </c>
      <c r="F79" t="s">
        <v>1270</v>
      </c>
      <c r="G79" t="s">
        <v>1275</v>
      </c>
      <c r="H79" t="s">
        <v>1288</v>
      </c>
      <c r="I79">
        <v>-45478</v>
      </c>
      <c r="J79">
        <v>-45478</v>
      </c>
      <c r="K79" t="s">
        <v>1230</v>
      </c>
    </row>
    <row r="80" spans="1:11" x14ac:dyDescent="0.25">
      <c r="A80">
        <v>50006174</v>
      </c>
      <c r="B80" s="29">
        <v>45478</v>
      </c>
      <c r="C80" s="29"/>
      <c r="D80" t="s">
        <v>607</v>
      </c>
      <c r="E80" t="s">
        <v>1276</v>
      </c>
      <c r="F80" t="s">
        <v>1270</v>
      </c>
      <c r="G80" t="s">
        <v>1275</v>
      </c>
      <c r="H80" t="s">
        <v>1288</v>
      </c>
      <c r="I80">
        <v>-45478</v>
      </c>
      <c r="J80">
        <v>-45478</v>
      </c>
      <c r="K80" t="s">
        <v>1230</v>
      </c>
    </row>
    <row r="81" spans="1:11" x14ac:dyDescent="0.25">
      <c r="A81">
        <v>50005519</v>
      </c>
      <c r="B81" s="29">
        <v>45478</v>
      </c>
      <c r="C81" s="29"/>
      <c r="D81" t="s">
        <v>607</v>
      </c>
      <c r="E81" t="s">
        <v>1269</v>
      </c>
      <c r="F81" t="s">
        <v>1270</v>
      </c>
      <c r="G81" t="s">
        <v>1275</v>
      </c>
      <c r="H81" t="s">
        <v>1288</v>
      </c>
      <c r="I81">
        <v>-45478</v>
      </c>
      <c r="J81">
        <v>-45478</v>
      </c>
      <c r="K81" t="s">
        <v>1230</v>
      </c>
    </row>
    <row r="82" spans="1:11" x14ac:dyDescent="0.25">
      <c r="A82">
        <v>50004277</v>
      </c>
      <c r="B82" s="29">
        <v>45478</v>
      </c>
      <c r="C82" s="29"/>
      <c r="D82" t="s">
        <v>607</v>
      </c>
      <c r="E82" t="s">
        <v>1277</v>
      </c>
      <c r="F82" t="s">
        <v>1270</v>
      </c>
      <c r="G82" t="s">
        <v>1275</v>
      </c>
      <c r="H82" t="s">
        <v>1288</v>
      </c>
      <c r="I82">
        <v>-45478</v>
      </c>
      <c r="J82">
        <v>-45478</v>
      </c>
      <c r="K82" t="s">
        <v>1230</v>
      </c>
    </row>
    <row r="83" spans="1:11" x14ac:dyDescent="0.25">
      <c r="A83">
        <v>50006336</v>
      </c>
      <c r="B83" s="29">
        <v>45478</v>
      </c>
      <c r="C83" s="29"/>
      <c r="D83" t="s">
        <v>607</v>
      </c>
      <c r="E83" t="s">
        <v>1278</v>
      </c>
      <c r="F83" t="s">
        <v>1270</v>
      </c>
      <c r="G83" t="s">
        <v>1275</v>
      </c>
      <c r="H83" t="s">
        <v>1288</v>
      </c>
      <c r="I83">
        <v>-45478</v>
      </c>
      <c r="J83">
        <v>-45478</v>
      </c>
      <c r="K83" t="s">
        <v>1230</v>
      </c>
    </row>
    <row r="84" spans="1:11" x14ac:dyDescent="0.25">
      <c r="A84" t="s">
        <v>1265</v>
      </c>
      <c r="B84" s="29">
        <v>45463</v>
      </c>
      <c r="C84" s="29"/>
      <c r="D84" t="s">
        <v>601</v>
      </c>
      <c r="E84" t="s">
        <v>1266</v>
      </c>
      <c r="F84" t="s">
        <v>897</v>
      </c>
      <c r="G84" t="s">
        <v>1254</v>
      </c>
      <c r="H84" t="s">
        <v>1256</v>
      </c>
      <c r="I84">
        <v>-45463</v>
      </c>
      <c r="J84">
        <v>-45463</v>
      </c>
      <c r="K84" t="s">
        <v>1230</v>
      </c>
    </row>
    <row r="85" spans="1:11" x14ac:dyDescent="0.25">
      <c r="A85" t="s">
        <v>1258</v>
      </c>
      <c r="B85" s="29">
        <v>45447</v>
      </c>
      <c r="C85" s="29"/>
      <c r="D85" t="s">
        <v>603</v>
      </c>
      <c r="E85" t="s">
        <v>856</v>
      </c>
      <c r="F85" t="s">
        <v>905</v>
      </c>
      <c r="G85" t="s">
        <v>1246</v>
      </c>
      <c r="H85" t="s">
        <v>1256</v>
      </c>
      <c r="I85">
        <v>-45447</v>
      </c>
      <c r="J85">
        <v>-45447</v>
      </c>
      <c r="K85" t="s">
        <v>1230</v>
      </c>
    </row>
    <row r="86" spans="1:11" x14ac:dyDescent="0.25">
      <c r="A86" t="s">
        <v>1234</v>
      </c>
      <c r="B86" s="29">
        <v>45414</v>
      </c>
      <c r="C86" s="29"/>
      <c r="D86" t="s">
        <v>601</v>
      </c>
      <c r="E86" t="s">
        <v>1235</v>
      </c>
      <c r="F86" t="s">
        <v>896</v>
      </c>
      <c r="G86" t="s">
        <v>1229</v>
      </c>
      <c r="H86" t="s">
        <v>1247</v>
      </c>
      <c r="I86">
        <v>-45414</v>
      </c>
      <c r="J86">
        <v>-45414</v>
      </c>
      <c r="K86" t="s">
        <v>1230</v>
      </c>
    </row>
    <row r="87" spans="1:11" x14ac:dyDescent="0.25">
      <c r="A87" t="s">
        <v>1249</v>
      </c>
      <c r="B87" s="29">
        <v>45427</v>
      </c>
      <c r="C87" s="29"/>
      <c r="D87" t="s">
        <v>603</v>
      </c>
      <c r="E87" t="s">
        <v>944</v>
      </c>
      <c r="F87" t="s">
        <v>905</v>
      </c>
      <c r="G87" t="s">
        <v>1246</v>
      </c>
      <c r="H87" t="s">
        <v>1250</v>
      </c>
      <c r="I87">
        <v>-45427</v>
      </c>
      <c r="J87">
        <v>-45427</v>
      </c>
      <c r="K87" t="s">
        <v>1230</v>
      </c>
    </row>
    <row r="88" spans="1:11" x14ac:dyDescent="0.25">
      <c r="A88" t="s">
        <v>1251</v>
      </c>
      <c r="B88" s="29">
        <v>45429</v>
      </c>
      <c r="C88" s="29">
        <v>45451</v>
      </c>
      <c r="D88" t="s">
        <v>603</v>
      </c>
      <c r="E88" t="s">
        <v>1252</v>
      </c>
      <c r="F88" t="s">
        <v>890</v>
      </c>
      <c r="G88" t="s">
        <v>1236</v>
      </c>
      <c r="H88" t="s">
        <v>1256</v>
      </c>
      <c r="I88">
        <v>22</v>
      </c>
      <c r="J88">
        <v>22</v>
      </c>
      <c r="K88" t="s">
        <v>1230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8662E4-20E3-4ED4-9CA5-9EF1808B1E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</vt:i4>
      </vt:variant>
    </vt:vector>
  </HeadingPairs>
  <TitlesOfParts>
    <vt:vector size="21" baseType="lpstr">
      <vt:lpstr>CONTENIDO</vt:lpstr>
      <vt:lpstr>General</vt:lpstr>
      <vt:lpstr>Consumos</vt:lpstr>
      <vt:lpstr>Tiempos</vt:lpstr>
      <vt:lpstr>Data</vt:lpstr>
      <vt:lpstr>Ingresos</vt:lpstr>
      <vt:lpstr>Inventario </vt:lpstr>
      <vt:lpstr>Resumen</vt:lpstr>
      <vt:lpstr>General (2)</vt:lpstr>
      <vt:lpstr>tablainfo</vt:lpstr>
      <vt:lpstr>'Inventario '!Área_de_impresión</vt:lpstr>
      <vt:lpstr>'General (2)'!Codigos</vt:lpstr>
      <vt:lpstr>Codigos</vt:lpstr>
      <vt:lpstr>'General (2)'!CódigosConversión</vt:lpstr>
      <vt:lpstr>CódigosConversión</vt:lpstr>
      <vt:lpstr>'General (2)'!RangoActividad</vt:lpstr>
      <vt:lpstr>RangoActividad</vt:lpstr>
      <vt:lpstr>'General (2)'!RangoClientes</vt:lpstr>
      <vt:lpstr>RangoClientes</vt:lpstr>
      <vt:lpstr>'General (2)'!RangoTipoTrabajo</vt:lpstr>
      <vt:lpstr>RangoTipoTrabajo</vt:lpstr>
    </vt:vector>
  </TitlesOfParts>
  <Company>SKC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Nunez, Isabela</dc:creator>
  <cp:lastModifiedBy>ronald david vera meneses</cp:lastModifiedBy>
  <cp:lastPrinted>2024-06-18T13:23:08Z</cp:lastPrinted>
  <dcterms:created xsi:type="dcterms:W3CDTF">2019-03-20T15:01:17Z</dcterms:created>
  <dcterms:modified xsi:type="dcterms:W3CDTF">2025-02-19T17:38:10Z</dcterms:modified>
</cp:coreProperties>
</file>